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192.168.1.36\Documents\Projetos a partir de janeiro de 2024\Praça Bairro N S Aparecida\Orçamento\"/>
    </mc:Choice>
  </mc:AlternateContent>
  <xr:revisionPtr revIDLastSave="0" documentId="13_ncr:1_{FF547781-9628-49AB-A904-8CAFE10CC928}" xr6:coauthVersionLast="46" xr6:coauthVersionMax="47" xr10:uidLastSave="{00000000-0000-0000-0000-000000000000}"/>
  <bookViews>
    <workbookView xWindow="-120" yWindow="-120" windowWidth="29040" windowHeight="15840" tabRatio="801" activeTab="1" xr2:uid="{00000000-000D-0000-FFFF-FFFF00000000}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BM!$C$15:$C$290</definedName>
    <definedName name="_xlnm._FilterDatabase" localSheetId="5" hidden="1">CÁLCULO!$C$15:$C$290</definedName>
    <definedName name="_xlnm._FilterDatabase" localSheetId="7" hidden="1">CRONO!$F$13:$F$132</definedName>
    <definedName name="_xlnm._FilterDatabase" localSheetId="8" hidden="1">CRONOPLE!$A$13:$A$15</definedName>
    <definedName name="_xlnm._FilterDatabase" localSheetId="4" hidden="1">ORÇAMENTO!$L$15:$L$290</definedName>
    <definedName name="_xlnm._FilterDatabase" localSheetId="9" hidden="1">PLE!$A$13:$A$79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BM!$D$1:$O$305</definedName>
    <definedName name="_xlnm.Print_Area" localSheetId="5">CÁLCULO!$E$1:$AA$298</definedName>
    <definedName name="_xlnm.Print_Area" localSheetId="7">CRONO!$H$1:$AF$132</definedName>
    <definedName name="_xlnm.Print_Area" localSheetId="0">MENU!$A$1:$I$25</definedName>
    <definedName name="_xlnm.Print_Area" localSheetId="13">OFÍCIO!$A$1:$G$56</definedName>
    <definedName name="_xlnm.Print_Area" localSheetId="4">ORÇAMENTO!$O$1:$Y$307</definedName>
    <definedName name="_xlnm.Print_Area" localSheetId="9">PLE!$B$3:$AG$80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BM!$C$15:$C$290</definedName>
    <definedName name="BM.firstrow" hidden="1">BM!$15:$15</definedName>
    <definedName name="BM.FormulaMed" hidden="1">BM!$AO$7</definedName>
    <definedName name="BM.lastrow" hidden="1">BM!$290:$290</definedName>
    <definedName name="BM.LinhaPadrão" hidden="1">BM!$14:$14</definedName>
    <definedName name="BM.MaxMed" hidden="1">IF(RegimeExecucao="Global",1,BM!$G1)</definedName>
    <definedName name="BM.MCAIXA.Filter" hidden="1">BM!$C$15:$Z$290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CÁLCULO!$C$15:$C$290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CÁLCULO!$290:$290</definedName>
    <definedName name="CÁLCULO.LinhaPadrão" hidden="1">CÁLCULO!$14:$14</definedName>
    <definedName name="CÁLCULO.margemrow" hidden="1">CÁLCULO!$298:$298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CÁLCULO!$290:$290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CÁLCULO!$290:$290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CÁLCULO!$290:$290</definedName>
    <definedName name="CÁLCULO.NúmeroDeEventos" hidden="1">IF(AUTOEVENTO&lt;&gt;"manual",MAX(CÁLCULO!$M$15:$M$290),MAX(OFFSET(EVENTOS!$C$14:$C$65,1,0)))</definedName>
    <definedName name="CÁLCULO.NúmeroDeFrentes" hidden="1">COLUMN(CÁLCULO!$AA$15)-COLUMN(CÁLCULO!$Q$15)</definedName>
    <definedName name="CÁLCULO.TotalAdmLocal" hidden="1">IF(AUTOEVENTO="manual",SUMIF(CÁLCULO!$M$15:$M$290,1,ORÇAMENTO!$X$15:$X$290),0)</definedName>
    <definedName name="CRONO.ColunaPadrão" hidden="1">CRONO!$D:$D</definedName>
    <definedName name="CRONO.Filtro" hidden="1">CRONO!$F$13:$F$132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CRONO!$127:$127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CRONO!$132:$132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CRONOPLE!$65:$65</definedName>
    <definedName name="CRONOPLE.LinhaPadrão" hidden="1">CRONOPLE!$1:$1</definedName>
    <definedName name="CRONOPLE.margemrow" hidden="1">CRONOPLE!$66:$66</definedName>
    <definedName name="CRONOPLE.ValorDoEvento" hidden="1">SUMIF(CÁLCULO!$M$15:$M$290,CRONOPLE!$B1,OFFSET(CÁLCULO!$AA$15:$AA$290,0,CRONOPLE!A$12))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EVENTOS!$65:$65</definedName>
    <definedName name="EVENTOS.LinhaPadrão" hidden="1">EVENTOS!$14:$14</definedName>
    <definedName name="EVENTOS.Lista" hidden="1">EVENTOS!$C$15:OFFSET(EVENTOS!$C$65,-1,0)</definedName>
    <definedName name="EVENTOS.ListaValidacao" hidden="1">EVENTOS!$B$15:OFFSET(EVENTOS!$B$65,-1,0)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BM!$D$293</definedName>
    <definedName name="Import.BMAFAcumulado" hidden="1">OFFSET(BM!$R$15,1,0):OFFSET(BM!$R$290,-1,0)</definedName>
    <definedName name="Import.BMArred" hidden="1">BM!$A$9</definedName>
    <definedName name="Import.CNPJ" hidden="1">DADOS!$F$39</definedName>
    <definedName name="Import.Código" hidden="1">OFFSET(ORÇAMENTO!$Q$15,1,0):OFFSET(ORÇAMENTO!$Q$290,-1,0)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OFFSET(CRONOPLE!$F$15,1,1):OFFSET(CRONOPLE!$AF$65,-1,-1)</definedName>
    <definedName name="Import.CTEF" hidden="1">DADOS!$F$37</definedName>
    <definedName name="Import.CustoUnitário" hidden="1">OFFSET(ORÇAMENTO!$U$15,1,0):OFFSET(ORÇAMENTO!$U$290,-1,0)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OFFSET(ORÇAMENTO!$R$15,1,0):OFFSET(ORÇAMENTO!$R$290,-1,0)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OFFSET(EVENTOS!$D$15,1,0):OFFSET(EVENTOS!$D$65,-1,0)</definedName>
    <definedName name="Import.Fonte" hidden="1">OFFSET(ORÇAMENTO!$P$15,1,0):OFFSET(ORÇAMENTO!$P$290,-1,0)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OFFSET(ORÇAMENTO!$M$15,1,0):OFFSET(ORÇAMENTO!$M$290,-1,0)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OFFSET(ORÇAMENTO!$V$15,1,0):OFFSET(ORÇAMENTO!$V$290,-1,0)</definedName>
    <definedName name="Import.ORÇAMENTO.DivRecurso" hidden="1">OFFSET(ORÇAMENTO!$Y$15,1,0):OFFSET(ORÇAMENTO!$Y$290,-1,0)</definedName>
    <definedName name="Import.ORÇAMENTO.Obs" hidden="1">ORÇAMENTO!$O$296</definedName>
    <definedName name="Import.PLE" hidden="1">OFFSET(PLE!$G$15,1,1):OFFSET(PLE!$AG$65,-1,-1)</definedName>
    <definedName name="Import.PLE.Datas" hidden="1">PLE!$I$68:$AF$68</definedName>
    <definedName name="Import.PLQ" hidden="1">OFFSET(CÁLCULO!$P$15,1,1):OFFSET(CÁLCULO!$AA$290,-1,-1)</definedName>
    <definedName name="Import.PLQ.MemCalc" hidden="1">OFFSET(CÁLCULO!$I$15,1,0):OFFSET(CÁLCULO!$I$290,-1,0)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OFFSET(ORÇAMENTO!$AJ$15,1,0):OFFSET(ORÇAMENTO!$AJ$290,-1,0)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OFFSET(ORÇAMENTO!$S$15,1,0):OFFSET(ORÇAMENTO!$S$290,-1,0)</definedName>
    <definedName name="Import.UnitarioLicitado" hidden="1">OFFSET(ORÇAMENTO!$AL$15,1,0):OFFSET(ORÇAMENTO!$AL$290,-1,0)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ORÇAMENTO!$L$15:$L$290</definedName>
    <definedName name="ORÇAMENTO.firstrow" hidden="1">ORÇAMENTO!$15:$15</definedName>
    <definedName name="ORÇAMENTO.Fonte" hidden="1">ORÇAMENTO!$P1</definedName>
    <definedName name="ORÇAMENTO.lastrow" hidden="1">ORÇAMENTO!$290:$290</definedName>
    <definedName name="ORÇAMENTO.LinhaPadrão" hidden="1">ORÇAMENTO!$14:$14</definedName>
    <definedName name="ORÇAMENTO.ListaCrono" hidden="1">OFFSET(ORÇAMENTO!$AD$15,1,0):OFFSET(ORÇAMENTO!$AD$290,-1,0)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OFFSET(ORÇAMENTO!$P$15,1,0):OFFSET(ORÇAMENTO!$S$290,-1,0)</definedName>
    <definedName name="ORÇAMENTO.PasteFormat2" hidden="1">OFFSET(ORÇAMENTO!$U$15,1,0):OFFSET(ORÇAMENTO!$V$290,-1,0)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OFFSET(ORÇAMENTO!$T$15,1,0):OFFSET(ORÇAMENTO!$T$290,-1,0)</definedName>
    <definedName name="ORÇAMENTO.SumCPMANUAL" hidden="1">SUMIF(ORÇAMENTO!$Z$15:$Z$290,"CP",ORÇAMENTO!$AA$15:$AA$290)</definedName>
    <definedName name="ORÇAMENTO.SumINVMANUAL" hidden="1">SUMIF(ORÇAMENTO!$Z$15:$Z$290,"RP",ORÇAMENTO!$X$15:$X$290)+SUMIF(ORÇAMENTO!$Z$15:$Z$290,"CP",ORÇAMENTO!$X$15:$X$290)+SUMIF(ORÇAMENTO!$Z$15:$Z$290,"OU",ORÇAMENTO!$X$15:$X$290)</definedName>
    <definedName name="ORÇAMENTO.SumOUTROSMANUAL" hidden="1">SUMIF(ORÇAMENTO!$Z$15:$Z$290,"OU",ORÇAMENTO!$AB$15:$AB$290)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PLE!$A$13:$A$79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PLE!$65:$65</definedName>
    <definedName name="PLE.LinhaPadrão" hidden="1">PLE!$1:$1</definedName>
    <definedName name="PLE.margemrow" hidden="1">PLE!$80:$80</definedName>
    <definedName name="PLE.Medicao" hidden="1">PLE!$J$9</definedName>
    <definedName name="PLE.MEDIÇÕES.firstrow" hidden="1">PLE!$66:$66</definedName>
    <definedName name="PLE.MEDIÇÕES.lastrow" hidden="1">PLE!$74:$74</definedName>
    <definedName name="PLE.MEDIÇÕES.LinhaPadrão" hidden="1">PLE!$66:$73</definedName>
    <definedName name="PLE.ValorDoEvento" hidden="1">SUMIF(CÁLCULO!$M$15:$M$290,PLE!$B1,OFFSET(CÁLCULO!$AA$15:$AA$290,0,PLE!A$12))</definedName>
    <definedName name="PO.ValoresBDI" hidden="1">OFFSET(ORÇAMENTO!$AH$15,1,0):OFFSET(ORÇAMENTO!$AH$290,-1,0)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91029"/>
</workbook>
</file>

<file path=xl/calcChain.xml><?xml version="1.0" encoding="utf-8"?>
<calcChain xmlns="http://schemas.openxmlformats.org/spreadsheetml/2006/main">
  <c r="H247" i="12" l="1"/>
  <c r="G247" i="12"/>
  <c r="F247" i="12"/>
  <c r="H246" i="12"/>
  <c r="G246" i="12"/>
  <c r="F246" i="12"/>
  <c r="H245" i="12"/>
  <c r="G245" i="12"/>
  <c r="F245" i="12"/>
  <c r="A247" i="5"/>
  <c r="A246" i="5"/>
  <c r="A245" i="5"/>
  <c r="H238" i="12"/>
  <c r="G238" i="12"/>
  <c r="F238" i="12"/>
  <c r="A238" i="5"/>
  <c r="H209" i="12"/>
  <c r="G209" i="12"/>
  <c r="F209" i="12"/>
  <c r="H208" i="12"/>
  <c r="G208" i="12"/>
  <c r="F208" i="12"/>
  <c r="A209" i="5"/>
  <c r="A208" i="5"/>
  <c r="H207" i="12"/>
  <c r="G207" i="12"/>
  <c r="F207" i="12"/>
  <c r="A207" i="5"/>
  <c r="H206" i="12"/>
  <c r="G206" i="12"/>
  <c r="F206" i="12"/>
  <c r="A206" i="5"/>
  <c r="H21" i="12"/>
  <c r="G21" i="12"/>
  <c r="F21" i="12"/>
  <c r="A21" i="5"/>
  <c r="H130" i="12"/>
  <c r="G130" i="12"/>
  <c r="F130" i="12"/>
  <c r="A130" i="5"/>
  <c r="H176" i="12"/>
  <c r="G176" i="12"/>
  <c r="F176" i="12"/>
  <c r="A176" i="5"/>
  <c r="H175" i="12"/>
  <c r="G175" i="12"/>
  <c r="F175" i="12"/>
  <c r="H174" i="12"/>
  <c r="G174" i="12"/>
  <c r="F174" i="12"/>
  <c r="A175" i="5"/>
  <c r="A174" i="5"/>
  <c r="H163" i="12"/>
  <c r="G163" i="12"/>
  <c r="F163" i="12"/>
  <c r="A163" i="5"/>
  <c r="H167" i="12"/>
  <c r="G167" i="12"/>
  <c r="F167" i="12"/>
  <c r="A167" i="5"/>
  <c r="H158" i="12"/>
  <c r="G158" i="12"/>
  <c r="F158" i="12"/>
  <c r="A158" i="5"/>
  <c r="H148" i="12" l="1"/>
  <c r="G148" i="12"/>
  <c r="F148" i="12"/>
  <c r="A148" i="5"/>
  <c r="H113" i="12" l="1"/>
  <c r="G113" i="12"/>
  <c r="F113" i="12"/>
  <c r="H112" i="12"/>
  <c r="G112" i="12"/>
  <c r="F112" i="12"/>
  <c r="H111" i="12"/>
  <c r="G111" i="12"/>
  <c r="F111" i="12"/>
  <c r="A113" i="5"/>
  <c r="A112" i="5"/>
  <c r="A111" i="5"/>
  <c r="H87" i="12"/>
  <c r="G87" i="12"/>
  <c r="F87" i="12"/>
  <c r="A87" i="5"/>
  <c r="H84" i="12"/>
  <c r="G84" i="12"/>
  <c r="F84" i="12"/>
  <c r="H83" i="12"/>
  <c r="G83" i="12"/>
  <c r="F83" i="12"/>
  <c r="A84" i="5"/>
  <c r="A83" i="5"/>
  <c r="H24" i="12"/>
  <c r="G24" i="12"/>
  <c r="F24" i="12"/>
  <c r="H23" i="12"/>
  <c r="G23" i="12"/>
  <c r="F23" i="12"/>
  <c r="A24" i="5"/>
  <c r="A23" i="5"/>
  <c r="H36" i="12"/>
  <c r="G36" i="12"/>
  <c r="F36" i="12"/>
  <c r="A36" i="5"/>
  <c r="H35" i="12"/>
  <c r="G35" i="12"/>
  <c r="F35" i="12"/>
  <c r="A35" i="5"/>
  <c r="H42" i="12"/>
  <c r="G42" i="12"/>
  <c r="F42" i="12"/>
  <c r="A42" i="5"/>
  <c r="H61" i="12"/>
  <c r="G61" i="12"/>
  <c r="F61" i="12"/>
  <c r="A61" i="5"/>
  <c r="H23" i="13"/>
  <c r="G23" i="13"/>
  <c r="H22" i="13"/>
  <c r="G22" i="13"/>
  <c r="E22" i="13"/>
  <c r="H21" i="13"/>
  <c r="G21" i="13"/>
  <c r="H20" i="13"/>
  <c r="G20" i="13"/>
  <c r="H19" i="13"/>
  <c r="G19" i="13"/>
  <c r="H18" i="13"/>
  <c r="G18" i="13"/>
  <c r="H17" i="13"/>
  <c r="G17" i="13"/>
  <c r="H16" i="13"/>
  <c r="G16" i="13"/>
  <c r="H15" i="13"/>
  <c r="G15" i="13"/>
  <c r="H14" i="13"/>
  <c r="G14" i="13"/>
  <c r="J23" i="11"/>
  <c r="I23" i="13" s="1"/>
  <c r="D23" i="11"/>
  <c r="E23" i="13" s="1"/>
  <c r="J22" i="11"/>
  <c r="I22" i="13" s="1"/>
  <c r="D22" i="11"/>
  <c r="A22" i="11"/>
  <c r="J21" i="11"/>
  <c r="I21" i="13" s="1"/>
  <c r="D21" i="11"/>
  <c r="A21" i="11" s="1"/>
  <c r="J20" i="11"/>
  <c r="I20" i="13" s="1"/>
  <c r="D20" i="11"/>
  <c r="E20" i="13" s="1"/>
  <c r="A20" i="11"/>
  <c r="J19" i="11"/>
  <c r="I19" i="13" s="1"/>
  <c r="D19" i="11"/>
  <c r="E19" i="13" s="1"/>
  <c r="A19" i="11"/>
  <c r="J18" i="11"/>
  <c r="I18" i="13" s="1"/>
  <c r="D18" i="11"/>
  <c r="E18" i="13" s="1"/>
  <c r="A18" i="11"/>
  <c r="J17" i="11"/>
  <c r="I17" i="13" s="1"/>
  <c r="D17" i="11"/>
  <c r="E17" i="13" s="1"/>
  <c r="J16" i="11"/>
  <c r="I16" i="13" s="1"/>
  <c r="D16" i="11"/>
  <c r="A16" i="11" s="1"/>
  <c r="J15" i="11"/>
  <c r="I15" i="13" s="1"/>
  <c r="D15" i="11"/>
  <c r="A15" i="11" s="1"/>
  <c r="J14" i="11"/>
  <c r="I14" i="13" s="1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C16" i="7"/>
  <c r="B16" i="7" s="1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4" i="5"/>
  <c r="A243" i="5"/>
  <c r="A242" i="5"/>
  <c r="A241" i="5"/>
  <c r="A240" i="5"/>
  <c r="A239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3" i="5"/>
  <c r="A172" i="5"/>
  <c r="A171" i="5"/>
  <c r="A170" i="5"/>
  <c r="A169" i="5"/>
  <c r="A168" i="5"/>
  <c r="A166" i="5"/>
  <c r="A165" i="5"/>
  <c r="A164" i="5"/>
  <c r="A162" i="5"/>
  <c r="A161" i="5"/>
  <c r="A160" i="5"/>
  <c r="A159" i="5"/>
  <c r="A157" i="5"/>
  <c r="A156" i="5"/>
  <c r="A155" i="5"/>
  <c r="A154" i="5"/>
  <c r="A153" i="5"/>
  <c r="A152" i="5"/>
  <c r="A151" i="5"/>
  <c r="A150" i="5"/>
  <c r="A149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6" i="5"/>
  <c r="A85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1" i="5"/>
  <c r="A40" i="5"/>
  <c r="A39" i="5"/>
  <c r="A38" i="5"/>
  <c r="A37" i="5"/>
  <c r="A34" i="5"/>
  <c r="A33" i="5"/>
  <c r="A32" i="5"/>
  <c r="A31" i="5"/>
  <c r="A30" i="5"/>
  <c r="A29" i="5"/>
  <c r="A28" i="5"/>
  <c r="A27" i="5"/>
  <c r="A26" i="5"/>
  <c r="A25" i="5"/>
  <c r="A22" i="5"/>
  <c r="A20" i="5"/>
  <c r="A19" i="5"/>
  <c r="A18" i="5"/>
  <c r="A17" i="5"/>
  <c r="C16" i="5"/>
  <c r="N16" i="5" s="1"/>
  <c r="A16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F25" i="2"/>
  <c r="P85" i="4" s="1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69" i="10"/>
  <c r="N9" i="10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130" i="8" a="1"/>
  <c r="T296" i="6" a="1"/>
  <c r="T298" i="6" s="1"/>
  <c r="I296" i="6" a="1"/>
  <c r="I297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A12" i="11" s="1"/>
  <c r="L39" i="13"/>
  <c r="F48" i="2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A16" i="4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299" i="12"/>
  <c r="E300" i="12"/>
  <c r="K302" i="12" a="1"/>
  <c r="K304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290" i="6"/>
  <c r="C290" i="6"/>
  <c r="F294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118" i="8"/>
  <c r="S123" i="8"/>
  <c r="H128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300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303" i="5"/>
  <c r="T305" i="5" a="1"/>
  <c r="T305" i="5" s="1"/>
  <c r="B1" i="10"/>
  <c r="H4" i="10"/>
  <c r="V6" i="10"/>
  <c r="AE6" i="10"/>
  <c r="B7" i="10"/>
  <c r="H7" i="10"/>
  <c r="O7" i="10"/>
  <c r="V7" i="10"/>
  <c r="AE7" i="10"/>
  <c r="F12" i="10"/>
  <c r="F11" i="10" s="1"/>
  <c r="B75" i="10"/>
  <c r="W77" i="10" a="1"/>
  <c r="W78" i="10" s="1"/>
  <c r="D4" i="11"/>
  <c r="G4" i="11"/>
  <c r="J4" i="11"/>
  <c r="M6" i="11"/>
  <c r="D7" i="11"/>
  <c r="L7" i="11"/>
  <c r="M7" i="11"/>
  <c r="N7" i="11"/>
  <c r="O7" i="11" s="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297" i="12"/>
  <c r="K50" i="4"/>
  <c r="I15" i="12"/>
  <c r="O15" i="12"/>
  <c r="M15" i="12"/>
  <c r="J15" i="12" s="1"/>
  <c r="K130" i="4"/>
  <c r="C33" i="4"/>
  <c r="W80" i="10"/>
  <c r="K69" i="10"/>
  <c r="M69" i="10" s="1"/>
  <c r="O69" i="10" s="1"/>
  <c r="Q69" i="10" s="1"/>
  <c r="S69" i="10" s="1"/>
  <c r="U69" i="10" s="1"/>
  <c r="W69" i="10" s="1"/>
  <c r="Y69" i="10" s="1"/>
  <c r="AA69" i="10" s="1"/>
  <c r="AC69" i="10" s="1"/>
  <c r="AE69" i="10" s="1"/>
  <c r="C45" i="4"/>
  <c r="A46" i="4"/>
  <c r="A47" i="4" s="1"/>
  <c r="A48" i="4" s="1"/>
  <c r="A28" i="4"/>
  <c r="A29" i="4" s="1"/>
  <c r="C29" i="4" s="1"/>
  <c r="C27" i="4"/>
  <c r="C34" i="4"/>
  <c r="A17" i="4"/>
  <c r="A18" i="4" s="1"/>
  <c r="C16" i="4"/>
  <c r="E12" i="13"/>
  <c r="C48" i="4"/>
  <c r="A49" i="4"/>
  <c r="C49" i="4" s="1"/>
  <c r="O8" i="5"/>
  <c r="F63" i="7" l="1"/>
  <c r="A23" i="11"/>
  <c r="A19" i="4"/>
  <c r="C19" i="4" s="1"/>
  <c r="C18" i="4"/>
  <c r="C47" i="4"/>
  <c r="C23" i="4"/>
  <c r="A14" i="11"/>
  <c r="A30" i="4"/>
  <c r="C46" i="4"/>
  <c r="E16" i="13"/>
  <c r="C28" i="4"/>
  <c r="K305" i="12"/>
  <c r="C21" i="4"/>
  <c r="C22" i="4"/>
  <c r="C17" i="4"/>
  <c r="K132" i="4"/>
  <c r="E15" i="13"/>
  <c r="A17" i="11"/>
  <c r="E21" i="13"/>
  <c r="B39" i="14"/>
  <c r="A23" i="8"/>
  <c r="F23" i="7"/>
  <c r="F17" i="7"/>
  <c r="F16" i="7"/>
  <c r="F18" i="7"/>
  <c r="F30" i="7"/>
  <c r="F36" i="7"/>
  <c r="F38" i="7"/>
  <c r="B16" i="5"/>
  <c r="F43" i="7"/>
  <c r="F49" i="7"/>
  <c r="F50" i="7"/>
  <c r="F29" i="7"/>
  <c r="F56" i="7"/>
  <c r="F58" i="7"/>
  <c r="B19" i="10"/>
  <c r="B21" i="9"/>
  <c r="C17" i="7"/>
  <c r="F37" i="7"/>
  <c r="F57" i="7"/>
  <c r="F24" i="7"/>
  <c r="F44" i="7"/>
  <c r="F64" i="7"/>
  <c r="F31" i="7"/>
  <c r="F51" i="7"/>
  <c r="F45" i="7"/>
  <c r="F19" i="7"/>
  <c r="F39" i="7"/>
  <c r="F59" i="7"/>
  <c r="F25" i="7"/>
  <c r="F26" i="7"/>
  <c r="F46" i="7"/>
  <c r="F32" i="7"/>
  <c r="F52" i="7"/>
  <c r="F33" i="7"/>
  <c r="F53" i="7"/>
  <c r="F40" i="7"/>
  <c r="F27" i="7"/>
  <c r="F47" i="7"/>
  <c r="F20" i="7"/>
  <c r="F34" i="7"/>
  <c r="F54" i="7"/>
  <c r="F60" i="7"/>
  <c r="F21" i="7"/>
  <c r="F41" i="7"/>
  <c r="F61" i="7"/>
  <c r="F28" i="7"/>
  <c r="F48" i="7"/>
  <c r="F35" i="7"/>
  <c r="F55" i="7"/>
  <c r="F22" i="7"/>
  <c r="F42" i="7"/>
  <c r="F62" i="7"/>
  <c r="W79" i="10"/>
  <c r="I16" i="5"/>
  <c r="E16" i="12"/>
  <c r="W16" i="5"/>
  <c r="H16" i="12" s="1"/>
  <c r="AE16" i="5"/>
  <c r="F16" i="5"/>
  <c r="C17" i="5"/>
  <c r="W17" i="5" s="1"/>
  <c r="H17" i="12" s="1"/>
  <c r="G16" i="5"/>
  <c r="H16" i="5"/>
  <c r="K302" i="12"/>
  <c r="D16" i="6"/>
  <c r="A16" i="12"/>
  <c r="B16" i="6"/>
  <c r="A16" i="6" s="1"/>
  <c r="T307" i="5"/>
  <c r="B37" i="14"/>
  <c r="C14" i="14"/>
  <c r="O7" i="13"/>
  <c r="T297" i="6"/>
  <c r="P125" i="4"/>
  <c r="H131" i="8"/>
  <c r="I298" i="6"/>
  <c r="I296" i="6"/>
  <c r="AX12" i="6"/>
  <c r="AC13" i="6"/>
  <c r="AN13" i="6"/>
  <c r="B14" i="5"/>
  <c r="F14" i="5"/>
  <c r="I80" i="4"/>
  <c r="G15" i="9"/>
  <c r="M15" i="6"/>
  <c r="L35" i="13"/>
  <c r="F14" i="7"/>
  <c r="F15" i="7"/>
  <c r="A15" i="10" s="1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C30" i="4"/>
  <c r="A31" i="4"/>
  <c r="C31" i="4" s="1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131" i="8"/>
  <c r="Z132" i="8"/>
  <c r="Z130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303" i="12"/>
  <c r="B78" i="10"/>
  <c r="F297" i="6"/>
  <c r="O306" i="5"/>
  <c r="D36" i="11"/>
  <c r="M8" i="12"/>
  <c r="AO7" i="12"/>
  <c r="AY12" i="6"/>
  <c r="W77" i="10"/>
  <c r="A4" i="4"/>
  <c r="K51" i="4"/>
  <c r="K303" i="12"/>
  <c r="S70" i="4"/>
  <c r="G5" i="5" s="1"/>
  <c r="W8" i="5" s="1"/>
  <c r="K91" i="4"/>
  <c r="T296" i="6"/>
  <c r="K90" i="4"/>
  <c r="T306" i="5"/>
  <c r="AH238" i="5" l="1"/>
  <c r="AN238" i="5" s="1"/>
  <c r="AH245" i="5"/>
  <c r="AN245" i="5" s="1"/>
  <c r="AH246" i="5"/>
  <c r="AN246" i="5" s="1"/>
  <c r="AH247" i="5"/>
  <c r="AN247" i="5" s="1"/>
  <c r="AH207" i="5"/>
  <c r="AN207" i="5" s="1"/>
  <c r="AH208" i="5"/>
  <c r="AN208" i="5" s="1"/>
  <c r="AH209" i="5"/>
  <c r="AN209" i="5" s="1"/>
  <c r="AH21" i="5"/>
  <c r="AN21" i="5" s="1"/>
  <c r="AH206" i="5"/>
  <c r="AN206" i="5" s="1"/>
  <c r="AH176" i="5"/>
  <c r="AN176" i="5" s="1"/>
  <c r="AH130" i="5"/>
  <c r="AN130" i="5" s="1"/>
  <c r="AH163" i="5"/>
  <c r="AN163" i="5" s="1"/>
  <c r="AH174" i="5"/>
  <c r="AN174" i="5" s="1"/>
  <c r="AH175" i="5"/>
  <c r="AN175" i="5" s="1"/>
  <c r="AH158" i="5"/>
  <c r="AN158" i="5" s="1"/>
  <c r="AH167" i="5"/>
  <c r="AN167" i="5" s="1"/>
  <c r="AH148" i="5"/>
  <c r="AN148" i="5" s="1"/>
  <c r="AH87" i="5"/>
  <c r="AN87" i="5" s="1"/>
  <c r="AH111" i="5"/>
  <c r="AN111" i="5" s="1"/>
  <c r="AH112" i="5"/>
  <c r="AN112" i="5" s="1"/>
  <c r="AH113" i="5"/>
  <c r="AN113" i="5" s="1"/>
  <c r="AH83" i="5"/>
  <c r="AN83" i="5" s="1"/>
  <c r="AH84" i="5"/>
  <c r="AN84" i="5" s="1"/>
  <c r="AH23" i="5"/>
  <c r="AN23" i="5" s="1"/>
  <c r="AH24" i="5"/>
  <c r="AN24" i="5" s="1"/>
  <c r="AH35" i="5"/>
  <c r="AN35" i="5" s="1"/>
  <c r="AH36" i="5"/>
  <c r="AN36" i="5" s="1"/>
  <c r="AH61" i="5"/>
  <c r="AN61" i="5" s="1"/>
  <c r="AH42" i="5"/>
  <c r="AN42" i="5" s="1"/>
  <c r="E16" i="5"/>
  <c r="E17" i="5" s="1"/>
  <c r="F16" i="6"/>
  <c r="B42" i="14"/>
  <c r="A26" i="8"/>
  <c r="F17" i="5"/>
  <c r="AE17" i="5"/>
  <c r="H17" i="5"/>
  <c r="B17" i="7"/>
  <c r="C18" i="7"/>
  <c r="B22" i="9"/>
  <c r="B20" i="10"/>
  <c r="B17" i="5"/>
  <c r="G17" i="5"/>
  <c r="E17" i="12"/>
  <c r="I17" i="5"/>
  <c r="N17" i="5"/>
  <c r="D17" i="6" s="1"/>
  <c r="B17" i="6"/>
  <c r="A17" i="6" s="1"/>
  <c r="C18" i="5"/>
  <c r="A17" i="12"/>
  <c r="AD16" i="5"/>
  <c r="AN16" i="6"/>
  <c r="AM16" i="6"/>
  <c r="BG16" i="6"/>
  <c r="BF16" i="6"/>
  <c r="BE16" i="6"/>
  <c r="BC16" i="6"/>
  <c r="BB16" i="6"/>
  <c r="BA16" i="6"/>
  <c r="AZ16" i="6"/>
  <c r="AY16" i="6"/>
  <c r="AX16" i="6"/>
  <c r="BD16" i="6"/>
  <c r="AS16" i="6"/>
  <c r="AR16" i="6"/>
  <c r="AQ16" i="6"/>
  <c r="AP16" i="6"/>
  <c r="AO16" i="6"/>
  <c r="N16" i="6"/>
  <c r="AU16" i="6"/>
  <c r="AT16" i="6"/>
  <c r="M16" i="6"/>
  <c r="AV16" i="6"/>
  <c r="H16" i="6"/>
  <c r="T16" i="5" s="1"/>
  <c r="G16" i="12" s="1"/>
  <c r="G16" i="6"/>
  <c r="AH289" i="5"/>
  <c r="AN289" i="5" s="1"/>
  <c r="AH287" i="5"/>
  <c r="AN287" i="5" s="1"/>
  <c r="AH285" i="5"/>
  <c r="AN285" i="5" s="1"/>
  <c r="AH283" i="5"/>
  <c r="AN283" i="5" s="1"/>
  <c r="AH281" i="5"/>
  <c r="AN281" i="5" s="1"/>
  <c r="AH268" i="5"/>
  <c r="AN268" i="5" s="1"/>
  <c r="AH282" i="5"/>
  <c r="AN282" i="5" s="1"/>
  <c r="AH276" i="5"/>
  <c r="AN276" i="5" s="1"/>
  <c r="AH248" i="5"/>
  <c r="AN248" i="5" s="1"/>
  <c r="AH241" i="5"/>
  <c r="AN241" i="5" s="1"/>
  <c r="AH286" i="5"/>
  <c r="AN286" i="5" s="1"/>
  <c r="AH269" i="5"/>
  <c r="AN269" i="5" s="1"/>
  <c r="AH236" i="5"/>
  <c r="AN236" i="5" s="1"/>
  <c r="AH278" i="5"/>
  <c r="AN278" i="5" s="1"/>
  <c r="AH271" i="5"/>
  <c r="AN271" i="5" s="1"/>
  <c r="AH234" i="5"/>
  <c r="AN234" i="5" s="1"/>
  <c r="AH232" i="5"/>
  <c r="AN232" i="5" s="1"/>
  <c r="AH230" i="5"/>
  <c r="AN230" i="5" s="1"/>
  <c r="AH228" i="5"/>
  <c r="AN228" i="5" s="1"/>
  <c r="AH254" i="5"/>
  <c r="AN254" i="5" s="1"/>
  <c r="AH235" i="5"/>
  <c r="AN235" i="5" s="1"/>
  <c r="AH272" i="5"/>
  <c r="AN272" i="5" s="1"/>
  <c r="AH256" i="5"/>
  <c r="AN256" i="5" s="1"/>
  <c r="AH255" i="5"/>
  <c r="AN255" i="5" s="1"/>
  <c r="AH253" i="5"/>
  <c r="AN253" i="5" s="1"/>
  <c r="AH252" i="5"/>
  <c r="AN252" i="5" s="1"/>
  <c r="AH258" i="5"/>
  <c r="AN258" i="5" s="1"/>
  <c r="AH257" i="5"/>
  <c r="AN257" i="5" s="1"/>
  <c r="AH243" i="5"/>
  <c r="AN243" i="5" s="1"/>
  <c r="AH279" i="5"/>
  <c r="AN279" i="5" s="1"/>
  <c r="AH260" i="5"/>
  <c r="AN260" i="5" s="1"/>
  <c r="AH259" i="5"/>
  <c r="AN259" i="5" s="1"/>
  <c r="AH251" i="5"/>
  <c r="AN251" i="5" s="1"/>
  <c r="AH284" i="5"/>
  <c r="AN284" i="5" s="1"/>
  <c r="AH262" i="5"/>
  <c r="AN262" i="5" s="1"/>
  <c r="AH261" i="5"/>
  <c r="AN261" i="5" s="1"/>
  <c r="AH239" i="5"/>
  <c r="AN239" i="5" s="1"/>
  <c r="AH280" i="5"/>
  <c r="AN280" i="5" s="1"/>
  <c r="AH273" i="5"/>
  <c r="AN273" i="5" s="1"/>
  <c r="AH264" i="5"/>
  <c r="AN264" i="5" s="1"/>
  <c r="AH263" i="5"/>
  <c r="AN263" i="5" s="1"/>
  <c r="AH250" i="5"/>
  <c r="AN250" i="5" s="1"/>
  <c r="AH199" i="5"/>
  <c r="AN199" i="5" s="1"/>
  <c r="AH288" i="5"/>
  <c r="AN288" i="5" s="1"/>
  <c r="AH233" i="5"/>
  <c r="AN233" i="5" s="1"/>
  <c r="AH225" i="5"/>
  <c r="AN225" i="5" s="1"/>
  <c r="AH218" i="5"/>
  <c r="AN218" i="5" s="1"/>
  <c r="AH210" i="5"/>
  <c r="AN210" i="5" s="1"/>
  <c r="AH194" i="5"/>
  <c r="AN194" i="5" s="1"/>
  <c r="AH275" i="5"/>
  <c r="AN275" i="5" s="1"/>
  <c r="AH270" i="5"/>
  <c r="AN270" i="5" s="1"/>
  <c r="AH249" i="5"/>
  <c r="AN249" i="5" s="1"/>
  <c r="AH224" i="5"/>
  <c r="AN224" i="5" s="1"/>
  <c r="AH217" i="5"/>
  <c r="AN217" i="5" s="1"/>
  <c r="AH205" i="5"/>
  <c r="AN205" i="5" s="1"/>
  <c r="AH190" i="5"/>
  <c r="AN190" i="5" s="1"/>
  <c r="AH237" i="5"/>
  <c r="AN237" i="5" s="1"/>
  <c r="AH265" i="5"/>
  <c r="AN265" i="5" s="1"/>
  <c r="AH193" i="5"/>
  <c r="AN193" i="5" s="1"/>
  <c r="AH267" i="5"/>
  <c r="AN267" i="5" s="1"/>
  <c r="AH242" i="5"/>
  <c r="AN242" i="5" s="1"/>
  <c r="AH214" i="5"/>
  <c r="AN214" i="5" s="1"/>
  <c r="AH202" i="5"/>
  <c r="AN202" i="5" s="1"/>
  <c r="AH192" i="5"/>
  <c r="AN192" i="5" s="1"/>
  <c r="AH266" i="5"/>
  <c r="AN266" i="5" s="1"/>
  <c r="AH240" i="5"/>
  <c r="AN240" i="5" s="1"/>
  <c r="AH227" i="5"/>
  <c r="AN227" i="5" s="1"/>
  <c r="AH220" i="5"/>
  <c r="AN220" i="5" s="1"/>
  <c r="AH212" i="5"/>
  <c r="AN212" i="5" s="1"/>
  <c r="AH216" i="5"/>
  <c r="AN216" i="5" s="1"/>
  <c r="AH180" i="5"/>
  <c r="AN180" i="5" s="1"/>
  <c r="AH166" i="5"/>
  <c r="AN166" i="5" s="1"/>
  <c r="AH196" i="5"/>
  <c r="AN196" i="5" s="1"/>
  <c r="AH155" i="5"/>
  <c r="AN155" i="5" s="1"/>
  <c r="AH143" i="5"/>
  <c r="AN143" i="5" s="1"/>
  <c r="AH226" i="5"/>
  <c r="AN226" i="5" s="1"/>
  <c r="AH179" i="5"/>
  <c r="AN179" i="5" s="1"/>
  <c r="AH171" i="5"/>
  <c r="AN171" i="5" s="1"/>
  <c r="AH187" i="5"/>
  <c r="AN187" i="5" s="1"/>
  <c r="AH160" i="5"/>
  <c r="AN160" i="5" s="1"/>
  <c r="AH151" i="5"/>
  <c r="AN151" i="5" s="1"/>
  <c r="AH139" i="5"/>
  <c r="AN139" i="5" s="1"/>
  <c r="AH191" i="5"/>
  <c r="AN191" i="5" s="1"/>
  <c r="AH222" i="5"/>
  <c r="AN222" i="5" s="1"/>
  <c r="AH178" i="5"/>
  <c r="AN178" i="5" s="1"/>
  <c r="AH165" i="5"/>
  <c r="AN165" i="5" s="1"/>
  <c r="AH146" i="5"/>
  <c r="AN146" i="5" s="1"/>
  <c r="AH221" i="5"/>
  <c r="AN221" i="5" s="1"/>
  <c r="AH204" i="5"/>
  <c r="AN204" i="5" s="1"/>
  <c r="AH154" i="5"/>
  <c r="AN154" i="5" s="1"/>
  <c r="AH274" i="5"/>
  <c r="AN274" i="5" s="1"/>
  <c r="AH219" i="5"/>
  <c r="AN219" i="5" s="1"/>
  <c r="AH150" i="5"/>
  <c r="AN150" i="5" s="1"/>
  <c r="AH145" i="5"/>
  <c r="AN145" i="5" s="1"/>
  <c r="AH215" i="5"/>
  <c r="AN215" i="5" s="1"/>
  <c r="AH200" i="5"/>
  <c r="AN200" i="5" s="1"/>
  <c r="AH189" i="5"/>
  <c r="AN189" i="5" s="1"/>
  <c r="AH169" i="5"/>
  <c r="AN169" i="5" s="1"/>
  <c r="AH138" i="5"/>
  <c r="AN138" i="5" s="1"/>
  <c r="AH277" i="5"/>
  <c r="AN277" i="5" s="1"/>
  <c r="AH181" i="5"/>
  <c r="AN181" i="5" s="1"/>
  <c r="AH137" i="5"/>
  <c r="AN137" i="5" s="1"/>
  <c r="AH101" i="5"/>
  <c r="AN101" i="5" s="1"/>
  <c r="AH100" i="5"/>
  <c r="AN100" i="5" s="1"/>
  <c r="AH72" i="5"/>
  <c r="AN72" i="5" s="1"/>
  <c r="AH65" i="5"/>
  <c r="AN65" i="5" s="1"/>
  <c r="AH244" i="5"/>
  <c r="AN244" i="5" s="1"/>
  <c r="AH201" i="5"/>
  <c r="AN201" i="5" s="1"/>
  <c r="AH141" i="5"/>
  <c r="AN141" i="5" s="1"/>
  <c r="AH89" i="5"/>
  <c r="AN89" i="5" s="1"/>
  <c r="AH133" i="5"/>
  <c r="AN133" i="5" s="1"/>
  <c r="AH168" i="5"/>
  <c r="AN168" i="5" s="1"/>
  <c r="AH157" i="5"/>
  <c r="AN157" i="5" s="1"/>
  <c r="AH144" i="5"/>
  <c r="AN144" i="5" s="1"/>
  <c r="AH117" i="5"/>
  <c r="AN117" i="5" s="1"/>
  <c r="AH85" i="5"/>
  <c r="AN85" i="5" s="1"/>
  <c r="AH74" i="5"/>
  <c r="AN74" i="5" s="1"/>
  <c r="AH67" i="5"/>
  <c r="AN67" i="5" s="1"/>
  <c r="AH147" i="5"/>
  <c r="AN147" i="5" s="1"/>
  <c r="AH134" i="5"/>
  <c r="AN134" i="5" s="1"/>
  <c r="AH128" i="5"/>
  <c r="AN128" i="5" s="1"/>
  <c r="AH115" i="5"/>
  <c r="AN115" i="5" s="1"/>
  <c r="AH93" i="5"/>
  <c r="AN93" i="5" s="1"/>
  <c r="AH211" i="5"/>
  <c r="AN211" i="5" s="1"/>
  <c r="AH197" i="5"/>
  <c r="AN197" i="5" s="1"/>
  <c r="AH177" i="5"/>
  <c r="AN177" i="5" s="1"/>
  <c r="AH119" i="5"/>
  <c r="AN119" i="5" s="1"/>
  <c r="AH116" i="5"/>
  <c r="AN116" i="5" s="1"/>
  <c r="AH99" i="5"/>
  <c r="AN99" i="5" s="1"/>
  <c r="AH98" i="5"/>
  <c r="AN98" i="5" s="1"/>
  <c r="AH88" i="5"/>
  <c r="AN88" i="5" s="1"/>
  <c r="AH79" i="5"/>
  <c r="AN79" i="5" s="1"/>
  <c r="AH63" i="5"/>
  <c r="AN63" i="5" s="1"/>
  <c r="AH60" i="5"/>
  <c r="AN60" i="5" s="1"/>
  <c r="AH58" i="5"/>
  <c r="AN58" i="5" s="1"/>
  <c r="AH56" i="5"/>
  <c r="AN56" i="5" s="1"/>
  <c r="AH54" i="5"/>
  <c r="AN54" i="5" s="1"/>
  <c r="AH52" i="5"/>
  <c r="AN52" i="5" s="1"/>
  <c r="AH50" i="5"/>
  <c r="AN50" i="5" s="1"/>
  <c r="AH48" i="5"/>
  <c r="AN48" i="5" s="1"/>
  <c r="AH45" i="5"/>
  <c r="AN45" i="5" s="1"/>
  <c r="AH43" i="5"/>
  <c r="AN43" i="5" s="1"/>
  <c r="AH40" i="5"/>
  <c r="AN40" i="5" s="1"/>
  <c r="AH38" i="5"/>
  <c r="AN38" i="5" s="1"/>
  <c r="AH129" i="5"/>
  <c r="AN129" i="5" s="1"/>
  <c r="AH118" i="5"/>
  <c r="AN118" i="5" s="1"/>
  <c r="AH110" i="5"/>
  <c r="AN110" i="5" s="1"/>
  <c r="AH92" i="5"/>
  <c r="AN92" i="5" s="1"/>
  <c r="AH76" i="5"/>
  <c r="AN76" i="5" s="1"/>
  <c r="AH69" i="5"/>
  <c r="AN69" i="5" s="1"/>
  <c r="AH161" i="5"/>
  <c r="AN161" i="5" s="1"/>
  <c r="AH114" i="5"/>
  <c r="AN114" i="5" s="1"/>
  <c r="AH82" i="5"/>
  <c r="AN82" i="5" s="1"/>
  <c r="AH142" i="5"/>
  <c r="AN142" i="5" s="1"/>
  <c r="AH121" i="5"/>
  <c r="AN121" i="5" s="1"/>
  <c r="AH108" i="5"/>
  <c r="AN108" i="5" s="1"/>
  <c r="AH231" i="5"/>
  <c r="AN231" i="5" s="1"/>
  <c r="AH203" i="5"/>
  <c r="AN203" i="5" s="1"/>
  <c r="AH188" i="5"/>
  <c r="AN188" i="5" s="1"/>
  <c r="AH186" i="5"/>
  <c r="AN186" i="5" s="1"/>
  <c r="AH182" i="5"/>
  <c r="AN182" i="5" s="1"/>
  <c r="AH106" i="5"/>
  <c r="AN106" i="5" s="1"/>
  <c r="AH97" i="5"/>
  <c r="AN97" i="5" s="1"/>
  <c r="AH96" i="5"/>
  <c r="AN96" i="5" s="1"/>
  <c r="AH78" i="5"/>
  <c r="AN78" i="5" s="1"/>
  <c r="AH140" i="5"/>
  <c r="AN140" i="5" s="1"/>
  <c r="AH213" i="5"/>
  <c r="AN213" i="5" s="1"/>
  <c r="AH132" i="5"/>
  <c r="AN132" i="5" s="1"/>
  <c r="AH122" i="5"/>
  <c r="AN122" i="5" s="1"/>
  <c r="AH120" i="5"/>
  <c r="AN120" i="5" s="1"/>
  <c r="AH91" i="5"/>
  <c r="AN91" i="5" s="1"/>
  <c r="AH66" i="5"/>
  <c r="AN66" i="5" s="1"/>
  <c r="AH53" i="5"/>
  <c r="AN53" i="5" s="1"/>
  <c r="AH184" i="5"/>
  <c r="AN184" i="5" s="1"/>
  <c r="AH77" i="5"/>
  <c r="AN77" i="5" s="1"/>
  <c r="AH62" i="5"/>
  <c r="AN62" i="5" s="1"/>
  <c r="AH198" i="5"/>
  <c r="AN198" i="5" s="1"/>
  <c r="AH223" i="5"/>
  <c r="AN223" i="5" s="1"/>
  <c r="AH124" i="5"/>
  <c r="AN124" i="5" s="1"/>
  <c r="AH70" i="5"/>
  <c r="AN70" i="5" s="1"/>
  <c r="AH20" i="5"/>
  <c r="AN20" i="5" s="1"/>
  <c r="AH102" i="5"/>
  <c r="AN102" i="5" s="1"/>
  <c r="AH104" i="5"/>
  <c r="AN104" i="5" s="1"/>
  <c r="AH94" i="5"/>
  <c r="AN94" i="5" s="1"/>
  <c r="AH55" i="5"/>
  <c r="AN55" i="5" s="1"/>
  <c r="AH39" i="5"/>
  <c r="AN39" i="5" s="1"/>
  <c r="AH37" i="5"/>
  <c r="AN37" i="5" s="1"/>
  <c r="AH34" i="5"/>
  <c r="AN34" i="5" s="1"/>
  <c r="AH19" i="5"/>
  <c r="AN19" i="5" s="1"/>
  <c r="AH86" i="5"/>
  <c r="AN86" i="5" s="1"/>
  <c r="AH81" i="5"/>
  <c r="AN81" i="5" s="1"/>
  <c r="AH41" i="5"/>
  <c r="AN41" i="5" s="1"/>
  <c r="AH229" i="5"/>
  <c r="AN229" i="5" s="1"/>
  <c r="AH136" i="5"/>
  <c r="AN136" i="5" s="1"/>
  <c r="AH126" i="5"/>
  <c r="AN126" i="5" s="1"/>
  <c r="AH71" i="5"/>
  <c r="AN71" i="5" s="1"/>
  <c r="AH44" i="5"/>
  <c r="AN44" i="5" s="1"/>
  <c r="AH33" i="5"/>
  <c r="AN33" i="5" s="1"/>
  <c r="AH32" i="5"/>
  <c r="AN32" i="5" s="1"/>
  <c r="AH131" i="5"/>
  <c r="AN131" i="5" s="1"/>
  <c r="AH123" i="5"/>
  <c r="AN123" i="5" s="1"/>
  <c r="AH75" i="5"/>
  <c r="AN75" i="5" s="1"/>
  <c r="AH17" i="5"/>
  <c r="AN17" i="5" s="1"/>
  <c r="AH183" i="5"/>
  <c r="AN183" i="5" s="1"/>
  <c r="AH156" i="5"/>
  <c r="AN156" i="5" s="1"/>
  <c r="AH57" i="5"/>
  <c r="AN57" i="5" s="1"/>
  <c r="AH29" i="5"/>
  <c r="AN29" i="5" s="1"/>
  <c r="AH28" i="5"/>
  <c r="AN28" i="5" s="1"/>
  <c r="AH125" i="5"/>
  <c r="AN125" i="5" s="1"/>
  <c r="AH95" i="5"/>
  <c r="AN95" i="5" s="1"/>
  <c r="AH90" i="5"/>
  <c r="AN90" i="5" s="1"/>
  <c r="AH107" i="5"/>
  <c r="AN107" i="5" s="1"/>
  <c r="AH68" i="5"/>
  <c r="AN68" i="5" s="1"/>
  <c r="AH64" i="5"/>
  <c r="AN64" i="5" s="1"/>
  <c r="AH47" i="5"/>
  <c r="AN47" i="5" s="1"/>
  <c r="AH173" i="5"/>
  <c r="AN173" i="5" s="1"/>
  <c r="AH127" i="5"/>
  <c r="AN127" i="5" s="1"/>
  <c r="AH59" i="5"/>
  <c r="AN59" i="5" s="1"/>
  <c r="AH149" i="5"/>
  <c r="AN149" i="5" s="1"/>
  <c r="AH103" i="5"/>
  <c r="AN103" i="5" s="1"/>
  <c r="AH73" i="5"/>
  <c r="AN73" i="5" s="1"/>
  <c r="AH51" i="5"/>
  <c r="AN51" i="5" s="1"/>
  <c r="AH105" i="5"/>
  <c r="AN105" i="5" s="1"/>
  <c r="AH135" i="5"/>
  <c r="AN135" i="5" s="1"/>
  <c r="AH164" i="5"/>
  <c r="AN164" i="5" s="1"/>
  <c r="AH16" i="5"/>
  <c r="AN16" i="5" s="1"/>
  <c r="AH18" i="5"/>
  <c r="AN18" i="5" s="1"/>
  <c r="AH46" i="5"/>
  <c r="AN46" i="5" s="1"/>
  <c r="AH172" i="5"/>
  <c r="AN172" i="5" s="1"/>
  <c r="AH30" i="5"/>
  <c r="AN30" i="5" s="1"/>
  <c r="AH109" i="5"/>
  <c r="AN109" i="5" s="1"/>
  <c r="AH49" i="5"/>
  <c r="AN49" i="5" s="1"/>
  <c r="AH159" i="5"/>
  <c r="AN159" i="5" s="1"/>
  <c r="AH25" i="5"/>
  <c r="AN25" i="5" s="1"/>
  <c r="AH195" i="5"/>
  <c r="AN195" i="5" s="1"/>
  <c r="AH152" i="5"/>
  <c r="AN152" i="5" s="1"/>
  <c r="AH27" i="5"/>
  <c r="AN27" i="5" s="1"/>
  <c r="AH170" i="5"/>
  <c r="AN170" i="5" s="1"/>
  <c r="AH80" i="5"/>
  <c r="AN80" i="5" s="1"/>
  <c r="AH22" i="5"/>
  <c r="AN22" i="5" s="1"/>
  <c r="AH185" i="5"/>
  <c r="AN185" i="5" s="1"/>
  <c r="AH162" i="5"/>
  <c r="AN162" i="5" s="1"/>
  <c r="AH153" i="5"/>
  <c r="AN153" i="5" s="1"/>
  <c r="AH31" i="5"/>
  <c r="AN31" i="5" s="1"/>
  <c r="AH26" i="5"/>
  <c r="AN26" i="5" s="1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A18" i="12" l="1"/>
  <c r="J18" i="12" s="1"/>
  <c r="A14" i="13"/>
  <c r="B14" i="11"/>
  <c r="G14" i="11" s="1"/>
  <c r="F14" i="13" s="1"/>
  <c r="AD18" i="5"/>
  <c r="AE18" i="5"/>
  <c r="N18" i="5"/>
  <c r="D18" i="6" s="1"/>
  <c r="F17" i="6"/>
  <c r="D18" i="5"/>
  <c r="B18" i="12" s="1"/>
  <c r="H18" i="5"/>
  <c r="AD17" i="5"/>
  <c r="A29" i="8"/>
  <c r="C19" i="7"/>
  <c r="B18" i="7"/>
  <c r="F18" i="5"/>
  <c r="J18" i="5"/>
  <c r="K18" i="5"/>
  <c r="B18" i="5"/>
  <c r="B18" i="6"/>
  <c r="G18" i="5"/>
  <c r="B21" i="10"/>
  <c r="C19" i="5"/>
  <c r="B23" i="9"/>
  <c r="W18" i="5"/>
  <c r="H18" i="12" s="1"/>
  <c r="AC16" i="6"/>
  <c r="E18" i="5"/>
  <c r="AN17" i="6"/>
  <c r="AM17" i="6"/>
  <c r="BG17" i="6"/>
  <c r="BF17" i="6"/>
  <c r="BE17" i="6"/>
  <c r="BC17" i="6"/>
  <c r="BB17" i="6"/>
  <c r="BA17" i="6"/>
  <c r="AZ17" i="6"/>
  <c r="AY17" i="6"/>
  <c r="AX17" i="6"/>
  <c r="AU17" i="6"/>
  <c r="AT17" i="6"/>
  <c r="AS17" i="6"/>
  <c r="AR17" i="6"/>
  <c r="AQ17" i="6"/>
  <c r="AP17" i="6"/>
  <c r="AO17" i="6"/>
  <c r="BD17" i="6"/>
  <c r="AV17" i="6"/>
  <c r="N17" i="6"/>
  <c r="M17" i="6"/>
  <c r="H17" i="6"/>
  <c r="T17" i="5" s="1"/>
  <c r="G17" i="12" s="1"/>
  <c r="G17" i="6"/>
  <c r="AB16" i="6"/>
  <c r="AE13" i="6"/>
  <c r="AF13" i="6" s="1"/>
  <c r="AD12" i="6"/>
  <c r="AD16" i="6" s="1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L18" i="12" l="1"/>
  <c r="K18" i="12" s="1"/>
  <c r="C20" i="5"/>
  <c r="C14" i="13"/>
  <c r="K14" i="13" s="1"/>
  <c r="K14" i="11"/>
  <c r="J14" i="13" s="1"/>
  <c r="F19" i="5"/>
  <c r="D19" i="5"/>
  <c r="B19" i="12" s="1"/>
  <c r="J19" i="5"/>
  <c r="A19" i="12"/>
  <c r="L19" i="12" s="1"/>
  <c r="E19" i="5"/>
  <c r="AD19" i="5"/>
  <c r="B19" i="6"/>
  <c r="A18" i="6"/>
  <c r="N18" i="6" s="1"/>
  <c r="A32" i="8"/>
  <c r="AC17" i="6"/>
  <c r="G19" i="5"/>
  <c r="H19" i="5"/>
  <c r="W19" i="5"/>
  <c r="H19" i="12" s="1"/>
  <c r="K19" i="5"/>
  <c r="AB17" i="6"/>
  <c r="AE19" i="5"/>
  <c r="B19" i="5"/>
  <c r="B22" i="10"/>
  <c r="B24" i="9"/>
  <c r="N19" i="5"/>
  <c r="D19" i="6" s="1"/>
  <c r="C20" i="7"/>
  <c r="B19" i="7"/>
  <c r="H18" i="6"/>
  <c r="T18" i="5" s="1"/>
  <c r="AD17" i="6"/>
  <c r="AD3" i="6"/>
  <c r="AB3" i="6"/>
  <c r="AQ13" i="6"/>
  <c r="L12" i="9"/>
  <c r="K11" i="9"/>
  <c r="M14" i="6"/>
  <c r="AX14" i="6" s="1"/>
  <c r="L12" i="10"/>
  <c r="AF12" i="6"/>
  <c r="AG13" i="6"/>
  <c r="A7" i="4"/>
  <c r="C7" i="4" s="1"/>
  <c r="C6" i="4"/>
  <c r="BC12" i="6"/>
  <c r="BD13" i="6"/>
  <c r="AE20" i="5" l="1"/>
  <c r="C21" i="5"/>
  <c r="C22" i="5" s="1"/>
  <c r="C23" i="5" s="1"/>
  <c r="G20" i="5"/>
  <c r="D20" i="5"/>
  <c r="B20" i="12" s="1"/>
  <c r="W20" i="5"/>
  <c r="H20" i="12" s="1"/>
  <c r="AD20" i="5"/>
  <c r="B20" i="6"/>
  <c r="A20" i="12"/>
  <c r="J20" i="12" s="1"/>
  <c r="H20" i="5"/>
  <c r="N20" i="5"/>
  <c r="D20" i="6" s="1"/>
  <c r="K20" i="5"/>
  <c r="J20" i="5"/>
  <c r="F20" i="5"/>
  <c r="B20" i="5"/>
  <c r="J19" i="12"/>
  <c r="K19" i="12" s="1"/>
  <c r="E20" i="5"/>
  <c r="M18" i="6"/>
  <c r="BC18" i="6" s="1"/>
  <c r="A35" i="8"/>
  <c r="A38" i="8" s="1"/>
  <c r="C21" i="7"/>
  <c r="B20" i="7"/>
  <c r="B25" i="9"/>
  <c r="B23" i="10"/>
  <c r="AF16" i="6"/>
  <c r="AF17" i="6"/>
  <c r="H19" i="6"/>
  <c r="T19" i="5" s="1"/>
  <c r="A19" i="6"/>
  <c r="G18" i="12"/>
  <c r="X18" i="5"/>
  <c r="AO14" i="6"/>
  <c r="BD14" i="6"/>
  <c r="AQ12" i="6"/>
  <c r="AR13" i="6"/>
  <c r="AR14" i="6" s="1"/>
  <c r="BE14" i="6"/>
  <c r="AZ14" i="6"/>
  <c r="BC14" i="6"/>
  <c r="BA14" i="6"/>
  <c r="AP14" i="6"/>
  <c r="AQ14" i="6"/>
  <c r="AN14" i="6"/>
  <c r="AM14" i="6"/>
  <c r="AY14" i="6"/>
  <c r="BF14" i="6"/>
  <c r="BG14" i="6"/>
  <c r="L11" i="9"/>
  <c r="M12" i="9"/>
  <c r="BB14" i="6"/>
  <c r="L11" i="10"/>
  <c r="M12" i="10"/>
  <c r="AH13" i="6"/>
  <c r="AG12" i="6"/>
  <c r="BD12" i="6"/>
  <c r="BE13" i="6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U69" i="4" s="1"/>
  <c r="Y61" i="4"/>
  <c r="X102" i="4"/>
  <c r="X104" i="4"/>
  <c r="X64" i="4"/>
  <c r="Y105" i="4"/>
  <c r="Y63" i="4"/>
  <c r="Z22" i="4"/>
  <c r="Z101" i="4"/>
  <c r="Z64" i="4"/>
  <c r="X24" i="4"/>
  <c r="Y23" i="4"/>
  <c r="B21" i="5" l="1"/>
  <c r="B22" i="5" s="1"/>
  <c r="B23" i="5" s="1"/>
  <c r="AE21" i="5"/>
  <c r="B21" i="6"/>
  <c r="AD21" i="5"/>
  <c r="H21" i="5"/>
  <c r="H22" i="5" s="1"/>
  <c r="H23" i="5" s="1"/>
  <c r="A21" i="12"/>
  <c r="G21" i="5"/>
  <c r="G22" i="5" s="1"/>
  <c r="G23" i="5" s="1"/>
  <c r="W21" i="5"/>
  <c r="J21" i="5"/>
  <c r="F21" i="5"/>
  <c r="F22" i="5" s="1"/>
  <c r="F23" i="5" s="1"/>
  <c r="K21" i="5"/>
  <c r="N21" i="5"/>
  <c r="E21" i="5"/>
  <c r="E22" i="5" s="1"/>
  <c r="E23" i="5" s="1"/>
  <c r="D21" i="5"/>
  <c r="B21" i="12" s="1"/>
  <c r="A41" i="8"/>
  <c r="B23" i="6"/>
  <c r="D23" i="5"/>
  <c r="B23" i="12" s="1"/>
  <c r="A23" i="12"/>
  <c r="K23" i="5"/>
  <c r="W23" i="5"/>
  <c r="J23" i="5"/>
  <c r="C24" i="5"/>
  <c r="AE23" i="5"/>
  <c r="AD23" i="5"/>
  <c r="N23" i="5"/>
  <c r="L20" i="12"/>
  <c r="K20" i="12" s="1"/>
  <c r="A22" i="12"/>
  <c r="L22" i="12" s="1"/>
  <c r="AD22" i="5"/>
  <c r="W22" i="5"/>
  <c r="H22" i="12" s="1"/>
  <c r="D22" i="5"/>
  <c r="B22" i="12" s="1"/>
  <c r="N22" i="5"/>
  <c r="D22" i="6" s="1"/>
  <c r="K22" i="5"/>
  <c r="B22" i="6"/>
  <c r="AE22" i="5"/>
  <c r="J22" i="5"/>
  <c r="AN18" i="6"/>
  <c r="AP18" i="6"/>
  <c r="AC18" i="6"/>
  <c r="BE18" i="6"/>
  <c r="AZ18" i="6"/>
  <c r="AB18" i="6"/>
  <c r="AY18" i="6"/>
  <c r="BA18" i="6"/>
  <c r="AF18" i="6"/>
  <c r="AO18" i="6"/>
  <c r="AX18" i="6"/>
  <c r="M19" i="6"/>
  <c r="AG19" i="6" s="1"/>
  <c r="AQ18" i="6"/>
  <c r="BD18" i="6"/>
  <c r="AD18" i="6"/>
  <c r="AM18" i="6"/>
  <c r="BB18" i="6"/>
  <c r="AR18" i="6"/>
  <c r="B24" i="10"/>
  <c r="B26" i="9"/>
  <c r="C22" i="7"/>
  <c r="B21" i="7"/>
  <c r="N19" i="6"/>
  <c r="A20" i="6"/>
  <c r="M20" i="6" s="1"/>
  <c r="AG16" i="6"/>
  <c r="AG17" i="6"/>
  <c r="AG18" i="6"/>
  <c r="I18" i="12"/>
  <c r="AM18" i="5"/>
  <c r="L18" i="5"/>
  <c r="Z18" i="5"/>
  <c r="I18" i="5"/>
  <c r="G19" i="12"/>
  <c r="X19" i="5"/>
  <c r="H20" i="6"/>
  <c r="T20" i="5" s="1"/>
  <c r="U109" i="4"/>
  <c r="K112" i="4" s="1"/>
  <c r="AS13" i="6"/>
  <c r="AS18" i="6" s="1"/>
  <c r="AR12" i="6"/>
  <c r="M11" i="10"/>
  <c r="N12" i="10"/>
  <c r="M11" i="9"/>
  <c r="N12" i="9"/>
  <c r="AH12" i="6"/>
  <c r="AI13" i="6"/>
  <c r="U29" i="4"/>
  <c r="J72" i="4"/>
  <c r="K72" i="4"/>
  <c r="BF13" i="6"/>
  <c r="BF18" i="6" s="1"/>
  <c r="BE12" i="6"/>
  <c r="J21" i="12" l="1"/>
  <c r="L21" i="12"/>
  <c r="D21" i="6"/>
  <c r="A44" i="8"/>
  <c r="D23" i="6"/>
  <c r="J23" i="12"/>
  <c r="L23" i="12"/>
  <c r="B24" i="6"/>
  <c r="F24" i="5"/>
  <c r="N24" i="5"/>
  <c r="E24" i="5"/>
  <c r="D24" i="5"/>
  <c r="B24" i="12" s="1"/>
  <c r="A24" i="12"/>
  <c r="K24" i="5"/>
  <c r="AE24" i="5"/>
  <c r="W24" i="5"/>
  <c r="J24" i="5"/>
  <c r="B24" i="5"/>
  <c r="AD24" i="5"/>
  <c r="H24" i="5"/>
  <c r="G24" i="5"/>
  <c r="J22" i="12"/>
  <c r="K22" i="12" s="1"/>
  <c r="AQ19" i="6"/>
  <c r="BB19" i="6"/>
  <c r="AZ19" i="6"/>
  <c r="AX19" i="6"/>
  <c r="AC19" i="6"/>
  <c r="AY19" i="6"/>
  <c r="BA19" i="6"/>
  <c r="AF19" i="6"/>
  <c r="AB19" i="6"/>
  <c r="AD19" i="6"/>
  <c r="BE19" i="6"/>
  <c r="BD19" i="6"/>
  <c r="AP19" i="6"/>
  <c r="AM19" i="6"/>
  <c r="AO19" i="6"/>
  <c r="AR19" i="6"/>
  <c r="AN19" i="6"/>
  <c r="BC19" i="6"/>
  <c r="BB20" i="6"/>
  <c r="B27" i="9"/>
  <c r="N20" i="6"/>
  <c r="B22" i="7"/>
  <c r="C23" i="7"/>
  <c r="AS19" i="6"/>
  <c r="B25" i="10"/>
  <c r="AH20" i="6"/>
  <c r="BC20" i="6"/>
  <c r="BE20" i="6"/>
  <c r="AG20" i="6"/>
  <c r="AO20" i="6"/>
  <c r="AP20" i="6"/>
  <c r="BD20" i="6"/>
  <c r="G20" i="12"/>
  <c r="X20" i="5"/>
  <c r="C18" i="6"/>
  <c r="AB20" i="6"/>
  <c r="BF19" i="6"/>
  <c r="AC20" i="6"/>
  <c r="AH16" i="6"/>
  <c r="AH17" i="6"/>
  <c r="AH18" i="6"/>
  <c r="AH19" i="6"/>
  <c r="AM20" i="6"/>
  <c r="AN20" i="6"/>
  <c r="AX20" i="6"/>
  <c r="AZ20" i="6"/>
  <c r="C18" i="12"/>
  <c r="M18" i="12"/>
  <c r="O18" i="12"/>
  <c r="AO18" i="12"/>
  <c r="BF20" i="6"/>
  <c r="I19" i="12"/>
  <c r="L19" i="5"/>
  <c r="AM19" i="5"/>
  <c r="I19" i="5"/>
  <c r="Z19" i="5"/>
  <c r="H22" i="6"/>
  <c r="T22" i="5" s="1"/>
  <c r="AQ20" i="6"/>
  <c r="AF20" i="6"/>
  <c r="AY20" i="6"/>
  <c r="AD20" i="6"/>
  <c r="AR20" i="6"/>
  <c r="BA20" i="6"/>
  <c r="AS20" i="6"/>
  <c r="AB18" i="5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G20" i="6" s="1"/>
  <c r="BF12" i="6"/>
  <c r="K21" i="12" l="1"/>
  <c r="H21" i="6"/>
  <c r="T21" i="5" s="1"/>
  <c r="X21" i="5" s="1"/>
  <c r="A21" i="6"/>
  <c r="A22" i="6" s="1"/>
  <c r="N22" i="6" s="1"/>
  <c r="A47" i="8"/>
  <c r="K23" i="12"/>
  <c r="D24" i="6"/>
  <c r="C25" i="5"/>
  <c r="G25" i="5" s="1"/>
  <c r="L24" i="12"/>
  <c r="J24" i="12"/>
  <c r="H23" i="6"/>
  <c r="T23" i="5" s="1"/>
  <c r="X23" i="5" s="1"/>
  <c r="B26" i="10"/>
  <c r="B23" i="7"/>
  <c r="C24" i="7"/>
  <c r="B28" i="9"/>
  <c r="Y18" i="12"/>
  <c r="X18" i="12" s="1"/>
  <c r="AI16" i="6"/>
  <c r="AI17" i="6"/>
  <c r="AI18" i="6"/>
  <c r="AI19" i="6"/>
  <c r="AI20" i="6"/>
  <c r="AB19" i="5"/>
  <c r="C19" i="6"/>
  <c r="C19" i="12"/>
  <c r="M19" i="12"/>
  <c r="O19" i="12"/>
  <c r="AO19" i="12"/>
  <c r="N18" i="12"/>
  <c r="AT18" i="6"/>
  <c r="AT19" i="6"/>
  <c r="I20" i="12"/>
  <c r="AM20" i="5"/>
  <c r="L20" i="5"/>
  <c r="I20" i="5"/>
  <c r="Z20" i="5"/>
  <c r="G22" i="12"/>
  <c r="X22" i="5"/>
  <c r="AT20" i="6"/>
  <c r="BG18" i="6"/>
  <c r="BG19" i="6"/>
  <c r="AT12" i="6"/>
  <c r="AU13" i="6"/>
  <c r="AT14" i="6"/>
  <c r="P12" i="10"/>
  <c r="O11" i="10"/>
  <c r="O11" i="9"/>
  <c r="P12" i="9"/>
  <c r="AJ12" i="6"/>
  <c r="AK13" i="6"/>
  <c r="AK12" i="6" s="1"/>
  <c r="BG12" i="6"/>
  <c r="I21" i="12" l="1"/>
  <c r="L21" i="5"/>
  <c r="AM21" i="5"/>
  <c r="I21" i="5"/>
  <c r="I22" i="5" s="1"/>
  <c r="I23" i="5" s="1"/>
  <c r="Z21" i="5"/>
  <c r="N21" i="6"/>
  <c r="A23" i="6"/>
  <c r="M23" i="6" s="1"/>
  <c r="AY23" i="6" s="1"/>
  <c r="M22" i="6"/>
  <c r="AI22" i="6" s="1"/>
  <c r="M21" i="6"/>
  <c r="AB21" i="6" s="1"/>
  <c r="A50" i="8"/>
  <c r="H25" i="5"/>
  <c r="E25" i="5"/>
  <c r="K24" i="12"/>
  <c r="F25" i="5"/>
  <c r="W25" i="5"/>
  <c r="H25" i="12" s="1"/>
  <c r="AD25" i="5"/>
  <c r="B25" i="6"/>
  <c r="A25" i="6" s="1"/>
  <c r="N25" i="5"/>
  <c r="D25" i="6" s="1"/>
  <c r="H25" i="6" s="1"/>
  <c r="T25" i="5" s="1"/>
  <c r="C26" i="5"/>
  <c r="A26" i="12" s="1"/>
  <c r="L23" i="5"/>
  <c r="I23" i="12"/>
  <c r="AM23" i="5"/>
  <c r="Z23" i="5"/>
  <c r="A25" i="12"/>
  <c r="B25" i="5"/>
  <c r="H24" i="6"/>
  <c r="T24" i="5" s="1"/>
  <c r="X24" i="5" s="1"/>
  <c r="AE25" i="5"/>
  <c r="W18" i="12"/>
  <c r="V18" i="12" s="1"/>
  <c r="N19" i="12"/>
  <c r="Y19" i="12"/>
  <c r="X19" i="12" s="1"/>
  <c r="C25" i="7"/>
  <c r="B24" i="7"/>
  <c r="B27" i="10"/>
  <c r="B29" i="9"/>
  <c r="I22" i="12"/>
  <c r="L22" i="5"/>
  <c r="AM22" i="5"/>
  <c r="Z22" i="5"/>
  <c r="AK16" i="6"/>
  <c r="AK17" i="6"/>
  <c r="AK18" i="6"/>
  <c r="AK19" i="6"/>
  <c r="AK20" i="6"/>
  <c r="AB20" i="5"/>
  <c r="C20" i="6"/>
  <c r="G25" i="12"/>
  <c r="C20" i="12"/>
  <c r="AO20" i="12"/>
  <c r="O20" i="12"/>
  <c r="M20" i="12"/>
  <c r="AJ16" i="6"/>
  <c r="AJ17" i="6"/>
  <c r="AJ18" i="6"/>
  <c r="AJ19" i="6"/>
  <c r="AJ20" i="6"/>
  <c r="AU18" i="6"/>
  <c r="AU19" i="6"/>
  <c r="AU20" i="6"/>
  <c r="AU12" i="6"/>
  <c r="AV13" i="6"/>
  <c r="AU14" i="6"/>
  <c r="Q12" i="9"/>
  <c r="P11" i="9"/>
  <c r="Q12" i="10"/>
  <c r="P11" i="10"/>
  <c r="AJ23" i="6" l="1"/>
  <c r="AV23" i="6"/>
  <c r="AT23" i="6"/>
  <c r="AJ22" i="6"/>
  <c r="AZ23" i="6"/>
  <c r="BD23" i="6"/>
  <c r="AH22" i="6"/>
  <c r="AC22" i="6"/>
  <c r="AP22" i="6"/>
  <c r="AX22" i="6"/>
  <c r="AO22" i="6"/>
  <c r="BF22" i="6"/>
  <c r="AG23" i="6"/>
  <c r="AX23" i="6"/>
  <c r="AF22" i="6"/>
  <c r="BG22" i="6"/>
  <c r="AR22" i="6"/>
  <c r="AQ22" i="6"/>
  <c r="BE23" i="6"/>
  <c r="BF23" i="6"/>
  <c r="AK22" i="6"/>
  <c r="AB22" i="6"/>
  <c r="BB22" i="6"/>
  <c r="AD22" i="6"/>
  <c r="AN23" i="6"/>
  <c r="AR23" i="6"/>
  <c r="AN22" i="6"/>
  <c r="AG22" i="6"/>
  <c r="BD22" i="6"/>
  <c r="AM22" i="6"/>
  <c r="AY22" i="6"/>
  <c r="AS23" i="6"/>
  <c r="N23" i="6"/>
  <c r="AT22" i="6"/>
  <c r="BA22" i="6"/>
  <c r="BC22" i="6"/>
  <c r="AQ23" i="6"/>
  <c r="BE22" i="6"/>
  <c r="AS22" i="6"/>
  <c r="AU22" i="6"/>
  <c r="BA23" i="6"/>
  <c r="BG23" i="6"/>
  <c r="AB23" i="6"/>
  <c r="BC23" i="6"/>
  <c r="AK23" i="6"/>
  <c r="AC21" i="6"/>
  <c r="AB21" i="5"/>
  <c r="BB21" i="6"/>
  <c r="AZ21" i="6"/>
  <c r="AT21" i="6"/>
  <c r="AV21" i="6"/>
  <c r="AU21" i="6"/>
  <c r="AS21" i="6"/>
  <c r="AQ21" i="6"/>
  <c r="AM21" i="6"/>
  <c r="BF21" i="6"/>
  <c r="BG21" i="6"/>
  <c r="AX21" i="6"/>
  <c r="BA21" i="6"/>
  <c r="BE21" i="6"/>
  <c r="AY21" i="6"/>
  <c r="AO21" i="6"/>
  <c r="AR21" i="6"/>
  <c r="AN21" i="6"/>
  <c r="AP21" i="6"/>
  <c r="BC21" i="6"/>
  <c r="BD21" i="6"/>
  <c r="AF23" i="6"/>
  <c r="AD23" i="6"/>
  <c r="AP23" i="6"/>
  <c r="AF21" i="6"/>
  <c r="C21" i="6"/>
  <c r="C21" i="12"/>
  <c r="O21" i="12"/>
  <c r="AO21" i="12"/>
  <c r="M21" i="12"/>
  <c r="AC23" i="6"/>
  <c r="BB23" i="6"/>
  <c r="AO23" i="6"/>
  <c r="AM23" i="6"/>
  <c r="A24" i="6"/>
  <c r="N24" i="6" s="1"/>
  <c r="AD21" i="6"/>
  <c r="AI21" i="6"/>
  <c r="AK21" i="6"/>
  <c r="AZ22" i="6"/>
  <c r="AI23" i="6"/>
  <c r="AH23" i="6"/>
  <c r="AU23" i="6"/>
  <c r="AH21" i="6"/>
  <c r="AG21" i="6"/>
  <c r="AJ21" i="6"/>
  <c r="A53" i="8"/>
  <c r="N26" i="5"/>
  <c r="D26" i="6" s="1"/>
  <c r="H26" i="6" s="1"/>
  <c r="T26" i="5" s="1"/>
  <c r="H26" i="5"/>
  <c r="E26" i="5"/>
  <c r="AD26" i="5"/>
  <c r="C27" i="5"/>
  <c r="N27" i="5" s="1"/>
  <c r="D27" i="6" s="1"/>
  <c r="H27" i="6" s="1"/>
  <c r="T27" i="5" s="1"/>
  <c r="W26" i="5"/>
  <c r="H26" i="12" s="1"/>
  <c r="N25" i="6"/>
  <c r="M25" i="6"/>
  <c r="AF25" i="6" s="1"/>
  <c r="B26" i="6"/>
  <c r="D26" i="5"/>
  <c r="B26" i="12" s="1"/>
  <c r="K26" i="5"/>
  <c r="F26" i="5"/>
  <c r="B26" i="5"/>
  <c r="G26" i="5"/>
  <c r="J26" i="5"/>
  <c r="AE26" i="5"/>
  <c r="AM24" i="5"/>
  <c r="L24" i="5"/>
  <c r="I24" i="12"/>
  <c r="I24" i="5"/>
  <c r="Z24" i="5"/>
  <c r="AB23" i="5"/>
  <c r="C23" i="12"/>
  <c r="O23" i="12"/>
  <c r="M23" i="12"/>
  <c r="AO23" i="12"/>
  <c r="C23" i="6"/>
  <c r="J26" i="12"/>
  <c r="L26" i="12"/>
  <c r="AM25" i="6"/>
  <c r="AR25" i="6"/>
  <c r="AY25" i="6"/>
  <c r="AN25" i="6"/>
  <c r="AX25" i="6"/>
  <c r="AZ25" i="6"/>
  <c r="AO25" i="6"/>
  <c r="AU25" i="6"/>
  <c r="BF25" i="6"/>
  <c r="BD25" i="6"/>
  <c r="AQ25" i="6"/>
  <c r="BC25" i="6"/>
  <c r="BB25" i="6"/>
  <c r="AS25" i="6"/>
  <c r="BE25" i="6"/>
  <c r="AT25" i="6"/>
  <c r="BA25" i="6"/>
  <c r="BG25" i="6"/>
  <c r="AP25" i="6"/>
  <c r="AV25" i="6"/>
  <c r="U18" i="12"/>
  <c r="T18" i="12"/>
  <c r="W19" i="12"/>
  <c r="T19" i="12" s="1"/>
  <c r="B30" i="9"/>
  <c r="B28" i="10"/>
  <c r="C26" i="7"/>
  <c r="B25" i="7"/>
  <c r="AB22" i="5"/>
  <c r="N20" i="12"/>
  <c r="G26" i="12"/>
  <c r="Y20" i="12"/>
  <c r="C22" i="6"/>
  <c r="C22" i="12"/>
  <c r="O22" i="12"/>
  <c r="AO22" i="12"/>
  <c r="M22" i="12"/>
  <c r="I25" i="5"/>
  <c r="AV18" i="6"/>
  <c r="AV19" i="6"/>
  <c r="AV20" i="6"/>
  <c r="AV22" i="6"/>
  <c r="AV12" i="6"/>
  <c r="AV14" i="6"/>
  <c r="Q11" i="10"/>
  <c r="R12" i="10"/>
  <c r="R12" i="9"/>
  <c r="Q11" i="9"/>
  <c r="Y21" i="12" l="1"/>
  <c r="X21" i="12" s="1"/>
  <c r="M24" i="6"/>
  <c r="BD24" i="6" s="1"/>
  <c r="N21" i="12"/>
  <c r="A56" i="8"/>
  <c r="A26" i="6"/>
  <c r="AC25" i="6"/>
  <c r="AH25" i="6"/>
  <c r="AB25" i="6"/>
  <c r="AJ25" i="6"/>
  <c r="AD25" i="6"/>
  <c r="AI25" i="6"/>
  <c r="AK25" i="6"/>
  <c r="AG25" i="6"/>
  <c r="F27" i="5"/>
  <c r="AE27" i="5"/>
  <c r="AD27" i="5"/>
  <c r="W27" i="5"/>
  <c r="H27" i="12" s="1"/>
  <c r="C28" i="5"/>
  <c r="AE28" i="5" s="1"/>
  <c r="D27" i="5"/>
  <c r="B27" i="12" s="1"/>
  <c r="B27" i="6"/>
  <c r="J27" i="5"/>
  <c r="G27" i="5"/>
  <c r="E27" i="5"/>
  <c r="K27" i="5"/>
  <c r="A27" i="12"/>
  <c r="J27" i="12" s="1"/>
  <c r="H27" i="5"/>
  <c r="B27" i="5"/>
  <c r="X26" i="5"/>
  <c r="I26" i="12" s="1"/>
  <c r="N23" i="12"/>
  <c r="AB24" i="5"/>
  <c r="C24" i="12"/>
  <c r="O24" i="12"/>
  <c r="AO24" i="12"/>
  <c r="M24" i="12"/>
  <c r="C24" i="6"/>
  <c r="Y23" i="12"/>
  <c r="K26" i="12"/>
  <c r="U19" i="12"/>
  <c r="V19" i="12"/>
  <c r="B29" i="10"/>
  <c r="C27" i="7"/>
  <c r="B26" i="7"/>
  <c r="B31" i="9"/>
  <c r="N22" i="12"/>
  <c r="X20" i="12"/>
  <c r="W20" i="12"/>
  <c r="G27" i="12"/>
  <c r="Y22" i="12"/>
  <c r="R11" i="9"/>
  <c r="S12" i="9"/>
  <c r="R11" i="10"/>
  <c r="S12" i="10"/>
  <c r="W21" i="12" l="1"/>
  <c r="T21" i="12" s="1"/>
  <c r="M26" i="6"/>
  <c r="AQ26" i="6" s="1"/>
  <c r="AV24" i="6"/>
  <c r="AU24" i="6"/>
  <c r="AO24" i="6"/>
  <c r="AP24" i="6"/>
  <c r="BG24" i="6"/>
  <c r="BC24" i="6"/>
  <c r="AK24" i="6"/>
  <c r="AC24" i="6"/>
  <c r="AI24" i="6"/>
  <c r="BB24" i="6"/>
  <c r="AH24" i="6"/>
  <c r="AT24" i="6"/>
  <c r="AS24" i="6"/>
  <c r="AM24" i="6"/>
  <c r="AD24" i="6"/>
  <c r="AG24" i="6"/>
  <c r="AB24" i="6"/>
  <c r="BA24" i="6"/>
  <c r="BE24" i="6"/>
  <c r="AX24" i="6"/>
  <c r="AF24" i="6"/>
  <c r="AR24" i="6"/>
  <c r="BF24" i="6"/>
  <c r="AN24" i="6"/>
  <c r="AQ24" i="6"/>
  <c r="AJ24" i="6"/>
  <c r="AZ24" i="6"/>
  <c r="AY24" i="6"/>
  <c r="A59" i="8"/>
  <c r="A27" i="6"/>
  <c r="X27" i="5"/>
  <c r="L27" i="5" s="1"/>
  <c r="D28" i="5"/>
  <c r="B28" i="12" s="1"/>
  <c r="J28" i="5"/>
  <c r="W28" i="5"/>
  <c r="H28" i="12" s="1"/>
  <c r="G28" i="5"/>
  <c r="C29" i="5"/>
  <c r="J29" i="5" s="1"/>
  <c r="AD28" i="5"/>
  <c r="E28" i="5"/>
  <c r="K28" i="5"/>
  <c r="F28" i="5"/>
  <c r="N28" i="5"/>
  <c r="D28" i="6" s="1"/>
  <c r="H28" i="6" s="1"/>
  <c r="T28" i="5" s="1"/>
  <c r="A28" i="12"/>
  <c r="L28" i="12" s="1"/>
  <c r="B28" i="6"/>
  <c r="H28" i="5"/>
  <c r="L27" i="12"/>
  <c r="K27" i="12" s="1"/>
  <c r="B28" i="5"/>
  <c r="Z26" i="5"/>
  <c r="AB26" i="5" s="1"/>
  <c r="I26" i="5"/>
  <c r="L26" i="5"/>
  <c r="C26" i="6" s="1"/>
  <c r="AM26" i="5"/>
  <c r="Y24" i="12"/>
  <c r="W24" i="12" s="1"/>
  <c r="X23" i="12"/>
  <c r="W23" i="12"/>
  <c r="N24" i="12"/>
  <c r="B30" i="10"/>
  <c r="B32" i="9"/>
  <c r="C28" i="7"/>
  <c r="B27" i="7"/>
  <c r="C26" i="12"/>
  <c r="AO26" i="12"/>
  <c r="O26" i="12"/>
  <c r="M26" i="12"/>
  <c r="G28" i="12"/>
  <c r="W22" i="12"/>
  <c r="X22" i="12"/>
  <c r="U20" i="12"/>
  <c r="T20" i="12"/>
  <c r="V20" i="12"/>
  <c r="T12" i="10"/>
  <c r="S11" i="10"/>
  <c r="S11" i="9"/>
  <c r="T12" i="9"/>
  <c r="U21" i="12" l="1"/>
  <c r="V21" i="12"/>
  <c r="AF26" i="6"/>
  <c r="AP26" i="6"/>
  <c r="BG26" i="6"/>
  <c r="AB26" i="6"/>
  <c r="AD26" i="6"/>
  <c r="AT26" i="6"/>
  <c r="AR26" i="6"/>
  <c r="AS26" i="6"/>
  <c r="M27" i="6"/>
  <c r="AI27" i="6" s="1"/>
  <c r="BB26" i="6"/>
  <c r="BD26" i="6"/>
  <c r="BE26" i="6"/>
  <c r="AY26" i="6"/>
  <c r="AX26" i="6"/>
  <c r="AO26" i="6"/>
  <c r="AI26" i="6"/>
  <c r="BC26" i="6"/>
  <c r="AU26" i="6"/>
  <c r="AV26" i="6"/>
  <c r="AH26" i="6"/>
  <c r="AK26" i="6"/>
  <c r="AZ26" i="6"/>
  <c r="AC26" i="6"/>
  <c r="AJ26" i="6"/>
  <c r="AG26" i="6"/>
  <c r="AM26" i="6"/>
  <c r="BF26" i="6"/>
  <c r="AN26" i="6"/>
  <c r="BA26" i="6"/>
  <c r="A62" i="8"/>
  <c r="Z27" i="5"/>
  <c r="AB27" i="5" s="1"/>
  <c r="AM27" i="5"/>
  <c r="I27" i="12"/>
  <c r="O27" i="12" s="1"/>
  <c r="I27" i="5"/>
  <c r="X24" i="12"/>
  <c r="X28" i="5"/>
  <c r="I28" i="12" s="1"/>
  <c r="B29" i="6"/>
  <c r="N29" i="5"/>
  <c r="D29" i="6" s="1"/>
  <c r="H29" i="6" s="1"/>
  <c r="T29" i="5" s="1"/>
  <c r="A29" i="12"/>
  <c r="J29" i="12" s="1"/>
  <c r="B29" i="5"/>
  <c r="E29" i="5"/>
  <c r="D29" i="5"/>
  <c r="B29" i="12" s="1"/>
  <c r="H29" i="5"/>
  <c r="AD29" i="5"/>
  <c r="W29" i="5"/>
  <c r="H29" i="12" s="1"/>
  <c r="K29" i="5"/>
  <c r="AE29" i="5"/>
  <c r="C30" i="5"/>
  <c r="K30" i="5" s="1"/>
  <c r="G29" i="5"/>
  <c r="F29" i="5"/>
  <c r="J28" i="12"/>
  <c r="K28" i="12" s="1"/>
  <c r="A28" i="6"/>
  <c r="M28" i="6" s="1"/>
  <c r="BA28" i="6" s="1"/>
  <c r="V23" i="12"/>
  <c r="U23" i="12"/>
  <c r="T23" i="12"/>
  <c r="V24" i="12"/>
  <c r="U24" i="12"/>
  <c r="T24" i="12"/>
  <c r="B33" i="9"/>
  <c r="C29" i="7"/>
  <c r="B28" i="7"/>
  <c r="B31" i="10"/>
  <c r="G29" i="12"/>
  <c r="V22" i="12"/>
  <c r="U22" i="12"/>
  <c r="T22" i="12"/>
  <c r="N26" i="12"/>
  <c r="C27" i="6"/>
  <c r="Y26" i="12"/>
  <c r="U12" i="10"/>
  <c r="T11" i="10"/>
  <c r="T11" i="9"/>
  <c r="U12" i="9"/>
  <c r="AV27" i="6" l="1"/>
  <c r="AZ27" i="6"/>
  <c r="AM27" i="6"/>
  <c r="AX27" i="6"/>
  <c r="AP27" i="6"/>
  <c r="AR27" i="6"/>
  <c r="AG27" i="6"/>
  <c r="AN27" i="6"/>
  <c r="AC27" i="6"/>
  <c r="BD27" i="6"/>
  <c r="AQ27" i="6"/>
  <c r="AK27" i="6"/>
  <c r="AB27" i="6"/>
  <c r="BG27" i="6"/>
  <c r="AU27" i="6"/>
  <c r="BB27" i="6"/>
  <c r="AH27" i="6"/>
  <c r="AO27" i="6"/>
  <c r="BC27" i="6"/>
  <c r="BF27" i="6"/>
  <c r="AD27" i="6"/>
  <c r="AT27" i="6"/>
  <c r="BE27" i="6"/>
  <c r="AF27" i="6"/>
  <c r="AS27" i="6"/>
  <c r="BA27" i="6"/>
  <c r="AJ27" i="6"/>
  <c r="L29" i="12"/>
  <c r="K29" i="12" s="1"/>
  <c r="AY27" i="6"/>
  <c r="A65" i="8"/>
  <c r="A68" i="8" s="1"/>
  <c r="C27" i="12"/>
  <c r="M27" i="12"/>
  <c r="N27" i="12" s="1"/>
  <c r="AO27" i="12"/>
  <c r="Y27" i="12" s="1"/>
  <c r="X27" i="12" s="1"/>
  <c r="Z28" i="5"/>
  <c r="AB28" i="5" s="1"/>
  <c r="I28" i="5"/>
  <c r="AM28" i="5"/>
  <c r="L28" i="5"/>
  <c r="C28" i="6" s="1"/>
  <c r="AE30" i="5"/>
  <c r="B30" i="5"/>
  <c r="N30" i="5"/>
  <c r="D30" i="6" s="1"/>
  <c r="H30" i="6" s="1"/>
  <c r="T30" i="5" s="1"/>
  <c r="C31" i="5"/>
  <c r="W31" i="5" s="1"/>
  <c r="H31" i="12" s="1"/>
  <c r="A30" i="12"/>
  <c r="L30" i="12" s="1"/>
  <c r="W30" i="5"/>
  <c r="H30" i="12" s="1"/>
  <c r="G30" i="5"/>
  <c r="D30" i="5"/>
  <c r="B30" i="12" s="1"/>
  <c r="AD30" i="5"/>
  <c r="B30" i="6"/>
  <c r="J30" i="5"/>
  <c r="E30" i="5"/>
  <c r="H30" i="5"/>
  <c r="F30" i="5"/>
  <c r="X29" i="5"/>
  <c r="L29" i="5" s="1"/>
  <c r="AK28" i="6"/>
  <c r="AH28" i="6"/>
  <c r="BE28" i="6"/>
  <c r="AG28" i="6"/>
  <c r="AP28" i="6"/>
  <c r="BF28" i="6"/>
  <c r="AB28" i="6"/>
  <c r="AM28" i="6"/>
  <c r="AO28" i="6"/>
  <c r="AF28" i="6"/>
  <c r="AV28" i="6"/>
  <c r="AD28" i="6"/>
  <c r="AU28" i="6"/>
  <c r="AC28" i="6"/>
  <c r="BG28" i="6"/>
  <c r="AX28" i="6"/>
  <c r="AN28" i="6"/>
  <c r="AZ28" i="6"/>
  <c r="A29" i="6"/>
  <c r="M29" i="6" s="1"/>
  <c r="BD29" i="6" s="1"/>
  <c r="AJ28" i="6"/>
  <c r="AR28" i="6"/>
  <c r="AY28" i="6"/>
  <c r="AS28" i="6"/>
  <c r="AQ28" i="6"/>
  <c r="BB28" i="6"/>
  <c r="BC28" i="6"/>
  <c r="AT28" i="6"/>
  <c r="AI28" i="6"/>
  <c r="BD28" i="6"/>
  <c r="B34" i="9"/>
  <c r="B32" i="10"/>
  <c r="B29" i="7"/>
  <c r="C30" i="7"/>
  <c r="C28" i="12"/>
  <c r="AO28" i="12"/>
  <c r="M28" i="12"/>
  <c r="O28" i="12"/>
  <c r="G30" i="12"/>
  <c r="X26" i="12"/>
  <c r="W26" i="12"/>
  <c r="V12" i="10"/>
  <c r="U11" i="10"/>
  <c r="V12" i="9"/>
  <c r="U11" i="9"/>
  <c r="A71" i="8" l="1"/>
  <c r="J31" i="5"/>
  <c r="D31" i="5"/>
  <c r="B31" i="12" s="1"/>
  <c r="B31" i="6"/>
  <c r="J30" i="12"/>
  <c r="K30" i="12" s="1"/>
  <c r="B31" i="5"/>
  <c r="X30" i="5"/>
  <c r="I30" i="12" s="1"/>
  <c r="A31" i="12"/>
  <c r="J31" i="12" s="1"/>
  <c r="AE31" i="5"/>
  <c r="AD31" i="5"/>
  <c r="H31" i="5"/>
  <c r="N31" i="5"/>
  <c r="D31" i="6" s="1"/>
  <c r="H31" i="6" s="1"/>
  <c r="T31" i="5" s="1"/>
  <c r="X31" i="5" s="1"/>
  <c r="C32" i="5"/>
  <c r="K31" i="5"/>
  <c r="G31" i="5"/>
  <c r="F31" i="5"/>
  <c r="E31" i="5"/>
  <c r="I29" i="12"/>
  <c r="M29" i="12" s="1"/>
  <c r="Z29" i="5"/>
  <c r="AB29" i="5" s="1"/>
  <c r="I29" i="5"/>
  <c r="AM29" i="5"/>
  <c r="AV29" i="6"/>
  <c r="AY29" i="6"/>
  <c r="AQ29" i="6"/>
  <c r="AH29" i="6"/>
  <c r="AC29" i="6"/>
  <c r="AD29" i="6"/>
  <c r="BF29" i="6"/>
  <c r="AO29" i="6"/>
  <c r="BA29" i="6"/>
  <c r="AJ29" i="6"/>
  <c r="AX29" i="6"/>
  <c r="AI29" i="6"/>
  <c r="AS29" i="6"/>
  <c r="BG29" i="6"/>
  <c r="A30" i="6"/>
  <c r="M30" i="6" s="1"/>
  <c r="AT30" i="6" s="1"/>
  <c r="AT29" i="6"/>
  <c r="AZ29" i="6"/>
  <c r="AK29" i="6"/>
  <c r="BC29" i="6"/>
  <c r="AU29" i="6"/>
  <c r="AM29" i="6"/>
  <c r="BB29" i="6"/>
  <c r="AR29" i="6"/>
  <c r="AF29" i="6"/>
  <c r="BE29" i="6"/>
  <c r="AB29" i="6"/>
  <c r="AN29" i="6"/>
  <c r="AP29" i="6"/>
  <c r="AG29" i="6"/>
  <c r="N28" i="12"/>
  <c r="W27" i="12"/>
  <c r="T27" i="12" s="1"/>
  <c r="B33" i="10"/>
  <c r="B35" i="9"/>
  <c r="B30" i="7"/>
  <c r="C31" i="7"/>
  <c r="C29" i="6"/>
  <c r="Y28" i="12"/>
  <c r="G31" i="12"/>
  <c r="V26" i="12"/>
  <c r="U26" i="12"/>
  <c r="T26" i="12"/>
  <c r="W12" i="9"/>
  <c r="V11" i="9"/>
  <c r="W12" i="10"/>
  <c r="V11" i="10"/>
  <c r="A74" i="8" l="1"/>
  <c r="B32" i="5"/>
  <c r="Z30" i="5"/>
  <c r="AB30" i="5" s="1"/>
  <c r="AM30" i="5"/>
  <c r="I30" i="5"/>
  <c r="I31" i="5" s="1"/>
  <c r="L30" i="5"/>
  <c r="C30" i="6" s="1"/>
  <c r="AO29" i="12"/>
  <c r="C33" i="5"/>
  <c r="J33" i="5" s="1"/>
  <c r="L31" i="12"/>
  <c r="K31" i="12" s="1"/>
  <c r="H32" i="5"/>
  <c r="J32" i="5"/>
  <c r="D32" i="5"/>
  <c r="B32" i="12" s="1"/>
  <c r="K32" i="5"/>
  <c r="B32" i="6"/>
  <c r="F32" i="5"/>
  <c r="W32" i="5"/>
  <c r="H32" i="12" s="1"/>
  <c r="E32" i="5"/>
  <c r="AD32" i="5"/>
  <c r="A32" i="12"/>
  <c r="L32" i="12" s="1"/>
  <c r="N32" i="5"/>
  <c r="D32" i="6" s="1"/>
  <c r="H32" i="6" s="1"/>
  <c r="T32" i="5" s="1"/>
  <c r="AE32" i="5"/>
  <c r="G32" i="5"/>
  <c r="C29" i="12"/>
  <c r="O29" i="12"/>
  <c r="N29" i="12" s="1"/>
  <c r="AM30" i="6"/>
  <c r="AP30" i="6"/>
  <c r="AK30" i="6"/>
  <c r="AD30" i="6"/>
  <c r="AB30" i="6"/>
  <c r="A31" i="6"/>
  <c r="M31" i="6" s="1"/>
  <c r="AZ31" i="6" s="1"/>
  <c r="AH30" i="6"/>
  <c r="AR30" i="6"/>
  <c r="BE30" i="6"/>
  <c r="AU30" i="6"/>
  <c r="BB30" i="6"/>
  <c r="AV30" i="6"/>
  <c r="AS30" i="6"/>
  <c r="AJ30" i="6"/>
  <c r="BD30" i="6"/>
  <c r="AX30" i="6"/>
  <c r="BF30" i="6"/>
  <c r="BA30" i="6"/>
  <c r="AQ30" i="6"/>
  <c r="AI30" i="6"/>
  <c r="AN30" i="6"/>
  <c r="AZ30" i="6"/>
  <c r="AG30" i="6"/>
  <c r="AY30" i="6"/>
  <c r="BG30" i="6"/>
  <c r="AF30" i="6"/>
  <c r="BC30" i="6"/>
  <c r="AC30" i="6"/>
  <c r="AO30" i="6"/>
  <c r="V27" i="12"/>
  <c r="U27" i="12"/>
  <c r="C32" i="7"/>
  <c r="B31" i="7"/>
  <c r="B36" i="9"/>
  <c r="B34" i="10"/>
  <c r="G32" i="12"/>
  <c r="C30" i="12"/>
  <c r="O30" i="12"/>
  <c r="AO30" i="12"/>
  <c r="M30" i="12"/>
  <c r="I31" i="12"/>
  <c r="AM31" i="5"/>
  <c r="L31" i="5"/>
  <c r="Z31" i="5"/>
  <c r="X28" i="12"/>
  <c r="W28" i="12"/>
  <c r="W11" i="10"/>
  <c r="X12" i="10"/>
  <c r="W11" i="9"/>
  <c r="X12" i="9"/>
  <c r="A77" i="8" l="1"/>
  <c r="F33" i="5"/>
  <c r="H33" i="5"/>
  <c r="N33" i="5"/>
  <c r="D33" i="6" s="1"/>
  <c r="H33" i="6" s="1"/>
  <c r="T33" i="5" s="1"/>
  <c r="B33" i="5"/>
  <c r="AD33" i="5"/>
  <c r="A33" i="12"/>
  <c r="J33" i="12" s="1"/>
  <c r="D33" i="5"/>
  <c r="B33" i="12" s="1"/>
  <c r="W33" i="5"/>
  <c r="H33" i="12" s="1"/>
  <c r="B33" i="6"/>
  <c r="AE33" i="5"/>
  <c r="C34" i="5"/>
  <c r="C35" i="5" s="1"/>
  <c r="C36" i="5" s="1"/>
  <c r="W36" i="5" s="1"/>
  <c r="K33" i="5"/>
  <c r="E33" i="5"/>
  <c r="G33" i="5"/>
  <c r="X32" i="5"/>
  <c r="L32" i="5" s="1"/>
  <c r="J32" i="12"/>
  <c r="K32" i="12" s="1"/>
  <c r="Y29" i="12"/>
  <c r="W29" i="12" s="1"/>
  <c r="T29" i="12" s="1"/>
  <c r="A32" i="6"/>
  <c r="M32" i="6" s="1"/>
  <c r="AR32" i="6" s="1"/>
  <c r="AD31" i="6"/>
  <c r="AC31" i="6"/>
  <c r="AV31" i="6"/>
  <c r="AI31" i="6"/>
  <c r="BC31" i="6"/>
  <c r="BE31" i="6"/>
  <c r="AT31" i="6"/>
  <c r="AB31" i="6"/>
  <c r="AS31" i="6"/>
  <c r="AP31" i="6"/>
  <c r="AO31" i="6"/>
  <c r="BG31" i="6"/>
  <c r="AY31" i="6"/>
  <c r="AX31" i="6"/>
  <c r="AJ31" i="6"/>
  <c r="BD31" i="6"/>
  <c r="AF31" i="6"/>
  <c r="AG31" i="6"/>
  <c r="AH31" i="6"/>
  <c r="BF31" i="6"/>
  <c r="BA31" i="6"/>
  <c r="AK31" i="6"/>
  <c r="AR31" i="6"/>
  <c r="AU31" i="6"/>
  <c r="AM31" i="6"/>
  <c r="BB31" i="6"/>
  <c r="AN31" i="6"/>
  <c r="AQ31" i="6"/>
  <c r="B37" i="9"/>
  <c r="B35" i="10"/>
  <c r="N30" i="12"/>
  <c r="B32" i="7"/>
  <c r="C33" i="7"/>
  <c r="G33" i="12"/>
  <c r="AB31" i="5"/>
  <c r="Y30" i="12"/>
  <c r="V28" i="12"/>
  <c r="U28" i="12"/>
  <c r="T28" i="12"/>
  <c r="C31" i="6"/>
  <c r="C31" i="12"/>
  <c r="M31" i="12"/>
  <c r="AO31" i="12"/>
  <c r="O31" i="12"/>
  <c r="X11" i="9"/>
  <c r="Y12" i="9"/>
  <c r="Y12" i="10"/>
  <c r="X11" i="10"/>
  <c r="A80" i="8" l="1"/>
  <c r="E34" i="5"/>
  <c r="E35" i="5" s="1"/>
  <c r="E36" i="5" s="1"/>
  <c r="N35" i="5"/>
  <c r="D35" i="6" s="1"/>
  <c r="K36" i="5"/>
  <c r="W34" i="5"/>
  <c r="H34" i="12" s="1"/>
  <c r="B34" i="6"/>
  <c r="D34" i="5"/>
  <c r="B34" i="12" s="1"/>
  <c r="D36" i="5"/>
  <c r="B36" i="12" s="1"/>
  <c r="A34" i="12"/>
  <c r="L34" i="12" s="1"/>
  <c r="K34" i="5"/>
  <c r="H34" i="5"/>
  <c r="H35" i="5" s="1"/>
  <c r="H36" i="5" s="1"/>
  <c r="N34" i="5"/>
  <c r="D34" i="6" s="1"/>
  <c r="H34" i="6" s="1"/>
  <c r="T34" i="5" s="1"/>
  <c r="F34" i="5"/>
  <c r="F35" i="5" s="1"/>
  <c r="F36" i="5" s="1"/>
  <c r="AE34" i="5"/>
  <c r="W35" i="5"/>
  <c r="AD34" i="5"/>
  <c r="K35" i="5"/>
  <c r="J35" i="5"/>
  <c r="C37" i="5"/>
  <c r="AE37" i="5" s="1"/>
  <c r="A35" i="12"/>
  <c r="J35" i="12" s="1"/>
  <c r="AD35" i="5"/>
  <c r="B35" i="6"/>
  <c r="N36" i="5"/>
  <c r="D36" i="6" s="1"/>
  <c r="AE36" i="5"/>
  <c r="D35" i="5"/>
  <c r="B35" i="12" s="1"/>
  <c r="A36" i="12"/>
  <c r="L36" i="12" s="1"/>
  <c r="J34" i="5"/>
  <c r="B34" i="5"/>
  <c r="B35" i="5" s="1"/>
  <c r="B36" i="5" s="1"/>
  <c r="AE35" i="5"/>
  <c r="J36" i="5"/>
  <c r="AD36" i="5"/>
  <c r="B36" i="6"/>
  <c r="G34" i="5"/>
  <c r="G35" i="5" s="1"/>
  <c r="G36" i="5" s="1"/>
  <c r="L33" i="12"/>
  <c r="K33" i="12" s="1"/>
  <c r="V29" i="12"/>
  <c r="X33" i="5"/>
  <c r="I33" i="12" s="1"/>
  <c r="I32" i="5"/>
  <c r="X29" i="12"/>
  <c r="Z32" i="5"/>
  <c r="AB32" i="5" s="1"/>
  <c r="I32" i="12"/>
  <c r="C32" i="12" s="1"/>
  <c r="U29" i="12"/>
  <c r="AM32" i="5"/>
  <c r="AS32" i="6"/>
  <c r="AJ32" i="6"/>
  <c r="AD32" i="6"/>
  <c r="BC32" i="6"/>
  <c r="AB32" i="6"/>
  <c r="AX32" i="6"/>
  <c r="AQ32" i="6"/>
  <c r="AO32" i="6"/>
  <c r="BA32" i="6"/>
  <c r="BE32" i="6"/>
  <c r="AN32" i="6"/>
  <c r="BB32" i="6"/>
  <c r="AH32" i="6"/>
  <c r="A33" i="6"/>
  <c r="M33" i="6" s="1"/>
  <c r="BC33" i="6" s="1"/>
  <c r="AG32" i="6"/>
  <c r="AI32" i="6"/>
  <c r="AK32" i="6"/>
  <c r="AM32" i="6"/>
  <c r="AT32" i="6"/>
  <c r="BG32" i="6"/>
  <c r="BF32" i="6"/>
  <c r="AV32" i="6"/>
  <c r="AF32" i="6"/>
  <c r="AU32" i="6"/>
  <c r="AZ32" i="6"/>
  <c r="BD32" i="6"/>
  <c r="AC32" i="6"/>
  <c r="AY32" i="6"/>
  <c r="AP32" i="6"/>
  <c r="N31" i="12"/>
  <c r="B36" i="10"/>
  <c r="C34" i="7"/>
  <c r="B33" i="7"/>
  <c r="B38" i="9"/>
  <c r="Y31" i="12"/>
  <c r="W30" i="12"/>
  <c r="X30" i="12"/>
  <c r="C32" i="6"/>
  <c r="G34" i="12"/>
  <c r="Y11" i="10"/>
  <c r="Z12" i="10"/>
  <c r="Y11" i="9"/>
  <c r="Z12" i="9"/>
  <c r="A83" i="8" l="1"/>
  <c r="N37" i="5"/>
  <c r="D37" i="6" s="1"/>
  <c r="H37" i="6" s="1"/>
  <c r="T37" i="5" s="1"/>
  <c r="D37" i="5"/>
  <c r="B37" i="12" s="1"/>
  <c r="C38" i="5"/>
  <c r="AE38" i="5" s="1"/>
  <c r="B37" i="6"/>
  <c r="AD37" i="5"/>
  <c r="X34" i="5"/>
  <c r="I34" i="12" s="1"/>
  <c r="H37" i="5"/>
  <c r="J37" i="5"/>
  <c r="K37" i="5"/>
  <c r="W37" i="5"/>
  <c r="H37" i="12" s="1"/>
  <c r="A37" i="12"/>
  <c r="J37" i="12" s="1"/>
  <c r="E37" i="5"/>
  <c r="AO32" i="12"/>
  <c r="J34" i="12"/>
  <c r="K34" i="12" s="1"/>
  <c r="G37" i="5"/>
  <c r="L35" i="12"/>
  <c r="K35" i="12" s="1"/>
  <c r="L33" i="5"/>
  <c r="C33" i="6" s="1"/>
  <c r="J36" i="12"/>
  <c r="K36" i="12" s="1"/>
  <c r="F37" i="5"/>
  <c r="B37" i="5"/>
  <c r="O32" i="12"/>
  <c r="I33" i="5"/>
  <c r="Z33" i="5"/>
  <c r="AB33" i="5" s="1"/>
  <c r="AM33" i="5"/>
  <c r="M32" i="12"/>
  <c r="A34" i="6"/>
  <c r="M34" i="6" s="1"/>
  <c r="AZ34" i="6" s="1"/>
  <c r="BA33" i="6"/>
  <c r="AK33" i="6"/>
  <c r="AZ33" i="6"/>
  <c r="AO33" i="6"/>
  <c r="AR33" i="6"/>
  <c r="BB33" i="6"/>
  <c r="AC33" i="6"/>
  <c r="AB33" i="6"/>
  <c r="AD33" i="6"/>
  <c r="AF33" i="6"/>
  <c r="AI33" i="6"/>
  <c r="AQ33" i="6"/>
  <c r="BF33" i="6"/>
  <c r="AP33" i="6"/>
  <c r="AG33" i="6"/>
  <c r="BD33" i="6"/>
  <c r="AJ33" i="6"/>
  <c r="AS33" i="6"/>
  <c r="AX33" i="6"/>
  <c r="AU33" i="6"/>
  <c r="AN33" i="6"/>
  <c r="AV33" i="6"/>
  <c r="AM33" i="6"/>
  <c r="AT33" i="6"/>
  <c r="BG33" i="6"/>
  <c r="AH33" i="6"/>
  <c r="BE33" i="6"/>
  <c r="AY33" i="6"/>
  <c r="H36" i="6"/>
  <c r="T36" i="5" s="1"/>
  <c r="X36" i="5" s="1"/>
  <c r="H35" i="6"/>
  <c r="T35" i="5" s="1"/>
  <c r="X35" i="5" s="1"/>
  <c r="C35" i="7"/>
  <c r="B34" i="7"/>
  <c r="B39" i="9"/>
  <c r="B37" i="10"/>
  <c r="W31" i="12"/>
  <c r="X31" i="12"/>
  <c r="G37" i="12"/>
  <c r="V30" i="12"/>
  <c r="U30" i="12"/>
  <c r="T30" i="12"/>
  <c r="C33" i="12"/>
  <c r="M33" i="12"/>
  <c r="AO33" i="12"/>
  <c r="O33" i="12"/>
  <c r="Z11" i="10"/>
  <c r="AA12" i="10"/>
  <c r="Z11" i="9"/>
  <c r="AA12" i="9"/>
  <c r="A86" i="8" l="1"/>
  <c r="B38" i="6"/>
  <c r="A38" i="12"/>
  <c r="J38" i="12" s="1"/>
  <c r="AD38" i="5"/>
  <c r="F38" i="5"/>
  <c r="D38" i="5"/>
  <c r="B38" i="12" s="1"/>
  <c r="C39" i="5"/>
  <c r="C40" i="5" s="1"/>
  <c r="W38" i="5"/>
  <c r="H38" i="12" s="1"/>
  <c r="K38" i="5"/>
  <c r="G38" i="5"/>
  <c r="H38" i="5"/>
  <c r="J38" i="5"/>
  <c r="B38" i="5"/>
  <c r="E38" i="5"/>
  <c r="N38" i="5"/>
  <c r="D38" i="6" s="1"/>
  <c r="H38" i="6" s="1"/>
  <c r="T38" i="5" s="1"/>
  <c r="I34" i="5"/>
  <c r="I35" i="5" s="1"/>
  <c r="I36" i="5" s="1"/>
  <c r="AM34" i="5"/>
  <c r="Z34" i="5"/>
  <c r="AB34" i="5" s="1"/>
  <c r="L34" i="5"/>
  <c r="C34" i="6" s="1"/>
  <c r="X37" i="5"/>
  <c r="I37" i="12" s="1"/>
  <c r="L37" i="12"/>
  <c r="K37" i="12" s="1"/>
  <c r="N32" i="12"/>
  <c r="Y32" i="12"/>
  <c r="W32" i="12" s="1"/>
  <c r="BG34" i="6"/>
  <c r="AR34" i="6"/>
  <c r="AY34" i="6"/>
  <c r="AO34" i="6"/>
  <c r="AQ34" i="6"/>
  <c r="AS34" i="6"/>
  <c r="AU34" i="6"/>
  <c r="AF34" i="6"/>
  <c r="AT34" i="6"/>
  <c r="BD34" i="6"/>
  <c r="AK34" i="6"/>
  <c r="BE34" i="6"/>
  <c r="AI34" i="6"/>
  <c r="A35" i="6"/>
  <c r="M35" i="6" s="1"/>
  <c r="BG35" i="6" s="1"/>
  <c r="BB34" i="6"/>
  <c r="AG34" i="6"/>
  <c r="AD34" i="6"/>
  <c r="AN34" i="6"/>
  <c r="BC34" i="6"/>
  <c r="BF34" i="6"/>
  <c r="AJ34" i="6"/>
  <c r="AB34" i="6"/>
  <c r="AH34" i="6"/>
  <c r="BA34" i="6"/>
  <c r="AP34" i="6"/>
  <c r="AM34" i="6"/>
  <c r="AX34" i="6"/>
  <c r="AV34" i="6"/>
  <c r="AC34" i="6"/>
  <c r="L36" i="5"/>
  <c r="AM36" i="5"/>
  <c r="I36" i="12"/>
  <c r="Z36" i="5"/>
  <c r="L35" i="5"/>
  <c r="I35" i="12"/>
  <c r="AM35" i="5"/>
  <c r="Z35" i="5"/>
  <c r="N33" i="12"/>
  <c r="B35" i="7"/>
  <c r="C36" i="7"/>
  <c r="B40" i="9"/>
  <c r="B38" i="10"/>
  <c r="Y33" i="12"/>
  <c r="V31" i="12"/>
  <c r="U31" i="12"/>
  <c r="T31" i="12"/>
  <c r="G38" i="12"/>
  <c r="C34" i="12"/>
  <c r="M34" i="12"/>
  <c r="O34" i="12"/>
  <c r="AO34" i="12"/>
  <c r="AB12" i="10"/>
  <c r="AA11" i="10"/>
  <c r="AB12" i="9"/>
  <c r="AA11" i="9"/>
  <c r="A89" i="8" l="1"/>
  <c r="L38" i="12"/>
  <c r="K38" i="12" s="1"/>
  <c r="AD39" i="5"/>
  <c r="K39" i="5"/>
  <c r="W39" i="5"/>
  <c r="H39" i="12" s="1"/>
  <c r="B39" i="5"/>
  <c r="B40" i="5" s="1"/>
  <c r="C41" i="5" s="1"/>
  <c r="A39" i="12"/>
  <c r="J39" i="12" s="1"/>
  <c r="AE39" i="5"/>
  <c r="D39" i="5"/>
  <c r="B39" i="12" s="1"/>
  <c r="B39" i="6"/>
  <c r="N39" i="5"/>
  <c r="D39" i="6" s="1"/>
  <c r="H39" i="6" s="1"/>
  <c r="T39" i="5" s="1"/>
  <c r="J39" i="5"/>
  <c r="H39" i="5"/>
  <c r="H40" i="5" s="1"/>
  <c r="E39" i="5"/>
  <c r="E40" i="5" s="1"/>
  <c r="F39" i="5"/>
  <c r="F40" i="5" s="1"/>
  <c r="G39" i="5"/>
  <c r="G40" i="5" s="1"/>
  <c r="X38" i="5"/>
  <c r="L38" i="5" s="1"/>
  <c r="Z37" i="5"/>
  <c r="AB37" i="5" s="1"/>
  <c r="L37" i="5"/>
  <c r="C37" i="6" s="1"/>
  <c r="AM37" i="5"/>
  <c r="X32" i="12"/>
  <c r="A36" i="6"/>
  <c r="M36" i="6" s="1"/>
  <c r="AK35" i="6"/>
  <c r="BB35" i="6"/>
  <c r="AS35" i="6"/>
  <c r="AX35" i="6"/>
  <c r="AV35" i="6"/>
  <c r="AO35" i="6"/>
  <c r="AD35" i="6"/>
  <c r="AG35" i="6"/>
  <c r="AQ35" i="6"/>
  <c r="AI35" i="6"/>
  <c r="AT35" i="6"/>
  <c r="AH35" i="6"/>
  <c r="AF35" i="6"/>
  <c r="AJ35" i="6"/>
  <c r="BF35" i="6"/>
  <c r="BE35" i="6"/>
  <c r="AY35" i="6"/>
  <c r="AN35" i="6"/>
  <c r="AB35" i="6"/>
  <c r="AU35" i="6"/>
  <c r="BA35" i="6"/>
  <c r="AP35" i="6"/>
  <c r="AZ35" i="6"/>
  <c r="BC35" i="6"/>
  <c r="AM35" i="6"/>
  <c r="AB36" i="5"/>
  <c r="I37" i="5"/>
  <c r="BD35" i="6"/>
  <c r="AR35" i="6"/>
  <c r="C36" i="12"/>
  <c r="AO36" i="12"/>
  <c r="M36" i="12"/>
  <c r="O36" i="12"/>
  <c r="AC35" i="6"/>
  <c r="C36" i="6"/>
  <c r="AB35" i="5"/>
  <c r="C35" i="12"/>
  <c r="AO35" i="12"/>
  <c r="M35" i="12"/>
  <c r="O35" i="12"/>
  <c r="C35" i="6"/>
  <c r="D40" i="5"/>
  <c r="B40" i="12" s="1"/>
  <c r="A40" i="12"/>
  <c r="AE40" i="5"/>
  <c r="W40" i="5"/>
  <c r="H40" i="12" s="1"/>
  <c r="N40" i="5"/>
  <c r="D40" i="6" s="1"/>
  <c r="K40" i="5"/>
  <c r="B40" i="6"/>
  <c r="J40" i="5"/>
  <c r="AD40" i="5"/>
  <c r="N34" i="12"/>
  <c r="Y34" i="12"/>
  <c r="W34" i="12" s="1"/>
  <c r="B41" i="9"/>
  <c r="B39" i="10"/>
  <c r="B36" i="7"/>
  <c r="C37" i="7"/>
  <c r="V32" i="12"/>
  <c r="U32" i="12"/>
  <c r="T32" i="12"/>
  <c r="G39" i="12"/>
  <c r="C37" i="12"/>
  <c r="M37" i="12"/>
  <c r="AO37" i="12"/>
  <c r="O37" i="12"/>
  <c r="X33" i="12"/>
  <c r="W33" i="12"/>
  <c r="AB11" i="10"/>
  <c r="AC12" i="10"/>
  <c r="AC12" i="9"/>
  <c r="AB11" i="9"/>
  <c r="A92" i="8" l="1"/>
  <c r="A95" i="8" s="1"/>
  <c r="X39" i="5"/>
  <c r="L39" i="5" s="1"/>
  <c r="L39" i="12"/>
  <c r="K39" i="12" s="1"/>
  <c r="I38" i="12"/>
  <c r="C38" i="12" s="1"/>
  <c r="Z38" i="5"/>
  <c r="AB38" i="5" s="1"/>
  <c r="AM38" i="5"/>
  <c r="I38" i="5"/>
  <c r="A37" i="6"/>
  <c r="M37" i="6" s="1"/>
  <c r="Y36" i="12"/>
  <c r="X36" i="12" s="1"/>
  <c r="N35" i="12"/>
  <c r="BE36" i="6"/>
  <c r="BC36" i="6"/>
  <c r="BA36" i="6"/>
  <c r="AO36" i="6"/>
  <c r="AV36" i="6"/>
  <c r="AT36" i="6"/>
  <c r="AR36" i="6"/>
  <c r="AN36" i="6"/>
  <c r="BG36" i="6"/>
  <c r="AQ36" i="6"/>
  <c r="AY36" i="6"/>
  <c r="BD36" i="6"/>
  <c r="BB36" i="6"/>
  <c r="AX36" i="6"/>
  <c r="AP36" i="6"/>
  <c r="AU36" i="6"/>
  <c r="AS36" i="6"/>
  <c r="AD36" i="6"/>
  <c r="AM36" i="6"/>
  <c r="AZ36" i="6"/>
  <c r="AB36" i="6"/>
  <c r="BF36" i="6"/>
  <c r="AC36" i="6"/>
  <c r="AI36" i="6"/>
  <c r="AK36" i="6"/>
  <c r="AJ36" i="6"/>
  <c r="AH36" i="6"/>
  <c r="AF36" i="6"/>
  <c r="AG36" i="6"/>
  <c r="N36" i="12"/>
  <c r="Y35" i="12"/>
  <c r="H40" i="6"/>
  <c r="T40" i="5" s="1"/>
  <c r="X40" i="5" s="1"/>
  <c r="N41" i="5"/>
  <c r="D41" i="6" s="1"/>
  <c r="H41" i="6" s="1"/>
  <c r="T41" i="5" s="1"/>
  <c r="F41" i="5"/>
  <c r="G41" i="5"/>
  <c r="AE41" i="5"/>
  <c r="A41" i="12"/>
  <c r="E41" i="5"/>
  <c r="B41" i="5"/>
  <c r="AD41" i="5"/>
  <c r="B41" i="6"/>
  <c r="H41" i="5"/>
  <c r="W41" i="5"/>
  <c r="H41" i="12" s="1"/>
  <c r="J40" i="12"/>
  <c r="L40" i="12"/>
  <c r="N37" i="12"/>
  <c r="X34" i="12"/>
  <c r="B42" i="9"/>
  <c r="C38" i="7"/>
  <c r="B37" i="7"/>
  <c r="B40" i="10"/>
  <c r="C38" i="6"/>
  <c r="V34" i="12"/>
  <c r="U34" i="12"/>
  <c r="T34" i="12"/>
  <c r="U33" i="12"/>
  <c r="V33" i="12"/>
  <c r="T33" i="12"/>
  <c r="Y37" i="12"/>
  <c r="G40" i="12"/>
  <c r="AC11" i="10"/>
  <c r="AD12" i="10"/>
  <c r="AC11" i="9"/>
  <c r="AD12" i="9"/>
  <c r="A98" i="8" l="1"/>
  <c r="AM39" i="5"/>
  <c r="I39" i="12"/>
  <c r="M39" i="12" s="1"/>
  <c r="I39" i="5"/>
  <c r="I40" i="5" s="1"/>
  <c r="Z39" i="5"/>
  <c r="AB39" i="5" s="1"/>
  <c r="O38" i="12"/>
  <c r="AO38" i="12"/>
  <c r="M38" i="12"/>
  <c r="A38" i="6"/>
  <c r="A39" i="6" s="1"/>
  <c r="W36" i="12"/>
  <c r="U36" i="12" s="1"/>
  <c r="AR37" i="6"/>
  <c r="BG37" i="6"/>
  <c r="AM37" i="6"/>
  <c r="AI37" i="6"/>
  <c r="BB37" i="6"/>
  <c r="BF37" i="6"/>
  <c r="AU37" i="6"/>
  <c r="AF37" i="6"/>
  <c r="AD37" i="6"/>
  <c r="AG37" i="6"/>
  <c r="AT37" i="6"/>
  <c r="AZ37" i="6"/>
  <c r="AP37" i="6"/>
  <c r="AJ37" i="6"/>
  <c r="AV37" i="6"/>
  <c r="AC37" i="6"/>
  <c r="AQ37" i="6"/>
  <c r="AX37" i="6"/>
  <c r="AB37" i="6"/>
  <c r="BE37" i="6"/>
  <c r="BA37" i="6"/>
  <c r="BD37" i="6"/>
  <c r="AK37" i="6"/>
  <c r="AH37" i="6"/>
  <c r="AO37" i="6"/>
  <c r="BC37" i="6"/>
  <c r="AS37" i="6"/>
  <c r="AN37" i="6"/>
  <c r="AY37" i="6"/>
  <c r="X35" i="12"/>
  <c r="W35" i="12"/>
  <c r="C42" i="5"/>
  <c r="K40" i="12"/>
  <c r="A41" i="6"/>
  <c r="M41" i="6" s="1"/>
  <c r="AM41" i="6" s="1"/>
  <c r="B41" i="10"/>
  <c r="C39" i="7"/>
  <c r="B38" i="7"/>
  <c r="B43" i="9"/>
  <c r="G41" i="12"/>
  <c r="W37" i="12"/>
  <c r="X37" i="12"/>
  <c r="I40" i="12"/>
  <c r="L40" i="5"/>
  <c r="AM40" i="5"/>
  <c r="Z40" i="5"/>
  <c r="C39" i="6"/>
  <c r="AD11" i="9"/>
  <c r="AE12" i="9"/>
  <c r="AE11" i="9" s="1"/>
  <c r="AE12" i="10"/>
  <c r="AD11" i="10"/>
  <c r="A101" i="8" l="1"/>
  <c r="C39" i="12"/>
  <c r="AO39" i="12"/>
  <c r="O39" i="12"/>
  <c r="N38" i="12"/>
  <c r="Y38" i="12"/>
  <c r="X38" i="12" s="1"/>
  <c r="V36" i="12"/>
  <c r="M38" i="6"/>
  <c r="AB38" i="6" s="1"/>
  <c r="T36" i="12"/>
  <c r="M39" i="6"/>
  <c r="A40" i="6"/>
  <c r="M40" i="6" s="1"/>
  <c r="V35" i="12"/>
  <c r="U35" i="12"/>
  <c r="T35" i="12"/>
  <c r="N42" i="5"/>
  <c r="D42" i="6" s="1"/>
  <c r="H42" i="6" s="1"/>
  <c r="T42" i="5" s="1"/>
  <c r="C43" i="5"/>
  <c r="AD42" i="5"/>
  <c r="A42" i="12"/>
  <c r="W42" i="5"/>
  <c r="B42" i="6"/>
  <c r="AE42" i="5"/>
  <c r="F42" i="5"/>
  <c r="H42" i="5"/>
  <c r="G42" i="5"/>
  <c r="E42" i="5"/>
  <c r="B42" i="5"/>
  <c r="AD41" i="6"/>
  <c r="AT41" i="6"/>
  <c r="AG41" i="6"/>
  <c r="BC41" i="6"/>
  <c r="AO41" i="6"/>
  <c r="BE41" i="6"/>
  <c r="AN41" i="6"/>
  <c r="AR41" i="6"/>
  <c r="AU41" i="6"/>
  <c r="AV41" i="6"/>
  <c r="AQ41" i="6"/>
  <c r="AF41" i="6"/>
  <c r="BB41" i="6"/>
  <c r="BF41" i="6"/>
  <c r="AJ41" i="6"/>
  <c r="AK41" i="6"/>
  <c r="BG41" i="6"/>
  <c r="BA41" i="6"/>
  <c r="AS41" i="6"/>
  <c r="AY41" i="6"/>
  <c r="AX41" i="6"/>
  <c r="AC41" i="6"/>
  <c r="AI41" i="6"/>
  <c r="AP41" i="6"/>
  <c r="AZ41" i="6"/>
  <c r="AH41" i="6"/>
  <c r="AB41" i="6"/>
  <c r="BD41" i="6"/>
  <c r="B42" i="10"/>
  <c r="C40" i="7"/>
  <c r="B39" i="7"/>
  <c r="B44" i="9"/>
  <c r="AB40" i="5"/>
  <c r="V37" i="12"/>
  <c r="U37" i="12"/>
  <c r="T37" i="12"/>
  <c r="I41" i="5"/>
  <c r="G43" i="12"/>
  <c r="C40" i="6"/>
  <c r="C40" i="12"/>
  <c r="AO40" i="12"/>
  <c r="O40" i="12"/>
  <c r="M40" i="12"/>
  <c r="AE11" i="10"/>
  <c r="AF12" i="10"/>
  <c r="AF11" i="10" s="1"/>
  <c r="A104" i="8" l="1"/>
  <c r="Y39" i="12"/>
  <c r="W39" i="12" s="1"/>
  <c r="N39" i="12"/>
  <c r="W38" i="12"/>
  <c r="T38" i="12" s="1"/>
  <c r="BC38" i="6"/>
  <c r="AC38" i="6"/>
  <c r="AQ38" i="6"/>
  <c r="AK38" i="6"/>
  <c r="AZ38" i="6"/>
  <c r="AS38" i="6"/>
  <c r="AJ38" i="6"/>
  <c r="BB38" i="6"/>
  <c r="AU38" i="6"/>
  <c r="BA38" i="6"/>
  <c r="AT38" i="6"/>
  <c r="AD38" i="6"/>
  <c r="AR38" i="6"/>
  <c r="AI38" i="6"/>
  <c r="AG38" i="6"/>
  <c r="AX38" i="6"/>
  <c r="BF38" i="6"/>
  <c r="AO38" i="6"/>
  <c r="AV38" i="6"/>
  <c r="AF38" i="6"/>
  <c r="AP38" i="6"/>
  <c r="AY38" i="6"/>
  <c r="AM38" i="6"/>
  <c r="AN38" i="6"/>
  <c r="BD38" i="6"/>
  <c r="BE38" i="6"/>
  <c r="BG38" i="6"/>
  <c r="AH38" i="6"/>
  <c r="BB40" i="6"/>
  <c r="BC40" i="6"/>
  <c r="AR40" i="6"/>
  <c r="AC40" i="6"/>
  <c r="BA40" i="6"/>
  <c r="AD40" i="6"/>
  <c r="BG40" i="6"/>
  <c r="AT40" i="6"/>
  <c r="AG40" i="6"/>
  <c r="AZ40" i="6"/>
  <c r="AB40" i="6"/>
  <c r="AF40" i="6"/>
  <c r="AX40" i="6"/>
  <c r="AY40" i="6"/>
  <c r="AQ40" i="6"/>
  <c r="AK40" i="6"/>
  <c r="BE40" i="6"/>
  <c r="AH40" i="6"/>
  <c r="BD40" i="6"/>
  <c r="AP40" i="6"/>
  <c r="AV40" i="6"/>
  <c r="AJ40" i="6"/>
  <c r="AI40" i="6"/>
  <c r="AO40" i="6"/>
  <c r="AM40" i="6"/>
  <c r="BF40" i="6"/>
  <c r="AS40" i="6"/>
  <c r="AU40" i="6"/>
  <c r="AN40" i="6"/>
  <c r="AG39" i="6"/>
  <c r="AD39" i="6"/>
  <c r="BA39" i="6"/>
  <c r="AP39" i="6"/>
  <c r="AB39" i="6"/>
  <c r="AZ39" i="6"/>
  <c r="AU39" i="6"/>
  <c r="AX39" i="6"/>
  <c r="BG39" i="6"/>
  <c r="AV39" i="6"/>
  <c r="AM39" i="6"/>
  <c r="AK39" i="6"/>
  <c r="AI39" i="6"/>
  <c r="AN39" i="6"/>
  <c r="AF39" i="6"/>
  <c r="AR39" i="6"/>
  <c r="BB39" i="6"/>
  <c r="AC39" i="6"/>
  <c r="AY39" i="6"/>
  <c r="AS39" i="6"/>
  <c r="AQ39" i="6"/>
  <c r="AH39" i="6"/>
  <c r="BC39" i="6"/>
  <c r="AO39" i="6"/>
  <c r="AJ39" i="6"/>
  <c r="BE39" i="6"/>
  <c r="AT39" i="6"/>
  <c r="BD39" i="6"/>
  <c r="BF39" i="6"/>
  <c r="A42" i="6"/>
  <c r="W43" i="5"/>
  <c r="H43" i="12" s="1"/>
  <c r="A43" i="12"/>
  <c r="G43" i="5"/>
  <c r="J43" i="5"/>
  <c r="B43" i="5"/>
  <c r="N43" i="5"/>
  <c r="D43" i="6" s="1"/>
  <c r="H43" i="6" s="1"/>
  <c r="T43" i="5" s="1"/>
  <c r="E43" i="5"/>
  <c r="B43" i="6"/>
  <c r="F43" i="5"/>
  <c r="AD43" i="5"/>
  <c r="K43" i="5"/>
  <c r="C44" i="5"/>
  <c r="H43" i="5"/>
  <c r="AE43" i="5"/>
  <c r="D43" i="5"/>
  <c r="B43" i="12" s="1"/>
  <c r="M42" i="6"/>
  <c r="AH42" i="6" s="1"/>
  <c r="I42" i="5"/>
  <c r="B45" i="9"/>
  <c r="C41" i="7"/>
  <c r="B40" i="7"/>
  <c r="B43" i="10"/>
  <c r="G44" i="12"/>
  <c r="N40" i="12"/>
  <c r="Y40" i="12"/>
  <c r="A107" i="8" l="1"/>
  <c r="U38" i="12"/>
  <c r="X39" i="12"/>
  <c r="V38" i="12"/>
  <c r="X43" i="5"/>
  <c r="I43" i="12" s="1"/>
  <c r="C43" i="12" s="1"/>
  <c r="AD42" i="6"/>
  <c r="A43" i="6"/>
  <c r="M43" i="6" s="1"/>
  <c r="AD43" i="6" s="1"/>
  <c r="AB42" i="6"/>
  <c r="H44" i="5"/>
  <c r="N44" i="5"/>
  <c r="D44" i="6" s="1"/>
  <c r="H44" i="6" s="1"/>
  <c r="T44" i="5" s="1"/>
  <c r="A44" i="12"/>
  <c r="B44" i="5"/>
  <c r="J44" i="5"/>
  <c r="AE44" i="5"/>
  <c r="W44" i="5"/>
  <c r="H44" i="12" s="1"/>
  <c r="E44" i="5"/>
  <c r="K44" i="5"/>
  <c r="F44" i="5"/>
  <c r="AD44" i="5"/>
  <c r="B44" i="6"/>
  <c r="D44" i="5"/>
  <c r="B44" i="12" s="1"/>
  <c r="G44" i="5"/>
  <c r="C45" i="5"/>
  <c r="L43" i="12"/>
  <c r="J43" i="12"/>
  <c r="AJ42" i="6"/>
  <c r="AK42" i="6"/>
  <c r="AF42" i="6"/>
  <c r="AC42" i="6"/>
  <c r="AI42" i="6"/>
  <c r="BE42" i="6"/>
  <c r="AS42" i="6"/>
  <c r="AY42" i="6"/>
  <c r="AV42" i="6"/>
  <c r="AP42" i="6"/>
  <c r="AN42" i="6"/>
  <c r="BC42" i="6"/>
  <c r="AT42" i="6"/>
  <c r="AZ42" i="6"/>
  <c r="AQ42" i="6"/>
  <c r="AR42" i="6"/>
  <c r="BD42" i="6"/>
  <c r="BF42" i="6"/>
  <c r="AU42" i="6"/>
  <c r="BA42" i="6"/>
  <c r="AX42" i="6"/>
  <c r="AM42" i="6"/>
  <c r="BB42" i="6"/>
  <c r="BG42" i="6"/>
  <c r="AO42" i="6"/>
  <c r="AG42" i="6"/>
  <c r="C42" i="7"/>
  <c r="B41" i="7"/>
  <c r="B44" i="10"/>
  <c r="B46" i="9"/>
  <c r="X40" i="12"/>
  <c r="W40" i="12"/>
  <c r="V39" i="12"/>
  <c r="U39" i="12"/>
  <c r="T39" i="12"/>
  <c r="G45" i="12"/>
  <c r="A110" i="8" l="1"/>
  <c r="A113" i="8" s="1"/>
  <c r="O43" i="12"/>
  <c r="AO43" i="12"/>
  <c r="M43" i="12"/>
  <c r="I43" i="5"/>
  <c r="L43" i="5"/>
  <c r="C43" i="6" s="1"/>
  <c r="Z43" i="5"/>
  <c r="AB43" i="5" s="1"/>
  <c r="AM43" i="5"/>
  <c r="X44" i="5"/>
  <c r="AM44" i="5" s="1"/>
  <c r="AM43" i="6"/>
  <c r="AB43" i="6"/>
  <c r="AY43" i="6"/>
  <c r="BD43" i="6"/>
  <c r="BF43" i="6"/>
  <c r="BC43" i="6"/>
  <c r="AI43" i="6"/>
  <c r="AT43" i="6"/>
  <c r="BE43" i="6"/>
  <c r="AF43" i="6"/>
  <c r="AX43" i="6"/>
  <c r="AS43" i="6"/>
  <c r="AN43" i="6"/>
  <c r="AP43" i="6"/>
  <c r="AC43" i="6"/>
  <c r="AO43" i="6"/>
  <c r="BA43" i="6"/>
  <c r="AK43" i="6"/>
  <c r="AQ43" i="6"/>
  <c r="AH43" i="6"/>
  <c r="AG43" i="6"/>
  <c r="BG43" i="6"/>
  <c r="AU43" i="6"/>
  <c r="BB43" i="6"/>
  <c r="AR43" i="6"/>
  <c r="AV43" i="6"/>
  <c r="AZ43" i="6"/>
  <c r="AJ43" i="6"/>
  <c r="K43" i="12"/>
  <c r="J45" i="5"/>
  <c r="D45" i="5"/>
  <c r="B45" i="12" s="1"/>
  <c r="AD45" i="5"/>
  <c r="B45" i="6"/>
  <c r="W45" i="5"/>
  <c r="H45" i="12" s="1"/>
  <c r="B45" i="5"/>
  <c r="F45" i="5"/>
  <c r="C46" i="5"/>
  <c r="C47" i="5" s="1"/>
  <c r="K45" i="5"/>
  <c r="AE45" i="5"/>
  <c r="G45" i="5"/>
  <c r="N45" i="5"/>
  <c r="D45" i="6" s="1"/>
  <c r="H45" i="6" s="1"/>
  <c r="T45" i="5" s="1"/>
  <c r="E45" i="5"/>
  <c r="H45" i="5"/>
  <c r="A45" i="12"/>
  <c r="A44" i="6"/>
  <c r="M44" i="6" s="1"/>
  <c r="L44" i="12"/>
  <c r="J44" i="12"/>
  <c r="B47" i="9"/>
  <c r="B45" i="10"/>
  <c r="B42" i="7"/>
  <c r="C43" i="7"/>
  <c r="G46" i="12"/>
  <c r="U40" i="12"/>
  <c r="T40" i="12"/>
  <c r="V40" i="12"/>
  <c r="N43" i="12" l="1"/>
  <c r="Y43" i="12"/>
  <c r="W43" i="12" s="1"/>
  <c r="T43" i="12" s="1"/>
  <c r="X45" i="5"/>
  <c r="AM45" i="5" s="1"/>
  <c r="K44" i="12"/>
  <c r="I44" i="12"/>
  <c r="I44" i="5"/>
  <c r="L44" i="5"/>
  <c r="C44" i="6" s="1"/>
  <c r="Z44" i="5"/>
  <c r="AB44" i="5" s="1"/>
  <c r="A45" i="6"/>
  <c r="M45" i="6" s="1"/>
  <c r="AI44" i="6"/>
  <c r="AY44" i="6"/>
  <c r="AZ44" i="6"/>
  <c r="AV44" i="6"/>
  <c r="BA44" i="6"/>
  <c r="AJ44" i="6"/>
  <c r="BC44" i="6"/>
  <c r="AC44" i="6"/>
  <c r="AB44" i="6"/>
  <c r="AD44" i="6"/>
  <c r="AQ44" i="6"/>
  <c r="BB44" i="6"/>
  <c r="BG44" i="6"/>
  <c r="AP44" i="6"/>
  <c r="AS44" i="6"/>
  <c r="AM44" i="6"/>
  <c r="AN44" i="6"/>
  <c r="AK44" i="6"/>
  <c r="AF44" i="6"/>
  <c r="AO44" i="6"/>
  <c r="AT44" i="6"/>
  <c r="AU44" i="6"/>
  <c r="AR44" i="6"/>
  <c r="BE44" i="6"/>
  <c r="BF44" i="6"/>
  <c r="AG44" i="6"/>
  <c r="AX44" i="6"/>
  <c r="BD44" i="6"/>
  <c r="AH44" i="6"/>
  <c r="K46" i="5"/>
  <c r="H46" i="5"/>
  <c r="H47" i="5" s="1"/>
  <c r="B46" i="5"/>
  <c r="B47" i="5" s="1"/>
  <c r="E46" i="5"/>
  <c r="E47" i="5" s="1"/>
  <c r="D46" i="5"/>
  <c r="B46" i="12" s="1"/>
  <c r="N46" i="5"/>
  <c r="D46" i="6" s="1"/>
  <c r="H46" i="6" s="1"/>
  <c r="T46" i="5" s="1"/>
  <c r="B46" i="6"/>
  <c r="F46" i="5"/>
  <c r="F47" i="5" s="1"/>
  <c r="W46" i="5"/>
  <c r="H46" i="12" s="1"/>
  <c r="J46" i="5"/>
  <c r="G46" i="5"/>
  <c r="G47" i="5" s="1"/>
  <c r="AE46" i="5"/>
  <c r="A46" i="12"/>
  <c r="AD46" i="5"/>
  <c r="L45" i="12"/>
  <c r="J45" i="12"/>
  <c r="J47" i="5"/>
  <c r="AE47" i="5"/>
  <c r="A47" i="12"/>
  <c r="B47" i="6"/>
  <c r="C48" i="5"/>
  <c r="D47" i="5"/>
  <c r="B47" i="12" s="1"/>
  <c r="W47" i="5"/>
  <c r="H47" i="12" s="1"/>
  <c r="K47" i="5"/>
  <c r="N47" i="5"/>
  <c r="D47" i="6" s="1"/>
  <c r="AD47" i="5"/>
  <c r="B43" i="7"/>
  <c r="C44" i="7"/>
  <c r="B46" i="10"/>
  <c r="B48" i="9"/>
  <c r="X43" i="12" l="1"/>
  <c r="U43" i="12"/>
  <c r="V43" i="12"/>
  <c r="I45" i="5"/>
  <c r="Z45" i="5"/>
  <c r="AB45" i="5" s="1"/>
  <c r="L45" i="5"/>
  <c r="C45" i="6" s="1"/>
  <c r="I45" i="12"/>
  <c r="M45" i="12" s="1"/>
  <c r="K45" i="12"/>
  <c r="C44" i="12"/>
  <c r="AO44" i="12"/>
  <c r="M44" i="12"/>
  <c r="O44" i="12"/>
  <c r="A46" i="6"/>
  <c r="M46" i="6" s="1"/>
  <c r="X46" i="5"/>
  <c r="J46" i="12"/>
  <c r="L46" i="12"/>
  <c r="AP45" i="6"/>
  <c r="AV45" i="6"/>
  <c r="AD45" i="6"/>
  <c r="AC45" i="6"/>
  <c r="AJ45" i="6"/>
  <c r="BD45" i="6"/>
  <c r="AI45" i="6"/>
  <c r="AM45" i="6"/>
  <c r="BG45" i="6"/>
  <c r="AY45" i="6"/>
  <c r="AS45" i="6"/>
  <c r="BF45" i="6"/>
  <c r="AB45" i="6"/>
  <c r="AX45" i="6"/>
  <c r="BE45" i="6"/>
  <c r="AF45" i="6"/>
  <c r="AT45" i="6"/>
  <c r="BB45" i="6"/>
  <c r="AZ45" i="6"/>
  <c r="AQ45" i="6"/>
  <c r="BA45" i="6"/>
  <c r="AN45" i="6"/>
  <c r="AR45" i="6"/>
  <c r="AH45" i="6"/>
  <c r="AK45" i="6"/>
  <c r="AU45" i="6"/>
  <c r="AG45" i="6"/>
  <c r="BC45" i="6"/>
  <c r="AO45" i="6"/>
  <c r="H47" i="6"/>
  <c r="T47" i="5" s="1"/>
  <c r="X47" i="5" s="1"/>
  <c r="J47" i="12"/>
  <c r="L47" i="12"/>
  <c r="C49" i="5"/>
  <c r="E48" i="5"/>
  <c r="N48" i="5"/>
  <c r="D48" i="6" s="1"/>
  <c r="H48" i="6" s="1"/>
  <c r="T48" i="5" s="1"/>
  <c r="D48" i="5"/>
  <c r="B48" i="12" s="1"/>
  <c r="K48" i="5"/>
  <c r="B48" i="5"/>
  <c r="J48" i="5"/>
  <c r="AE48" i="5"/>
  <c r="F48" i="5"/>
  <c r="W48" i="5"/>
  <c r="H48" i="12" s="1"/>
  <c r="H48" i="5"/>
  <c r="AD48" i="5"/>
  <c r="B48" i="6"/>
  <c r="A48" i="12"/>
  <c r="G48" i="5"/>
  <c r="B44" i="7"/>
  <c r="C45" i="7"/>
  <c r="B47" i="10"/>
  <c r="B49" i="9"/>
  <c r="G47" i="12"/>
  <c r="AO45" i="12" l="1"/>
  <c r="C45" i="12"/>
  <c r="K46" i="12"/>
  <c r="O45" i="12"/>
  <c r="N45" i="12" s="1"/>
  <c r="N44" i="12"/>
  <c r="A47" i="6"/>
  <c r="M47" i="6" s="1"/>
  <c r="AZ47" i="6" s="1"/>
  <c r="Y44" i="12"/>
  <c r="AO46" i="6"/>
  <c r="AB46" i="6"/>
  <c r="BG46" i="6"/>
  <c r="AV46" i="6"/>
  <c r="AR46" i="6"/>
  <c r="AC46" i="6"/>
  <c r="BF46" i="6"/>
  <c r="AU46" i="6"/>
  <c r="AY46" i="6"/>
  <c r="AJ46" i="6"/>
  <c r="BE46" i="6"/>
  <c r="AD46" i="6"/>
  <c r="AS46" i="6"/>
  <c r="AF46" i="6"/>
  <c r="AK46" i="6"/>
  <c r="AX46" i="6"/>
  <c r="BC46" i="6"/>
  <c r="AP46" i="6"/>
  <c r="AQ46" i="6"/>
  <c r="BA46" i="6"/>
  <c r="AM46" i="6"/>
  <c r="AN46" i="6"/>
  <c r="AG46" i="6"/>
  <c r="AI46" i="6"/>
  <c r="AH46" i="6"/>
  <c r="BB46" i="6"/>
  <c r="AT46" i="6"/>
  <c r="BD46" i="6"/>
  <c r="AZ46" i="6"/>
  <c r="I46" i="12"/>
  <c r="AM46" i="5"/>
  <c r="L46" i="5"/>
  <c r="C46" i="6" s="1"/>
  <c r="I46" i="5"/>
  <c r="I47" i="5" s="1"/>
  <c r="Z46" i="5"/>
  <c r="AB46" i="5" s="1"/>
  <c r="K47" i="12"/>
  <c r="A49" i="12"/>
  <c r="J49" i="5"/>
  <c r="B49" i="6"/>
  <c r="G49" i="5"/>
  <c r="B49" i="5"/>
  <c r="H49" i="5"/>
  <c r="E49" i="5"/>
  <c r="W49" i="5"/>
  <c r="H49" i="12" s="1"/>
  <c r="AE49" i="5"/>
  <c r="C50" i="5"/>
  <c r="D49" i="5"/>
  <c r="B49" i="12" s="1"/>
  <c r="N49" i="5"/>
  <c r="D49" i="6" s="1"/>
  <c r="K49" i="5"/>
  <c r="F49" i="5"/>
  <c r="AD49" i="5"/>
  <c r="L48" i="12"/>
  <c r="J48" i="12"/>
  <c r="B50" i="9"/>
  <c r="B48" i="10"/>
  <c r="C46" i="7"/>
  <c r="B45" i="7"/>
  <c r="I47" i="12"/>
  <c r="AM47" i="5"/>
  <c r="L47" i="5"/>
  <c r="Z47" i="5"/>
  <c r="G48" i="12"/>
  <c r="X48" i="5"/>
  <c r="A48" i="6" l="1"/>
  <c r="M48" i="6" s="1"/>
  <c r="AJ48" i="6" s="1"/>
  <c r="Y45" i="12"/>
  <c r="W45" i="12" s="1"/>
  <c r="U45" i="12" s="1"/>
  <c r="AT47" i="6"/>
  <c r="AQ47" i="6"/>
  <c r="AM47" i="6"/>
  <c r="AJ47" i="6"/>
  <c r="BE47" i="6"/>
  <c r="AP47" i="6"/>
  <c r="BF47" i="6"/>
  <c r="BC47" i="6"/>
  <c r="BB47" i="6"/>
  <c r="AC47" i="6"/>
  <c r="BA47" i="6"/>
  <c r="AU47" i="6"/>
  <c r="AS47" i="6"/>
  <c r="AN47" i="6"/>
  <c r="AI47" i="6"/>
  <c r="BG47" i="6"/>
  <c r="AY47" i="6"/>
  <c r="AB47" i="6"/>
  <c r="AH47" i="6"/>
  <c r="AK47" i="6"/>
  <c r="AV47" i="6"/>
  <c r="AF47" i="6"/>
  <c r="AG47" i="6"/>
  <c r="AO47" i="6"/>
  <c r="BD47" i="6"/>
  <c r="AD47" i="6"/>
  <c r="AR47" i="6"/>
  <c r="AX47" i="6"/>
  <c r="X44" i="12"/>
  <c r="W44" i="12"/>
  <c r="AO46" i="12"/>
  <c r="O46" i="12"/>
  <c r="M46" i="12"/>
  <c r="C46" i="12"/>
  <c r="H49" i="6"/>
  <c r="T49" i="5" s="1"/>
  <c r="X49" i="5" s="1"/>
  <c r="N50" i="5"/>
  <c r="D50" i="6" s="1"/>
  <c r="D50" i="5"/>
  <c r="B50" i="12" s="1"/>
  <c r="K50" i="5"/>
  <c r="B50" i="5"/>
  <c r="G50" i="5"/>
  <c r="J50" i="5"/>
  <c r="AE50" i="5"/>
  <c r="H50" i="5"/>
  <c r="AD50" i="5"/>
  <c r="F50" i="5"/>
  <c r="E50" i="5"/>
  <c r="B50" i="6"/>
  <c r="C51" i="5"/>
  <c r="A50" i="12"/>
  <c r="W50" i="5"/>
  <c r="H50" i="12" s="1"/>
  <c r="L49" i="12"/>
  <c r="J49" i="12"/>
  <c r="K48" i="12"/>
  <c r="C47" i="7"/>
  <c r="B46" i="7"/>
  <c r="B49" i="10"/>
  <c r="B51" i="9"/>
  <c r="C47" i="12"/>
  <c r="M47" i="12"/>
  <c r="AO47" i="12"/>
  <c r="O47" i="12"/>
  <c r="I48" i="12"/>
  <c r="L48" i="5"/>
  <c r="AM48" i="5"/>
  <c r="Z48" i="5"/>
  <c r="I48" i="5"/>
  <c r="AB47" i="5"/>
  <c r="C47" i="6"/>
  <c r="G49" i="12"/>
  <c r="V45" i="12" l="1"/>
  <c r="AH48" i="6"/>
  <c r="BG48" i="6"/>
  <c r="AC48" i="6"/>
  <c r="AQ48" i="6"/>
  <c r="AS48" i="6"/>
  <c r="BC48" i="6"/>
  <c r="AK48" i="6"/>
  <c r="BD48" i="6"/>
  <c r="BF48" i="6"/>
  <c r="AX48" i="6"/>
  <c r="AU48" i="6"/>
  <c r="A49" i="6"/>
  <c r="M49" i="6" s="1"/>
  <c r="BE49" i="6" s="1"/>
  <c r="AY48" i="6"/>
  <c r="AZ48" i="6"/>
  <c r="AN48" i="6"/>
  <c r="AV48" i="6"/>
  <c r="AO48" i="6"/>
  <c r="BB48" i="6"/>
  <c r="AR48" i="6"/>
  <c r="AB48" i="6"/>
  <c r="AD48" i="6"/>
  <c r="T45" i="12"/>
  <c r="X45" i="12"/>
  <c r="BA48" i="6"/>
  <c r="AI48" i="6"/>
  <c r="AT48" i="6"/>
  <c r="AF48" i="6"/>
  <c r="AG48" i="6"/>
  <c r="AM48" i="6"/>
  <c r="AP48" i="6"/>
  <c r="BE48" i="6"/>
  <c r="Y46" i="12"/>
  <c r="X46" i="12" s="1"/>
  <c r="V44" i="12"/>
  <c r="U44" i="12"/>
  <c r="T44" i="12"/>
  <c r="N46" i="12"/>
  <c r="H50" i="6"/>
  <c r="T50" i="5" s="1"/>
  <c r="X50" i="5" s="1"/>
  <c r="K49" i="12"/>
  <c r="L50" i="12"/>
  <c r="J50" i="12"/>
  <c r="A51" i="12"/>
  <c r="J51" i="5"/>
  <c r="C52" i="5"/>
  <c r="G51" i="5"/>
  <c r="N51" i="5"/>
  <c r="D51" i="6" s="1"/>
  <c r="E51" i="5"/>
  <c r="F51" i="5"/>
  <c r="K51" i="5"/>
  <c r="W51" i="5"/>
  <c r="H51" i="12" s="1"/>
  <c r="AE51" i="5"/>
  <c r="B51" i="5"/>
  <c r="H51" i="5"/>
  <c r="AD51" i="5"/>
  <c r="D51" i="5"/>
  <c r="B51" i="12" s="1"/>
  <c r="B51" i="6"/>
  <c r="N47" i="12"/>
  <c r="B50" i="10"/>
  <c r="C48" i="7"/>
  <c r="B47" i="7"/>
  <c r="B52" i="9"/>
  <c r="C48" i="12"/>
  <c r="O48" i="12"/>
  <c r="M48" i="12"/>
  <c r="AO48" i="12"/>
  <c r="AB48" i="5"/>
  <c r="Y47" i="12"/>
  <c r="I49" i="12"/>
  <c r="L49" i="5"/>
  <c r="AM49" i="5"/>
  <c r="I49" i="5"/>
  <c r="Z49" i="5"/>
  <c r="G50" i="12"/>
  <c r="C48" i="6"/>
  <c r="AH49" i="6" l="1"/>
  <c r="AJ49" i="6"/>
  <c r="AP49" i="6"/>
  <c r="AQ49" i="6"/>
  <c r="AK49" i="6"/>
  <c r="AY49" i="6"/>
  <c r="BC49" i="6"/>
  <c r="AM49" i="6"/>
  <c r="AF49" i="6"/>
  <c r="AU49" i="6"/>
  <c r="A50" i="6"/>
  <c r="M50" i="6" s="1"/>
  <c r="AR50" i="6" s="1"/>
  <c r="AG49" i="6"/>
  <c r="BD49" i="6"/>
  <c r="AZ49" i="6"/>
  <c r="AI49" i="6"/>
  <c r="AB49" i="6"/>
  <c r="AD49" i="6"/>
  <c r="BA49" i="6"/>
  <c r="AX49" i="6"/>
  <c r="BG49" i="6"/>
  <c r="BB49" i="6"/>
  <c r="AS49" i="6"/>
  <c r="AO49" i="6"/>
  <c r="AR49" i="6"/>
  <c r="AN49" i="6"/>
  <c r="AV49" i="6"/>
  <c r="AC49" i="6"/>
  <c r="AT49" i="6"/>
  <c r="BF49" i="6"/>
  <c r="W46" i="12"/>
  <c r="H51" i="6"/>
  <c r="T51" i="5" s="1"/>
  <c r="X51" i="5" s="1"/>
  <c r="J51" i="12"/>
  <c r="L51" i="12"/>
  <c r="K50" i="12"/>
  <c r="K52" i="5"/>
  <c r="E52" i="5"/>
  <c r="H52" i="5"/>
  <c r="N52" i="5"/>
  <c r="D52" i="6" s="1"/>
  <c r="G52" i="5"/>
  <c r="J52" i="5"/>
  <c r="AE52" i="5"/>
  <c r="F52" i="5"/>
  <c r="B52" i="5"/>
  <c r="A52" i="12"/>
  <c r="AD52" i="5"/>
  <c r="B52" i="6"/>
  <c r="W52" i="5"/>
  <c r="H52" i="12" s="1"/>
  <c r="C53" i="5"/>
  <c r="D52" i="5"/>
  <c r="B52" i="12" s="1"/>
  <c r="Y48" i="12"/>
  <c r="W48" i="12" s="1"/>
  <c r="B53" i="9"/>
  <c r="C49" i="7"/>
  <c r="B48" i="7"/>
  <c r="B51" i="10"/>
  <c r="G51" i="12"/>
  <c r="N48" i="12"/>
  <c r="C49" i="12"/>
  <c r="M49" i="12"/>
  <c r="O49" i="12"/>
  <c r="AO49" i="12"/>
  <c r="I50" i="12"/>
  <c r="L50" i="5"/>
  <c r="AM50" i="5"/>
  <c r="Z50" i="5"/>
  <c r="I50" i="5"/>
  <c r="AB49" i="5"/>
  <c r="C49" i="6"/>
  <c r="W47" i="12"/>
  <c r="X47" i="12"/>
  <c r="BE50" i="6" l="1"/>
  <c r="A51" i="6"/>
  <c r="M51" i="6" s="1"/>
  <c r="BB51" i="6" s="1"/>
  <c r="BA50" i="6"/>
  <c r="BB50" i="6"/>
  <c r="AU50" i="6"/>
  <c r="BG50" i="6"/>
  <c r="AN50" i="6"/>
  <c r="AD50" i="6"/>
  <c r="AI50" i="6"/>
  <c r="AQ50" i="6"/>
  <c r="AX50" i="6"/>
  <c r="AM50" i="6"/>
  <c r="AB50" i="6"/>
  <c r="AP50" i="6"/>
  <c r="AC50" i="6"/>
  <c r="BF50" i="6"/>
  <c r="AJ50" i="6"/>
  <c r="AZ50" i="6"/>
  <c r="AY50" i="6"/>
  <c r="AK50" i="6"/>
  <c r="AG50" i="6"/>
  <c r="AF50" i="6"/>
  <c r="BD50" i="6"/>
  <c r="AS50" i="6"/>
  <c r="BC50" i="6"/>
  <c r="AH50" i="6"/>
  <c r="AV50" i="6"/>
  <c r="AO50" i="6"/>
  <c r="AT50" i="6"/>
  <c r="V46" i="12"/>
  <c r="U46" i="12"/>
  <c r="T46" i="12"/>
  <c r="H52" i="6"/>
  <c r="T52" i="5" s="1"/>
  <c r="X52" i="5" s="1"/>
  <c r="K51" i="12"/>
  <c r="A53" i="12"/>
  <c r="B53" i="6"/>
  <c r="K53" i="5"/>
  <c r="B53" i="5"/>
  <c r="J53" i="5"/>
  <c r="W53" i="5"/>
  <c r="H53" i="12" s="1"/>
  <c r="H53" i="5"/>
  <c r="C54" i="5"/>
  <c r="D53" i="5"/>
  <c r="B53" i="12" s="1"/>
  <c r="N53" i="5"/>
  <c r="D53" i="6" s="1"/>
  <c r="G53" i="5"/>
  <c r="AE53" i="5"/>
  <c r="E53" i="5"/>
  <c r="AD53" i="5"/>
  <c r="F53" i="5"/>
  <c r="J52" i="12"/>
  <c r="L52" i="12"/>
  <c r="X48" i="12"/>
  <c r="N49" i="12"/>
  <c r="B52" i="10"/>
  <c r="B49" i="7"/>
  <c r="C50" i="7"/>
  <c r="B54" i="9"/>
  <c r="AB50" i="5"/>
  <c r="C50" i="6"/>
  <c r="U48" i="12"/>
  <c r="T48" i="12"/>
  <c r="V48" i="12"/>
  <c r="V47" i="12"/>
  <c r="U47" i="12"/>
  <c r="T47" i="12"/>
  <c r="C50" i="12"/>
  <c r="AO50" i="12"/>
  <c r="M50" i="12"/>
  <c r="O50" i="12"/>
  <c r="I51" i="12"/>
  <c r="L51" i="5"/>
  <c r="AM51" i="5"/>
  <c r="I51" i="5"/>
  <c r="Z51" i="5"/>
  <c r="G52" i="12"/>
  <c r="Y49" i="12"/>
  <c r="A52" i="6" l="1"/>
  <c r="M52" i="6" s="1"/>
  <c r="BD52" i="6" s="1"/>
  <c r="AR51" i="6"/>
  <c r="AQ51" i="6"/>
  <c r="BC51" i="6"/>
  <c r="AY51" i="6"/>
  <c r="AO51" i="6"/>
  <c r="BF51" i="6"/>
  <c r="AT51" i="6"/>
  <c r="AV51" i="6"/>
  <c r="AZ51" i="6"/>
  <c r="AD51" i="6"/>
  <c r="AJ51" i="6"/>
  <c r="AF51" i="6"/>
  <c r="AN51" i="6"/>
  <c r="BG51" i="6"/>
  <c r="AI51" i="6"/>
  <c r="AC51" i="6"/>
  <c r="AM51" i="6"/>
  <c r="BA51" i="6"/>
  <c r="AB51" i="6"/>
  <c r="AH51" i="6"/>
  <c r="AK51" i="6"/>
  <c r="AG51" i="6"/>
  <c r="AU51" i="6"/>
  <c r="AP51" i="6"/>
  <c r="AS51" i="6"/>
  <c r="AX51" i="6"/>
  <c r="BD51" i="6"/>
  <c r="BE51" i="6"/>
  <c r="H53" i="6"/>
  <c r="T53" i="5" s="1"/>
  <c r="X53" i="5" s="1"/>
  <c r="K52" i="12"/>
  <c r="A54" i="12"/>
  <c r="AE54" i="5"/>
  <c r="F54" i="5"/>
  <c r="D54" i="5"/>
  <c r="B54" i="12" s="1"/>
  <c r="B54" i="6"/>
  <c r="C55" i="5"/>
  <c r="N54" i="5"/>
  <c r="D54" i="6" s="1"/>
  <c r="H54" i="6" s="1"/>
  <c r="T54" i="5" s="1"/>
  <c r="B54" i="5"/>
  <c r="K54" i="5"/>
  <c r="W54" i="5"/>
  <c r="H54" i="12" s="1"/>
  <c r="J54" i="5"/>
  <c r="E54" i="5"/>
  <c r="G54" i="5"/>
  <c r="H54" i="5"/>
  <c r="AD54" i="5"/>
  <c r="L53" i="12"/>
  <c r="J53" i="12"/>
  <c r="N50" i="12"/>
  <c r="B55" i="9"/>
  <c r="B53" i="10"/>
  <c r="B50" i="7"/>
  <c r="C51" i="7"/>
  <c r="I52" i="12"/>
  <c r="L52" i="5"/>
  <c r="AM52" i="5"/>
  <c r="I52" i="5"/>
  <c r="Z52" i="5"/>
  <c r="G53" i="12"/>
  <c r="X49" i="12"/>
  <c r="W49" i="12"/>
  <c r="C51" i="6"/>
  <c r="AB51" i="5"/>
  <c r="C51" i="12"/>
  <c r="M51" i="12"/>
  <c r="AO51" i="12"/>
  <c r="O51" i="12"/>
  <c r="Y50" i="12"/>
  <c r="AY52" i="6" l="1"/>
  <c r="AQ52" i="6"/>
  <c r="AC52" i="6"/>
  <c r="BG52" i="6"/>
  <c r="BA52" i="6"/>
  <c r="AM52" i="6"/>
  <c r="AG52" i="6"/>
  <c r="A53" i="6"/>
  <c r="M53" i="6" s="1"/>
  <c r="AM53" i="6" s="1"/>
  <c r="AH52" i="6"/>
  <c r="AT52" i="6"/>
  <c r="AI52" i="6"/>
  <c r="AK52" i="6"/>
  <c r="AD52" i="6"/>
  <c r="BB52" i="6"/>
  <c r="BC52" i="6"/>
  <c r="AF52" i="6"/>
  <c r="AB52" i="6"/>
  <c r="AP52" i="6"/>
  <c r="AZ52" i="6"/>
  <c r="AO52" i="6"/>
  <c r="AV52" i="6"/>
  <c r="AR52" i="6"/>
  <c r="AS52" i="6"/>
  <c r="AJ52" i="6"/>
  <c r="AX52" i="6"/>
  <c r="AU52" i="6"/>
  <c r="AN52" i="6"/>
  <c r="BF52" i="6"/>
  <c r="BE52" i="6"/>
  <c r="C56" i="5"/>
  <c r="J55" i="5"/>
  <c r="N55" i="5"/>
  <c r="D55" i="6" s="1"/>
  <c r="H55" i="5"/>
  <c r="AE55" i="5"/>
  <c r="E55" i="5"/>
  <c r="D55" i="5"/>
  <c r="B55" i="12" s="1"/>
  <c r="A55" i="12"/>
  <c r="K55" i="5"/>
  <c r="B55" i="6"/>
  <c r="G55" i="5"/>
  <c r="B55" i="5"/>
  <c r="F55" i="5"/>
  <c r="W55" i="5"/>
  <c r="H55" i="12" s="1"/>
  <c r="AD55" i="5"/>
  <c r="K53" i="12"/>
  <c r="J54" i="12"/>
  <c r="L54" i="12"/>
  <c r="N51" i="12"/>
  <c r="B54" i="10"/>
  <c r="B56" i="9"/>
  <c r="C52" i="7"/>
  <c r="B51" i="7"/>
  <c r="I53" i="12"/>
  <c r="AM53" i="5"/>
  <c r="L53" i="5"/>
  <c r="I53" i="5"/>
  <c r="Z53" i="5"/>
  <c r="X50" i="12"/>
  <c r="W50" i="12"/>
  <c r="AB52" i="5"/>
  <c r="G54" i="12"/>
  <c r="X54" i="5"/>
  <c r="C52" i="6"/>
  <c r="C52" i="12"/>
  <c r="O52" i="12"/>
  <c r="M52" i="12"/>
  <c r="AO52" i="12"/>
  <c r="Y51" i="12"/>
  <c r="T49" i="12"/>
  <c r="V49" i="12"/>
  <c r="U49" i="12"/>
  <c r="AQ53" i="6" l="1"/>
  <c r="AG53" i="6"/>
  <c r="AJ53" i="6"/>
  <c r="AR53" i="6"/>
  <c r="AO53" i="6"/>
  <c r="AV53" i="6"/>
  <c r="BB53" i="6"/>
  <c r="BF53" i="6"/>
  <c r="AC53" i="6"/>
  <c r="BG53" i="6"/>
  <c r="AY53" i="6"/>
  <c r="AI53" i="6"/>
  <c r="AN53" i="6"/>
  <c r="AP53" i="6"/>
  <c r="AH53" i="6"/>
  <c r="BD53" i="6"/>
  <c r="BA53" i="6"/>
  <c r="AS53" i="6"/>
  <c r="AU53" i="6"/>
  <c r="BC53" i="6"/>
  <c r="BE53" i="6"/>
  <c r="A54" i="6"/>
  <c r="M54" i="6" s="1"/>
  <c r="BD54" i="6" s="1"/>
  <c r="AD53" i="6"/>
  <c r="AX53" i="6"/>
  <c r="AK53" i="6"/>
  <c r="AF53" i="6"/>
  <c r="AB53" i="6"/>
  <c r="AZ53" i="6"/>
  <c r="AT53" i="6"/>
  <c r="K54" i="12"/>
  <c r="H55" i="6"/>
  <c r="T55" i="5" s="1"/>
  <c r="X55" i="5" s="1"/>
  <c r="L55" i="12"/>
  <c r="J55" i="12"/>
  <c r="E56" i="5"/>
  <c r="B56" i="6"/>
  <c r="B56" i="5"/>
  <c r="C57" i="5"/>
  <c r="AE56" i="5"/>
  <c r="N56" i="5"/>
  <c r="D56" i="6" s="1"/>
  <c r="H56" i="6" s="1"/>
  <c r="T56" i="5" s="1"/>
  <c r="H56" i="5"/>
  <c r="AD56" i="5"/>
  <c r="F56" i="5"/>
  <c r="K56" i="5"/>
  <c r="D56" i="5"/>
  <c r="B56" i="12" s="1"/>
  <c r="G56" i="5"/>
  <c r="J56" i="5"/>
  <c r="W56" i="5"/>
  <c r="H56" i="12" s="1"/>
  <c r="A56" i="12"/>
  <c r="Y52" i="12"/>
  <c r="X52" i="12" s="1"/>
  <c r="C53" i="7"/>
  <c r="B52" i="7"/>
  <c r="B57" i="9"/>
  <c r="B55" i="10"/>
  <c r="I54" i="12"/>
  <c r="L54" i="5"/>
  <c r="AM54" i="5"/>
  <c r="I54" i="5"/>
  <c r="Z54" i="5"/>
  <c r="V50" i="12"/>
  <c r="U50" i="12"/>
  <c r="T50" i="12"/>
  <c r="AB53" i="5"/>
  <c r="X51" i="12"/>
  <c r="W51" i="12"/>
  <c r="G55" i="12"/>
  <c r="C53" i="6"/>
  <c r="N52" i="12"/>
  <c r="C53" i="12"/>
  <c r="AO53" i="12"/>
  <c r="M53" i="12"/>
  <c r="O53" i="12"/>
  <c r="BA54" i="6" l="1"/>
  <c r="AS54" i="6"/>
  <c r="AH54" i="6"/>
  <c r="AU54" i="6"/>
  <c r="AP54" i="6"/>
  <c r="AK54" i="6"/>
  <c r="AX54" i="6"/>
  <c r="AO54" i="6"/>
  <c r="AB54" i="6"/>
  <c r="BC54" i="6"/>
  <c r="AD54" i="6"/>
  <c r="AY54" i="6"/>
  <c r="AC54" i="6"/>
  <c r="AQ54" i="6"/>
  <c r="AG54" i="6"/>
  <c r="AZ54" i="6"/>
  <c r="AR54" i="6"/>
  <c r="BG54" i="6"/>
  <c r="AI54" i="6"/>
  <c r="AJ54" i="6"/>
  <c r="A55" i="6"/>
  <c r="M55" i="6" s="1"/>
  <c r="BA55" i="6" s="1"/>
  <c r="BE54" i="6"/>
  <c r="AV54" i="6"/>
  <c r="AM54" i="6"/>
  <c r="BB54" i="6"/>
  <c r="AT54" i="6"/>
  <c r="BF54" i="6"/>
  <c r="AN54" i="6"/>
  <c r="AF54" i="6"/>
  <c r="W52" i="12"/>
  <c r="V52" i="12" s="1"/>
  <c r="K55" i="12"/>
  <c r="AE57" i="5"/>
  <c r="G57" i="5"/>
  <c r="K57" i="5"/>
  <c r="H57" i="5"/>
  <c r="J57" i="5"/>
  <c r="C58" i="5"/>
  <c r="AD57" i="5"/>
  <c r="A57" i="12"/>
  <c r="F57" i="5"/>
  <c r="B57" i="6"/>
  <c r="E57" i="5"/>
  <c r="D57" i="5"/>
  <c r="B57" i="12" s="1"/>
  <c r="B57" i="5"/>
  <c r="W57" i="5"/>
  <c r="H57" i="12" s="1"/>
  <c r="N57" i="5"/>
  <c r="D57" i="6" s="1"/>
  <c r="H57" i="6" s="1"/>
  <c r="T57" i="5" s="1"/>
  <c r="J56" i="12"/>
  <c r="L56" i="12"/>
  <c r="N53" i="12"/>
  <c r="B56" i="10"/>
  <c r="B58" i="9"/>
  <c r="C54" i="7"/>
  <c r="B53" i="7"/>
  <c r="Y53" i="12"/>
  <c r="X53" i="12" s="1"/>
  <c r="V51" i="12"/>
  <c r="U51" i="12"/>
  <c r="T51" i="12"/>
  <c r="G56" i="12"/>
  <c r="X56" i="5"/>
  <c r="I55" i="12"/>
  <c r="AM55" i="5"/>
  <c r="L55" i="5"/>
  <c r="I55" i="5"/>
  <c r="Z55" i="5"/>
  <c r="AB54" i="5"/>
  <c r="C54" i="6"/>
  <c r="C54" i="12"/>
  <c r="AO54" i="12"/>
  <c r="M54" i="12"/>
  <c r="O54" i="12"/>
  <c r="AD55" i="6" l="1"/>
  <c r="A56" i="6"/>
  <c r="M56" i="6" s="1"/>
  <c r="AV56" i="6" s="1"/>
  <c r="AB55" i="6"/>
  <c r="AF55" i="6"/>
  <c r="BC55" i="6"/>
  <c r="BF55" i="6"/>
  <c r="AC55" i="6"/>
  <c r="AH55" i="6"/>
  <c r="AJ55" i="6"/>
  <c r="AK55" i="6"/>
  <c r="AS55" i="6"/>
  <c r="BB55" i="6"/>
  <c r="AV55" i="6"/>
  <c r="AQ55" i="6"/>
  <c r="AN55" i="6"/>
  <c r="AP55" i="6"/>
  <c r="AI55" i="6"/>
  <c r="AO55" i="6"/>
  <c r="AR55" i="6"/>
  <c r="BE55" i="6"/>
  <c r="AU55" i="6"/>
  <c r="AT55" i="6"/>
  <c r="AZ55" i="6"/>
  <c r="AG55" i="6"/>
  <c r="BD55" i="6"/>
  <c r="AY55" i="6"/>
  <c r="AX55" i="6"/>
  <c r="AM55" i="6"/>
  <c r="BG55" i="6"/>
  <c r="T52" i="12"/>
  <c r="U52" i="12"/>
  <c r="K56" i="12"/>
  <c r="L57" i="12"/>
  <c r="J57" i="12"/>
  <c r="J58" i="5"/>
  <c r="AE58" i="5"/>
  <c r="H58" i="5"/>
  <c r="AD58" i="5"/>
  <c r="W58" i="5"/>
  <c r="H58" i="12" s="1"/>
  <c r="A58" i="12"/>
  <c r="F58" i="5"/>
  <c r="B58" i="6"/>
  <c r="N58" i="5"/>
  <c r="D58" i="6" s="1"/>
  <c r="H58" i="6" s="1"/>
  <c r="T58" i="5" s="1"/>
  <c r="D58" i="5"/>
  <c r="B58" i="12" s="1"/>
  <c r="G58" i="5"/>
  <c r="C59" i="5"/>
  <c r="E58" i="5"/>
  <c r="K58" i="5"/>
  <c r="B58" i="5"/>
  <c r="N54" i="12"/>
  <c r="W53" i="12"/>
  <c r="U53" i="12" s="1"/>
  <c r="C55" i="7"/>
  <c r="B54" i="7"/>
  <c r="B59" i="9"/>
  <c r="B57" i="10"/>
  <c r="C55" i="6"/>
  <c r="G57" i="12"/>
  <c r="X57" i="5"/>
  <c r="Y54" i="12"/>
  <c r="AB55" i="5"/>
  <c r="I56" i="12"/>
  <c r="L56" i="5"/>
  <c r="AM56" i="5"/>
  <c r="Z56" i="5"/>
  <c r="I56" i="5"/>
  <c r="C55" i="12"/>
  <c r="M55" i="12"/>
  <c r="AO55" i="12"/>
  <c r="O55" i="12"/>
  <c r="AH56" i="6" l="1"/>
  <c r="AP56" i="6"/>
  <c r="AK56" i="6"/>
  <c r="BG56" i="6"/>
  <c r="AO56" i="6"/>
  <c r="BE56" i="6"/>
  <c r="AY56" i="6"/>
  <c r="A57" i="6"/>
  <c r="M57" i="6" s="1"/>
  <c r="AY57" i="6" s="1"/>
  <c r="AM56" i="6"/>
  <c r="AR56" i="6"/>
  <c r="AB56" i="6"/>
  <c r="BC56" i="6"/>
  <c r="BB56" i="6"/>
  <c r="AI56" i="6"/>
  <c r="AS56" i="6"/>
  <c r="BD56" i="6"/>
  <c r="AJ56" i="6"/>
  <c r="AX56" i="6"/>
  <c r="AU56" i="6"/>
  <c r="AN56" i="6"/>
  <c r="AC56" i="6"/>
  <c r="AF56" i="6"/>
  <c r="BF56" i="6"/>
  <c r="BA56" i="6"/>
  <c r="AG56" i="6"/>
  <c r="AZ56" i="6"/>
  <c r="AQ56" i="6"/>
  <c r="AT56" i="6"/>
  <c r="AD56" i="6"/>
  <c r="K57" i="12"/>
  <c r="L58" i="12"/>
  <c r="J58" i="12"/>
  <c r="B59" i="5"/>
  <c r="J59" i="5"/>
  <c r="F59" i="5"/>
  <c r="W59" i="5"/>
  <c r="H59" i="12" s="1"/>
  <c r="C60" i="5"/>
  <c r="C61" i="5" s="1"/>
  <c r="E59" i="5"/>
  <c r="AD59" i="5"/>
  <c r="G59" i="5"/>
  <c r="A59" i="12"/>
  <c r="D59" i="5"/>
  <c r="B59" i="12" s="1"/>
  <c r="AE59" i="5"/>
  <c r="H59" i="5"/>
  <c r="N59" i="5"/>
  <c r="D59" i="6" s="1"/>
  <c r="H59" i="6" s="1"/>
  <c r="T59" i="5" s="1"/>
  <c r="K59" i="5"/>
  <c r="B59" i="6"/>
  <c r="V53" i="12"/>
  <c r="T53" i="12"/>
  <c r="B60" i="9"/>
  <c r="B58" i="10"/>
  <c r="C56" i="7"/>
  <c r="B55" i="7"/>
  <c r="N55" i="12"/>
  <c r="C56" i="12"/>
  <c r="AO56" i="12"/>
  <c r="O56" i="12"/>
  <c r="M56" i="12"/>
  <c r="G58" i="12"/>
  <c r="X58" i="5"/>
  <c r="X54" i="12"/>
  <c r="W54" i="12"/>
  <c r="AB56" i="5"/>
  <c r="I57" i="12"/>
  <c r="AM57" i="5"/>
  <c r="L57" i="5"/>
  <c r="Z57" i="5"/>
  <c r="I57" i="5"/>
  <c r="Y55" i="12"/>
  <c r="C56" i="6"/>
  <c r="AF57" i="6" l="1"/>
  <c r="AN57" i="6"/>
  <c r="AQ57" i="6"/>
  <c r="AZ57" i="6"/>
  <c r="AT57" i="6"/>
  <c r="BD57" i="6"/>
  <c r="AG57" i="6"/>
  <c r="AS57" i="6"/>
  <c r="BC57" i="6"/>
  <c r="AB57" i="6"/>
  <c r="A58" i="6"/>
  <c r="M58" i="6" s="1"/>
  <c r="AO58" i="6" s="1"/>
  <c r="AU57" i="6"/>
  <c r="BG57" i="6"/>
  <c r="AO57" i="6"/>
  <c r="AH57" i="6"/>
  <c r="AJ57" i="6"/>
  <c r="BB57" i="6"/>
  <c r="AP57" i="6"/>
  <c r="AI57" i="6"/>
  <c r="AD57" i="6"/>
  <c r="BF57" i="6"/>
  <c r="BE57" i="6"/>
  <c r="AR57" i="6"/>
  <c r="AC57" i="6"/>
  <c r="AX57" i="6"/>
  <c r="AK57" i="6"/>
  <c r="BA57" i="6"/>
  <c r="AV57" i="6"/>
  <c r="AM57" i="6"/>
  <c r="D61" i="5"/>
  <c r="B61" i="12" s="1"/>
  <c r="K61" i="5"/>
  <c r="W61" i="5"/>
  <c r="J61" i="5"/>
  <c r="AE61" i="5"/>
  <c r="B61" i="6"/>
  <c r="AD61" i="5"/>
  <c r="A61" i="12"/>
  <c r="N61" i="5"/>
  <c r="K58" i="12"/>
  <c r="K60" i="5"/>
  <c r="E60" i="5"/>
  <c r="E61" i="5" s="1"/>
  <c r="J60" i="5"/>
  <c r="D60" i="5"/>
  <c r="B60" i="12" s="1"/>
  <c r="H60" i="5"/>
  <c r="H61" i="5" s="1"/>
  <c r="AE60" i="5"/>
  <c r="A60" i="12"/>
  <c r="AD60" i="5"/>
  <c r="W60" i="5"/>
  <c r="H60" i="12" s="1"/>
  <c r="N60" i="5"/>
  <c r="D60" i="6" s="1"/>
  <c r="H60" i="6" s="1"/>
  <c r="T60" i="5" s="1"/>
  <c r="B60" i="5"/>
  <c r="B61" i="5" s="1"/>
  <c r="G60" i="5"/>
  <c r="G61" i="5" s="1"/>
  <c r="F60" i="5"/>
  <c r="F61" i="5" s="1"/>
  <c r="B60" i="6"/>
  <c r="C62" i="5"/>
  <c r="J59" i="12"/>
  <c r="L59" i="12"/>
  <c r="B56" i="7"/>
  <c r="C57" i="7"/>
  <c r="B59" i="10"/>
  <c r="B61" i="9"/>
  <c r="I58" i="12"/>
  <c r="L58" i="5"/>
  <c r="AM58" i="5"/>
  <c r="Z58" i="5"/>
  <c r="I58" i="5"/>
  <c r="X55" i="12"/>
  <c r="W55" i="12"/>
  <c r="AB57" i="5"/>
  <c r="V54" i="12"/>
  <c r="U54" i="12"/>
  <c r="T54" i="12"/>
  <c r="C57" i="6"/>
  <c r="N56" i="12"/>
  <c r="C57" i="12"/>
  <c r="O57" i="12"/>
  <c r="AO57" i="12"/>
  <c r="M57" i="12"/>
  <c r="Y56" i="12"/>
  <c r="G59" i="12"/>
  <c r="X59" i="5"/>
  <c r="AD58" i="6" l="1"/>
  <c r="AZ58" i="6"/>
  <c r="AY58" i="6"/>
  <c r="AI58" i="6"/>
  <c r="AN58" i="6"/>
  <c r="A59" i="6"/>
  <c r="M59" i="6" s="1"/>
  <c r="AU59" i="6" s="1"/>
  <c r="BG58" i="6"/>
  <c r="AR58" i="6"/>
  <c r="BD58" i="6"/>
  <c r="AG58" i="6"/>
  <c r="BE58" i="6"/>
  <c r="AK58" i="6"/>
  <c r="AU58" i="6"/>
  <c r="AM58" i="6"/>
  <c r="AQ58" i="6"/>
  <c r="BA58" i="6"/>
  <c r="AX58" i="6"/>
  <c r="BB58" i="6"/>
  <c r="AF58" i="6"/>
  <c r="AB58" i="6"/>
  <c r="AV58" i="6"/>
  <c r="AS58" i="6"/>
  <c r="BC58" i="6"/>
  <c r="AT58" i="6"/>
  <c r="BF58" i="6"/>
  <c r="AC58" i="6"/>
  <c r="AP58" i="6"/>
  <c r="AJ58" i="6"/>
  <c r="AH58" i="6"/>
  <c r="D61" i="6"/>
  <c r="L61" i="12"/>
  <c r="J61" i="12"/>
  <c r="K59" i="12"/>
  <c r="B62" i="5"/>
  <c r="J62" i="5"/>
  <c r="N62" i="5"/>
  <c r="D62" i="6" s="1"/>
  <c r="H62" i="6" s="1"/>
  <c r="T62" i="5" s="1"/>
  <c r="AE62" i="5"/>
  <c r="G62" i="5"/>
  <c r="W62" i="5"/>
  <c r="H62" i="12" s="1"/>
  <c r="E62" i="5"/>
  <c r="C63" i="5"/>
  <c r="D62" i="5"/>
  <c r="B62" i="12" s="1"/>
  <c r="H62" i="5"/>
  <c r="A62" i="12"/>
  <c r="K62" i="5"/>
  <c r="AD62" i="5"/>
  <c r="F62" i="5"/>
  <c r="B62" i="6"/>
  <c r="J60" i="12"/>
  <c r="L60" i="12"/>
  <c r="Y57" i="12"/>
  <c r="W57" i="12" s="1"/>
  <c r="B62" i="9"/>
  <c r="B60" i="10"/>
  <c r="B57" i="7"/>
  <c r="C58" i="7"/>
  <c r="V55" i="12"/>
  <c r="U55" i="12"/>
  <c r="T55" i="12"/>
  <c r="AB58" i="5"/>
  <c r="N57" i="12"/>
  <c r="C58" i="6"/>
  <c r="I59" i="12"/>
  <c r="L59" i="5"/>
  <c r="AM59" i="5"/>
  <c r="Z59" i="5"/>
  <c r="I59" i="5"/>
  <c r="C58" i="12"/>
  <c r="M58" i="12"/>
  <c r="AO58" i="12"/>
  <c r="O58" i="12"/>
  <c r="G60" i="12"/>
  <c r="X60" i="5"/>
  <c r="X56" i="12"/>
  <c r="W56" i="12"/>
  <c r="BF59" i="6" l="1"/>
  <c r="AX59" i="6"/>
  <c r="BE59" i="6"/>
  <c r="A60" i="6"/>
  <c r="M60" i="6" s="1"/>
  <c r="AF60" i="6" s="1"/>
  <c r="BC59" i="6"/>
  <c r="AJ59" i="6"/>
  <c r="AZ59" i="6"/>
  <c r="AC59" i="6"/>
  <c r="AV59" i="6"/>
  <c r="BA59" i="6"/>
  <c r="AG59" i="6"/>
  <c r="AS59" i="6"/>
  <c r="AT59" i="6"/>
  <c r="AO59" i="6"/>
  <c r="AB59" i="6"/>
  <c r="AI59" i="6"/>
  <c r="BG59" i="6"/>
  <c r="AF59" i="6"/>
  <c r="AP59" i="6"/>
  <c r="AK59" i="6"/>
  <c r="AN59" i="6"/>
  <c r="AY59" i="6"/>
  <c r="AR59" i="6"/>
  <c r="BD59" i="6"/>
  <c r="BB59" i="6"/>
  <c r="AM59" i="6"/>
  <c r="AQ59" i="6"/>
  <c r="AD59" i="6"/>
  <c r="AH59" i="6"/>
  <c r="K61" i="12"/>
  <c r="H61" i="6"/>
  <c r="T61" i="5" s="1"/>
  <c r="X61" i="5" s="1"/>
  <c r="K60" i="12"/>
  <c r="G63" i="5"/>
  <c r="B63" i="5"/>
  <c r="AE63" i="5"/>
  <c r="A63" i="12"/>
  <c r="F63" i="5"/>
  <c r="AD63" i="5"/>
  <c r="B63" i="6"/>
  <c r="N63" i="5"/>
  <c r="D63" i="6" s="1"/>
  <c r="W63" i="5"/>
  <c r="H63" i="12" s="1"/>
  <c r="K63" i="5"/>
  <c r="E63" i="5"/>
  <c r="J63" i="5"/>
  <c r="D63" i="5"/>
  <c r="B63" i="12" s="1"/>
  <c r="H63" i="5"/>
  <c r="J62" i="12"/>
  <c r="L62" i="12"/>
  <c r="X57" i="12"/>
  <c r="C59" i="7"/>
  <c r="B58" i="7"/>
  <c r="B61" i="10"/>
  <c r="B63" i="9"/>
  <c r="N58" i="12"/>
  <c r="C59" i="12"/>
  <c r="M59" i="12"/>
  <c r="O59" i="12"/>
  <c r="AO59" i="12"/>
  <c r="Y58" i="12"/>
  <c r="V56" i="12"/>
  <c r="T56" i="12"/>
  <c r="U56" i="12"/>
  <c r="I60" i="12"/>
  <c r="L60" i="5"/>
  <c r="AM60" i="5"/>
  <c r="I60" i="5"/>
  <c r="Z60" i="5"/>
  <c r="V57" i="12"/>
  <c r="U57" i="12"/>
  <c r="T57" i="12"/>
  <c r="C59" i="6"/>
  <c r="G62" i="12"/>
  <c r="X62" i="5"/>
  <c r="AB59" i="5"/>
  <c r="AN60" i="6" l="1"/>
  <c r="AI60" i="6"/>
  <c r="AY60" i="6"/>
  <c r="BB60" i="6"/>
  <c r="AR60" i="6"/>
  <c r="BG60" i="6"/>
  <c r="AO60" i="6"/>
  <c r="AQ60" i="6"/>
  <c r="BA60" i="6"/>
  <c r="AB60" i="6"/>
  <c r="AM60" i="6"/>
  <c r="AS60" i="6"/>
  <c r="AZ60" i="6"/>
  <c r="BC60" i="6"/>
  <c r="AK60" i="6"/>
  <c r="AH60" i="6"/>
  <c r="AP60" i="6"/>
  <c r="BD60" i="6"/>
  <c r="AX60" i="6"/>
  <c r="BF60" i="6"/>
  <c r="BE60" i="6"/>
  <c r="AJ60" i="6"/>
  <c r="AU60" i="6"/>
  <c r="AC60" i="6"/>
  <c r="AT60" i="6"/>
  <c r="AV60" i="6"/>
  <c r="AG60" i="6"/>
  <c r="AD60" i="6"/>
  <c r="A61" i="6"/>
  <c r="M61" i="6" s="1"/>
  <c r="AB61" i="6" s="1"/>
  <c r="L61" i="5"/>
  <c r="I61" i="12"/>
  <c r="AM61" i="5"/>
  <c r="Z61" i="5"/>
  <c r="I61" i="5"/>
  <c r="I62" i="5" s="1"/>
  <c r="H63" i="6"/>
  <c r="T63" i="5" s="1"/>
  <c r="X63" i="5" s="1"/>
  <c r="K62" i="12"/>
  <c r="L63" i="12"/>
  <c r="J63" i="12"/>
  <c r="C64" i="5"/>
  <c r="Y59" i="12"/>
  <c r="X59" i="12" s="1"/>
  <c r="C60" i="7"/>
  <c r="B59" i="7"/>
  <c r="B64" i="9"/>
  <c r="B62" i="10"/>
  <c r="C60" i="12"/>
  <c r="M60" i="12"/>
  <c r="O60" i="12"/>
  <c r="AO60" i="12"/>
  <c r="I62" i="12"/>
  <c r="AM62" i="5"/>
  <c r="L62" i="5"/>
  <c r="Z62" i="5"/>
  <c r="N59" i="12"/>
  <c r="W58" i="12"/>
  <c r="X58" i="12"/>
  <c r="G63" i="12"/>
  <c r="AB60" i="5"/>
  <c r="C60" i="6"/>
  <c r="A62" i="6" l="1"/>
  <c r="M62" i="6" s="1"/>
  <c r="AX62" i="6" s="1"/>
  <c r="AF61" i="6"/>
  <c r="AI61" i="6"/>
  <c r="AB61" i="5"/>
  <c r="AC61" i="6"/>
  <c r="C61" i="12"/>
  <c r="O61" i="12"/>
  <c r="AO61" i="12"/>
  <c r="M61" i="12"/>
  <c r="AG61" i="6"/>
  <c r="C61" i="6"/>
  <c r="AJ61" i="6"/>
  <c r="AD61" i="6"/>
  <c r="AH61" i="6"/>
  <c r="BE61" i="6"/>
  <c r="BC61" i="6"/>
  <c r="BA61" i="6"/>
  <c r="BF61" i="6"/>
  <c r="AO61" i="6"/>
  <c r="AV61" i="6"/>
  <c r="AT61" i="6"/>
  <c r="AR61" i="6"/>
  <c r="AN61" i="6"/>
  <c r="BG61" i="6"/>
  <c r="AY61" i="6"/>
  <c r="BD61" i="6"/>
  <c r="BB61" i="6"/>
  <c r="AZ61" i="6"/>
  <c r="AP61" i="6"/>
  <c r="AU61" i="6"/>
  <c r="AS61" i="6"/>
  <c r="AQ61" i="6"/>
  <c r="AM61" i="6"/>
  <c r="AX61" i="6"/>
  <c r="AK61" i="6"/>
  <c r="AE64" i="5"/>
  <c r="AD64" i="5"/>
  <c r="A64" i="12"/>
  <c r="E64" i="5"/>
  <c r="N64" i="5"/>
  <c r="D64" i="6" s="1"/>
  <c r="H64" i="6" s="1"/>
  <c r="T64" i="5" s="1"/>
  <c r="F64" i="5"/>
  <c r="C65" i="5"/>
  <c r="W64" i="5"/>
  <c r="H64" i="12" s="1"/>
  <c r="B64" i="5"/>
  <c r="H64" i="5"/>
  <c r="B64" i="6"/>
  <c r="G64" i="5"/>
  <c r="K63" i="12"/>
  <c r="W59" i="12"/>
  <c r="V59" i="12" s="1"/>
  <c r="N60" i="12"/>
  <c r="B63" i="10"/>
  <c r="C61" i="7"/>
  <c r="B60" i="7"/>
  <c r="Y60" i="12"/>
  <c r="X60" i="12" s="1"/>
  <c r="AB62" i="5"/>
  <c r="C62" i="6"/>
  <c r="C62" i="12"/>
  <c r="AO62" i="12"/>
  <c r="O62" i="12"/>
  <c r="M62" i="12"/>
  <c r="U58" i="12"/>
  <c r="T58" i="12"/>
  <c r="V58" i="12"/>
  <c r="I63" i="12"/>
  <c r="L63" i="5"/>
  <c r="AM63" i="5"/>
  <c r="I63" i="5"/>
  <c r="Z63" i="5"/>
  <c r="AV62" i="6" l="1"/>
  <c r="AY62" i="6"/>
  <c r="AR62" i="6"/>
  <c r="AG62" i="6"/>
  <c r="AF62" i="6"/>
  <c r="BG62" i="6"/>
  <c r="AK62" i="6"/>
  <c r="BB62" i="6"/>
  <c r="AN62" i="6"/>
  <c r="AP62" i="6"/>
  <c r="BC62" i="6"/>
  <c r="AS62" i="6"/>
  <c r="AC62" i="6"/>
  <c r="AI62" i="6"/>
  <c r="AU62" i="6"/>
  <c r="AO62" i="6"/>
  <c r="AQ62" i="6"/>
  <c r="AD62" i="6"/>
  <c r="BD62" i="6"/>
  <c r="AH62" i="6"/>
  <c r="AJ62" i="6"/>
  <c r="AM62" i="6"/>
  <c r="AZ62" i="6"/>
  <c r="BF62" i="6"/>
  <c r="A63" i="6"/>
  <c r="M63" i="6" s="1"/>
  <c r="BD63" i="6" s="1"/>
  <c r="AB62" i="6"/>
  <c r="BA62" i="6"/>
  <c r="AT62" i="6"/>
  <c r="BE62" i="6"/>
  <c r="Y61" i="12"/>
  <c r="W61" i="12" s="1"/>
  <c r="N61" i="12"/>
  <c r="AD65" i="5"/>
  <c r="D65" i="5"/>
  <c r="B65" i="12" s="1"/>
  <c r="N65" i="5"/>
  <c r="D65" i="6" s="1"/>
  <c r="H65" i="6" s="1"/>
  <c r="T65" i="5" s="1"/>
  <c r="G65" i="5"/>
  <c r="K65" i="5"/>
  <c r="W65" i="5"/>
  <c r="H65" i="12" s="1"/>
  <c r="F65" i="5"/>
  <c r="J65" i="5"/>
  <c r="E65" i="5"/>
  <c r="H65" i="5"/>
  <c r="B65" i="6"/>
  <c r="AE65" i="5"/>
  <c r="C66" i="5"/>
  <c r="A65" i="12"/>
  <c r="B65" i="5"/>
  <c r="T59" i="12"/>
  <c r="U59" i="12"/>
  <c r="C62" i="7"/>
  <c r="B61" i="7"/>
  <c r="W60" i="12"/>
  <c r="T60" i="12" s="1"/>
  <c r="B64" i="10"/>
  <c r="Y62" i="12"/>
  <c r="W62" i="12" s="1"/>
  <c r="C63" i="6"/>
  <c r="C63" i="12"/>
  <c r="O63" i="12"/>
  <c r="AO63" i="12"/>
  <c r="M63" i="12"/>
  <c r="G64" i="12"/>
  <c r="AB63" i="5"/>
  <c r="N62" i="12"/>
  <c r="AP63" i="6" l="1"/>
  <c r="AK63" i="6"/>
  <c r="AV63" i="6"/>
  <c r="BA63" i="6"/>
  <c r="AI63" i="6"/>
  <c r="BE63" i="6"/>
  <c r="AH63" i="6"/>
  <c r="AD63" i="6"/>
  <c r="AQ63" i="6"/>
  <c r="AO63" i="6"/>
  <c r="AX63" i="6"/>
  <c r="AJ63" i="6"/>
  <c r="AB63" i="6"/>
  <c r="AT63" i="6"/>
  <c r="AC63" i="6"/>
  <c r="AY63" i="6"/>
  <c r="AG63" i="6"/>
  <c r="AR63" i="6"/>
  <c r="AS63" i="6"/>
  <c r="BG63" i="6"/>
  <c r="AF63" i="6"/>
  <c r="AZ63" i="6"/>
  <c r="BB63" i="6"/>
  <c r="AU63" i="6"/>
  <c r="AN63" i="6"/>
  <c r="AM63" i="6"/>
  <c r="BC63" i="6"/>
  <c r="BF63" i="6"/>
  <c r="X61" i="12"/>
  <c r="A64" i="6"/>
  <c r="M64" i="6" s="1"/>
  <c r="AB64" i="6" s="1"/>
  <c r="V61" i="12"/>
  <c r="U61" i="12"/>
  <c r="T61" i="12"/>
  <c r="W66" i="5"/>
  <c r="H66" i="12" s="1"/>
  <c r="AD66" i="5"/>
  <c r="N66" i="5"/>
  <c r="D66" i="6" s="1"/>
  <c r="E66" i="5"/>
  <c r="F66" i="5"/>
  <c r="C67" i="5"/>
  <c r="K66" i="5"/>
  <c r="D66" i="5"/>
  <c r="B66" i="12" s="1"/>
  <c r="AE66" i="5"/>
  <c r="J66" i="5"/>
  <c r="B66" i="5"/>
  <c r="B66" i="6"/>
  <c r="A66" i="12"/>
  <c r="H66" i="5"/>
  <c r="G66" i="5"/>
  <c r="J65" i="12"/>
  <c r="L65" i="12"/>
  <c r="U60" i="12"/>
  <c r="V60" i="12"/>
  <c r="X62" i="12"/>
  <c r="Y63" i="12"/>
  <c r="W63" i="12" s="1"/>
  <c r="B62" i="7"/>
  <c r="C63" i="7"/>
  <c r="G65" i="12"/>
  <c r="X65" i="5"/>
  <c r="V62" i="12"/>
  <c r="U62" i="12"/>
  <c r="T62" i="12"/>
  <c r="N63" i="12"/>
  <c r="AF64" i="6" l="1"/>
  <c r="BF64" i="6"/>
  <c r="BG64" i="6"/>
  <c r="BB64" i="6"/>
  <c r="AT64" i="6"/>
  <c r="BC64" i="6"/>
  <c r="AS64" i="6"/>
  <c r="AJ64" i="6"/>
  <c r="AX64" i="6"/>
  <c r="AK64" i="6"/>
  <c r="AG64" i="6"/>
  <c r="AM64" i="6"/>
  <c r="AZ64" i="6"/>
  <c r="AQ64" i="6"/>
  <c r="A65" i="6"/>
  <c r="M65" i="6" s="1"/>
  <c r="BE65" i="6" s="1"/>
  <c r="AN64" i="6"/>
  <c r="AV64" i="6"/>
  <c r="BA64" i="6"/>
  <c r="AU64" i="6"/>
  <c r="AP64" i="6"/>
  <c r="AI64" i="6"/>
  <c r="BE64" i="6"/>
  <c r="AO64" i="6"/>
  <c r="AH64" i="6"/>
  <c r="AC64" i="6"/>
  <c r="BD64" i="6"/>
  <c r="AY64" i="6"/>
  <c r="AD64" i="6"/>
  <c r="AR64" i="6"/>
  <c r="K65" i="12"/>
  <c r="H66" i="6"/>
  <c r="T66" i="5" s="1"/>
  <c r="X66" i="5" s="1"/>
  <c r="A67" i="12"/>
  <c r="E67" i="5"/>
  <c r="B67" i="6"/>
  <c r="AE67" i="5"/>
  <c r="AD67" i="5"/>
  <c r="B67" i="5"/>
  <c r="D67" i="5"/>
  <c r="B67" i="12" s="1"/>
  <c r="C68" i="5"/>
  <c r="J67" i="5"/>
  <c r="W67" i="5"/>
  <c r="H67" i="12" s="1"/>
  <c r="H67" i="5"/>
  <c r="K67" i="5"/>
  <c r="F67" i="5"/>
  <c r="N67" i="5"/>
  <c r="D67" i="6" s="1"/>
  <c r="H67" i="6" s="1"/>
  <c r="T67" i="5" s="1"/>
  <c r="G67" i="5"/>
  <c r="J66" i="12"/>
  <c r="L66" i="12"/>
  <c r="X63" i="12"/>
  <c r="B63" i="7"/>
  <c r="C64" i="7"/>
  <c r="B64" i="7" s="1"/>
  <c r="I65" i="12"/>
  <c r="L65" i="5"/>
  <c r="AM65" i="5"/>
  <c r="Z65" i="5"/>
  <c r="V63" i="12"/>
  <c r="T63" i="12"/>
  <c r="U63" i="12"/>
  <c r="G66" i="12"/>
  <c r="AZ65" i="6" l="1"/>
  <c r="AU65" i="6"/>
  <c r="AK65" i="6"/>
  <c r="BC65" i="6"/>
  <c r="AI65" i="6"/>
  <c r="AY65" i="6"/>
  <c r="A66" i="6"/>
  <c r="M66" i="6" s="1"/>
  <c r="AN66" i="6" s="1"/>
  <c r="AG65" i="6"/>
  <c r="AM65" i="6"/>
  <c r="BF65" i="6"/>
  <c r="AP65" i="6"/>
  <c r="AF65" i="6"/>
  <c r="AD65" i="6"/>
  <c r="AH65" i="6"/>
  <c r="BA65" i="6"/>
  <c r="AO65" i="6"/>
  <c r="BD65" i="6"/>
  <c r="AN65" i="6"/>
  <c r="AT65" i="6"/>
  <c r="AV65" i="6"/>
  <c r="BG65" i="6"/>
  <c r="AQ65" i="6"/>
  <c r="AC65" i="6"/>
  <c r="AX65" i="6"/>
  <c r="AJ65" i="6"/>
  <c r="AB65" i="6"/>
  <c r="AR65" i="6"/>
  <c r="AS65" i="6"/>
  <c r="BB65" i="6"/>
  <c r="B68" i="6"/>
  <c r="E68" i="5"/>
  <c r="W68" i="5"/>
  <c r="H68" i="12" s="1"/>
  <c r="AE68" i="5"/>
  <c r="G68" i="5"/>
  <c r="D68" i="5"/>
  <c r="B68" i="12" s="1"/>
  <c r="K68" i="5"/>
  <c r="J68" i="5"/>
  <c r="N68" i="5"/>
  <c r="D68" i="6" s="1"/>
  <c r="H68" i="6" s="1"/>
  <c r="T68" i="5" s="1"/>
  <c r="B68" i="5"/>
  <c r="C69" i="5" s="1"/>
  <c r="H68" i="5"/>
  <c r="AD68" i="5"/>
  <c r="F68" i="5"/>
  <c r="A68" i="12"/>
  <c r="K66" i="12"/>
  <c r="J67" i="12"/>
  <c r="L67" i="12"/>
  <c r="AB65" i="5"/>
  <c r="G67" i="12"/>
  <c r="X67" i="5"/>
  <c r="C65" i="6"/>
  <c r="C65" i="12"/>
  <c r="O65" i="12"/>
  <c r="AO65" i="12"/>
  <c r="M65" i="12"/>
  <c r="I66" i="12"/>
  <c r="L66" i="5"/>
  <c r="AM66" i="5"/>
  <c r="Z66" i="5"/>
  <c r="A67" i="6" l="1"/>
  <c r="M67" i="6" s="1"/>
  <c r="AZ67" i="6" s="1"/>
  <c r="BA66" i="6"/>
  <c r="AD66" i="6"/>
  <c r="AX66" i="6"/>
  <c r="BE66" i="6"/>
  <c r="AG66" i="6"/>
  <c r="AH66" i="6"/>
  <c r="AZ66" i="6"/>
  <c r="AV66" i="6"/>
  <c r="AU66" i="6"/>
  <c r="AK66" i="6"/>
  <c r="AQ66" i="6"/>
  <c r="AI66" i="6"/>
  <c r="BB66" i="6"/>
  <c r="AY66" i="6"/>
  <c r="AO66" i="6"/>
  <c r="AF66" i="6"/>
  <c r="BG66" i="6"/>
  <c r="AM66" i="6"/>
  <c r="AP66" i="6"/>
  <c r="AS66" i="6"/>
  <c r="AB66" i="6"/>
  <c r="BD66" i="6"/>
  <c r="AC66" i="6"/>
  <c r="AT66" i="6"/>
  <c r="BF66" i="6"/>
  <c r="AR66" i="6"/>
  <c r="AJ66" i="6"/>
  <c r="BC66" i="6"/>
  <c r="K67" i="12"/>
  <c r="A69" i="12"/>
  <c r="H69" i="5"/>
  <c r="B69" i="6"/>
  <c r="G69" i="5"/>
  <c r="AD69" i="5"/>
  <c r="F69" i="5"/>
  <c r="E69" i="5"/>
  <c r="N69" i="5"/>
  <c r="D69" i="6" s="1"/>
  <c r="H69" i="6" s="1"/>
  <c r="T69" i="5" s="1"/>
  <c r="B69" i="5"/>
  <c r="AE69" i="5"/>
  <c r="C70" i="5"/>
  <c r="W69" i="5"/>
  <c r="H69" i="12" s="1"/>
  <c r="L68" i="12"/>
  <c r="J68" i="12"/>
  <c r="Y65" i="12"/>
  <c r="X65" i="12" s="1"/>
  <c r="AB66" i="5"/>
  <c r="C66" i="12"/>
  <c r="O66" i="12"/>
  <c r="AO66" i="12"/>
  <c r="M66" i="12"/>
  <c r="N65" i="12"/>
  <c r="C66" i="6"/>
  <c r="G68" i="12"/>
  <c r="X68" i="5"/>
  <c r="I67" i="12"/>
  <c r="AM67" i="5"/>
  <c r="L67" i="5"/>
  <c r="Z67" i="5"/>
  <c r="A68" i="6" l="1"/>
  <c r="M68" i="6" s="1"/>
  <c r="AQ68" i="6" s="1"/>
  <c r="BF67" i="6"/>
  <c r="AS67" i="6"/>
  <c r="BD67" i="6"/>
  <c r="AC67" i="6"/>
  <c r="AY67" i="6"/>
  <c r="AK67" i="6"/>
  <c r="AD67" i="6"/>
  <c r="AM67" i="6"/>
  <c r="AP67" i="6"/>
  <c r="BG67" i="6"/>
  <c r="AN67" i="6"/>
  <c r="BB67" i="6"/>
  <c r="BC67" i="6"/>
  <c r="AI67" i="6"/>
  <c r="AF67" i="6"/>
  <c r="AX67" i="6"/>
  <c r="AR67" i="6"/>
  <c r="AT67" i="6"/>
  <c r="BA67" i="6"/>
  <c r="AB67" i="6"/>
  <c r="AV67" i="6"/>
  <c r="AQ67" i="6"/>
  <c r="BE67" i="6"/>
  <c r="AH67" i="6"/>
  <c r="AJ67" i="6"/>
  <c r="AU67" i="6"/>
  <c r="AG67" i="6"/>
  <c r="AO67" i="6"/>
  <c r="K68" i="12"/>
  <c r="C71" i="5"/>
  <c r="J70" i="5"/>
  <c r="A70" i="12"/>
  <c r="N70" i="5"/>
  <c r="D70" i="6" s="1"/>
  <c r="H70" i="6" s="1"/>
  <c r="T70" i="5" s="1"/>
  <c r="B70" i="6"/>
  <c r="K70" i="5"/>
  <c r="AE70" i="5"/>
  <c r="D70" i="5"/>
  <c r="B70" i="12" s="1"/>
  <c r="H70" i="5"/>
  <c r="B70" i="5"/>
  <c r="F70" i="5"/>
  <c r="AD70" i="5"/>
  <c r="G70" i="5"/>
  <c r="W70" i="5"/>
  <c r="H70" i="12" s="1"/>
  <c r="E70" i="5"/>
  <c r="W65" i="12"/>
  <c r="T65" i="12" s="1"/>
  <c r="Y66" i="12"/>
  <c r="X66" i="12" s="1"/>
  <c r="AB67" i="5"/>
  <c r="C67" i="6"/>
  <c r="C67" i="12"/>
  <c r="AO67" i="12"/>
  <c r="M67" i="12"/>
  <c r="O67" i="12"/>
  <c r="N66" i="12"/>
  <c r="I68" i="12"/>
  <c r="AM68" i="5"/>
  <c r="L68" i="5"/>
  <c r="Z68" i="5"/>
  <c r="G69" i="12"/>
  <c r="BE68" i="6" l="1"/>
  <c r="BG68" i="6"/>
  <c r="AM68" i="6"/>
  <c r="AY68" i="6"/>
  <c r="AU68" i="6"/>
  <c r="A69" i="6"/>
  <c r="M69" i="6" s="1"/>
  <c r="BC68" i="6"/>
  <c r="AJ68" i="6"/>
  <c r="AN68" i="6"/>
  <c r="AH68" i="6"/>
  <c r="AD68" i="6"/>
  <c r="AV68" i="6"/>
  <c r="AX68" i="6"/>
  <c r="AZ68" i="6"/>
  <c r="AS68" i="6"/>
  <c r="BB68" i="6"/>
  <c r="AO68" i="6"/>
  <c r="BA68" i="6"/>
  <c r="BD68" i="6"/>
  <c r="AG68" i="6"/>
  <c r="AR68" i="6"/>
  <c r="AB68" i="6"/>
  <c r="AF68" i="6"/>
  <c r="AK68" i="6"/>
  <c r="AI68" i="6"/>
  <c r="AP68" i="6"/>
  <c r="BF68" i="6"/>
  <c r="AT68" i="6"/>
  <c r="AC68" i="6"/>
  <c r="U65" i="12"/>
  <c r="V65" i="12"/>
  <c r="J70" i="12"/>
  <c r="L70" i="12"/>
  <c r="E71" i="5"/>
  <c r="K71" i="5"/>
  <c r="W71" i="5"/>
  <c r="H71" i="12" s="1"/>
  <c r="G71" i="5"/>
  <c r="N71" i="5"/>
  <c r="D71" i="6" s="1"/>
  <c r="AE71" i="5"/>
  <c r="B71" i="6"/>
  <c r="C72" i="5"/>
  <c r="B71" i="5"/>
  <c r="H71" i="5"/>
  <c r="D71" i="5"/>
  <c r="B71" i="12" s="1"/>
  <c r="A71" i="12"/>
  <c r="J71" i="5"/>
  <c r="AD71" i="5"/>
  <c r="F71" i="5"/>
  <c r="W66" i="12"/>
  <c r="T66" i="12" s="1"/>
  <c r="N67" i="12"/>
  <c r="Y67" i="12"/>
  <c r="C68" i="6"/>
  <c r="C68" i="12"/>
  <c r="AO68" i="12"/>
  <c r="O68" i="12"/>
  <c r="M68" i="12"/>
  <c r="G70" i="12"/>
  <c r="X70" i="5"/>
  <c r="AB68" i="5"/>
  <c r="A70" i="6" l="1"/>
  <c r="M70" i="6" s="1"/>
  <c r="AR70" i="6" s="1"/>
  <c r="H71" i="6"/>
  <c r="T71" i="5" s="1"/>
  <c r="X71" i="5" s="1"/>
  <c r="K70" i="12"/>
  <c r="V66" i="12"/>
  <c r="A72" i="12"/>
  <c r="B72" i="5"/>
  <c r="E72" i="5"/>
  <c r="N72" i="5"/>
  <c r="D72" i="6" s="1"/>
  <c r="H72" i="6" s="1"/>
  <c r="T72" i="5" s="1"/>
  <c r="B72" i="6"/>
  <c r="W72" i="5"/>
  <c r="H72" i="12" s="1"/>
  <c r="D72" i="5"/>
  <c r="B72" i="12" s="1"/>
  <c r="G72" i="5"/>
  <c r="K72" i="5"/>
  <c r="AD72" i="5"/>
  <c r="F72" i="5"/>
  <c r="J72" i="5"/>
  <c r="H72" i="5"/>
  <c r="AE72" i="5"/>
  <c r="C73" i="5"/>
  <c r="BA69" i="6"/>
  <c r="AQ69" i="6"/>
  <c r="BF69" i="6"/>
  <c r="AG69" i="6"/>
  <c r="AF69" i="6"/>
  <c r="BD69" i="6"/>
  <c r="AO69" i="6"/>
  <c r="AS69" i="6"/>
  <c r="AV69" i="6"/>
  <c r="AX69" i="6"/>
  <c r="AM69" i="6"/>
  <c r="AY69" i="6"/>
  <c r="AR69" i="6"/>
  <c r="BB69" i="6"/>
  <c r="BG69" i="6"/>
  <c r="AK69" i="6"/>
  <c r="AI69" i="6"/>
  <c r="AN69" i="6"/>
  <c r="BE69" i="6"/>
  <c r="AU69" i="6"/>
  <c r="AT69" i="6"/>
  <c r="AB69" i="6"/>
  <c r="AZ69" i="6"/>
  <c r="AH69" i="6"/>
  <c r="BC69" i="6"/>
  <c r="AC69" i="6"/>
  <c r="AP69" i="6"/>
  <c r="AJ69" i="6"/>
  <c r="AD69" i="6"/>
  <c r="L71" i="12"/>
  <c r="J71" i="12"/>
  <c r="U66" i="12"/>
  <c r="Y68" i="12"/>
  <c r="X68" i="12" s="1"/>
  <c r="I70" i="12"/>
  <c r="AM70" i="5"/>
  <c r="L70" i="5"/>
  <c r="Z70" i="5"/>
  <c r="X67" i="12"/>
  <c r="W67" i="12"/>
  <c r="N68" i="12"/>
  <c r="G71" i="12"/>
  <c r="A71" i="6" l="1"/>
  <c r="M71" i="6" s="1"/>
  <c r="AN71" i="6" s="1"/>
  <c r="AZ70" i="6"/>
  <c r="AK70" i="6"/>
  <c r="AX70" i="6"/>
  <c r="AD70" i="6"/>
  <c r="AG70" i="6"/>
  <c r="AS70" i="6"/>
  <c r="AQ70" i="6"/>
  <c r="AC70" i="6"/>
  <c r="AV70" i="6"/>
  <c r="BA70" i="6"/>
  <c r="AI70" i="6"/>
  <c r="BF70" i="6"/>
  <c r="AO70" i="6"/>
  <c r="AF70" i="6"/>
  <c r="AH70" i="6"/>
  <c r="BD70" i="6"/>
  <c r="AP70" i="6"/>
  <c r="BC70" i="6"/>
  <c r="AN70" i="6"/>
  <c r="BE70" i="6"/>
  <c r="BG70" i="6"/>
  <c r="AU70" i="6"/>
  <c r="AY70" i="6"/>
  <c r="AT70" i="6"/>
  <c r="BB70" i="6"/>
  <c r="AB70" i="6"/>
  <c r="AM70" i="6"/>
  <c r="AJ70" i="6"/>
  <c r="K71" i="12"/>
  <c r="J72" i="12"/>
  <c r="L72" i="12"/>
  <c r="B73" i="6"/>
  <c r="AD73" i="5"/>
  <c r="J73" i="5"/>
  <c r="W73" i="5"/>
  <c r="H73" i="12" s="1"/>
  <c r="G73" i="5"/>
  <c r="E73" i="5"/>
  <c r="AE73" i="5"/>
  <c r="H73" i="5"/>
  <c r="B73" i="5"/>
  <c r="F73" i="5"/>
  <c r="N73" i="5"/>
  <c r="D73" i="6" s="1"/>
  <c r="C74" i="5"/>
  <c r="D73" i="5"/>
  <c r="B73" i="12" s="1"/>
  <c r="A73" i="12"/>
  <c r="K73" i="5"/>
  <c r="W68" i="12"/>
  <c r="U68" i="12" s="1"/>
  <c r="V67" i="12"/>
  <c r="T67" i="12"/>
  <c r="U67" i="12"/>
  <c r="I71" i="12"/>
  <c r="L71" i="5"/>
  <c r="AM71" i="5"/>
  <c r="Z71" i="5"/>
  <c r="AB70" i="5"/>
  <c r="C70" i="6"/>
  <c r="G72" i="12"/>
  <c r="X72" i="5"/>
  <c r="C70" i="12"/>
  <c r="AO70" i="12"/>
  <c r="M70" i="12"/>
  <c r="O70" i="12"/>
  <c r="AV71" i="6" l="1"/>
  <c r="BC71" i="6"/>
  <c r="BA71" i="6"/>
  <c r="AU71" i="6"/>
  <c r="AG71" i="6"/>
  <c r="AJ71" i="6"/>
  <c r="AB71" i="6"/>
  <c r="AO71" i="6"/>
  <c r="A72" i="6"/>
  <c r="M72" i="6" s="1"/>
  <c r="AR72" i="6" s="1"/>
  <c r="BE71" i="6"/>
  <c r="AQ71" i="6"/>
  <c r="AF71" i="6"/>
  <c r="AR71" i="6"/>
  <c r="AH71" i="6"/>
  <c r="AY71" i="6"/>
  <c r="AM71" i="6"/>
  <c r="AS71" i="6"/>
  <c r="AD71" i="6"/>
  <c r="AI71" i="6"/>
  <c r="AX71" i="6"/>
  <c r="BF71" i="6"/>
  <c r="BB71" i="6"/>
  <c r="AK71" i="6"/>
  <c r="AC71" i="6"/>
  <c r="AT71" i="6"/>
  <c r="AZ71" i="6"/>
  <c r="AP71" i="6"/>
  <c r="BD71" i="6"/>
  <c r="BG71" i="6"/>
  <c r="H73" i="6"/>
  <c r="T73" i="5" s="1"/>
  <c r="X73" i="5" s="1"/>
  <c r="K72" i="12"/>
  <c r="L73" i="12"/>
  <c r="J73" i="12"/>
  <c r="A74" i="12"/>
  <c r="D74" i="5"/>
  <c r="B74" i="12" s="1"/>
  <c r="AD74" i="5"/>
  <c r="N74" i="5"/>
  <c r="D74" i="6" s="1"/>
  <c r="B74" i="6"/>
  <c r="J74" i="5"/>
  <c r="B74" i="5"/>
  <c r="H74" i="5"/>
  <c r="C75" i="5"/>
  <c r="F74" i="5"/>
  <c r="E74" i="5"/>
  <c r="K74" i="5"/>
  <c r="G74" i="5"/>
  <c r="AE74" i="5"/>
  <c r="W74" i="5"/>
  <c r="H74" i="12" s="1"/>
  <c r="V68" i="12"/>
  <c r="T68" i="12"/>
  <c r="N70" i="12"/>
  <c r="G73" i="12"/>
  <c r="AB71" i="5"/>
  <c r="C71" i="6"/>
  <c r="C71" i="12"/>
  <c r="O71" i="12"/>
  <c r="AO71" i="12"/>
  <c r="M71" i="12"/>
  <c r="Y70" i="12"/>
  <c r="I72" i="12"/>
  <c r="L72" i="5"/>
  <c r="AM72" i="5"/>
  <c r="Z72" i="5"/>
  <c r="A73" i="6" l="1"/>
  <c r="M73" i="6" s="1"/>
  <c r="BD73" i="6" s="1"/>
  <c r="BG72" i="6"/>
  <c r="AS72" i="6"/>
  <c r="AO72" i="6"/>
  <c r="BC72" i="6"/>
  <c r="AN72" i="6"/>
  <c r="AF72" i="6"/>
  <c r="AV72" i="6"/>
  <c r="BF72" i="6"/>
  <c r="BA72" i="6"/>
  <c r="AB72" i="6"/>
  <c r="AP72" i="6"/>
  <c r="AJ72" i="6"/>
  <c r="AM72" i="6"/>
  <c r="BE72" i="6"/>
  <c r="BD72" i="6"/>
  <c r="AT72" i="6"/>
  <c r="BB72" i="6"/>
  <c r="AX72" i="6"/>
  <c r="AI72" i="6"/>
  <c r="AZ72" i="6"/>
  <c r="AQ72" i="6"/>
  <c r="AK72" i="6"/>
  <c r="AU72" i="6"/>
  <c r="AH72" i="6"/>
  <c r="AD72" i="6"/>
  <c r="AY72" i="6"/>
  <c r="AG72" i="6"/>
  <c r="AC72" i="6"/>
  <c r="H74" i="6"/>
  <c r="T74" i="5" s="1"/>
  <c r="X74" i="5" s="1"/>
  <c r="K73" i="12"/>
  <c r="D75" i="5"/>
  <c r="B75" i="12" s="1"/>
  <c r="J75" i="5"/>
  <c r="W75" i="5"/>
  <c r="H75" i="12" s="1"/>
  <c r="N75" i="5"/>
  <c r="D75" i="6" s="1"/>
  <c r="H75" i="6" s="1"/>
  <c r="T75" i="5" s="1"/>
  <c r="K75" i="5"/>
  <c r="F75" i="5"/>
  <c r="H75" i="5"/>
  <c r="AE75" i="5"/>
  <c r="G75" i="5"/>
  <c r="A75" i="12"/>
  <c r="E75" i="5"/>
  <c r="B75" i="6"/>
  <c r="C76" i="5"/>
  <c r="B75" i="5"/>
  <c r="AD75" i="5"/>
  <c r="L74" i="12"/>
  <c r="J74" i="12"/>
  <c r="Y71" i="12"/>
  <c r="X71" i="12" s="1"/>
  <c r="C72" i="6"/>
  <c r="G74" i="12"/>
  <c r="N71" i="12"/>
  <c r="X70" i="12"/>
  <c r="W70" i="12"/>
  <c r="C72" i="12"/>
  <c r="O72" i="12"/>
  <c r="AO72" i="12"/>
  <c r="M72" i="12"/>
  <c r="AB72" i="5"/>
  <c r="I73" i="12"/>
  <c r="L73" i="5"/>
  <c r="AM73" i="5"/>
  <c r="Z73" i="5"/>
  <c r="A74" i="6" l="1"/>
  <c r="M74" i="6" s="1"/>
  <c r="AR74" i="6" s="1"/>
  <c r="AH73" i="6"/>
  <c r="AZ73" i="6"/>
  <c r="AF73" i="6"/>
  <c r="AU73" i="6"/>
  <c r="AC73" i="6"/>
  <c r="AO73" i="6"/>
  <c r="AK73" i="6"/>
  <c r="AD73" i="6"/>
  <c r="AI73" i="6"/>
  <c r="AG73" i="6"/>
  <c r="AB73" i="6"/>
  <c r="AT73" i="6"/>
  <c r="AS73" i="6"/>
  <c r="BG73" i="6"/>
  <c r="BC73" i="6"/>
  <c r="BA73" i="6"/>
  <c r="AQ73" i="6"/>
  <c r="AP73" i="6"/>
  <c r="AM73" i="6"/>
  <c r="AY73" i="6"/>
  <c r="AN73" i="6"/>
  <c r="BB73" i="6"/>
  <c r="AV73" i="6"/>
  <c r="AJ73" i="6"/>
  <c r="AX73" i="6"/>
  <c r="BE73" i="6"/>
  <c r="AR73" i="6"/>
  <c r="BF73" i="6"/>
  <c r="K74" i="12"/>
  <c r="J75" i="12"/>
  <c r="L75" i="12"/>
  <c r="N76" i="5"/>
  <c r="D76" i="6" s="1"/>
  <c r="H76" i="6" s="1"/>
  <c r="T76" i="5" s="1"/>
  <c r="AD76" i="5"/>
  <c r="C77" i="5"/>
  <c r="K76" i="5"/>
  <c r="J76" i="5"/>
  <c r="D76" i="5"/>
  <c r="B76" i="12" s="1"/>
  <c r="H76" i="5"/>
  <c r="B76" i="5"/>
  <c r="G76" i="5"/>
  <c r="AE76" i="5"/>
  <c r="A76" i="12"/>
  <c r="F76" i="5"/>
  <c r="B76" i="6"/>
  <c r="E76" i="5"/>
  <c r="W76" i="5"/>
  <c r="H76" i="12" s="1"/>
  <c r="W71" i="12"/>
  <c r="V71" i="12" s="1"/>
  <c r="Y72" i="12"/>
  <c r="X72" i="12" s="1"/>
  <c r="N72" i="12"/>
  <c r="C73" i="12"/>
  <c r="O73" i="12"/>
  <c r="AO73" i="12"/>
  <c r="M73" i="12"/>
  <c r="G75" i="12"/>
  <c r="X75" i="5"/>
  <c r="I74" i="12"/>
  <c r="AM74" i="5"/>
  <c r="L74" i="5"/>
  <c r="Z74" i="5"/>
  <c r="C73" i="6"/>
  <c r="AB73" i="5"/>
  <c r="V70" i="12"/>
  <c r="U70" i="12"/>
  <c r="T70" i="12"/>
  <c r="BD74" i="6" l="1"/>
  <c r="AK74" i="6"/>
  <c r="AC74" i="6"/>
  <c r="AH74" i="6"/>
  <c r="AM74" i="6"/>
  <c r="BB74" i="6"/>
  <c r="AN74" i="6"/>
  <c r="AT74" i="6"/>
  <c r="AG74" i="6"/>
  <c r="BA74" i="6"/>
  <c r="AX74" i="6"/>
  <c r="BG74" i="6"/>
  <c r="AQ74" i="6"/>
  <c r="AD74" i="6"/>
  <c r="AY74" i="6"/>
  <c r="A75" i="6"/>
  <c r="M75" i="6" s="1"/>
  <c r="AG75" i="6" s="1"/>
  <c r="AP74" i="6"/>
  <c r="BC74" i="6"/>
  <c r="AB74" i="6"/>
  <c r="BE74" i="6"/>
  <c r="AU74" i="6"/>
  <c r="AV74" i="6"/>
  <c r="AO74" i="6"/>
  <c r="AZ74" i="6"/>
  <c r="AJ74" i="6"/>
  <c r="AS74" i="6"/>
  <c r="BF74" i="6"/>
  <c r="AF74" i="6"/>
  <c r="AI74" i="6"/>
  <c r="K75" i="12"/>
  <c r="J76" i="12"/>
  <c r="L76" i="12"/>
  <c r="AE77" i="5"/>
  <c r="G77" i="5"/>
  <c r="AD77" i="5"/>
  <c r="K77" i="5"/>
  <c r="B77" i="5"/>
  <c r="C78" i="5"/>
  <c r="D77" i="5"/>
  <c r="B77" i="12" s="1"/>
  <c r="E77" i="5"/>
  <c r="F77" i="5"/>
  <c r="W77" i="5"/>
  <c r="H77" i="12" s="1"/>
  <c r="J77" i="5"/>
  <c r="A77" i="12"/>
  <c r="B77" i="6"/>
  <c r="N77" i="5"/>
  <c r="D77" i="6" s="1"/>
  <c r="H77" i="5"/>
  <c r="W72" i="12"/>
  <c r="T72" i="12" s="1"/>
  <c r="T71" i="12"/>
  <c r="U71" i="12"/>
  <c r="Y73" i="12"/>
  <c r="X73" i="12" s="1"/>
  <c r="AB74" i="5"/>
  <c r="C74" i="6"/>
  <c r="N73" i="12"/>
  <c r="C74" i="12"/>
  <c r="O74" i="12"/>
  <c r="M74" i="12"/>
  <c r="AO74" i="12"/>
  <c r="G76" i="12"/>
  <c r="X76" i="5"/>
  <c r="I75" i="12"/>
  <c r="L75" i="5"/>
  <c r="AM75" i="5"/>
  <c r="Z75" i="5"/>
  <c r="BC75" i="6" l="1"/>
  <c r="AS75" i="6"/>
  <c r="AQ75" i="6"/>
  <c r="BD75" i="6"/>
  <c r="BE75" i="6"/>
  <c r="BG75" i="6"/>
  <c r="A76" i="6"/>
  <c r="M76" i="6" s="1"/>
  <c r="AV76" i="6" s="1"/>
  <c r="AZ75" i="6"/>
  <c r="AB75" i="6"/>
  <c r="AH75" i="6"/>
  <c r="AK75" i="6"/>
  <c r="AC75" i="6"/>
  <c r="AD75" i="6"/>
  <c r="AX75" i="6"/>
  <c r="BB75" i="6"/>
  <c r="AJ75" i="6"/>
  <c r="AI75" i="6"/>
  <c r="AT75" i="6"/>
  <c r="AU75" i="6"/>
  <c r="AO75" i="6"/>
  <c r="BF75" i="6"/>
  <c r="AF75" i="6"/>
  <c r="BA75" i="6"/>
  <c r="AR75" i="6"/>
  <c r="AV75" i="6"/>
  <c r="AN75" i="6"/>
  <c r="AP75" i="6"/>
  <c r="AM75" i="6"/>
  <c r="AY75" i="6"/>
  <c r="H77" i="6"/>
  <c r="T77" i="5" s="1"/>
  <c r="X77" i="5" s="1"/>
  <c r="K76" i="12"/>
  <c r="N78" i="5"/>
  <c r="D78" i="6" s="1"/>
  <c r="B78" i="5"/>
  <c r="W78" i="5"/>
  <c r="H78" i="12" s="1"/>
  <c r="G78" i="5"/>
  <c r="K78" i="5"/>
  <c r="E78" i="5"/>
  <c r="J78" i="5"/>
  <c r="D78" i="5"/>
  <c r="B78" i="12" s="1"/>
  <c r="A78" i="12"/>
  <c r="H78" i="5"/>
  <c r="C79" i="5"/>
  <c r="AD78" i="5"/>
  <c r="F78" i="5"/>
  <c r="B78" i="6"/>
  <c r="AE78" i="5"/>
  <c r="J77" i="12"/>
  <c r="L77" i="12"/>
  <c r="U72" i="12"/>
  <c r="V72" i="12"/>
  <c r="W73" i="12"/>
  <c r="T73" i="12" s="1"/>
  <c r="Y74" i="12"/>
  <c r="X74" i="12" s="1"/>
  <c r="I76" i="12"/>
  <c r="L76" i="5"/>
  <c r="AM76" i="5"/>
  <c r="Z76" i="5"/>
  <c r="N74" i="12"/>
  <c r="C75" i="6"/>
  <c r="AB75" i="5"/>
  <c r="C75" i="12"/>
  <c r="O75" i="12"/>
  <c r="M75" i="12"/>
  <c r="AO75" i="12"/>
  <c r="G77" i="12"/>
  <c r="AC76" i="6" l="1"/>
  <c r="AS76" i="6"/>
  <c r="AY76" i="6"/>
  <c r="AG76" i="6"/>
  <c r="AF76" i="6"/>
  <c r="AI76" i="6"/>
  <c r="A77" i="6"/>
  <c r="M77" i="6" s="1"/>
  <c r="AR77" i="6" s="1"/>
  <c r="BD76" i="6"/>
  <c r="AH76" i="6"/>
  <c r="AN76" i="6"/>
  <c r="AR76" i="6"/>
  <c r="BA76" i="6"/>
  <c r="AP76" i="6"/>
  <c r="AO76" i="6"/>
  <c r="AB76" i="6"/>
  <c r="AJ76" i="6"/>
  <c r="BF76" i="6"/>
  <c r="AD76" i="6"/>
  <c r="BB76" i="6"/>
  <c r="AZ76" i="6"/>
  <c r="AX76" i="6"/>
  <c r="AT76" i="6"/>
  <c r="BG76" i="6"/>
  <c r="BC76" i="6"/>
  <c r="AQ76" i="6"/>
  <c r="AM76" i="6"/>
  <c r="AU76" i="6"/>
  <c r="AK76" i="6"/>
  <c r="BE76" i="6"/>
  <c r="H78" i="6"/>
  <c r="T78" i="5" s="1"/>
  <c r="X78" i="5" s="1"/>
  <c r="K77" i="12"/>
  <c r="D79" i="5"/>
  <c r="B79" i="12" s="1"/>
  <c r="AE79" i="5"/>
  <c r="K79" i="5"/>
  <c r="B79" i="5"/>
  <c r="C80" i="5"/>
  <c r="J79" i="5"/>
  <c r="B79" i="6"/>
  <c r="H79" i="5"/>
  <c r="N79" i="5"/>
  <c r="D79" i="6" s="1"/>
  <c r="AD79" i="5"/>
  <c r="G79" i="5"/>
  <c r="W79" i="5"/>
  <c r="H79" i="12" s="1"/>
  <c r="A79" i="12"/>
  <c r="F79" i="5"/>
  <c r="E79" i="5"/>
  <c r="L78" i="12"/>
  <c r="J78" i="12"/>
  <c r="Y75" i="12"/>
  <c r="X75" i="12" s="1"/>
  <c r="U73" i="12"/>
  <c r="V73" i="12"/>
  <c r="W74" i="12"/>
  <c r="V74" i="12" s="1"/>
  <c r="N75" i="12"/>
  <c r="G78" i="12"/>
  <c r="AB76" i="5"/>
  <c r="I77" i="12"/>
  <c r="AM77" i="5"/>
  <c r="L77" i="5"/>
  <c r="Z77" i="5"/>
  <c r="C76" i="6"/>
  <c r="C76" i="12"/>
  <c r="AO76" i="12"/>
  <c r="M76" i="12"/>
  <c r="O76" i="12"/>
  <c r="A78" i="6" l="1"/>
  <c r="M78" i="6" s="1"/>
  <c r="AO78" i="6" s="1"/>
  <c r="AK77" i="6"/>
  <c r="AF77" i="6"/>
  <c r="AD77" i="6"/>
  <c r="AS77" i="6"/>
  <c r="AO77" i="6"/>
  <c r="AX77" i="6"/>
  <c r="BB77" i="6"/>
  <c r="BA77" i="6"/>
  <c r="BD77" i="6"/>
  <c r="AJ77" i="6"/>
  <c r="AB77" i="6"/>
  <c r="AY77" i="6"/>
  <c r="AH77" i="6"/>
  <c r="AG77" i="6"/>
  <c r="AV77" i="6"/>
  <c r="AQ77" i="6"/>
  <c r="AC77" i="6"/>
  <c r="AU77" i="6"/>
  <c r="AM77" i="6"/>
  <c r="BF77" i="6"/>
  <c r="AZ77" i="6"/>
  <c r="AP77" i="6"/>
  <c r="AT77" i="6"/>
  <c r="AI77" i="6"/>
  <c r="BC77" i="6"/>
  <c r="BG77" i="6"/>
  <c r="AN77" i="6"/>
  <c r="BE77" i="6"/>
  <c r="K78" i="12"/>
  <c r="H79" i="6"/>
  <c r="T79" i="5" s="1"/>
  <c r="X79" i="5" s="1"/>
  <c r="J79" i="12"/>
  <c r="L79" i="12"/>
  <c r="B80" i="5"/>
  <c r="C81" i="5" s="1"/>
  <c r="E80" i="5"/>
  <c r="W80" i="5"/>
  <c r="H80" i="12" s="1"/>
  <c r="F80" i="5"/>
  <c r="J80" i="5"/>
  <c r="AE80" i="5"/>
  <c r="AD80" i="5"/>
  <c r="D80" i="5"/>
  <c r="B80" i="12" s="1"/>
  <c r="B80" i="6"/>
  <c r="N80" i="5"/>
  <c r="D80" i="6" s="1"/>
  <c r="H80" i="6" s="1"/>
  <c r="T80" i="5" s="1"/>
  <c r="A80" i="12"/>
  <c r="K80" i="5"/>
  <c r="H80" i="5"/>
  <c r="G80" i="5"/>
  <c r="W75" i="12"/>
  <c r="V75" i="12" s="1"/>
  <c r="T74" i="12"/>
  <c r="U74" i="12"/>
  <c r="N76" i="12"/>
  <c r="G79" i="12"/>
  <c r="AB77" i="5"/>
  <c r="C77" i="12"/>
  <c r="O77" i="12"/>
  <c r="M77" i="12"/>
  <c r="AO77" i="12"/>
  <c r="I78" i="12"/>
  <c r="L78" i="5"/>
  <c r="AM78" i="5"/>
  <c r="Z78" i="5"/>
  <c r="C77" i="6"/>
  <c r="Y76" i="12"/>
  <c r="AQ78" i="6" l="1"/>
  <c r="AS78" i="6"/>
  <c r="AC78" i="6"/>
  <c r="AM78" i="6"/>
  <c r="AT78" i="6"/>
  <c r="AP78" i="6"/>
  <c r="A79" i="6"/>
  <c r="M79" i="6" s="1"/>
  <c r="AZ79" i="6" s="1"/>
  <c r="AH78" i="6"/>
  <c r="BA78" i="6"/>
  <c r="AG78" i="6"/>
  <c r="BD78" i="6"/>
  <c r="AY78" i="6"/>
  <c r="BG78" i="6"/>
  <c r="AV78" i="6"/>
  <c r="AZ78" i="6"/>
  <c r="BF78" i="6"/>
  <c r="BC78" i="6"/>
  <c r="AD78" i="6"/>
  <c r="AN78" i="6"/>
  <c r="AK78" i="6"/>
  <c r="AF78" i="6"/>
  <c r="AJ78" i="6"/>
  <c r="AX78" i="6"/>
  <c r="AB78" i="6"/>
  <c r="AR78" i="6"/>
  <c r="AI78" i="6"/>
  <c r="BB78" i="6"/>
  <c r="AU78" i="6"/>
  <c r="BE78" i="6"/>
  <c r="K79" i="12"/>
  <c r="J80" i="12"/>
  <c r="L80" i="12"/>
  <c r="N81" i="5"/>
  <c r="D81" i="6" s="1"/>
  <c r="H81" i="6" s="1"/>
  <c r="T81" i="5" s="1"/>
  <c r="B81" i="5"/>
  <c r="A81" i="12"/>
  <c r="AE81" i="5"/>
  <c r="G81" i="5"/>
  <c r="F81" i="5"/>
  <c r="C82" i="5"/>
  <c r="C83" i="5" s="1"/>
  <c r="AD81" i="5"/>
  <c r="H81" i="5"/>
  <c r="B81" i="6"/>
  <c r="E81" i="5"/>
  <c r="W81" i="5"/>
  <c r="H81" i="12" s="1"/>
  <c r="T75" i="12"/>
  <c r="U75" i="12"/>
  <c r="Y77" i="12"/>
  <c r="X77" i="12" s="1"/>
  <c r="N77" i="12"/>
  <c r="C78" i="6"/>
  <c r="G80" i="12"/>
  <c r="X80" i="5"/>
  <c r="W76" i="12"/>
  <c r="X76" i="12"/>
  <c r="I79" i="12"/>
  <c r="AM79" i="5"/>
  <c r="L79" i="5"/>
  <c r="Z79" i="5"/>
  <c r="AB78" i="5"/>
  <c r="C78" i="12"/>
  <c r="M78" i="12"/>
  <c r="AO78" i="12"/>
  <c r="O78" i="12"/>
  <c r="AD83" i="5" l="1"/>
  <c r="B83" i="6"/>
  <c r="A83" i="12"/>
  <c r="N83" i="5"/>
  <c r="D83" i="5"/>
  <c r="B83" i="12" s="1"/>
  <c r="K83" i="5"/>
  <c r="C84" i="5"/>
  <c r="C85" i="5" s="1"/>
  <c r="AE83" i="5"/>
  <c r="W83" i="5"/>
  <c r="J83" i="5"/>
  <c r="AF79" i="6"/>
  <c r="A80" i="6"/>
  <c r="M80" i="6" s="1"/>
  <c r="AM80" i="6" s="1"/>
  <c r="AK79" i="6"/>
  <c r="AU79" i="6"/>
  <c r="BF79" i="6"/>
  <c r="AR79" i="6"/>
  <c r="AM79" i="6"/>
  <c r="BC79" i="6"/>
  <c r="BE79" i="6"/>
  <c r="BD79" i="6"/>
  <c r="AG79" i="6"/>
  <c r="AB79" i="6"/>
  <c r="BG79" i="6"/>
  <c r="AY79" i="6"/>
  <c r="AC79" i="6"/>
  <c r="AV79" i="6"/>
  <c r="AQ79" i="6"/>
  <c r="BA79" i="6"/>
  <c r="BB79" i="6"/>
  <c r="AS79" i="6"/>
  <c r="AD79" i="6"/>
  <c r="AJ79" i="6"/>
  <c r="AP79" i="6"/>
  <c r="AO79" i="6"/>
  <c r="AT79" i="6"/>
  <c r="AN79" i="6"/>
  <c r="AX79" i="6"/>
  <c r="AI79" i="6"/>
  <c r="AH79" i="6"/>
  <c r="K80" i="12"/>
  <c r="D82" i="5"/>
  <c r="B82" i="12" s="1"/>
  <c r="N82" i="5"/>
  <c r="D82" i="6" s="1"/>
  <c r="H82" i="6" s="1"/>
  <c r="T82" i="5" s="1"/>
  <c r="AE82" i="5"/>
  <c r="K82" i="5"/>
  <c r="B82" i="5"/>
  <c r="B83" i="5" s="1"/>
  <c r="J82" i="5"/>
  <c r="E82" i="5"/>
  <c r="E83" i="5" s="1"/>
  <c r="H82" i="5"/>
  <c r="H83" i="5" s="1"/>
  <c r="AD82" i="5"/>
  <c r="B82" i="6"/>
  <c r="G82" i="5"/>
  <c r="G83" i="5" s="1"/>
  <c r="W82" i="5"/>
  <c r="H82" i="12" s="1"/>
  <c r="A82" i="12"/>
  <c r="F82" i="5"/>
  <c r="F83" i="5" s="1"/>
  <c r="N78" i="12"/>
  <c r="W77" i="12"/>
  <c r="T77" i="12" s="1"/>
  <c r="C79" i="12"/>
  <c r="M79" i="12"/>
  <c r="O79" i="12"/>
  <c r="AO79" i="12"/>
  <c r="AB79" i="5"/>
  <c r="I80" i="12"/>
  <c r="L80" i="5"/>
  <c r="AM80" i="5"/>
  <c r="Z80" i="5"/>
  <c r="G81" i="12"/>
  <c r="C79" i="6"/>
  <c r="V76" i="12"/>
  <c r="U76" i="12"/>
  <c r="T76" i="12"/>
  <c r="Y78" i="12"/>
  <c r="D83" i="6" l="1"/>
  <c r="W84" i="5"/>
  <c r="J84" i="5"/>
  <c r="B84" i="5"/>
  <c r="B85" i="5" s="1"/>
  <c r="C86" i="5" s="1"/>
  <c r="AE84" i="5"/>
  <c r="B84" i="6"/>
  <c r="AD84" i="5"/>
  <c r="H84" i="5"/>
  <c r="H85" i="5" s="1"/>
  <c r="G84" i="5"/>
  <c r="G85" i="5" s="1"/>
  <c r="F84" i="5"/>
  <c r="F85" i="5" s="1"/>
  <c r="A84" i="12"/>
  <c r="N84" i="5"/>
  <c r="E84" i="5"/>
  <c r="E85" i="5" s="1"/>
  <c r="K84" i="5"/>
  <c r="D84" i="5"/>
  <c r="B84" i="12" s="1"/>
  <c r="L83" i="12"/>
  <c r="J83" i="12"/>
  <c r="AH80" i="6"/>
  <c r="AC80" i="6"/>
  <c r="AY80" i="6"/>
  <c r="AD80" i="6"/>
  <c r="BB80" i="6"/>
  <c r="AI80" i="6"/>
  <c r="AO80" i="6"/>
  <c r="AQ80" i="6"/>
  <c r="BA80" i="6"/>
  <c r="BD80" i="6"/>
  <c r="AG80" i="6"/>
  <c r="AB80" i="6"/>
  <c r="AR80" i="6"/>
  <c r="AN80" i="6"/>
  <c r="AP80" i="6"/>
  <c r="BG80" i="6"/>
  <c r="AF80" i="6"/>
  <c r="AT80" i="6"/>
  <c r="BC80" i="6"/>
  <c r="AX80" i="6"/>
  <c r="AV80" i="6"/>
  <c r="BF80" i="6"/>
  <c r="AJ80" i="6"/>
  <c r="AK80" i="6"/>
  <c r="AZ80" i="6"/>
  <c r="BE80" i="6"/>
  <c r="A81" i="6"/>
  <c r="M81" i="6" s="1"/>
  <c r="BG81" i="6" s="1"/>
  <c r="AS80" i="6"/>
  <c r="AU80" i="6"/>
  <c r="BC81" i="6"/>
  <c r="AT81" i="6"/>
  <c r="AZ81" i="6"/>
  <c r="BF81" i="6"/>
  <c r="BD81" i="6"/>
  <c r="N85" i="5"/>
  <c r="D85" i="6" s="1"/>
  <c r="H85" i="6" s="1"/>
  <c r="T85" i="5" s="1"/>
  <c r="J85" i="5"/>
  <c r="A85" i="12"/>
  <c r="B85" i="6"/>
  <c r="AE85" i="5"/>
  <c r="W85" i="5"/>
  <c r="H85" i="12" s="1"/>
  <c r="D85" i="5"/>
  <c r="B85" i="12" s="1"/>
  <c r="K85" i="5"/>
  <c r="AD85" i="5"/>
  <c r="J82" i="12"/>
  <c r="L82" i="12"/>
  <c r="U77" i="12"/>
  <c r="V77" i="12"/>
  <c r="N79" i="12"/>
  <c r="Y79" i="12"/>
  <c r="W79" i="12" s="1"/>
  <c r="AB80" i="5"/>
  <c r="C80" i="6"/>
  <c r="C80" i="12"/>
  <c r="AO80" i="12"/>
  <c r="O80" i="12"/>
  <c r="M80" i="12"/>
  <c r="G82" i="12"/>
  <c r="X82" i="5"/>
  <c r="X78" i="12"/>
  <c r="W78" i="12"/>
  <c r="A82" i="6" l="1"/>
  <c r="M82" i="6" s="1"/>
  <c r="AU82" i="6" s="1"/>
  <c r="K83" i="12"/>
  <c r="D84" i="6"/>
  <c r="L84" i="12"/>
  <c r="J84" i="12"/>
  <c r="H83" i="6"/>
  <c r="T83" i="5" s="1"/>
  <c r="X83" i="5" s="1"/>
  <c r="AM81" i="6"/>
  <c r="AP81" i="6"/>
  <c r="BA81" i="6"/>
  <c r="AK81" i="6"/>
  <c r="AI81" i="6"/>
  <c r="AN81" i="6"/>
  <c r="AS81" i="6"/>
  <c r="AO81" i="6"/>
  <c r="AJ81" i="6"/>
  <c r="BB81" i="6"/>
  <c r="AU81" i="6"/>
  <c r="AQ81" i="6"/>
  <c r="AB81" i="6"/>
  <c r="AG81" i="6"/>
  <c r="AC81" i="6"/>
  <c r="AY81" i="6"/>
  <c r="BE81" i="6"/>
  <c r="AV81" i="6"/>
  <c r="AR81" i="6"/>
  <c r="AF81" i="6"/>
  <c r="AX81" i="6"/>
  <c r="AH81" i="6"/>
  <c r="AD81" i="6"/>
  <c r="K82" i="12"/>
  <c r="G86" i="5"/>
  <c r="E86" i="5"/>
  <c r="A86" i="12"/>
  <c r="B86" i="6"/>
  <c r="H86" i="5"/>
  <c r="N86" i="5"/>
  <c r="D86" i="6" s="1"/>
  <c r="F86" i="5"/>
  <c r="AD86" i="5"/>
  <c r="B86" i="5"/>
  <c r="W86" i="5"/>
  <c r="H86" i="12" s="1"/>
  <c r="AE86" i="5"/>
  <c r="L85" i="12"/>
  <c r="J85" i="12"/>
  <c r="X79" i="12"/>
  <c r="I82" i="12"/>
  <c r="L82" i="5"/>
  <c r="AM82" i="5"/>
  <c r="Z82" i="5"/>
  <c r="G85" i="12"/>
  <c r="X85" i="5"/>
  <c r="V79" i="12"/>
  <c r="T79" i="12"/>
  <c r="U79" i="12"/>
  <c r="N80" i="12"/>
  <c r="V78" i="12"/>
  <c r="U78" i="12"/>
  <c r="T78" i="12"/>
  <c r="Y80" i="12"/>
  <c r="A83" i="6" l="1"/>
  <c r="A84" i="6" s="1"/>
  <c r="A85" i="6" s="1"/>
  <c r="M85" i="6" s="1"/>
  <c r="AC85" i="6" s="1"/>
  <c r="AR82" i="6"/>
  <c r="AF82" i="6"/>
  <c r="AY82" i="6"/>
  <c r="AJ82" i="6"/>
  <c r="BC82" i="6"/>
  <c r="AD82" i="6"/>
  <c r="AH82" i="6"/>
  <c r="AV82" i="6"/>
  <c r="AS82" i="6"/>
  <c r="AG82" i="6"/>
  <c r="BB82" i="6"/>
  <c r="AN82" i="6"/>
  <c r="AZ82" i="6"/>
  <c r="BF82" i="6"/>
  <c r="AK82" i="6"/>
  <c r="BD82" i="6"/>
  <c r="AI82" i="6"/>
  <c r="BG82" i="6"/>
  <c r="AO82" i="6"/>
  <c r="AC82" i="6"/>
  <c r="AP82" i="6"/>
  <c r="BE82" i="6"/>
  <c r="AB82" i="6"/>
  <c r="AX82" i="6"/>
  <c r="AQ82" i="6"/>
  <c r="BA82" i="6"/>
  <c r="AM82" i="6"/>
  <c r="AT82" i="6"/>
  <c r="I83" i="12"/>
  <c r="AM83" i="5"/>
  <c r="L83" i="5"/>
  <c r="Z83" i="5"/>
  <c r="K84" i="12"/>
  <c r="H84" i="6"/>
  <c r="T84" i="5" s="1"/>
  <c r="X84" i="5" s="1"/>
  <c r="A86" i="6"/>
  <c r="M86" i="6" s="1"/>
  <c r="H86" i="6"/>
  <c r="T86" i="5" s="1"/>
  <c r="K85" i="12"/>
  <c r="G86" i="12"/>
  <c r="X80" i="12"/>
  <c r="W80" i="12"/>
  <c r="AB82" i="5"/>
  <c r="I85" i="12"/>
  <c r="AM85" i="5"/>
  <c r="L85" i="5"/>
  <c r="Z85" i="5"/>
  <c r="C82" i="6"/>
  <c r="C82" i="12"/>
  <c r="O82" i="12"/>
  <c r="M82" i="12"/>
  <c r="AO82" i="12"/>
  <c r="C87" i="5" l="1"/>
  <c r="AS85" i="6"/>
  <c r="AI85" i="6"/>
  <c r="BC85" i="6"/>
  <c r="AB85" i="6"/>
  <c r="M83" i="6"/>
  <c r="AB83" i="6" s="1"/>
  <c r="AQ85" i="6"/>
  <c r="BF85" i="6"/>
  <c r="AN85" i="6"/>
  <c r="AO85" i="6"/>
  <c r="AZ85" i="6"/>
  <c r="BB85" i="6"/>
  <c r="AR85" i="6"/>
  <c r="AD85" i="6"/>
  <c r="AF85" i="6"/>
  <c r="BG85" i="6"/>
  <c r="BE85" i="6"/>
  <c r="AM85" i="6"/>
  <c r="AH85" i="6"/>
  <c r="AG85" i="6"/>
  <c r="BA85" i="6"/>
  <c r="AT85" i="6"/>
  <c r="AV85" i="6"/>
  <c r="AU85" i="6"/>
  <c r="AX85" i="6"/>
  <c r="M84" i="6"/>
  <c r="AX84" i="6" s="1"/>
  <c r="AY85" i="6"/>
  <c r="AP85" i="6"/>
  <c r="BD85" i="6"/>
  <c r="AK85" i="6"/>
  <c r="AJ85" i="6"/>
  <c r="I84" i="12"/>
  <c r="AM84" i="5"/>
  <c r="L84" i="5"/>
  <c r="Z84" i="5"/>
  <c r="AB83" i="5"/>
  <c r="C83" i="6"/>
  <c r="C83" i="12"/>
  <c r="AO83" i="12"/>
  <c r="O83" i="12"/>
  <c r="M83" i="12"/>
  <c r="AC86" i="6"/>
  <c r="Y82" i="12"/>
  <c r="X82" i="12" s="1"/>
  <c r="AJ86" i="6"/>
  <c r="AH86" i="6"/>
  <c r="AD86" i="6"/>
  <c r="AB86" i="6"/>
  <c r="AI86" i="6"/>
  <c r="V80" i="12"/>
  <c r="U80" i="12"/>
  <c r="T80" i="12"/>
  <c r="C85" i="6"/>
  <c r="C85" i="12"/>
  <c r="O85" i="12"/>
  <c r="M85" i="12"/>
  <c r="AO85" i="12"/>
  <c r="AX86" i="6"/>
  <c r="AF86" i="6"/>
  <c r="AY86" i="6"/>
  <c r="AM86" i="6"/>
  <c r="AU86" i="6"/>
  <c r="BC86" i="6"/>
  <c r="AS86" i="6"/>
  <c r="AK86" i="6"/>
  <c r="BA86" i="6"/>
  <c r="BF86" i="6"/>
  <c r="BE86" i="6"/>
  <c r="AR86" i="6"/>
  <c r="AQ86" i="6"/>
  <c r="AV86" i="6"/>
  <c r="AP86" i="6"/>
  <c r="AO86" i="6"/>
  <c r="AN86" i="6"/>
  <c r="AT86" i="6"/>
  <c r="BD86" i="6"/>
  <c r="BB86" i="6"/>
  <c r="BG86" i="6"/>
  <c r="AZ86" i="6"/>
  <c r="AG86" i="6"/>
  <c r="AB85" i="5"/>
  <c r="N82" i="12"/>
  <c r="AP84" i="6" l="1"/>
  <c r="AB84" i="6"/>
  <c r="AJ84" i="6"/>
  <c r="BE84" i="6"/>
  <c r="AT84" i="6"/>
  <c r="AR84" i="6"/>
  <c r="AF84" i="6"/>
  <c r="AY84" i="6"/>
  <c r="AH84" i="6"/>
  <c r="BG84" i="6"/>
  <c r="BD84" i="6"/>
  <c r="AC84" i="6"/>
  <c r="AN84" i="6"/>
  <c r="BB84" i="6"/>
  <c r="AK83" i="6"/>
  <c r="BE83" i="6"/>
  <c r="BD83" i="6"/>
  <c r="BG83" i="6"/>
  <c r="BF83" i="6"/>
  <c r="AP83" i="6"/>
  <c r="BA83" i="6"/>
  <c r="AQ83" i="6"/>
  <c r="AU83" i="6"/>
  <c r="BC83" i="6"/>
  <c r="AS83" i="6"/>
  <c r="AG83" i="6"/>
  <c r="AN83" i="6"/>
  <c r="AC83" i="6"/>
  <c r="AJ83" i="6"/>
  <c r="AF83" i="6"/>
  <c r="AD83" i="6"/>
  <c r="AM83" i="6"/>
  <c r="AO83" i="6"/>
  <c r="AZ83" i="6"/>
  <c r="AY83" i="6"/>
  <c r="AV83" i="6"/>
  <c r="AH83" i="6"/>
  <c r="AT83" i="6"/>
  <c r="BB83" i="6"/>
  <c r="AR83" i="6"/>
  <c r="AX83" i="6"/>
  <c r="AI83" i="6"/>
  <c r="BC84" i="6"/>
  <c r="AI84" i="6"/>
  <c r="AV84" i="6"/>
  <c r="N87" i="5"/>
  <c r="D87" i="6" s="1"/>
  <c r="G87" i="6" s="1"/>
  <c r="W87" i="5"/>
  <c r="AE87" i="5"/>
  <c r="B87" i="6"/>
  <c r="AD87" i="5"/>
  <c r="C88" i="5"/>
  <c r="A87" i="12"/>
  <c r="G87" i="5"/>
  <c r="B87" i="5"/>
  <c r="F87" i="5"/>
  <c r="E87" i="5"/>
  <c r="H87" i="5"/>
  <c r="AU84" i="6"/>
  <c r="AS84" i="6"/>
  <c r="AZ84" i="6"/>
  <c r="BF84" i="6"/>
  <c r="AD84" i="6"/>
  <c r="BA84" i="6"/>
  <c r="AK84" i="6"/>
  <c r="AQ84" i="6"/>
  <c r="AG84" i="6"/>
  <c r="AM84" i="6"/>
  <c r="AO84" i="6"/>
  <c r="AB84" i="5"/>
  <c r="N83" i="12"/>
  <c r="C84" i="6"/>
  <c r="Y83" i="12"/>
  <c r="C84" i="12"/>
  <c r="O84" i="12"/>
  <c r="AO84" i="12"/>
  <c r="M84" i="12"/>
  <c r="W82" i="12"/>
  <c r="T82" i="12" s="1"/>
  <c r="Y85" i="12"/>
  <c r="X85" i="12" s="1"/>
  <c r="G88" i="12"/>
  <c r="N85" i="12"/>
  <c r="A87" i="6" l="1"/>
  <c r="A88" i="12"/>
  <c r="K88" i="5"/>
  <c r="N88" i="5"/>
  <c r="D88" i="6" s="1"/>
  <c r="H88" i="6" s="1"/>
  <c r="T88" i="5" s="1"/>
  <c r="D88" i="5"/>
  <c r="B88" i="12" s="1"/>
  <c r="H88" i="5"/>
  <c r="C89" i="5"/>
  <c r="B88" i="6"/>
  <c r="AE88" i="5"/>
  <c r="G88" i="5"/>
  <c r="B88" i="5"/>
  <c r="F88" i="5"/>
  <c r="J88" i="5"/>
  <c r="E88" i="5"/>
  <c r="AD88" i="5"/>
  <c r="W88" i="5"/>
  <c r="H88" i="12" s="1"/>
  <c r="E87" i="12"/>
  <c r="F87" i="6"/>
  <c r="H87" i="6"/>
  <c r="T87" i="5" s="1"/>
  <c r="M87" i="6"/>
  <c r="Y84" i="12"/>
  <c r="X84" i="12" s="1"/>
  <c r="X83" i="12"/>
  <c r="W83" i="12"/>
  <c r="N84" i="12"/>
  <c r="V82" i="12"/>
  <c r="U82" i="12"/>
  <c r="W85" i="12"/>
  <c r="V85" i="12" s="1"/>
  <c r="G89" i="12"/>
  <c r="AK87" i="6" l="1"/>
  <c r="X88" i="5"/>
  <c r="J88" i="12"/>
  <c r="L88" i="12"/>
  <c r="A88" i="6"/>
  <c r="M88" i="6" s="1"/>
  <c r="AU88" i="6" s="1"/>
  <c r="G89" i="5"/>
  <c r="C90" i="5"/>
  <c r="AD89" i="5"/>
  <c r="B89" i="5"/>
  <c r="E89" i="5"/>
  <c r="F89" i="5"/>
  <c r="W89" i="5"/>
  <c r="H89" i="12" s="1"/>
  <c r="H89" i="5"/>
  <c r="B89" i="6"/>
  <c r="A89" i="12"/>
  <c r="J89" i="5"/>
  <c r="N89" i="5"/>
  <c r="D89" i="6" s="1"/>
  <c r="H89" i="6" s="1"/>
  <c r="T89" i="5" s="1"/>
  <c r="K89" i="5"/>
  <c r="D89" i="5"/>
  <c r="B89" i="12" s="1"/>
  <c r="AE89" i="5"/>
  <c r="AJ87" i="6"/>
  <c r="AG87" i="6"/>
  <c r="AH87" i="6"/>
  <c r="AB87" i="6"/>
  <c r="BE87" i="6"/>
  <c r="AO87" i="6"/>
  <c r="AZ87" i="6"/>
  <c r="AV87" i="6"/>
  <c r="BC87" i="6"/>
  <c r="AQ87" i="6"/>
  <c r="AN87" i="6"/>
  <c r="AT87" i="6"/>
  <c r="BF87" i="6"/>
  <c r="BA87" i="6"/>
  <c r="BD87" i="6"/>
  <c r="AR87" i="6"/>
  <c r="AU87" i="6"/>
  <c r="BG87" i="6"/>
  <c r="AM87" i="6"/>
  <c r="BB87" i="6"/>
  <c r="AY87" i="6"/>
  <c r="AS87" i="6"/>
  <c r="AX87" i="6"/>
  <c r="AP87" i="6"/>
  <c r="AC87" i="6"/>
  <c r="AF87" i="6"/>
  <c r="AI87" i="6"/>
  <c r="AD87" i="6"/>
  <c r="W84" i="12"/>
  <c r="V84" i="12" s="1"/>
  <c r="V83" i="12"/>
  <c r="U83" i="12"/>
  <c r="T83" i="12"/>
  <c r="U85" i="12"/>
  <c r="T85" i="12"/>
  <c r="G90" i="12"/>
  <c r="I88" i="12" l="1"/>
  <c r="AM88" i="5"/>
  <c r="L88" i="5"/>
  <c r="Z88" i="5"/>
  <c r="K88" i="12"/>
  <c r="AR88" i="6"/>
  <c r="AG88" i="6"/>
  <c r="AV88" i="6"/>
  <c r="AZ88" i="6"/>
  <c r="AX88" i="6"/>
  <c r="AN88" i="6"/>
  <c r="BD88" i="6"/>
  <c r="BC88" i="6"/>
  <c r="AC88" i="6"/>
  <c r="AS88" i="6"/>
  <c r="AO88" i="6"/>
  <c r="BA88" i="6"/>
  <c r="AI88" i="6"/>
  <c r="BF88" i="6"/>
  <c r="AY88" i="6"/>
  <c r="BE88" i="6"/>
  <c r="AH88" i="6"/>
  <c r="AT88" i="6"/>
  <c r="AF88" i="6"/>
  <c r="AK88" i="6"/>
  <c r="BB88" i="6"/>
  <c r="AQ88" i="6"/>
  <c r="AM88" i="6"/>
  <c r="AP88" i="6"/>
  <c r="BG88" i="6"/>
  <c r="AD88" i="6"/>
  <c r="A89" i="6"/>
  <c r="M89" i="6" s="1"/>
  <c r="AB88" i="6"/>
  <c r="L89" i="12"/>
  <c r="J89" i="12"/>
  <c r="N90" i="5"/>
  <c r="D90" i="6" s="1"/>
  <c r="H90" i="6" s="1"/>
  <c r="T90" i="5" s="1"/>
  <c r="B90" i="5"/>
  <c r="A90" i="12"/>
  <c r="D90" i="5"/>
  <c r="B90" i="12" s="1"/>
  <c r="AD90" i="5"/>
  <c r="G90" i="5"/>
  <c r="C91" i="5"/>
  <c r="K90" i="5"/>
  <c r="E90" i="5"/>
  <c r="B90" i="6"/>
  <c r="W90" i="5"/>
  <c r="H90" i="12" s="1"/>
  <c r="J90" i="5"/>
  <c r="H90" i="5"/>
  <c r="F90" i="5"/>
  <c r="AE90" i="5"/>
  <c r="AJ88" i="6"/>
  <c r="X89" i="5"/>
  <c r="T84" i="12"/>
  <c r="U84" i="12"/>
  <c r="G91" i="12"/>
  <c r="X90" i="5" l="1"/>
  <c r="AM90" i="5" s="1"/>
  <c r="AB88" i="5"/>
  <c r="C88" i="6"/>
  <c r="M88" i="12"/>
  <c r="O88" i="12"/>
  <c r="AO88" i="12"/>
  <c r="C88" i="12"/>
  <c r="A90" i="6"/>
  <c r="M90" i="6" s="1"/>
  <c r="AD90" i="6" s="1"/>
  <c r="AR89" i="6"/>
  <c r="AK89" i="6"/>
  <c r="AP89" i="6"/>
  <c r="BE89" i="6"/>
  <c r="AO89" i="6"/>
  <c r="AI89" i="6"/>
  <c r="BB89" i="6"/>
  <c r="AN89" i="6"/>
  <c r="AH89" i="6"/>
  <c r="BA89" i="6"/>
  <c r="AQ89" i="6"/>
  <c r="AY89" i="6"/>
  <c r="AB89" i="6"/>
  <c r="AG89" i="6"/>
  <c r="AU89" i="6"/>
  <c r="AM89" i="6"/>
  <c r="AS89" i="6"/>
  <c r="BG89" i="6"/>
  <c r="BC89" i="6"/>
  <c r="AT89" i="6"/>
  <c r="AX89" i="6"/>
  <c r="AV89" i="6"/>
  <c r="BF89" i="6"/>
  <c r="AZ89" i="6"/>
  <c r="AF89" i="6"/>
  <c r="AJ89" i="6"/>
  <c r="BD89" i="6"/>
  <c r="AC89" i="6"/>
  <c r="AD89" i="6"/>
  <c r="L90" i="12"/>
  <c r="J90" i="12"/>
  <c r="I89" i="12"/>
  <c r="AM89" i="5"/>
  <c r="L89" i="5"/>
  <c r="Z89" i="5"/>
  <c r="B91" i="5"/>
  <c r="F91" i="5"/>
  <c r="D91" i="5"/>
  <c r="B91" i="12" s="1"/>
  <c r="J91" i="5"/>
  <c r="A91" i="12"/>
  <c r="AD91" i="5"/>
  <c r="W91" i="5"/>
  <c r="H91" i="12" s="1"/>
  <c r="B91" i="6"/>
  <c r="K91" i="5"/>
  <c r="N91" i="5"/>
  <c r="D91" i="6" s="1"/>
  <c r="H91" i="6" s="1"/>
  <c r="T91" i="5" s="1"/>
  <c r="G91" i="5"/>
  <c r="E91" i="5"/>
  <c r="AE91" i="5"/>
  <c r="H91" i="5"/>
  <c r="C92" i="5"/>
  <c r="K89" i="12"/>
  <c r="G92" i="12"/>
  <c r="Z90" i="5" l="1"/>
  <c r="I90" i="12"/>
  <c r="N88" i="12"/>
  <c r="Y88" i="12"/>
  <c r="L90" i="5"/>
  <c r="X91" i="5"/>
  <c r="Z91" i="5" s="1"/>
  <c r="AB91" i="5" s="1"/>
  <c r="AC90" i="6"/>
  <c r="AR90" i="6"/>
  <c r="BF90" i="6"/>
  <c r="AK90" i="6"/>
  <c r="AS90" i="6"/>
  <c r="AM90" i="6"/>
  <c r="AT90" i="6"/>
  <c r="AJ90" i="6"/>
  <c r="AF90" i="6"/>
  <c r="AB90" i="6"/>
  <c r="BG90" i="6"/>
  <c r="AP90" i="6"/>
  <c r="AG90" i="6"/>
  <c r="AX90" i="6"/>
  <c r="AZ90" i="6"/>
  <c r="AY90" i="6"/>
  <c r="BB90" i="6"/>
  <c r="BA90" i="6"/>
  <c r="AH90" i="6"/>
  <c r="AU90" i="6"/>
  <c r="AQ90" i="6"/>
  <c r="BE90" i="6"/>
  <c r="BD90" i="6"/>
  <c r="AN90" i="6"/>
  <c r="AV90" i="6"/>
  <c r="AI90" i="6"/>
  <c r="BC90" i="6"/>
  <c r="AO90" i="6"/>
  <c r="A91" i="6"/>
  <c r="M91" i="6" s="1"/>
  <c r="AH91" i="6" s="1"/>
  <c r="AB89" i="5"/>
  <c r="AE92" i="5"/>
  <c r="C93" i="5"/>
  <c r="A92" i="12"/>
  <c r="H92" i="5"/>
  <c r="F92" i="5"/>
  <c r="N92" i="5"/>
  <c r="D92" i="6" s="1"/>
  <c r="H92" i="6" s="1"/>
  <c r="T92" i="5" s="1"/>
  <c r="B92" i="6"/>
  <c r="D92" i="5"/>
  <c r="B92" i="12" s="1"/>
  <c r="K92" i="5"/>
  <c r="AD92" i="5"/>
  <c r="J92" i="5"/>
  <c r="B92" i="5"/>
  <c r="E92" i="5"/>
  <c r="G92" i="5"/>
  <c r="W92" i="5"/>
  <c r="H92" i="12" s="1"/>
  <c r="C89" i="6"/>
  <c r="L91" i="12"/>
  <c r="J91" i="12"/>
  <c r="AO89" i="12"/>
  <c r="C89" i="12"/>
  <c r="M89" i="12"/>
  <c r="O89" i="12"/>
  <c r="K90" i="12"/>
  <c r="G93" i="12"/>
  <c r="AB90" i="5" l="1"/>
  <c r="L91" i="5"/>
  <c r="C91" i="6" s="1"/>
  <c r="I91" i="12"/>
  <c r="C91" i="12" s="1"/>
  <c r="AO90" i="12"/>
  <c r="M90" i="12"/>
  <c r="O90" i="12"/>
  <c r="C90" i="12"/>
  <c r="C90" i="6"/>
  <c r="W88" i="12"/>
  <c r="X88" i="12"/>
  <c r="AM91" i="5"/>
  <c r="Y89" i="12"/>
  <c r="X89" i="12" s="1"/>
  <c r="K91" i="12"/>
  <c r="AU91" i="6"/>
  <c r="AM91" i="6"/>
  <c r="AJ91" i="6"/>
  <c r="X92" i="5"/>
  <c r="Z92" i="5" s="1"/>
  <c r="AB92" i="5" s="1"/>
  <c r="AS91" i="6"/>
  <c r="AT91" i="6"/>
  <c r="AQ91" i="6"/>
  <c r="AY91" i="6"/>
  <c r="AO91" i="6"/>
  <c r="AB91" i="6"/>
  <c r="AC91" i="6"/>
  <c r="BD91" i="6"/>
  <c r="AZ91" i="6"/>
  <c r="BA91" i="6"/>
  <c r="AV91" i="6"/>
  <c r="BC91" i="6"/>
  <c r="AP91" i="6"/>
  <c r="AK91" i="6"/>
  <c r="AI91" i="6"/>
  <c r="BF91" i="6"/>
  <c r="BG91" i="6"/>
  <c r="AG91" i="6"/>
  <c r="AX91" i="6"/>
  <c r="AR91" i="6"/>
  <c r="AN91" i="6"/>
  <c r="BB91" i="6"/>
  <c r="AD91" i="6"/>
  <c r="BE91" i="6"/>
  <c r="AF91" i="6"/>
  <c r="A92" i="6"/>
  <c r="M92" i="6" s="1"/>
  <c r="BC92" i="6" s="1"/>
  <c r="N89" i="12"/>
  <c r="L92" i="12"/>
  <c r="J92" i="12"/>
  <c r="B93" i="6"/>
  <c r="B93" i="5"/>
  <c r="C94" i="5" s="1"/>
  <c r="D93" i="5"/>
  <c r="B93" i="12" s="1"/>
  <c r="E93" i="5"/>
  <c r="A93" i="12"/>
  <c r="F93" i="5"/>
  <c r="J93" i="5"/>
  <c r="W93" i="5"/>
  <c r="H93" i="12" s="1"/>
  <c r="H93" i="5"/>
  <c r="AE93" i="5"/>
  <c r="N93" i="5"/>
  <c r="D93" i="6" s="1"/>
  <c r="H93" i="6" s="1"/>
  <c r="T93" i="5" s="1"/>
  <c r="G93" i="5"/>
  <c r="AD93" i="5"/>
  <c r="K93" i="5"/>
  <c r="G94" i="12"/>
  <c r="O91" i="12" l="1"/>
  <c r="AO91" i="12"/>
  <c r="M91" i="12"/>
  <c r="N90" i="12"/>
  <c r="L92" i="5"/>
  <c r="C92" i="6" s="1"/>
  <c r="Y90" i="12"/>
  <c r="U88" i="12"/>
  <c r="V88" i="12"/>
  <c r="T88" i="12"/>
  <c r="W89" i="12"/>
  <c r="X93" i="5"/>
  <c r="I92" i="12"/>
  <c r="AM92" i="5"/>
  <c r="BD92" i="6"/>
  <c r="AX92" i="6"/>
  <c r="AK92" i="6"/>
  <c r="AD92" i="6"/>
  <c r="A93" i="6"/>
  <c r="M93" i="6" s="1"/>
  <c r="BF92" i="6"/>
  <c r="AP92" i="6"/>
  <c r="AH92" i="6"/>
  <c r="AM92" i="6"/>
  <c r="AS92" i="6"/>
  <c r="BE92" i="6"/>
  <c r="AN92" i="6"/>
  <c r="AV92" i="6"/>
  <c r="AG92" i="6"/>
  <c r="BB92" i="6"/>
  <c r="AC92" i="6"/>
  <c r="AI92" i="6"/>
  <c r="AZ92" i="6"/>
  <c r="AQ92" i="6"/>
  <c r="J93" i="12"/>
  <c r="L93" i="12"/>
  <c r="AO92" i="6"/>
  <c r="BG92" i="6"/>
  <c r="AF92" i="6"/>
  <c r="AR92" i="6"/>
  <c r="AT92" i="6"/>
  <c r="BA92" i="6"/>
  <c r="AJ92" i="6"/>
  <c r="AB92" i="6"/>
  <c r="B94" i="5"/>
  <c r="B94" i="6"/>
  <c r="C95" i="5"/>
  <c r="N94" i="5"/>
  <c r="D94" i="6" s="1"/>
  <c r="H94" i="6" s="1"/>
  <c r="T94" i="5" s="1"/>
  <c r="AE94" i="5"/>
  <c r="E94" i="5"/>
  <c r="F94" i="5"/>
  <c r="AD94" i="5"/>
  <c r="G94" i="5"/>
  <c r="A94" i="12"/>
  <c r="H94" i="5"/>
  <c r="W94" i="5"/>
  <c r="H94" i="12" s="1"/>
  <c r="K92" i="12"/>
  <c r="AY92" i="6"/>
  <c r="AU92" i="6"/>
  <c r="G95" i="12"/>
  <c r="Y91" i="12" l="1"/>
  <c r="W91" i="12" s="1"/>
  <c r="N91" i="12"/>
  <c r="W90" i="12"/>
  <c r="X90" i="12"/>
  <c r="K93" i="12"/>
  <c r="T89" i="12"/>
  <c r="V89" i="12"/>
  <c r="U89" i="12"/>
  <c r="A94" i="6"/>
  <c r="M94" i="6" s="1"/>
  <c r="C92" i="12"/>
  <c r="M92" i="12"/>
  <c r="AO92" i="12"/>
  <c r="O92" i="12"/>
  <c r="AM93" i="5"/>
  <c r="L93" i="5"/>
  <c r="Z93" i="5"/>
  <c r="I93" i="12"/>
  <c r="G95" i="5"/>
  <c r="H95" i="5"/>
  <c r="D95" i="5"/>
  <c r="B95" i="12" s="1"/>
  <c r="E95" i="5"/>
  <c r="A95" i="12"/>
  <c r="AE95" i="5"/>
  <c r="B95" i="5"/>
  <c r="B95" i="6"/>
  <c r="AD95" i="5"/>
  <c r="W95" i="5"/>
  <c r="H95" i="12" s="1"/>
  <c r="N95" i="5"/>
  <c r="D95" i="6" s="1"/>
  <c r="H95" i="6" s="1"/>
  <c r="T95" i="5" s="1"/>
  <c r="F95" i="5"/>
  <c r="J95" i="5"/>
  <c r="C96" i="5"/>
  <c r="K95" i="5"/>
  <c r="AX93" i="6"/>
  <c r="AT93" i="6"/>
  <c r="AB93" i="6"/>
  <c r="AI93" i="6"/>
  <c r="AK93" i="6"/>
  <c r="AD93" i="6"/>
  <c r="AG93" i="6"/>
  <c r="BG93" i="6"/>
  <c r="BE93" i="6"/>
  <c r="AQ93" i="6"/>
  <c r="AU93" i="6"/>
  <c r="AC93" i="6"/>
  <c r="AO93" i="6"/>
  <c r="AV93" i="6"/>
  <c r="AN93" i="6"/>
  <c r="AS93" i="6"/>
  <c r="AM93" i="6"/>
  <c r="AY93" i="6"/>
  <c r="BA93" i="6"/>
  <c r="BC93" i="6"/>
  <c r="AF93" i="6"/>
  <c r="BB93" i="6"/>
  <c r="AP93" i="6"/>
  <c r="AR93" i="6"/>
  <c r="AJ93" i="6"/>
  <c r="AH93" i="6"/>
  <c r="BF93" i="6"/>
  <c r="AZ93" i="6"/>
  <c r="BD93" i="6"/>
  <c r="G96" i="12"/>
  <c r="X91" i="12" l="1"/>
  <c r="V91" i="12"/>
  <c r="U91" i="12"/>
  <c r="T91" i="12"/>
  <c r="U90" i="12"/>
  <c r="T90" i="12"/>
  <c r="V90" i="12"/>
  <c r="X95" i="5"/>
  <c r="Z95" i="5" s="1"/>
  <c r="A95" i="6"/>
  <c r="M95" i="6" s="1"/>
  <c r="BB95" i="6" s="1"/>
  <c r="N92" i="12"/>
  <c r="AB93" i="5"/>
  <c r="C93" i="6"/>
  <c r="Y92" i="12"/>
  <c r="M93" i="12"/>
  <c r="O93" i="12"/>
  <c r="C93" i="12"/>
  <c r="AO93" i="12"/>
  <c r="BB94" i="6"/>
  <c r="AB94" i="6"/>
  <c r="AN94" i="6"/>
  <c r="BD94" i="6"/>
  <c r="AD94" i="6"/>
  <c r="AJ94" i="6"/>
  <c r="AQ94" i="6"/>
  <c r="AY94" i="6"/>
  <c r="AX94" i="6"/>
  <c r="AM94" i="6"/>
  <c r="AK94" i="6"/>
  <c r="AP94" i="6"/>
  <c r="AG94" i="6"/>
  <c r="AO94" i="6"/>
  <c r="BE94" i="6"/>
  <c r="AF94" i="6"/>
  <c r="BF94" i="6"/>
  <c r="AT94" i="6"/>
  <c r="AH94" i="6"/>
  <c r="BG94" i="6"/>
  <c r="BC94" i="6"/>
  <c r="AI94" i="6"/>
  <c r="BA94" i="6"/>
  <c r="AR94" i="6"/>
  <c r="AS94" i="6"/>
  <c r="AV94" i="6"/>
  <c r="AU94" i="6"/>
  <c r="AZ94" i="6"/>
  <c r="AC94" i="6"/>
  <c r="D96" i="5"/>
  <c r="B96" i="12" s="1"/>
  <c r="B96" i="6"/>
  <c r="N96" i="5"/>
  <c r="D96" i="6" s="1"/>
  <c r="H96" i="6" s="1"/>
  <c r="T96" i="5" s="1"/>
  <c r="J96" i="5"/>
  <c r="AE96" i="5"/>
  <c r="F96" i="5"/>
  <c r="B96" i="5"/>
  <c r="E96" i="5"/>
  <c r="C97" i="5"/>
  <c r="A96" i="12"/>
  <c r="K96" i="5"/>
  <c r="W96" i="5"/>
  <c r="H96" i="12" s="1"/>
  <c r="G96" i="5"/>
  <c r="H96" i="5"/>
  <c r="AD96" i="5"/>
  <c r="J95" i="12"/>
  <c r="L95" i="12"/>
  <c r="G97" i="12"/>
  <c r="AB95" i="5" l="1"/>
  <c r="AI95" i="6"/>
  <c r="BE95" i="6"/>
  <c r="AU95" i="6"/>
  <c r="AB95" i="6"/>
  <c r="AK95" i="6"/>
  <c r="AN95" i="6"/>
  <c r="AH95" i="6"/>
  <c r="AQ95" i="6"/>
  <c r="AZ95" i="6"/>
  <c r="AP95" i="6"/>
  <c r="AR95" i="6"/>
  <c r="AJ95" i="6"/>
  <c r="AT95" i="6"/>
  <c r="BA95" i="6"/>
  <c r="AG95" i="6"/>
  <c r="I95" i="12"/>
  <c r="L95" i="5"/>
  <c r="BG95" i="6"/>
  <c r="AX95" i="6"/>
  <c r="AS95" i="6"/>
  <c r="AM95" i="5"/>
  <c r="BC95" i="6"/>
  <c r="AM95" i="6"/>
  <c r="AD95" i="6"/>
  <c r="AY95" i="6"/>
  <c r="AC95" i="6"/>
  <c r="BD95" i="6"/>
  <c r="BF95" i="6"/>
  <c r="AO95" i="6"/>
  <c r="AV95" i="6"/>
  <c r="AF95" i="6"/>
  <c r="X96" i="5"/>
  <c r="N93" i="12"/>
  <c r="X92" i="12"/>
  <c r="W92" i="12"/>
  <c r="Y93" i="12"/>
  <c r="K95" i="12"/>
  <c r="J96" i="12"/>
  <c r="L96" i="12"/>
  <c r="A96" i="6"/>
  <c r="M96" i="6" s="1"/>
  <c r="BA96" i="6" s="1"/>
  <c r="K97" i="5"/>
  <c r="G97" i="5"/>
  <c r="F97" i="5"/>
  <c r="J97" i="5"/>
  <c r="AD97" i="5"/>
  <c r="N97" i="5"/>
  <c r="D97" i="6" s="1"/>
  <c r="H97" i="6" s="1"/>
  <c r="T97" i="5" s="1"/>
  <c r="B97" i="6"/>
  <c r="D97" i="5"/>
  <c r="B97" i="12" s="1"/>
  <c r="W97" i="5"/>
  <c r="H97" i="12" s="1"/>
  <c r="B97" i="5"/>
  <c r="C98" i="5"/>
  <c r="E97" i="5"/>
  <c r="AE97" i="5"/>
  <c r="A97" i="12"/>
  <c r="H97" i="5"/>
  <c r="G98" i="12"/>
  <c r="K96" i="12" l="1"/>
  <c r="C95" i="12"/>
  <c r="M95" i="12"/>
  <c r="AO95" i="12"/>
  <c r="O95" i="12"/>
  <c r="C95" i="6"/>
  <c r="AZ96" i="6"/>
  <c r="BE96" i="6"/>
  <c r="AM96" i="6"/>
  <c r="AB96" i="6"/>
  <c r="AV96" i="6"/>
  <c r="AU96" i="6"/>
  <c r="AD96" i="6"/>
  <c r="BD96" i="6"/>
  <c r="BF96" i="6"/>
  <c r="AC96" i="6"/>
  <c r="AJ96" i="6"/>
  <c r="AT96" i="6"/>
  <c r="AI96" i="6"/>
  <c r="AX96" i="6"/>
  <c r="AQ96" i="6"/>
  <c r="AK96" i="6"/>
  <c r="AP96" i="6"/>
  <c r="BC96" i="6"/>
  <c r="AF96" i="6"/>
  <c r="AN96" i="6"/>
  <c r="AO96" i="6"/>
  <c r="BG96" i="6"/>
  <c r="AG96" i="6"/>
  <c r="AH96" i="6"/>
  <c r="AR96" i="6"/>
  <c r="BB96" i="6"/>
  <c r="AY96" i="6"/>
  <c r="AS96" i="6"/>
  <c r="A97" i="6"/>
  <c r="M97" i="6" s="1"/>
  <c r="BC97" i="6" s="1"/>
  <c r="Z96" i="5"/>
  <c r="I96" i="12"/>
  <c r="L96" i="5"/>
  <c r="AM96" i="5"/>
  <c r="X93" i="12"/>
  <c r="W93" i="12"/>
  <c r="V92" i="12"/>
  <c r="T92" i="12"/>
  <c r="U92" i="12"/>
  <c r="B98" i="6"/>
  <c r="K98" i="5"/>
  <c r="B98" i="5"/>
  <c r="J98" i="5"/>
  <c r="C99" i="5"/>
  <c r="A98" i="12"/>
  <c r="G98" i="5"/>
  <c r="AE98" i="5"/>
  <c r="F98" i="5"/>
  <c r="H98" i="5"/>
  <c r="D98" i="5"/>
  <c r="B98" i="12" s="1"/>
  <c r="N98" i="5"/>
  <c r="D98" i="6" s="1"/>
  <c r="H98" i="6" s="1"/>
  <c r="T98" i="5" s="1"/>
  <c r="AD98" i="5"/>
  <c r="W98" i="5"/>
  <c r="H98" i="12" s="1"/>
  <c r="E98" i="5"/>
  <c r="J97" i="12"/>
  <c r="L97" i="12"/>
  <c r="X97" i="5"/>
  <c r="G99" i="12"/>
  <c r="N95" i="12" l="1"/>
  <c r="Y95" i="12"/>
  <c r="X98" i="5"/>
  <c r="Z98" i="5" s="1"/>
  <c r="AB97" i="6"/>
  <c r="BF97" i="6"/>
  <c r="C96" i="6"/>
  <c r="AO96" i="12"/>
  <c r="O96" i="12"/>
  <c r="C96" i="12"/>
  <c r="M96" i="12"/>
  <c r="AB96" i="5"/>
  <c r="AH97" i="6"/>
  <c r="BD97" i="6"/>
  <c r="AN97" i="6"/>
  <c r="AD97" i="6"/>
  <c r="BB97" i="6"/>
  <c r="AM97" i="6"/>
  <c r="AR97" i="6"/>
  <c r="AJ97" i="6"/>
  <c r="AX97" i="6"/>
  <c r="AK97" i="6"/>
  <c r="BG97" i="6"/>
  <c r="AI97" i="6"/>
  <c r="AS97" i="6"/>
  <c r="AG97" i="6"/>
  <c r="AU97" i="6"/>
  <c r="AT97" i="6"/>
  <c r="AQ97" i="6"/>
  <c r="AY97" i="6"/>
  <c r="AC97" i="6"/>
  <c r="AV97" i="6"/>
  <c r="AO97" i="6"/>
  <c r="BA97" i="6"/>
  <c r="AF97" i="6"/>
  <c r="AZ97" i="6"/>
  <c r="AP97" i="6"/>
  <c r="BE97" i="6"/>
  <c r="T93" i="12"/>
  <c r="V93" i="12"/>
  <c r="U93" i="12"/>
  <c r="L98" i="12"/>
  <c r="J98" i="12"/>
  <c r="AD99" i="5"/>
  <c r="A99" i="12"/>
  <c r="K99" i="5"/>
  <c r="C100" i="5"/>
  <c r="J99" i="5"/>
  <c r="D99" i="5"/>
  <c r="B99" i="12" s="1"/>
  <c r="E99" i="5"/>
  <c r="B99" i="6"/>
  <c r="B99" i="5"/>
  <c r="H99" i="5"/>
  <c r="N99" i="5"/>
  <c r="D99" i="6" s="1"/>
  <c r="H99" i="6" s="1"/>
  <c r="T99" i="5" s="1"/>
  <c r="F99" i="5"/>
  <c r="AE99" i="5"/>
  <c r="G99" i="5"/>
  <c r="W99" i="5"/>
  <c r="H99" i="12" s="1"/>
  <c r="I97" i="12"/>
  <c r="L97" i="5"/>
  <c r="AM97" i="5"/>
  <c r="Z97" i="5"/>
  <c r="K97" i="12"/>
  <c r="A98" i="6"/>
  <c r="M98" i="6" s="1"/>
  <c r="G100" i="12"/>
  <c r="X95" i="12" l="1"/>
  <c r="W95" i="12"/>
  <c r="AM98" i="5"/>
  <c r="AB98" i="5"/>
  <c r="K98" i="12"/>
  <c r="I98" i="12"/>
  <c r="L98" i="5"/>
  <c r="X99" i="5"/>
  <c r="N96" i="12"/>
  <c r="Y96" i="12"/>
  <c r="AM98" i="6"/>
  <c r="AD98" i="6"/>
  <c r="BD98" i="6"/>
  <c r="BC98" i="6"/>
  <c r="AT98" i="6"/>
  <c r="BE98" i="6"/>
  <c r="AY98" i="6"/>
  <c r="AX98" i="6"/>
  <c r="AC98" i="6"/>
  <c r="AG98" i="6"/>
  <c r="AK98" i="6"/>
  <c r="BB98" i="6"/>
  <c r="BA98" i="6"/>
  <c r="AN98" i="6"/>
  <c r="AO98" i="6"/>
  <c r="BF98" i="6"/>
  <c r="AZ98" i="6"/>
  <c r="AV98" i="6"/>
  <c r="AS98" i="6"/>
  <c r="AF98" i="6"/>
  <c r="BG98" i="6"/>
  <c r="AJ98" i="6"/>
  <c r="AR98" i="6"/>
  <c r="AB98" i="6"/>
  <c r="AQ98" i="6"/>
  <c r="AU98" i="6"/>
  <c r="AH98" i="6"/>
  <c r="AI98" i="6"/>
  <c r="AP98" i="6"/>
  <c r="N100" i="5"/>
  <c r="D100" i="6" s="1"/>
  <c r="H100" i="6" s="1"/>
  <c r="T100" i="5" s="1"/>
  <c r="E100" i="5"/>
  <c r="AD100" i="5"/>
  <c r="B100" i="5"/>
  <c r="J100" i="5"/>
  <c r="G100" i="5"/>
  <c r="A100" i="12"/>
  <c r="C101" i="5"/>
  <c r="D100" i="5"/>
  <c r="B100" i="12" s="1"/>
  <c r="W100" i="5"/>
  <c r="H100" i="12" s="1"/>
  <c r="AE100" i="5"/>
  <c r="B100" i="6"/>
  <c r="K100" i="5"/>
  <c r="F100" i="5"/>
  <c r="H100" i="5"/>
  <c r="AB97" i="5"/>
  <c r="J99" i="12"/>
  <c r="L99" i="12"/>
  <c r="C97" i="6"/>
  <c r="C97" i="12"/>
  <c r="M97" i="12"/>
  <c r="O97" i="12"/>
  <c r="AO97" i="12"/>
  <c r="A99" i="6"/>
  <c r="M99" i="6" s="1"/>
  <c r="G101" i="12"/>
  <c r="X100" i="5" l="1"/>
  <c r="U95" i="12"/>
  <c r="T95" i="12"/>
  <c r="V95" i="12"/>
  <c r="Y97" i="12"/>
  <c r="C98" i="6"/>
  <c r="O98" i="12"/>
  <c r="AO98" i="12"/>
  <c r="M98" i="12"/>
  <c r="C98" i="12"/>
  <c r="L99" i="5"/>
  <c r="AM99" i="5"/>
  <c r="Z99" i="5"/>
  <c r="I99" i="12"/>
  <c r="W96" i="12"/>
  <c r="X96" i="12"/>
  <c r="K99" i="12"/>
  <c r="BE99" i="6"/>
  <c r="AU99" i="6"/>
  <c r="AQ99" i="6"/>
  <c r="AT99" i="6"/>
  <c r="BF99" i="6"/>
  <c r="AM99" i="6"/>
  <c r="AK99" i="6"/>
  <c r="AJ99" i="6"/>
  <c r="AZ99" i="6"/>
  <c r="BA99" i="6"/>
  <c r="AF99" i="6"/>
  <c r="BB99" i="6"/>
  <c r="AP99" i="6"/>
  <c r="AC99" i="6"/>
  <c r="AS99" i="6"/>
  <c r="AR99" i="6"/>
  <c r="AX99" i="6"/>
  <c r="AO99" i="6"/>
  <c r="AG99" i="6"/>
  <c r="BG99" i="6"/>
  <c r="AY99" i="6"/>
  <c r="AN99" i="6"/>
  <c r="AH99" i="6"/>
  <c r="BC99" i="6"/>
  <c r="AB99" i="6"/>
  <c r="BD99" i="6"/>
  <c r="AV99" i="6"/>
  <c r="AD99" i="6"/>
  <c r="AI99" i="6"/>
  <c r="N97" i="12"/>
  <c r="A101" i="12"/>
  <c r="W101" i="5"/>
  <c r="H101" i="12" s="1"/>
  <c r="J101" i="5"/>
  <c r="E101" i="5"/>
  <c r="AD101" i="5"/>
  <c r="H101" i="5"/>
  <c r="B101" i="6"/>
  <c r="D101" i="5"/>
  <c r="B101" i="12" s="1"/>
  <c r="F101" i="5"/>
  <c r="K101" i="5"/>
  <c r="B101" i="5"/>
  <c r="C102" i="5" s="1"/>
  <c r="G101" i="5"/>
  <c r="N101" i="5"/>
  <c r="D101" i="6" s="1"/>
  <c r="H101" i="6" s="1"/>
  <c r="T101" i="5" s="1"/>
  <c r="AE101" i="5"/>
  <c r="L100" i="12"/>
  <c r="J100" i="12"/>
  <c r="A100" i="6"/>
  <c r="M100" i="6" s="1"/>
  <c r="G102" i="12"/>
  <c r="I100" i="12" l="1"/>
  <c r="L100" i="5"/>
  <c r="AM100" i="5"/>
  <c r="Z100" i="5"/>
  <c r="Y98" i="12"/>
  <c r="X97" i="12"/>
  <c r="W97" i="12"/>
  <c r="N98" i="12"/>
  <c r="C99" i="12"/>
  <c r="AO99" i="12"/>
  <c r="O99" i="12"/>
  <c r="M99" i="12"/>
  <c r="X101" i="5"/>
  <c r="AB99" i="5"/>
  <c r="C99" i="6"/>
  <c r="K100" i="12"/>
  <c r="V96" i="12"/>
  <c r="U96" i="12"/>
  <c r="T96" i="12"/>
  <c r="L101" i="12"/>
  <c r="J101" i="12"/>
  <c r="A101" i="6"/>
  <c r="M101" i="6" s="1"/>
  <c r="A102" i="12"/>
  <c r="N102" i="5"/>
  <c r="D102" i="6" s="1"/>
  <c r="H102" i="6" s="1"/>
  <c r="T102" i="5" s="1"/>
  <c r="H102" i="5"/>
  <c r="B102" i="5"/>
  <c r="AE102" i="5"/>
  <c r="F102" i="5"/>
  <c r="C103" i="5"/>
  <c r="W102" i="5"/>
  <c r="H102" i="12" s="1"/>
  <c r="E102" i="5"/>
  <c r="B102" i="6"/>
  <c r="AD102" i="5"/>
  <c r="G102" i="5"/>
  <c r="AP100" i="6"/>
  <c r="AR100" i="6"/>
  <c r="BF100" i="6"/>
  <c r="AI100" i="6"/>
  <c r="AQ100" i="6"/>
  <c r="AM100" i="6"/>
  <c r="AJ100" i="6"/>
  <c r="BB100" i="6"/>
  <c r="AD100" i="6"/>
  <c r="BG100" i="6"/>
  <c r="AK100" i="6"/>
  <c r="AB100" i="6"/>
  <c r="BE100" i="6"/>
  <c r="AV100" i="6"/>
  <c r="AG100" i="6"/>
  <c r="AX100" i="6"/>
  <c r="AC100" i="6"/>
  <c r="AH100" i="6"/>
  <c r="AS100" i="6"/>
  <c r="BA100" i="6"/>
  <c r="AY100" i="6"/>
  <c r="AF100" i="6"/>
  <c r="AT100" i="6"/>
  <c r="BC100" i="6"/>
  <c r="AZ100" i="6"/>
  <c r="AO100" i="6"/>
  <c r="AU100" i="6"/>
  <c r="BD100" i="6"/>
  <c r="AN100" i="6"/>
  <c r="G103" i="12"/>
  <c r="AB100" i="5" l="1"/>
  <c r="C100" i="6"/>
  <c r="AO100" i="12"/>
  <c r="M100" i="12"/>
  <c r="O100" i="12"/>
  <c r="C100" i="12"/>
  <c r="U97" i="12"/>
  <c r="V97" i="12"/>
  <c r="T97" i="12"/>
  <c r="W98" i="12"/>
  <c r="X98" i="12"/>
  <c r="K101" i="12"/>
  <c r="N99" i="12"/>
  <c r="L101" i="5"/>
  <c r="I101" i="12"/>
  <c r="AM101" i="5"/>
  <c r="Z101" i="5"/>
  <c r="Y99" i="12"/>
  <c r="A102" i="6"/>
  <c r="M102" i="6" s="1"/>
  <c r="K103" i="5"/>
  <c r="A103" i="12"/>
  <c r="AD103" i="5"/>
  <c r="F103" i="5"/>
  <c r="D103" i="5"/>
  <c r="B103" i="12" s="1"/>
  <c r="N103" i="5"/>
  <c r="D103" i="6" s="1"/>
  <c r="H103" i="6" s="1"/>
  <c r="T103" i="5" s="1"/>
  <c r="H103" i="5"/>
  <c r="E103" i="5"/>
  <c r="B103" i="6"/>
  <c r="J103" i="5"/>
  <c r="B103" i="5"/>
  <c r="C104" i="5" s="1"/>
  <c r="W103" i="5"/>
  <c r="H103" i="12" s="1"/>
  <c r="AE103" i="5"/>
  <c r="G103" i="5"/>
  <c r="AP101" i="6"/>
  <c r="AM101" i="6"/>
  <c r="BF101" i="6"/>
  <c r="AY101" i="6"/>
  <c r="AI101" i="6"/>
  <c r="BB101" i="6"/>
  <c r="AQ101" i="6"/>
  <c r="AN101" i="6"/>
  <c r="AX101" i="6"/>
  <c r="AO101" i="6"/>
  <c r="BE101" i="6"/>
  <c r="BA101" i="6"/>
  <c r="AS101" i="6"/>
  <c r="AV101" i="6"/>
  <c r="AH101" i="6"/>
  <c r="AG101" i="6"/>
  <c r="AU101" i="6"/>
  <c r="AR101" i="6"/>
  <c r="AJ101" i="6"/>
  <c r="AT101" i="6"/>
  <c r="AC101" i="6"/>
  <c r="BG101" i="6"/>
  <c r="BC101" i="6"/>
  <c r="AB101" i="6"/>
  <c r="AZ101" i="6"/>
  <c r="AK101" i="6"/>
  <c r="AF101" i="6"/>
  <c r="AD101" i="6"/>
  <c r="BD101" i="6"/>
  <c r="G104" i="12"/>
  <c r="N100" i="12" l="1"/>
  <c r="Y100" i="12"/>
  <c r="V98" i="12"/>
  <c r="T98" i="12"/>
  <c r="U98" i="12"/>
  <c r="X103" i="5"/>
  <c r="X99" i="12"/>
  <c r="W99" i="12"/>
  <c r="AB101" i="5"/>
  <c r="AR102" i="6"/>
  <c r="AQ102" i="6"/>
  <c r="AZ102" i="6"/>
  <c r="AB102" i="6"/>
  <c r="AO102" i="6"/>
  <c r="AT102" i="6"/>
  <c r="AK102" i="6"/>
  <c r="AX102" i="6"/>
  <c r="BA102" i="6"/>
  <c r="AH102" i="6"/>
  <c r="AV102" i="6"/>
  <c r="AM102" i="6"/>
  <c r="AF102" i="6"/>
  <c r="AU102" i="6"/>
  <c r="AJ102" i="6"/>
  <c r="AN102" i="6"/>
  <c r="AP102" i="6"/>
  <c r="AG102" i="6"/>
  <c r="BG102" i="6"/>
  <c r="BC102" i="6"/>
  <c r="AI102" i="6"/>
  <c r="BD102" i="6"/>
  <c r="AC102" i="6"/>
  <c r="BF102" i="6"/>
  <c r="AY102" i="6"/>
  <c r="BB102" i="6"/>
  <c r="BE102" i="6"/>
  <c r="AD102" i="6"/>
  <c r="AS102" i="6"/>
  <c r="AO101" i="12"/>
  <c r="M101" i="12"/>
  <c r="O101" i="12"/>
  <c r="C101" i="12"/>
  <c r="C101" i="6"/>
  <c r="A103" i="6"/>
  <c r="M103" i="6" s="1"/>
  <c r="E104" i="5"/>
  <c r="AD104" i="5"/>
  <c r="B104" i="5"/>
  <c r="N104" i="5"/>
  <c r="D104" i="6" s="1"/>
  <c r="H104" i="6" s="1"/>
  <c r="T104" i="5" s="1"/>
  <c r="A104" i="12"/>
  <c r="AE104" i="5"/>
  <c r="B104" i="6"/>
  <c r="F104" i="5"/>
  <c r="H104" i="5"/>
  <c r="C105" i="5"/>
  <c r="W104" i="5"/>
  <c r="H104" i="12" s="1"/>
  <c r="G104" i="5"/>
  <c r="L103" i="12"/>
  <c r="J103" i="12"/>
  <c r="G105" i="12"/>
  <c r="N101" i="12" l="1"/>
  <c r="X100" i="12"/>
  <c r="W100" i="12"/>
  <c r="L103" i="5"/>
  <c r="I103" i="12"/>
  <c r="AM103" i="5"/>
  <c r="Z103" i="5"/>
  <c r="K103" i="12"/>
  <c r="Y101" i="12"/>
  <c r="T99" i="12"/>
  <c r="V99" i="12"/>
  <c r="U99" i="12"/>
  <c r="A104" i="6"/>
  <c r="M104" i="6" s="1"/>
  <c r="BF103" i="6"/>
  <c r="AD103" i="6"/>
  <c r="BB103" i="6"/>
  <c r="AT103" i="6"/>
  <c r="AZ103" i="6"/>
  <c r="AM103" i="6"/>
  <c r="AR103" i="6"/>
  <c r="AB103" i="6"/>
  <c r="AI103" i="6"/>
  <c r="AG103" i="6"/>
  <c r="AN103" i="6"/>
  <c r="AU103" i="6"/>
  <c r="AH103" i="6"/>
  <c r="BA103" i="6"/>
  <c r="AY103" i="6"/>
  <c r="AO103" i="6"/>
  <c r="AJ103" i="6"/>
  <c r="AF103" i="6"/>
  <c r="BE103" i="6"/>
  <c r="BC103" i="6"/>
  <c r="AX103" i="6"/>
  <c r="AS103" i="6"/>
  <c r="AK103" i="6"/>
  <c r="AC103" i="6"/>
  <c r="AP103" i="6"/>
  <c r="AQ103" i="6"/>
  <c r="AV103" i="6"/>
  <c r="BG103" i="6"/>
  <c r="BD103" i="6"/>
  <c r="E105" i="5"/>
  <c r="A105" i="12"/>
  <c r="H105" i="5"/>
  <c r="B105" i="6"/>
  <c r="G105" i="5"/>
  <c r="N105" i="5"/>
  <c r="D105" i="6" s="1"/>
  <c r="H105" i="6" s="1"/>
  <c r="T105" i="5" s="1"/>
  <c r="AE105" i="5"/>
  <c r="C106" i="5"/>
  <c r="J105" i="5"/>
  <c r="D105" i="5"/>
  <c r="B105" i="12" s="1"/>
  <c r="AD105" i="5"/>
  <c r="F105" i="5"/>
  <c r="B105" i="5"/>
  <c r="K105" i="5"/>
  <c r="W105" i="5"/>
  <c r="H105" i="12" s="1"/>
  <c r="G106" i="12"/>
  <c r="V100" i="12" l="1"/>
  <c r="T100" i="12"/>
  <c r="U100" i="12"/>
  <c r="AB103" i="5"/>
  <c r="C103" i="12"/>
  <c r="M103" i="12"/>
  <c r="AO103" i="12"/>
  <c r="O103" i="12"/>
  <c r="C103" i="6"/>
  <c r="X105" i="5"/>
  <c r="I105" i="12" s="1"/>
  <c r="C105" i="12" s="1"/>
  <c r="X101" i="12"/>
  <c r="W101" i="12"/>
  <c r="AX104" i="6"/>
  <c r="AM104" i="6"/>
  <c r="BA104" i="6"/>
  <c r="AT104" i="6"/>
  <c r="BB104" i="6"/>
  <c r="AD104" i="6"/>
  <c r="AF104" i="6"/>
  <c r="AJ104" i="6"/>
  <c r="AI104" i="6"/>
  <c r="AN104" i="6"/>
  <c r="AR104" i="6"/>
  <c r="AS104" i="6"/>
  <c r="BC104" i="6"/>
  <c r="AU104" i="6"/>
  <c r="BF104" i="6"/>
  <c r="AC104" i="6"/>
  <c r="BG104" i="6"/>
  <c r="AZ104" i="6"/>
  <c r="AK104" i="6"/>
  <c r="AB104" i="6"/>
  <c r="AQ104" i="6"/>
  <c r="AO104" i="6"/>
  <c r="AP104" i="6"/>
  <c r="AY104" i="6"/>
  <c r="AV104" i="6"/>
  <c r="AH104" i="6"/>
  <c r="AG104" i="6"/>
  <c r="BE104" i="6"/>
  <c r="BD104" i="6"/>
  <c r="A105" i="6"/>
  <c r="M105" i="6" s="1"/>
  <c r="L105" i="12"/>
  <c r="J105" i="12"/>
  <c r="J106" i="5"/>
  <c r="G106" i="5"/>
  <c r="C107" i="5"/>
  <c r="AD106" i="5"/>
  <c r="B106" i="5"/>
  <c r="E106" i="5"/>
  <c r="A106" i="12"/>
  <c r="B106" i="6"/>
  <c r="H106" i="5"/>
  <c r="N106" i="5"/>
  <c r="D106" i="6" s="1"/>
  <c r="H106" i="6" s="1"/>
  <c r="T106" i="5" s="1"/>
  <c r="D106" i="5"/>
  <c r="B106" i="12" s="1"/>
  <c r="AE106" i="5"/>
  <c r="K106" i="5"/>
  <c r="F106" i="5"/>
  <c r="W106" i="5"/>
  <c r="H106" i="12" s="1"/>
  <c r="G107" i="12"/>
  <c r="AO105" i="12" l="1"/>
  <c r="L105" i="5"/>
  <c r="M105" i="12"/>
  <c r="AM105" i="5"/>
  <c r="O105" i="12"/>
  <c r="Z105" i="5"/>
  <c r="N103" i="12"/>
  <c r="X106" i="5"/>
  <c r="L106" i="5" s="1"/>
  <c r="Y103" i="12"/>
  <c r="T101" i="12"/>
  <c r="U101" i="12"/>
  <c r="V101" i="12"/>
  <c r="A106" i="6"/>
  <c r="M106" i="6" s="1"/>
  <c r="AU106" i="6" s="1"/>
  <c r="W107" i="5"/>
  <c r="H107" i="12" s="1"/>
  <c r="F107" i="5"/>
  <c r="A107" i="12"/>
  <c r="J107" i="5"/>
  <c r="D107" i="5"/>
  <c r="B107" i="12" s="1"/>
  <c r="N107" i="5"/>
  <c r="D107" i="6" s="1"/>
  <c r="H107" i="6" s="1"/>
  <c r="T107" i="5" s="1"/>
  <c r="E107" i="5"/>
  <c r="B107" i="5"/>
  <c r="C108" i="5"/>
  <c r="B107" i="6"/>
  <c r="AD107" i="5"/>
  <c r="K107" i="5"/>
  <c r="H107" i="5"/>
  <c r="G107" i="5"/>
  <c r="AE107" i="5"/>
  <c r="L106" i="12"/>
  <c r="J106" i="12"/>
  <c r="K105" i="12"/>
  <c r="BE105" i="6"/>
  <c r="AI105" i="6"/>
  <c r="AS105" i="6"/>
  <c r="AP105" i="6"/>
  <c r="AV105" i="6"/>
  <c r="AN105" i="6"/>
  <c r="BB105" i="6"/>
  <c r="AJ105" i="6"/>
  <c r="AQ105" i="6"/>
  <c r="AC105" i="6"/>
  <c r="BD105" i="6"/>
  <c r="AZ105" i="6"/>
  <c r="AD105" i="6"/>
  <c r="AB105" i="6"/>
  <c r="AF105" i="6"/>
  <c r="AT105" i="6"/>
  <c r="BC105" i="6"/>
  <c r="BA105" i="6"/>
  <c r="BF105" i="6"/>
  <c r="AR105" i="6"/>
  <c r="AU105" i="6"/>
  <c r="AK105" i="6"/>
  <c r="AH105" i="6"/>
  <c r="AM105" i="6"/>
  <c r="AY105" i="6"/>
  <c r="AO105" i="6"/>
  <c r="AG105" i="6"/>
  <c r="BG105" i="6"/>
  <c r="AX105" i="6"/>
  <c r="G108" i="12"/>
  <c r="Y105" i="12" l="1"/>
  <c r="X105" i="12" s="1"/>
  <c r="N105" i="12"/>
  <c r="AB105" i="5"/>
  <c r="C105" i="6"/>
  <c r="C106" i="6"/>
  <c r="I106" i="12"/>
  <c r="Z106" i="5"/>
  <c r="AM106" i="5"/>
  <c r="K106" i="12"/>
  <c r="W103" i="12"/>
  <c r="X103" i="12"/>
  <c r="AB106" i="6"/>
  <c r="X107" i="5"/>
  <c r="AQ106" i="6"/>
  <c r="AS106" i="6"/>
  <c r="AT106" i="6"/>
  <c r="AO106" i="6"/>
  <c r="AR106" i="6"/>
  <c r="AG106" i="6"/>
  <c r="BD106" i="6"/>
  <c r="AN106" i="6"/>
  <c r="BB106" i="6"/>
  <c r="AK106" i="6"/>
  <c r="BF106" i="6"/>
  <c r="AY106" i="6"/>
  <c r="AD106" i="6"/>
  <c r="AC106" i="6"/>
  <c r="AJ106" i="6"/>
  <c r="BA106" i="6"/>
  <c r="AZ106" i="6"/>
  <c r="AM106" i="6"/>
  <c r="AP106" i="6"/>
  <c r="AF106" i="6"/>
  <c r="BE106" i="6"/>
  <c r="BC106" i="6"/>
  <c r="AI106" i="6"/>
  <c r="BG106" i="6"/>
  <c r="AX106" i="6"/>
  <c r="AH106" i="6"/>
  <c r="AV106" i="6"/>
  <c r="A107" i="6"/>
  <c r="M107" i="6" s="1"/>
  <c r="F108" i="5"/>
  <c r="B108" i="6"/>
  <c r="AD108" i="5"/>
  <c r="E108" i="5"/>
  <c r="J108" i="5"/>
  <c r="D108" i="5"/>
  <c r="B108" i="12" s="1"/>
  <c r="W108" i="5"/>
  <c r="H108" i="12" s="1"/>
  <c r="B108" i="5"/>
  <c r="C109" i="5" s="1"/>
  <c r="G108" i="5"/>
  <c r="H108" i="5"/>
  <c r="N108" i="5"/>
  <c r="D108" i="6" s="1"/>
  <c r="H108" i="6" s="1"/>
  <c r="T108" i="5" s="1"/>
  <c r="K108" i="5"/>
  <c r="A108" i="12"/>
  <c r="AE108" i="5"/>
  <c r="L107" i="12"/>
  <c r="J107" i="12"/>
  <c r="G109" i="12"/>
  <c r="W105" i="12" l="1"/>
  <c r="U105" i="12" s="1"/>
  <c r="X108" i="5"/>
  <c r="AM108" i="5" s="1"/>
  <c r="AB106" i="5"/>
  <c r="O106" i="12"/>
  <c r="M106" i="12"/>
  <c r="C106" i="12"/>
  <c r="AO106" i="12"/>
  <c r="V103" i="12"/>
  <c r="T103" i="12"/>
  <c r="U103" i="12"/>
  <c r="L107" i="5"/>
  <c r="AM107" i="5"/>
  <c r="Z107" i="5"/>
  <c r="I107" i="12"/>
  <c r="K107" i="12"/>
  <c r="B109" i="6"/>
  <c r="W109" i="5"/>
  <c r="H109" i="12" s="1"/>
  <c r="AE109" i="5"/>
  <c r="C110" i="5"/>
  <c r="C111" i="5" s="1"/>
  <c r="N109" i="5"/>
  <c r="D109" i="6" s="1"/>
  <c r="H109" i="6" s="1"/>
  <c r="T109" i="5" s="1"/>
  <c r="E109" i="5"/>
  <c r="G109" i="5"/>
  <c r="B109" i="5"/>
  <c r="A109" i="12"/>
  <c r="H109" i="5"/>
  <c r="AD109" i="5"/>
  <c r="F109" i="5"/>
  <c r="A108" i="6"/>
  <c r="M108" i="6" s="1"/>
  <c r="BE107" i="6"/>
  <c r="AP107" i="6"/>
  <c r="AV107" i="6"/>
  <c r="AC107" i="6"/>
  <c r="AH107" i="6"/>
  <c r="BB107" i="6"/>
  <c r="AO107" i="6"/>
  <c r="BD107" i="6"/>
  <c r="AX107" i="6"/>
  <c r="AT107" i="6"/>
  <c r="AF107" i="6"/>
  <c r="AY107" i="6"/>
  <c r="BF107" i="6"/>
  <c r="BG107" i="6"/>
  <c r="AN107" i="6"/>
  <c r="AK107" i="6"/>
  <c r="BA107" i="6"/>
  <c r="AI107" i="6"/>
  <c r="AQ107" i="6"/>
  <c r="AD107" i="6"/>
  <c r="AR107" i="6"/>
  <c r="AZ107" i="6"/>
  <c r="AU107" i="6"/>
  <c r="AS107" i="6"/>
  <c r="AJ107" i="6"/>
  <c r="AB107" i="6"/>
  <c r="AG107" i="6"/>
  <c r="BC107" i="6"/>
  <c r="AM107" i="6"/>
  <c r="J108" i="12"/>
  <c r="L108" i="12"/>
  <c r="G110" i="12"/>
  <c r="T105" i="12"/>
  <c r="V105" i="12" l="1"/>
  <c r="B111" i="6"/>
  <c r="D111" i="5"/>
  <c r="B111" i="12" s="1"/>
  <c r="A111" i="12"/>
  <c r="K111" i="5"/>
  <c r="W111" i="5"/>
  <c r="J111" i="5"/>
  <c r="C112" i="5"/>
  <c r="AE111" i="5"/>
  <c r="AD111" i="5"/>
  <c r="N111" i="5"/>
  <c r="L108" i="5"/>
  <c r="Z108" i="5"/>
  <c r="I108" i="12"/>
  <c r="K108" i="12"/>
  <c r="Y106" i="12"/>
  <c r="W106" i="12" s="1"/>
  <c r="V106" i="12" s="1"/>
  <c r="N106" i="12"/>
  <c r="C107" i="12"/>
  <c r="O107" i="12"/>
  <c r="M107" i="12"/>
  <c r="AO107" i="12"/>
  <c r="AB107" i="5"/>
  <c r="C107" i="6"/>
  <c r="AE110" i="5"/>
  <c r="H110" i="5"/>
  <c r="H111" i="5" s="1"/>
  <c r="E110" i="5"/>
  <c r="E111" i="5" s="1"/>
  <c r="W110" i="5"/>
  <c r="H110" i="12" s="1"/>
  <c r="J110" i="5"/>
  <c r="N110" i="5"/>
  <c r="D110" i="6" s="1"/>
  <c r="H110" i="6" s="1"/>
  <c r="T110" i="5" s="1"/>
  <c r="G110" i="5"/>
  <c r="G111" i="5" s="1"/>
  <c r="K110" i="5"/>
  <c r="B110" i="5"/>
  <c r="A110" i="12"/>
  <c r="F110" i="5"/>
  <c r="F111" i="5" s="1"/>
  <c r="B110" i="6"/>
  <c r="D110" i="5"/>
  <c r="B110" i="12" s="1"/>
  <c r="AD110" i="5"/>
  <c r="BC108" i="6"/>
  <c r="BG108" i="6"/>
  <c r="AX108" i="6"/>
  <c r="AQ108" i="6"/>
  <c r="BA108" i="6"/>
  <c r="AZ108" i="6"/>
  <c r="AR108" i="6"/>
  <c r="AK108" i="6"/>
  <c r="AO108" i="6"/>
  <c r="AI108" i="6"/>
  <c r="AN108" i="6"/>
  <c r="AT108" i="6"/>
  <c r="BD108" i="6"/>
  <c r="AB108" i="6"/>
  <c r="AG108" i="6"/>
  <c r="AS108" i="6"/>
  <c r="BE108" i="6"/>
  <c r="AV108" i="6"/>
  <c r="AH108" i="6"/>
  <c r="AF108" i="6"/>
  <c r="BF108" i="6"/>
  <c r="AM108" i="6"/>
  <c r="BB108" i="6"/>
  <c r="AU108" i="6"/>
  <c r="AJ108" i="6"/>
  <c r="AY108" i="6"/>
  <c r="AD108" i="6"/>
  <c r="AP108" i="6"/>
  <c r="AC108" i="6"/>
  <c r="A109" i="6"/>
  <c r="M109" i="6" s="1"/>
  <c r="AD109" i="6" s="1"/>
  <c r="G114" i="12"/>
  <c r="U106" i="12" l="1"/>
  <c r="T106" i="12"/>
  <c r="J111" i="12"/>
  <c r="L111" i="12"/>
  <c r="D111" i="6"/>
  <c r="B112" i="6"/>
  <c r="F112" i="5"/>
  <c r="N112" i="5"/>
  <c r="E112" i="5"/>
  <c r="D112" i="5"/>
  <c r="B112" i="12" s="1"/>
  <c r="A112" i="12"/>
  <c r="K112" i="5"/>
  <c r="W112" i="5"/>
  <c r="J112" i="5"/>
  <c r="C113" i="5"/>
  <c r="AE112" i="5"/>
  <c r="G112" i="5"/>
  <c r="AD112" i="5"/>
  <c r="H112" i="5"/>
  <c r="B111" i="5"/>
  <c r="B112" i="5" s="1"/>
  <c r="AB108" i="5"/>
  <c r="C108" i="6"/>
  <c r="C108" i="12"/>
  <c r="M108" i="12"/>
  <c r="AO108" i="12"/>
  <c r="O108" i="12"/>
  <c r="X106" i="12"/>
  <c r="X110" i="5"/>
  <c r="Y107" i="12"/>
  <c r="X107" i="12" s="1"/>
  <c r="N107" i="12"/>
  <c r="BG109" i="6"/>
  <c r="AN109" i="6"/>
  <c r="L110" i="12"/>
  <c r="J110" i="12"/>
  <c r="AB109" i="6"/>
  <c r="AY109" i="6"/>
  <c r="AQ109" i="6"/>
  <c r="AO109" i="6"/>
  <c r="AH109" i="6"/>
  <c r="AX109" i="6"/>
  <c r="AP109" i="6"/>
  <c r="AG109" i="6"/>
  <c r="AI109" i="6"/>
  <c r="BD109" i="6"/>
  <c r="BF109" i="6"/>
  <c r="BE109" i="6"/>
  <c r="AM109" i="6"/>
  <c r="AF109" i="6"/>
  <c r="AZ109" i="6"/>
  <c r="AV109" i="6"/>
  <c r="BA109" i="6"/>
  <c r="AU109" i="6"/>
  <c r="BB109" i="6"/>
  <c r="A110" i="6"/>
  <c r="M110" i="6" s="1"/>
  <c r="AR109" i="6"/>
  <c r="AK109" i="6"/>
  <c r="BC109" i="6"/>
  <c r="AT109" i="6"/>
  <c r="AC109" i="6"/>
  <c r="AS109" i="6"/>
  <c r="AJ109" i="6"/>
  <c r="G115" i="12"/>
  <c r="K111" i="12" l="1"/>
  <c r="D112" i="6"/>
  <c r="L112" i="12"/>
  <c r="J112" i="12"/>
  <c r="A111" i="6"/>
  <c r="B113" i="6"/>
  <c r="AD113" i="5"/>
  <c r="H113" i="5"/>
  <c r="G113" i="5"/>
  <c r="F113" i="5"/>
  <c r="N113" i="5"/>
  <c r="E113" i="5"/>
  <c r="D113" i="5"/>
  <c r="B113" i="12" s="1"/>
  <c r="A113" i="12"/>
  <c r="K113" i="5"/>
  <c r="AE113" i="5"/>
  <c r="W113" i="5"/>
  <c r="J113" i="5"/>
  <c r="B113" i="5"/>
  <c r="C114" i="5" s="1"/>
  <c r="H111" i="6"/>
  <c r="T111" i="5" s="1"/>
  <c r="X111" i="5" s="1"/>
  <c r="N108" i="12"/>
  <c r="Y108" i="12"/>
  <c r="W107" i="12"/>
  <c r="AM110" i="5"/>
  <c r="Z110" i="5"/>
  <c r="I110" i="12"/>
  <c r="L110" i="5"/>
  <c r="AU110" i="6"/>
  <c r="AH110" i="6"/>
  <c r="AF110" i="6"/>
  <c r="AP110" i="6"/>
  <c r="AJ110" i="6"/>
  <c r="AG110" i="6"/>
  <c r="BC110" i="6"/>
  <c r="AO110" i="6"/>
  <c r="BB110" i="6"/>
  <c r="AZ110" i="6"/>
  <c r="AM110" i="6"/>
  <c r="AQ110" i="6"/>
  <c r="AD110" i="6"/>
  <c r="AX110" i="6"/>
  <c r="BG110" i="6"/>
  <c r="AI110" i="6"/>
  <c r="AR110" i="6"/>
  <c r="BF110" i="6"/>
  <c r="AT110" i="6"/>
  <c r="AN110" i="6"/>
  <c r="BD110" i="6"/>
  <c r="BA110" i="6"/>
  <c r="AB110" i="6"/>
  <c r="AV110" i="6"/>
  <c r="AK110" i="6"/>
  <c r="AS110" i="6"/>
  <c r="AC110" i="6"/>
  <c r="AY110" i="6"/>
  <c r="BE110" i="6"/>
  <c r="K110" i="12"/>
  <c r="G116" i="12"/>
  <c r="A112" i="6" l="1"/>
  <c r="M112" i="6" s="1"/>
  <c r="BA112" i="6" s="1"/>
  <c r="M111" i="6"/>
  <c r="AQ111" i="6" s="1"/>
  <c r="K112" i="12"/>
  <c r="B114" i="5"/>
  <c r="N114" i="5"/>
  <c r="D114" i="6" s="1"/>
  <c r="H114" i="6" s="1"/>
  <c r="T114" i="5" s="1"/>
  <c r="H114" i="5"/>
  <c r="B114" i="6"/>
  <c r="G114" i="5"/>
  <c r="W114" i="5"/>
  <c r="H114" i="12" s="1"/>
  <c r="AE114" i="5"/>
  <c r="AD114" i="5"/>
  <c r="A114" i="12"/>
  <c r="C115" i="5"/>
  <c r="E114" i="5"/>
  <c r="F114" i="5"/>
  <c r="L111" i="5"/>
  <c r="I111" i="12"/>
  <c r="AM111" i="5"/>
  <c r="Z111" i="5"/>
  <c r="D113" i="6"/>
  <c r="H112" i="6"/>
  <c r="T112" i="5" s="1"/>
  <c r="X112" i="5" s="1"/>
  <c r="L113" i="12"/>
  <c r="J113" i="12"/>
  <c r="W108" i="12"/>
  <c r="X108" i="12"/>
  <c r="V107" i="12"/>
  <c r="T107" i="12"/>
  <c r="U107" i="12"/>
  <c r="C110" i="6"/>
  <c r="C110" i="12"/>
  <c r="AO110" i="12"/>
  <c r="O110" i="12"/>
  <c r="M110" i="12"/>
  <c r="AB110" i="5"/>
  <c r="G117" i="12"/>
  <c r="BG114" i="6" l="1"/>
  <c r="BC111" i="6"/>
  <c r="AF111" i="6"/>
  <c r="AH111" i="6"/>
  <c r="AK111" i="6"/>
  <c r="BD111" i="6"/>
  <c r="AC111" i="6"/>
  <c r="AP111" i="6"/>
  <c r="AO114" i="6"/>
  <c r="AX111" i="6"/>
  <c r="AM111" i="6"/>
  <c r="AI111" i="6"/>
  <c r="AZ111" i="6"/>
  <c r="AO111" i="6"/>
  <c r="BE111" i="6"/>
  <c r="AN111" i="6"/>
  <c r="BB111" i="6"/>
  <c r="AU111" i="6"/>
  <c r="AR111" i="6"/>
  <c r="AG111" i="6"/>
  <c r="AJ111" i="6"/>
  <c r="BF111" i="6"/>
  <c r="BA111" i="6"/>
  <c r="AY111" i="6"/>
  <c r="AV111" i="6"/>
  <c r="AT111" i="6"/>
  <c r="AB111" i="6"/>
  <c r="BG111" i="6"/>
  <c r="AD111" i="6"/>
  <c r="AS111" i="6"/>
  <c r="BF114" i="6"/>
  <c r="AZ114" i="6"/>
  <c r="AQ114" i="6"/>
  <c r="BE114" i="6"/>
  <c r="AP114" i="6"/>
  <c r="BA114" i="6"/>
  <c r="BD114" i="6"/>
  <c r="BB114" i="6"/>
  <c r="AU114" i="6"/>
  <c r="AX114" i="6"/>
  <c r="AV114" i="6"/>
  <c r="AT114" i="6"/>
  <c r="AS114" i="6"/>
  <c r="AR114" i="6"/>
  <c r="BC114" i="6"/>
  <c r="AY114" i="6"/>
  <c r="AN114" i="6"/>
  <c r="AM114" i="6"/>
  <c r="K113" i="12"/>
  <c r="AU112" i="6"/>
  <c r="AO112" i="6"/>
  <c r="AT112" i="6"/>
  <c r="AJ112" i="6"/>
  <c r="BC112" i="6"/>
  <c r="BD112" i="6"/>
  <c r="AX112" i="6"/>
  <c r="AH112" i="6"/>
  <c r="AB111" i="5"/>
  <c r="AB112" i="6"/>
  <c r="BF112" i="6"/>
  <c r="AQ112" i="6"/>
  <c r="AN112" i="6"/>
  <c r="AM112" i="5"/>
  <c r="L112" i="5"/>
  <c r="I112" i="12"/>
  <c r="Z112" i="5"/>
  <c r="AZ112" i="6"/>
  <c r="C111" i="12"/>
  <c r="O111" i="12"/>
  <c r="AO111" i="12"/>
  <c r="M111" i="12"/>
  <c r="AS112" i="6"/>
  <c r="AV112" i="6"/>
  <c r="AG112" i="6"/>
  <c r="H113" i="6"/>
  <c r="T113" i="5" s="1"/>
  <c r="X113" i="5" s="1"/>
  <c r="C111" i="6"/>
  <c r="BB112" i="6"/>
  <c r="BE112" i="6"/>
  <c r="AP112" i="6"/>
  <c r="AI112" i="6"/>
  <c r="AC112" i="6"/>
  <c r="AD112" i="6"/>
  <c r="AY112" i="6"/>
  <c r="AR112" i="6"/>
  <c r="AK112" i="6"/>
  <c r="AM112" i="6"/>
  <c r="AF112" i="6"/>
  <c r="BG112" i="6"/>
  <c r="B115" i="5"/>
  <c r="B115" i="6"/>
  <c r="J115" i="5"/>
  <c r="K115" i="5"/>
  <c r="F115" i="5"/>
  <c r="N115" i="5"/>
  <c r="D115" i="6" s="1"/>
  <c r="H115" i="6" s="1"/>
  <c r="T115" i="5" s="1"/>
  <c r="C116" i="5"/>
  <c r="AD115" i="5"/>
  <c r="E115" i="5"/>
  <c r="AE115" i="5"/>
  <c r="D115" i="5"/>
  <c r="B115" i="12" s="1"/>
  <c r="H115" i="5"/>
  <c r="W115" i="5"/>
  <c r="H115" i="12" s="1"/>
  <c r="A115" i="12"/>
  <c r="G115" i="5"/>
  <c r="A113" i="6"/>
  <c r="A114" i="6" s="1"/>
  <c r="M114" i="6" s="1"/>
  <c r="V108" i="12"/>
  <c r="T108" i="12"/>
  <c r="U108" i="12"/>
  <c r="N110" i="12"/>
  <c r="Y110" i="12"/>
  <c r="G118" i="12"/>
  <c r="N111" i="12" l="1"/>
  <c r="Y111" i="12"/>
  <c r="W111" i="12" s="1"/>
  <c r="X115" i="5"/>
  <c r="Z115" i="5" s="1"/>
  <c r="AF114" i="6"/>
  <c r="AB114" i="6"/>
  <c r="AJ114" i="6"/>
  <c r="AK114" i="6"/>
  <c r="AD114" i="6"/>
  <c r="AC114" i="6"/>
  <c r="AI114" i="6"/>
  <c r="AH114" i="6"/>
  <c r="AG114" i="6"/>
  <c r="B116" i="5"/>
  <c r="B116" i="6"/>
  <c r="AD116" i="5"/>
  <c r="N116" i="5"/>
  <c r="D116" i="6" s="1"/>
  <c r="H116" i="6" s="1"/>
  <c r="T116" i="5" s="1"/>
  <c r="H116" i="5"/>
  <c r="G116" i="5"/>
  <c r="E116" i="5"/>
  <c r="AE116" i="5"/>
  <c r="J116" i="5"/>
  <c r="F116" i="5"/>
  <c r="C117" i="5"/>
  <c r="W116" i="5"/>
  <c r="H116" i="12" s="1"/>
  <c r="D116" i="5"/>
  <c r="B116" i="12" s="1"/>
  <c r="K116" i="5"/>
  <c r="A116" i="12"/>
  <c r="M113" i="6"/>
  <c r="AG113" i="6" s="1"/>
  <c r="J115" i="12"/>
  <c r="L115" i="12"/>
  <c r="AB112" i="5"/>
  <c r="AM113" i="5"/>
  <c r="L113" i="5"/>
  <c r="I113" i="12"/>
  <c r="Z113" i="5"/>
  <c r="C112" i="12"/>
  <c r="M112" i="12"/>
  <c r="O112" i="12"/>
  <c r="AO112" i="12"/>
  <c r="C112" i="6"/>
  <c r="A115" i="6"/>
  <c r="M115" i="6" s="1"/>
  <c r="AD115" i="6" s="1"/>
  <c r="X110" i="12"/>
  <c r="W110" i="12"/>
  <c r="G119" i="12"/>
  <c r="X111" i="12" l="1"/>
  <c r="AM115" i="5"/>
  <c r="K115" i="12"/>
  <c r="I115" i="12"/>
  <c r="L115" i="5"/>
  <c r="C115" i="6" s="1"/>
  <c r="Y112" i="12"/>
  <c r="X112" i="12" s="1"/>
  <c r="AB115" i="6"/>
  <c r="AH115" i="6"/>
  <c r="J116" i="12"/>
  <c r="L116" i="12"/>
  <c r="AT115" i="6"/>
  <c r="AN115" i="6"/>
  <c r="AB113" i="5"/>
  <c r="AI113" i="6"/>
  <c r="C113" i="12"/>
  <c r="AO113" i="12"/>
  <c r="M113" i="12"/>
  <c r="O113" i="12"/>
  <c r="AB115" i="5"/>
  <c r="AY115" i="6"/>
  <c r="AG115" i="6"/>
  <c r="BE115" i="6"/>
  <c r="AO115" i="6"/>
  <c r="AP115" i="6"/>
  <c r="BA115" i="6"/>
  <c r="AI115" i="6"/>
  <c r="AK115" i="6"/>
  <c r="AQ115" i="6"/>
  <c r="AV115" i="6"/>
  <c r="AR115" i="6"/>
  <c r="AC115" i="6"/>
  <c r="BG115" i="6"/>
  <c r="AM115" i="6"/>
  <c r="AS115" i="6"/>
  <c r="AX115" i="6"/>
  <c r="BC115" i="6"/>
  <c r="AU115" i="6"/>
  <c r="C113" i="6"/>
  <c r="X116" i="5"/>
  <c r="V111" i="12"/>
  <c r="U111" i="12"/>
  <c r="T111" i="12"/>
  <c r="N112" i="12"/>
  <c r="AE117" i="5"/>
  <c r="G117" i="5"/>
  <c r="K117" i="5"/>
  <c r="J117" i="5"/>
  <c r="AD117" i="5"/>
  <c r="C118" i="5"/>
  <c r="N117" i="5"/>
  <c r="D117" i="6" s="1"/>
  <c r="H117" i="6" s="1"/>
  <c r="T117" i="5" s="1"/>
  <c r="W117" i="5"/>
  <c r="H117" i="12" s="1"/>
  <c r="B117" i="6"/>
  <c r="E117" i="5"/>
  <c r="F117" i="5"/>
  <c r="A117" i="12"/>
  <c r="D117" i="5"/>
  <c r="B117" i="12" s="1"/>
  <c r="H117" i="5"/>
  <c r="B117" i="5"/>
  <c r="AZ115" i="6"/>
  <c r="AF115" i="6"/>
  <c r="A116" i="6"/>
  <c r="M116" i="6" s="1"/>
  <c r="BF115" i="6"/>
  <c r="BB115" i="6"/>
  <c r="BD115" i="6"/>
  <c r="AJ115" i="6"/>
  <c r="BA113" i="6"/>
  <c r="BG113" i="6"/>
  <c r="AF113" i="6"/>
  <c r="AM113" i="6"/>
  <c r="AK113" i="6"/>
  <c r="AR113" i="6"/>
  <c r="AY113" i="6"/>
  <c r="AD113" i="6"/>
  <c r="AC113" i="6"/>
  <c r="AP113" i="6"/>
  <c r="BE113" i="6"/>
  <c r="BB113" i="6"/>
  <c r="AV113" i="6"/>
  <c r="AS113" i="6"/>
  <c r="AZ113" i="6"/>
  <c r="AN113" i="6"/>
  <c r="AJ113" i="6"/>
  <c r="AQ113" i="6"/>
  <c r="BF113" i="6"/>
  <c r="AB113" i="6"/>
  <c r="AH113" i="6"/>
  <c r="AX113" i="6"/>
  <c r="BD113" i="6"/>
  <c r="BC113" i="6"/>
  <c r="AO113" i="6"/>
  <c r="AU113" i="6"/>
  <c r="AT113" i="6"/>
  <c r="T110" i="12"/>
  <c r="V110" i="12"/>
  <c r="U110" i="12"/>
  <c r="G120" i="12"/>
  <c r="W112" i="12" l="1"/>
  <c r="T112" i="12" s="1"/>
  <c r="X117" i="5"/>
  <c r="Z117" i="5" s="1"/>
  <c r="C115" i="12"/>
  <c r="M115" i="12"/>
  <c r="O115" i="12"/>
  <c r="AO115" i="12"/>
  <c r="K116" i="12"/>
  <c r="A117" i="6"/>
  <c r="M117" i="6" s="1"/>
  <c r="AR117" i="6" s="1"/>
  <c r="Y113" i="12"/>
  <c r="X113" i="12" s="1"/>
  <c r="K118" i="5"/>
  <c r="W118" i="5"/>
  <c r="H118" i="12" s="1"/>
  <c r="B118" i="5"/>
  <c r="C119" i="5" s="1"/>
  <c r="F118" i="5"/>
  <c r="A118" i="12"/>
  <c r="AD118" i="5"/>
  <c r="B118" i="6"/>
  <c r="G118" i="5"/>
  <c r="D118" i="5"/>
  <c r="B118" i="12" s="1"/>
  <c r="J118" i="5"/>
  <c r="N118" i="5"/>
  <c r="D118" i="6" s="1"/>
  <c r="H118" i="6" s="1"/>
  <c r="T118" i="5" s="1"/>
  <c r="E118" i="5"/>
  <c r="AE118" i="5"/>
  <c r="H118" i="5"/>
  <c r="J117" i="12"/>
  <c r="L117" i="12"/>
  <c r="Z116" i="5"/>
  <c r="I116" i="12"/>
  <c r="L116" i="5"/>
  <c r="AM116" i="5"/>
  <c r="AY116" i="6"/>
  <c r="BB116" i="6"/>
  <c r="AI116" i="6"/>
  <c r="AG116" i="6"/>
  <c r="AV116" i="6"/>
  <c r="BE116" i="6"/>
  <c r="AX116" i="6"/>
  <c r="AN116" i="6"/>
  <c r="AM116" i="6"/>
  <c r="AT116" i="6"/>
  <c r="AB116" i="6"/>
  <c r="BD116" i="6"/>
  <c r="AR116" i="6"/>
  <c r="AP116" i="6"/>
  <c r="BF116" i="6"/>
  <c r="AQ116" i="6"/>
  <c r="AU116" i="6"/>
  <c r="AK116" i="6"/>
  <c r="AH116" i="6"/>
  <c r="AJ116" i="6"/>
  <c r="AC116" i="6"/>
  <c r="AD116" i="6"/>
  <c r="BA116" i="6"/>
  <c r="BG116" i="6"/>
  <c r="AS116" i="6"/>
  <c r="AZ116" i="6"/>
  <c r="AF116" i="6"/>
  <c r="AO116" i="6"/>
  <c r="BC116" i="6"/>
  <c r="N113" i="12"/>
  <c r="G121" i="12"/>
  <c r="U112" i="12" l="1"/>
  <c r="V112" i="12"/>
  <c r="L117" i="5"/>
  <c r="Y115" i="12"/>
  <c r="N115" i="12"/>
  <c r="AB117" i="5"/>
  <c r="I117" i="12"/>
  <c r="AM117" i="5"/>
  <c r="W113" i="12"/>
  <c r="V113" i="12" s="1"/>
  <c r="K117" i="12"/>
  <c r="AV117" i="6"/>
  <c r="X118" i="5"/>
  <c r="AY117" i="6"/>
  <c r="BA117" i="6"/>
  <c r="AT117" i="6"/>
  <c r="AN117" i="6"/>
  <c r="AC117" i="6"/>
  <c r="BC117" i="6"/>
  <c r="AS117" i="6"/>
  <c r="AM117" i="6"/>
  <c r="AU117" i="6"/>
  <c r="AF117" i="6"/>
  <c r="AD117" i="6"/>
  <c r="AJ117" i="6"/>
  <c r="AO117" i="6"/>
  <c r="AI117" i="6"/>
  <c r="BG117" i="6"/>
  <c r="BE117" i="6"/>
  <c r="BD117" i="6"/>
  <c r="AZ117" i="6"/>
  <c r="BB117" i="6"/>
  <c r="AB117" i="6"/>
  <c r="BF117" i="6"/>
  <c r="AQ117" i="6"/>
  <c r="AX117" i="6"/>
  <c r="AK117" i="6"/>
  <c r="AH117" i="6"/>
  <c r="AG117" i="6"/>
  <c r="AP117" i="6"/>
  <c r="AB116" i="5"/>
  <c r="A118" i="6"/>
  <c r="M118" i="6" s="1"/>
  <c r="J118" i="12"/>
  <c r="L118" i="12"/>
  <c r="C120" i="5"/>
  <c r="B119" i="5"/>
  <c r="G119" i="5"/>
  <c r="AE119" i="5"/>
  <c r="E119" i="5"/>
  <c r="AD119" i="5"/>
  <c r="H119" i="5"/>
  <c r="F119" i="5"/>
  <c r="N119" i="5"/>
  <c r="D119" i="6" s="1"/>
  <c r="H119" i="6" s="1"/>
  <c r="T119" i="5" s="1"/>
  <c r="B119" i="6"/>
  <c r="W119" i="5"/>
  <c r="H119" i="12" s="1"/>
  <c r="A119" i="12"/>
  <c r="C116" i="6"/>
  <c r="M116" i="12"/>
  <c r="AO116" i="12"/>
  <c r="C116" i="12"/>
  <c r="O116" i="12"/>
  <c r="G122" i="12"/>
  <c r="C117" i="6" l="1"/>
  <c r="W115" i="12"/>
  <c r="X115" i="12"/>
  <c r="T113" i="12"/>
  <c r="U113" i="12"/>
  <c r="M117" i="12"/>
  <c r="AO117" i="12"/>
  <c r="C117" i="12"/>
  <c r="O117" i="12"/>
  <c r="Y116" i="12"/>
  <c r="W116" i="12" s="1"/>
  <c r="U116" i="12" s="1"/>
  <c r="K118" i="12"/>
  <c r="AQ119" i="6"/>
  <c r="AM119" i="6"/>
  <c r="BE119" i="6"/>
  <c r="BF119" i="6"/>
  <c r="BC119" i="6"/>
  <c r="AY119" i="6"/>
  <c r="AP119" i="6"/>
  <c r="AR119" i="6"/>
  <c r="Z118" i="5"/>
  <c r="L118" i="5"/>
  <c r="I118" i="12"/>
  <c r="AM118" i="5"/>
  <c r="AZ119" i="6"/>
  <c r="BA119" i="6"/>
  <c r="AN119" i="6"/>
  <c r="AO119" i="6"/>
  <c r="BD119" i="6"/>
  <c r="AX119" i="6"/>
  <c r="BB119" i="6"/>
  <c r="AS119" i="6"/>
  <c r="AU119" i="6"/>
  <c r="BG119" i="6"/>
  <c r="AT119" i="6"/>
  <c r="N116" i="12"/>
  <c r="AV119" i="6"/>
  <c r="AZ118" i="6"/>
  <c r="BB118" i="6"/>
  <c r="BC118" i="6"/>
  <c r="AT118" i="6"/>
  <c r="AH118" i="6"/>
  <c r="AD118" i="6"/>
  <c r="BF118" i="6"/>
  <c r="AJ118" i="6"/>
  <c r="AK118" i="6"/>
  <c r="BD118" i="6"/>
  <c r="AC118" i="6"/>
  <c r="BG118" i="6"/>
  <c r="BE118" i="6"/>
  <c r="AQ118" i="6"/>
  <c r="AY118" i="6"/>
  <c r="AM118" i="6"/>
  <c r="AN118" i="6"/>
  <c r="AB118" i="6"/>
  <c r="AU118" i="6"/>
  <c r="BA118" i="6"/>
  <c r="AS118" i="6"/>
  <c r="AP118" i="6"/>
  <c r="AR118" i="6"/>
  <c r="AO118" i="6"/>
  <c r="AX118" i="6"/>
  <c r="AF118" i="6"/>
  <c r="AI118" i="6"/>
  <c r="AG118" i="6"/>
  <c r="AV118" i="6"/>
  <c r="A119" i="6"/>
  <c r="M119" i="6" s="1"/>
  <c r="B120" i="5"/>
  <c r="D120" i="5"/>
  <c r="B120" i="12" s="1"/>
  <c r="N120" i="5"/>
  <c r="D120" i="6" s="1"/>
  <c r="H120" i="6" s="1"/>
  <c r="T120" i="5" s="1"/>
  <c r="AE120" i="5"/>
  <c r="K120" i="5"/>
  <c r="C121" i="5"/>
  <c r="J120" i="5"/>
  <c r="H120" i="5"/>
  <c r="B120" i="6"/>
  <c r="W120" i="5"/>
  <c r="H120" i="12" s="1"/>
  <c r="E120" i="5"/>
  <c r="G120" i="5"/>
  <c r="F120" i="5"/>
  <c r="AD120" i="5"/>
  <c r="A120" i="12"/>
  <c r="G123" i="12"/>
  <c r="V116" i="12" l="1"/>
  <c r="T116" i="12"/>
  <c r="N117" i="12"/>
  <c r="U115" i="12"/>
  <c r="V115" i="12"/>
  <c r="T115" i="12"/>
  <c r="X116" i="12"/>
  <c r="Y117" i="12"/>
  <c r="X120" i="5"/>
  <c r="Z120" i="5" s="1"/>
  <c r="AB120" i="5" s="1"/>
  <c r="AO118" i="12"/>
  <c r="O118" i="12"/>
  <c r="M118" i="12"/>
  <c r="C118" i="12"/>
  <c r="C118" i="6"/>
  <c r="AB118" i="5"/>
  <c r="AD119" i="6"/>
  <c r="AI119" i="6"/>
  <c r="AG119" i="6"/>
  <c r="AJ119" i="6"/>
  <c r="AC119" i="6"/>
  <c r="AK119" i="6"/>
  <c r="AH119" i="6"/>
  <c r="AB119" i="6"/>
  <c r="AF119" i="6"/>
  <c r="J120" i="12"/>
  <c r="L120" i="12"/>
  <c r="B121" i="5"/>
  <c r="J121" i="5"/>
  <c r="AD121" i="5"/>
  <c r="K121" i="5"/>
  <c r="W121" i="5"/>
  <c r="H121" i="12" s="1"/>
  <c r="G121" i="5"/>
  <c r="E121" i="5"/>
  <c r="B121" i="6"/>
  <c r="N121" i="5"/>
  <c r="D121" i="6" s="1"/>
  <c r="H121" i="6" s="1"/>
  <c r="T121" i="5" s="1"/>
  <c r="C122" i="5"/>
  <c r="H121" i="5"/>
  <c r="F121" i="5"/>
  <c r="AE121" i="5"/>
  <c r="D121" i="5"/>
  <c r="B121" i="12" s="1"/>
  <c r="A121" i="12"/>
  <c r="A120" i="6"/>
  <c r="M120" i="6" s="1"/>
  <c r="AI120" i="6" s="1"/>
  <c r="G124" i="12"/>
  <c r="X121" i="5" l="1"/>
  <c r="I121" i="12" s="1"/>
  <c r="AM120" i="5"/>
  <c r="I120" i="12"/>
  <c r="C120" i="12" s="1"/>
  <c r="X117" i="12"/>
  <c r="W117" i="12"/>
  <c r="L120" i="5"/>
  <c r="N118" i="12"/>
  <c r="Y118" i="12"/>
  <c r="AP120" i="6"/>
  <c r="AC120" i="6"/>
  <c r="AM120" i="6"/>
  <c r="AO120" i="6"/>
  <c r="BA120" i="6"/>
  <c r="AS120" i="6"/>
  <c r="AQ120" i="6"/>
  <c r="AU120" i="6"/>
  <c r="AB120" i="6"/>
  <c r="AG120" i="6"/>
  <c r="BE120" i="6"/>
  <c r="AN120" i="6"/>
  <c r="AH120" i="6"/>
  <c r="BB120" i="6"/>
  <c r="BC120" i="6"/>
  <c r="AX120" i="6"/>
  <c r="AR120" i="6"/>
  <c r="BD120" i="6"/>
  <c r="AT120" i="6"/>
  <c r="F122" i="5"/>
  <c r="E122" i="5"/>
  <c r="G122" i="5"/>
  <c r="K122" i="5"/>
  <c r="H122" i="5"/>
  <c r="C123" i="5"/>
  <c r="D122" i="5"/>
  <c r="B122" i="12" s="1"/>
  <c r="B122" i="6"/>
  <c r="B122" i="5"/>
  <c r="AD122" i="5"/>
  <c r="A122" i="12"/>
  <c r="J122" i="5"/>
  <c r="N122" i="5"/>
  <c r="D122" i="6" s="1"/>
  <c r="H122" i="6" s="1"/>
  <c r="T122" i="5" s="1"/>
  <c r="W122" i="5"/>
  <c r="H122" i="12" s="1"/>
  <c r="AE122" i="5"/>
  <c r="AF120" i="6"/>
  <c r="BG120" i="6"/>
  <c r="A121" i="6"/>
  <c r="M121" i="6" s="1"/>
  <c r="AQ121" i="6" s="1"/>
  <c r="BF120" i="6"/>
  <c r="AV120" i="6"/>
  <c r="AD120" i="6"/>
  <c r="L121" i="12"/>
  <c r="J121" i="12"/>
  <c r="AK120" i="6"/>
  <c r="AZ120" i="6"/>
  <c r="AJ120" i="6"/>
  <c r="K120" i="12"/>
  <c r="AY120" i="6"/>
  <c r="G125" i="12"/>
  <c r="O121" i="12" l="1"/>
  <c r="Z121" i="5"/>
  <c r="L121" i="5"/>
  <c r="C121" i="6" s="1"/>
  <c r="AM121" i="5"/>
  <c r="M121" i="12"/>
  <c r="C121" i="12"/>
  <c r="O120" i="12"/>
  <c r="M120" i="12"/>
  <c r="AO121" i="12"/>
  <c r="AO120" i="12"/>
  <c r="V117" i="12"/>
  <c r="U117" i="12"/>
  <c r="T117" i="12"/>
  <c r="C120" i="6"/>
  <c r="X122" i="5"/>
  <c r="AM122" i="5" s="1"/>
  <c r="K121" i="12"/>
  <c r="W118" i="12"/>
  <c r="X118" i="12"/>
  <c r="BE121" i="6"/>
  <c r="AP121" i="6"/>
  <c r="A122" i="6"/>
  <c r="M122" i="6" s="1"/>
  <c r="BF121" i="6"/>
  <c r="BC121" i="6"/>
  <c r="AT121" i="6"/>
  <c r="AD121" i="6"/>
  <c r="AC121" i="6"/>
  <c r="BB121" i="6"/>
  <c r="AK121" i="6"/>
  <c r="BA121" i="6"/>
  <c r="AX121" i="6"/>
  <c r="AY121" i="6"/>
  <c r="AJ121" i="6"/>
  <c r="BG121" i="6"/>
  <c r="AF121" i="6"/>
  <c r="AU121" i="6"/>
  <c r="AN121" i="6"/>
  <c r="AV121" i="6"/>
  <c r="AM121" i="6"/>
  <c r="AR121" i="6"/>
  <c r="AI121" i="6"/>
  <c r="AG121" i="6"/>
  <c r="H123" i="5"/>
  <c r="E123" i="5"/>
  <c r="F123" i="5"/>
  <c r="A123" i="12"/>
  <c r="N123" i="5"/>
  <c r="D123" i="6" s="1"/>
  <c r="H123" i="6" s="1"/>
  <c r="T123" i="5" s="1"/>
  <c r="D123" i="5"/>
  <c r="B123" i="12" s="1"/>
  <c r="AE123" i="5"/>
  <c r="K123" i="5"/>
  <c r="G123" i="5"/>
  <c r="B123" i="6"/>
  <c r="W123" i="5"/>
  <c r="H123" i="12" s="1"/>
  <c r="J123" i="5"/>
  <c r="B123" i="5"/>
  <c r="C124" i="5" s="1"/>
  <c r="AD123" i="5"/>
  <c r="AB121" i="6"/>
  <c r="AZ121" i="6"/>
  <c r="BD121" i="6"/>
  <c r="AH121" i="6"/>
  <c r="AO121" i="6"/>
  <c r="AS121" i="6"/>
  <c r="L122" i="12"/>
  <c r="J122" i="12"/>
  <c r="G126" i="12"/>
  <c r="Y121" i="12" l="1"/>
  <c r="N121" i="12"/>
  <c r="AB121" i="5"/>
  <c r="Y120" i="12"/>
  <c r="X120" i="12" s="1"/>
  <c r="N120" i="12"/>
  <c r="X123" i="5"/>
  <c r="L123" i="5" s="1"/>
  <c r="C123" i="6" s="1"/>
  <c r="Z122" i="5"/>
  <c r="L122" i="5"/>
  <c r="I122" i="12"/>
  <c r="A123" i="6"/>
  <c r="M123" i="6" s="1"/>
  <c r="BF123" i="6" s="1"/>
  <c r="T118" i="12"/>
  <c r="V118" i="12"/>
  <c r="U118" i="12"/>
  <c r="K122" i="12"/>
  <c r="L123" i="12"/>
  <c r="J123" i="12"/>
  <c r="W121" i="12"/>
  <c r="X121" i="12"/>
  <c r="AM122" i="6"/>
  <c r="BC122" i="6"/>
  <c r="BD122" i="6"/>
  <c r="AZ122" i="6"/>
  <c r="AH122" i="6"/>
  <c r="AY122" i="6"/>
  <c r="AQ122" i="6"/>
  <c r="BG122" i="6"/>
  <c r="BB122" i="6"/>
  <c r="AD122" i="6"/>
  <c r="AN122" i="6"/>
  <c r="AB122" i="6"/>
  <c r="AO122" i="6"/>
  <c r="AG122" i="6"/>
  <c r="AX122" i="6"/>
  <c r="AR122" i="6"/>
  <c r="AV122" i="6"/>
  <c r="AJ122" i="6"/>
  <c r="AP122" i="6"/>
  <c r="AI122" i="6"/>
  <c r="AS122" i="6"/>
  <c r="AK122" i="6"/>
  <c r="BF122" i="6"/>
  <c r="AT122" i="6"/>
  <c r="BE122" i="6"/>
  <c r="BA122" i="6"/>
  <c r="AC122" i="6"/>
  <c r="AU122" i="6"/>
  <c r="AF122" i="6"/>
  <c r="B124" i="6"/>
  <c r="AD124" i="5"/>
  <c r="A124" i="12"/>
  <c r="N124" i="5"/>
  <c r="D124" i="6" s="1"/>
  <c r="H124" i="6" s="1"/>
  <c r="T124" i="5" s="1"/>
  <c r="G124" i="5"/>
  <c r="H124" i="5"/>
  <c r="F124" i="5"/>
  <c r="W124" i="5"/>
  <c r="H124" i="12" s="1"/>
  <c r="AE124" i="5"/>
  <c r="E124" i="5"/>
  <c r="B124" i="5"/>
  <c r="C125" i="5"/>
  <c r="G127" i="12"/>
  <c r="W120" i="12" l="1"/>
  <c r="U120" i="12" s="1"/>
  <c r="AB122" i="5"/>
  <c r="Z123" i="5"/>
  <c r="AB123" i="5" s="1"/>
  <c r="I123" i="12"/>
  <c r="AM123" i="5"/>
  <c r="C122" i="6"/>
  <c r="AG123" i="6"/>
  <c r="AV123" i="6"/>
  <c r="AO122" i="12"/>
  <c r="M122" i="12"/>
  <c r="C122" i="12"/>
  <c r="O122" i="12"/>
  <c r="AP123" i="6"/>
  <c r="BB123" i="6"/>
  <c r="AH123" i="6"/>
  <c r="AF123" i="6"/>
  <c r="AC123" i="6"/>
  <c r="BD123" i="6"/>
  <c r="AX123" i="6"/>
  <c r="AN123" i="6"/>
  <c r="AT123" i="6"/>
  <c r="AS123" i="6"/>
  <c r="BC123" i="6"/>
  <c r="AD123" i="6"/>
  <c r="AM123" i="6"/>
  <c r="AU123" i="6"/>
  <c r="AO123" i="6"/>
  <c r="AK123" i="6"/>
  <c r="AQ123" i="6"/>
  <c r="AR123" i="6"/>
  <c r="AZ123" i="6"/>
  <c r="AY123" i="6"/>
  <c r="AI123" i="6"/>
  <c r="BA123" i="6"/>
  <c r="BG123" i="6"/>
  <c r="AB123" i="6"/>
  <c r="AJ123" i="6"/>
  <c r="BE123" i="6"/>
  <c r="K123" i="12"/>
  <c r="A124" i="6"/>
  <c r="M124" i="6" s="1"/>
  <c r="V121" i="12"/>
  <c r="T121" i="12"/>
  <c r="U121" i="12"/>
  <c r="H125" i="5"/>
  <c r="A125" i="12"/>
  <c r="F125" i="5"/>
  <c r="AD125" i="5"/>
  <c r="B125" i="5"/>
  <c r="G125" i="5"/>
  <c r="D125" i="5"/>
  <c r="B125" i="12" s="1"/>
  <c r="J125" i="5"/>
  <c r="W125" i="5"/>
  <c r="H125" i="12" s="1"/>
  <c r="C126" i="5"/>
  <c r="E125" i="5"/>
  <c r="K125" i="5"/>
  <c r="B125" i="6"/>
  <c r="AE125" i="5"/>
  <c r="N125" i="5"/>
  <c r="D125" i="6" s="1"/>
  <c r="H125" i="6" s="1"/>
  <c r="T125" i="5" s="1"/>
  <c r="G128" i="12"/>
  <c r="T120" i="12" l="1"/>
  <c r="V120" i="12"/>
  <c r="O123" i="12"/>
  <c r="AO123" i="12"/>
  <c r="M123" i="12"/>
  <c r="C123" i="12"/>
  <c r="N122" i="12"/>
  <c r="Y122" i="12"/>
  <c r="X125" i="5"/>
  <c r="AM125" i="5" s="1"/>
  <c r="A125" i="6"/>
  <c r="M125" i="6" s="1"/>
  <c r="AY125" i="6" s="1"/>
  <c r="AI124" i="6"/>
  <c r="AD124" i="6"/>
  <c r="AZ124" i="6"/>
  <c r="AH124" i="6"/>
  <c r="BG124" i="6"/>
  <c r="AV124" i="6"/>
  <c r="AY124" i="6"/>
  <c r="AP124" i="6"/>
  <c r="AU124" i="6"/>
  <c r="BB124" i="6"/>
  <c r="AB124" i="6"/>
  <c r="AS124" i="6"/>
  <c r="AR124" i="6"/>
  <c r="AN124" i="6"/>
  <c r="AC124" i="6"/>
  <c r="AK124" i="6"/>
  <c r="AQ124" i="6"/>
  <c r="BA124" i="6"/>
  <c r="BE124" i="6"/>
  <c r="AM124" i="6"/>
  <c r="AJ124" i="6"/>
  <c r="BC124" i="6"/>
  <c r="AX124" i="6"/>
  <c r="BD124" i="6"/>
  <c r="AO124" i="6"/>
  <c r="AG124" i="6"/>
  <c r="AT124" i="6"/>
  <c r="BF124" i="6"/>
  <c r="AF124" i="6"/>
  <c r="K126" i="5"/>
  <c r="E126" i="5"/>
  <c r="W126" i="5"/>
  <c r="H126" i="12" s="1"/>
  <c r="B126" i="5"/>
  <c r="H126" i="5"/>
  <c r="N126" i="5"/>
  <c r="D126" i="6" s="1"/>
  <c r="H126" i="6" s="1"/>
  <c r="T126" i="5" s="1"/>
  <c r="C127" i="5"/>
  <c r="J126" i="5"/>
  <c r="D126" i="5"/>
  <c r="B126" i="12" s="1"/>
  <c r="F126" i="5"/>
  <c r="A126" i="12"/>
  <c r="AD126" i="5"/>
  <c r="G126" i="5"/>
  <c r="AE126" i="5"/>
  <c r="B126" i="6"/>
  <c r="J125" i="12"/>
  <c r="L125" i="12"/>
  <c r="G129" i="12"/>
  <c r="Y123" i="12" l="1"/>
  <c r="N123" i="12"/>
  <c r="L125" i="5"/>
  <c r="BC125" i="6"/>
  <c r="I125" i="12"/>
  <c r="AQ125" i="6"/>
  <c r="AO125" i="6"/>
  <c r="Z125" i="5"/>
  <c r="X122" i="12"/>
  <c r="W122" i="12"/>
  <c r="AM125" i="6"/>
  <c r="AR125" i="6"/>
  <c r="BF125" i="6"/>
  <c r="AS125" i="6"/>
  <c r="AU125" i="6"/>
  <c r="AG125" i="6"/>
  <c r="BE125" i="6"/>
  <c r="BG125" i="6"/>
  <c r="AI125" i="6"/>
  <c r="AK125" i="6"/>
  <c r="AZ125" i="6"/>
  <c r="BB125" i="6"/>
  <c r="AF125" i="6"/>
  <c r="AD125" i="6"/>
  <c r="AJ125" i="6"/>
  <c r="AH125" i="6"/>
  <c r="K125" i="12"/>
  <c r="AT125" i="6"/>
  <c r="BA125" i="6"/>
  <c r="AP125" i="6"/>
  <c r="AX125" i="6"/>
  <c r="X126" i="5"/>
  <c r="I126" i="12" s="1"/>
  <c r="C126" i="12" s="1"/>
  <c r="AC125" i="6"/>
  <c r="AV125" i="6"/>
  <c r="BD125" i="6"/>
  <c r="AN125" i="6"/>
  <c r="AB125" i="6"/>
  <c r="L126" i="12"/>
  <c r="J126" i="12"/>
  <c r="A126" i="6"/>
  <c r="M126" i="6" s="1"/>
  <c r="G127" i="5"/>
  <c r="D127" i="5"/>
  <c r="B127" i="12" s="1"/>
  <c r="AD127" i="5"/>
  <c r="J127" i="5"/>
  <c r="C128" i="5"/>
  <c r="K127" i="5"/>
  <c r="H127" i="5"/>
  <c r="F127" i="5"/>
  <c r="W127" i="5"/>
  <c r="H127" i="12" s="1"/>
  <c r="B127" i="6"/>
  <c r="E127" i="5"/>
  <c r="AE127" i="5"/>
  <c r="B127" i="5"/>
  <c r="A127" i="12"/>
  <c r="N127" i="5"/>
  <c r="D127" i="6" s="1"/>
  <c r="H127" i="6" s="1"/>
  <c r="T127" i="5" s="1"/>
  <c r="G131" i="12"/>
  <c r="C125" i="6" l="1"/>
  <c r="Z126" i="5"/>
  <c r="AB126" i="5" s="1"/>
  <c r="X123" i="12"/>
  <c r="W123" i="12"/>
  <c r="AO125" i="12"/>
  <c r="C125" i="12"/>
  <c r="O125" i="12"/>
  <c r="M125" i="12"/>
  <c r="AO126" i="12"/>
  <c r="U122" i="12"/>
  <c r="T122" i="12"/>
  <c r="V122" i="12"/>
  <c r="AB125" i="5"/>
  <c r="O126" i="12"/>
  <c r="M126" i="12"/>
  <c r="X127" i="5"/>
  <c r="I127" i="12" s="1"/>
  <c r="L126" i="5"/>
  <c r="AM126" i="5"/>
  <c r="K126" i="12"/>
  <c r="AO126" i="6"/>
  <c r="BF126" i="6"/>
  <c r="AQ126" i="6"/>
  <c r="AM126" i="6"/>
  <c r="AX126" i="6"/>
  <c r="AN126" i="6"/>
  <c r="BA126" i="6"/>
  <c r="AV126" i="6"/>
  <c r="BE126" i="6"/>
  <c r="BD126" i="6"/>
  <c r="AC126" i="6"/>
  <c r="AU126" i="6"/>
  <c r="AK126" i="6"/>
  <c r="BG126" i="6"/>
  <c r="AP126" i="6"/>
  <c r="AS126" i="6"/>
  <c r="AZ126" i="6"/>
  <c r="BC126" i="6"/>
  <c r="AR126" i="6"/>
  <c r="AT126" i="6"/>
  <c r="BB126" i="6"/>
  <c r="AB126" i="6"/>
  <c r="AY126" i="6"/>
  <c r="AG126" i="6"/>
  <c r="AD126" i="6"/>
  <c r="J127" i="12"/>
  <c r="L127" i="12"/>
  <c r="AH126" i="6"/>
  <c r="B128" i="5"/>
  <c r="A128" i="12"/>
  <c r="J128" i="5"/>
  <c r="K128" i="5"/>
  <c r="G128" i="5"/>
  <c r="W128" i="5"/>
  <c r="H128" i="12" s="1"/>
  <c r="F128" i="5"/>
  <c r="N128" i="5"/>
  <c r="D128" i="6" s="1"/>
  <c r="H128" i="6" s="1"/>
  <c r="T128" i="5" s="1"/>
  <c r="AD128" i="5"/>
  <c r="D128" i="5"/>
  <c r="B128" i="12" s="1"/>
  <c r="C129" i="5"/>
  <c r="C130" i="5" s="1"/>
  <c r="E128" i="5"/>
  <c r="H128" i="5"/>
  <c r="AE128" i="5"/>
  <c r="B128" i="6"/>
  <c r="AJ126" i="6"/>
  <c r="A127" i="6"/>
  <c r="M127" i="6" s="1"/>
  <c r="AI127" i="6" s="1"/>
  <c r="AI126" i="6"/>
  <c r="AF126" i="6"/>
  <c r="G132" i="12"/>
  <c r="O127" i="12" l="1"/>
  <c r="K130" i="5"/>
  <c r="W130" i="5"/>
  <c r="J130" i="5"/>
  <c r="AE130" i="5"/>
  <c r="N130" i="5"/>
  <c r="B130" i="6"/>
  <c r="AD130" i="5"/>
  <c r="A130" i="12"/>
  <c r="D130" i="5"/>
  <c r="B130" i="12" s="1"/>
  <c r="L127" i="5"/>
  <c r="C127" i="6" s="1"/>
  <c r="AO127" i="12"/>
  <c r="M127" i="12"/>
  <c r="C127" i="12"/>
  <c r="AM127" i="5"/>
  <c r="V123" i="12"/>
  <c r="T123" i="12"/>
  <c r="U123" i="12"/>
  <c r="Z127" i="5"/>
  <c r="Y126" i="12"/>
  <c r="X126" i="12" s="1"/>
  <c r="N126" i="12"/>
  <c r="N125" i="12"/>
  <c r="Y125" i="12"/>
  <c r="K127" i="12"/>
  <c r="C126" i="6"/>
  <c r="AT127" i="6"/>
  <c r="AK127" i="6"/>
  <c r="AV127" i="6"/>
  <c r="BA127" i="6"/>
  <c r="AC127" i="6"/>
  <c r="AX127" i="6"/>
  <c r="AN127" i="6"/>
  <c r="AZ127" i="6"/>
  <c r="BD127" i="6"/>
  <c r="BF127" i="6"/>
  <c r="B129" i="6"/>
  <c r="AE129" i="5"/>
  <c r="E129" i="5"/>
  <c r="E130" i="5" s="1"/>
  <c r="B129" i="5"/>
  <c r="B130" i="5" s="1"/>
  <c r="N129" i="5"/>
  <c r="D129" i="6" s="1"/>
  <c r="H129" i="6" s="1"/>
  <c r="T129" i="5" s="1"/>
  <c r="AD129" i="5"/>
  <c r="D129" i="5"/>
  <c r="B129" i="12" s="1"/>
  <c r="K129" i="5"/>
  <c r="H129" i="5"/>
  <c r="H130" i="5" s="1"/>
  <c r="F129" i="5"/>
  <c r="F130" i="5" s="1"/>
  <c r="W129" i="5"/>
  <c r="H129" i="12" s="1"/>
  <c r="J129" i="5"/>
  <c r="G129" i="5"/>
  <c r="G130" i="5" s="1"/>
  <c r="A129" i="12"/>
  <c r="AH127" i="6"/>
  <c r="AU127" i="6"/>
  <c r="AB127" i="6"/>
  <c r="AF127" i="6"/>
  <c r="L128" i="12"/>
  <c r="J128" i="12"/>
  <c r="AQ127" i="6"/>
  <c r="AP127" i="6"/>
  <c r="X128" i="5"/>
  <c r="AS127" i="6"/>
  <c r="AM127" i="6"/>
  <c r="BB127" i="6"/>
  <c r="AR127" i="6"/>
  <c r="AY127" i="6"/>
  <c r="BE127" i="6"/>
  <c r="AO127" i="6"/>
  <c r="AG127" i="6"/>
  <c r="AD127" i="6"/>
  <c r="BC127" i="6"/>
  <c r="BG127" i="6"/>
  <c r="AJ127" i="6"/>
  <c r="A128" i="6"/>
  <c r="M128" i="6" s="1"/>
  <c r="BD128" i="6" s="1"/>
  <c r="G133" i="12"/>
  <c r="N127" i="12" l="1"/>
  <c r="Y127" i="12"/>
  <c r="X127" i="12" s="1"/>
  <c r="L130" i="12"/>
  <c r="J130" i="12"/>
  <c r="C131" i="5"/>
  <c r="H131" i="5" s="1"/>
  <c r="D130" i="6"/>
  <c r="W126" i="12"/>
  <c r="U126" i="12" s="1"/>
  <c r="AB127" i="5"/>
  <c r="X125" i="12"/>
  <c r="W125" i="12"/>
  <c r="X129" i="5"/>
  <c r="AM129" i="5" s="1"/>
  <c r="AK128" i="6"/>
  <c r="K128" i="12"/>
  <c r="Z128" i="5"/>
  <c r="I128" i="12"/>
  <c r="AM128" i="5"/>
  <c r="L128" i="5"/>
  <c r="AI128" i="6"/>
  <c r="AD128" i="6"/>
  <c r="AS128" i="6"/>
  <c r="BE128" i="6"/>
  <c r="AZ128" i="6"/>
  <c r="AB128" i="6"/>
  <c r="AN128" i="6"/>
  <c r="AF128" i="6"/>
  <c r="AV128" i="6"/>
  <c r="AY128" i="6"/>
  <c r="AT128" i="6"/>
  <c r="AX128" i="6"/>
  <c r="AC128" i="6"/>
  <c r="AH128" i="6"/>
  <c r="AR128" i="6"/>
  <c r="BF128" i="6"/>
  <c r="BA128" i="6"/>
  <c r="AO128" i="6"/>
  <c r="BG128" i="6"/>
  <c r="BC128" i="6"/>
  <c r="BB128" i="6"/>
  <c r="AQ128" i="6"/>
  <c r="AP128" i="6"/>
  <c r="AM128" i="6"/>
  <c r="AU128" i="6"/>
  <c r="AJ128" i="6"/>
  <c r="A129" i="6"/>
  <c r="M129" i="6" s="1"/>
  <c r="AZ129" i="6" s="1"/>
  <c r="AG128" i="6"/>
  <c r="L129" i="12"/>
  <c r="J129" i="12"/>
  <c r="G134" i="12"/>
  <c r="W127" i="12" l="1"/>
  <c r="U127" i="12" s="1"/>
  <c r="C132" i="5"/>
  <c r="A132" i="12" s="1"/>
  <c r="N131" i="5"/>
  <c r="D131" i="6" s="1"/>
  <c r="H131" i="6" s="1"/>
  <c r="T131" i="5" s="1"/>
  <c r="G131" i="5"/>
  <c r="A131" i="12"/>
  <c r="K130" i="12"/>
  <c r="B131" i="6"/>
  <c r="AE131" i="5"/>
  <c r="AD131" i="5"/>
  <c r="B131" i="5"/>
  <c r="E131" i="5"/>
  <c r="W131" i="5"/>
  <c r="H131" i="12" s="1"/>
  <c r="H130" i="6"/>
  <c r="T130" i="5" s="1"/>
  <c r="X130" i="5" s="1"/>
  <c r="F131" i="5"/>
  <c r="A130" i="6"/>
  <c r="M130" i="6" s="1"/>
  <c r="V126" i="12"/>
  <c r="T126" i="12"/>
  <c r="Z129" i="5"/>
  <c r="I129" i="12"/>
  <c r="L129" i="5"/>
  <c r="C129" i="6" s="1"/>
  <c r="T125" i="12"/>
  <c r="V125" i="12"/>
  <c r="U125" i="12"/>
  <c r="AX129" i="6"/>
  <c r="AH129" i="6"/>
  <c r="AB129" i="6"/>
  <c r="AI129" i="6"/>
  <c r="AN129" i="6"/>
  <c r="AC129" i="6"/>
  <c r="AM129" i="6"/>
  <c r="O128" i="12"/>
  <c r="C128" i="12"/>
  <c r="AO128" i="12"/>
  <c r="M128" i="12"/>
  <c r="AG129" i="6"/>
  <c r="BA129" i="6"/>
  <c r="AB128" i="5"/>
  <c r="AQ129" i="6"/>
  <c r="AD129" i="6"/>
  <c r="K129" i="12"/>
  <c r="BF129" i="6"/>
  <c r="AF129" i="6"/>
  <c r="AJ129" i="6"/>
  <c r="AV129" i="6"/>
  <c r="AO129" i="6"/>
  <c r="BE129" i="6"/>
  <c r="AU129" i="6"/>
  <c r="BB129" i="6"/>
  <c r="AR129" i="6"/>
  <c r="BG129" i="6"/>
  <c r="BC129" i="6"/>
  <c r="BD129" i="6"/>
  <c r="AS129" i="6"/>
  <c r="AK129" i="6"/>
  <c r="AY129" i="6"/>
  <c r="AP129" i="6"/>
  <c r="C128" i="6"/>
  <c r="AT129" i="6"/>
  <c r="G135" i="12"/>
  <c r="N132" i="5" l="1"/>
  <c r="D132" i="6" s="1"/>
  <c r="H132" i="6" s="1"/>
  <c r="T132" i="5" s="1"/>
  <c r="T127" i="12"/>
  <c r="V127" i="12"/>
  <c r="C133" i="5"/>
  <c r="AE133" i="5" s="1"/>
  <c r="W132" i="5"/>
  <c r="H132" i="12" s="1"/>
  <c r="H132" i="5"/>
  <c r="J132" i="5"/>
  <c r="AD132" i="5"/>
  <c r="B132" i="5"/>
  <c r="B132" i="6"/>
  <c r="K132" i="5"/>
  <c r="AE132" i="5"/>
  <c r="D132" i="5"/>
  <c r="B132" i="12" s="1"/>
  <c r="G132" i="5"/>
  <c r="E132" i="5"/>
  <c r="F132" i="5"/>
  <c r="A131" i="6"/>
  <c r="M131" i="6" s="1"/>
  <c r="AF131" i="6" s="1"/>
  <c r="AN130" i="6"/>
  <c r="AX130" i="6"/>
  <c r="BD130" i="6"/>
  <c r="BF130" i="6"/>
  <c r="BA130" i="6"/>
  <c r="AO130" i="6"/>
  <c r="AU130" i="6"/>
  <c r="AR130" i="6"/>
  <c r="BG130" i="6"/>
  <c r="AM130" i="6"/>
  <c r="BB130" i="6"/>
  <c r="AY130" i="6"/>
  <c r="AS130" i="6"/>
  <c r="AP130" i="6"/>
  <c r="BE130" i="6"/>
  <c r="BC130" i="6"/>
  <c r="AZ130" i="6"/>
  <c r="AV130" i="6"/>
  <c r="AT130" i="6"/>
  <c r="AQ130" i="6"/>
  <c r="AM130" i="5"/>
  <c r="I130" i="12"/>
  <c r="L130" i="5"/>
  <c r="Z130" i="5"/>
  <c r="AB130" i="6"/>
  <c r="AG130" i="6"/>
  <c r="AJ130" i="6"/>
  <c r="AD130" i="6"/>
  <c r="AI130" i="6"/>
  <c r="AF130" i="6"/>
  <c r="AC130" i="6"/>
  <c r="AH130" i="6"/>
  <c r="AK130" i="6"/>
  <c r="AB129" i="5"/>
  <c r="M129" i="12"/>
  <c r="C129" i="12"/>
  <c r="AO129" i="12"/>
  <c r="O129" i="12"/>
  <c r="Y128" i="12"/>
  <c r="L132" i="12"/>
  <c r="J132" i="12"/>
  <c r="AV131" i="6"/>
  <c r="BB131" i="6"/>
  <c r="BG131" i="6"/>
  <c r="AY131" i="6"/>
  <c r="BC131" i="6"/>
  <c r="BD131" i="6"/>
  <c r="BE131" i="6"/>
  <c r="AO131" i="6"/>
  <c r="AS131" i="6"/>
  <c r="AT131" i="6"/>
  <c r="AN131" i="6"/>
  <c r="AP131" i="6"/>
  <c r="AM131" i="6"/>
  <c r="AZ131" i="6"/>
  <c r="BF131" i="6"/>
  <c r="AU131" i="6"/>
  <c r="BA131" i="6"/>
  <c r="AX131" i="6"/>
  <c r="AQ131" i="6"/>
  <c r="AR131" i="6"/>
  <c r="N128" i="12"/>
  <c r="G136" i="12"/>
  <c r="J133" i="5" l="1"/>
  <c r="AD133" i="5"/>
  <c r="N133" i="5"/>
  <c r="D133" i="6" s="1"/>
  <c r="H133" i="6" s="1"/>
  <c r="T133" i="5" s="1"/>
  <c r="K133" i="5"/>
  <c r="A133" i="12"/>
  <c r="J133" i="12" s="1"/>
  <c r="B133" i="6"/>
  <c r="D133" i="5"/>
  <c r="B133" i="12" s="1"/>
  <c r="W133" i="5"/>
  <c r="H133" i="12" s="1"/>
  <c r="B133" i="5"/>
  <c r="C134" i="5" s="1"/>
  <c r="H133" i="5"/>
  <c r="F133" i="5"/>
  <c r="F134" i="5" s="1"/>
  <c r="E133" i="5"/>
  <c r="X132" i="5"/>
  <c r="L132" i="5" s="1"/>
  <c r="C132" i="6" s="1"/>
  <c r="G133" i="5"/>
  <c r="AB131" i="6"/>
  <c r="AI131" i="6"/>
  <c r="AH131" i="6"/>
  <c r="AG131" i="6"/>
  <c r="AK131" i="6"/>
  <c r="AJ131" i="6"/>
  <c r="AD131" i="6"/>
  <c r="AC131" i="6"/>
  <c r="A132" i="6"/>
  <c r="M132" i="6" s="1"/>
  <c r="BB132" i="6" s="1"/>
  <c r="C130" i="6"/>
  <c r="C130" i="12"/>
  <c r="AO130" i="12"/>
  <c r="M130" i="12"/>
  <c r="O130" i="12"/>
  <c r="AB130" i="5"/>
  <c r="N129" i="12"/>
  <c r="Y129" i="12"/>
  <c r="K132" i="12"/>
  <c r="W128" i="12"/>
  <c r="X128" i="12"/>
  <c r="W134" i="5"/>
  <c r="H134" i="12" s="1"/>
  <c r="A134" i="12"/>
  <c r="C135" i="5"/>
  <c r="B134" i="6"/>
  <c r="AD134" i="5"/>
  <c r="N134" i="5"/>
  <c r="D134" i="6" s="1"/>
  <c r="H134" i="6" s="1"/>
  <c r="T134" i="5" s="1"/>
  <c r="AE134" i="5"/>
  <c r="B134" i="5"/>
  <c r="H134" i="5"/>
  <c r="G137" i="12"/>
  <c r="L133" i="12" l="1"/>
  <c r="G134" i="5"/>
  <c r="G135" i="5" s="1"/>
  <c r="X133" i="5"/>
  <c r="AM133" i="5" s="1"/>
  <c r="E134" i="5"/>
  <c r="E135" i="5" s="1"/>
  <c r="I132" i="12"/>
  <c r="M132" i="12" s="1"/>
  <c r="AM132" i="5"/>
  <c r="Z132" i="5"/>
  <c r="AB132" i="5" s="1"/>
  <c r="A133" i="6"/>
  <c r="M133" i="6" s="1"/>
  <c r="AP133" i="6" s="1"/>
  <c r="AT132" i="6"/>
  <c r="AM132" i="6"/>
  <c r="AX132" i="6"/>
  <c r="AO132" i="6"/>
  <c r="AI132" i="6"/>
  <c r="BA132" i="6"/>
  <c r="AF132" i="6"/>
  <c r="AY132" i="6"/>
  <c r="AZ132" i="6"/>
  <c r="AK132" i="6"/>
  <c r="AV132" i="6"/>
  <c r="BG132" i="6"/>
  <c r="BE132" i="6"/>
  <c r="AU132" i="6"/>
  <c r="AQ132" i="6"/>
  <c r="AB132" i="6"/>
  <c r="BC132" i="6"/>
  <c r="AR132" i="6"/>
  <c r="BF132" i="6"/>
  <c r="AN132" i="6"/>
  <c r="AS132" i="6"/>
  <c r="AJ132" i="6"/>
  <c r="AP132" i="6"/>
  <c r="AC132" i="6"/>
  <c r="AG132" i="6"/>
  <c r="AD132" i="6"/>
  <c r="BD132" i="6"/>
  <c r="AH132" i="6"/>
  <c r="N130" i="12"/>
  <c r="Y130" i="12"/>
  <c r="X129" i="12"/>
  <c r="W129" i="12"/>
  <c r="V128" i="12"/>
  <c r="U128" i="12"/>
  <c r="T128" i="12"/>
  <c r="K133" i="12"/>
  <c r="A135" i="12"/>
  <c r="H135" i="5"/>
  <c r="AE135" i="5"/>
  <c r="J135" i="5"/>
  <c r="B135" i="5"/>
  <c r="C136" i="5" s="1"/>
  <c r="K135" i="5"/>
  <c r="W135" i="5"/>
  <c r="H135" i="12" s="1"/>
  <c r="F135" i="5"/>
  <c r="B135" i="6"/>
  <c r="D135" i="5"/>
  <c r="B135" i="12" s="1"/>
  <c r="N135" i="5"/>
  <c r="D135" i="6" s="1"/>
  <c r="H135" i="6" s="1"/>
  <c r="T135" i="5" s="1"/>
  <c r="AD135" i="5"/>
  <c r="G138" i="12"/>
  <c r="I133" i="12" l="1"/>
  <c r="C133" i="12" s="1"/>
  <c r="C132" i="12"/>
  <c r="Z133" i="5"/>
  <c r="L133" i="5"/>
  <c r="AO132" i="12"/>
  <c r="O132" i="12"/>
  <c r="N132" i="12" s="1"/>
  <c r="A134" i="6"/>
  <c r="M134" i="6" s="1"/>
  <c r="BE134" i="6" s="1"/>
  <c r="AD133" i="6"/>
  <c r="BB133" i="6"/>
  <c r="AT133" i="6"/>
  <c r="AS133" i="6"/>
  <c r="AC133" i="6"/>
  <c r="AU133" i="6"/>
  <c r="AJ133" i="6"/>
  <c r="BG133" i="6"/>
  <c r="AB133" i="6"/>
  <c r="AO133" i="6"/>
  <c r="AG133" i="6"/>
  <c r="AF133" i="6"/>
  <c r="AX133" i="6"/>
  <c r="AV133" i="6"/>
  <c r="AY133" i="6"/>
  <c r="AQ133" i="6"/>
  <c r="BF133" i="6"/>
  <c r="BD133" i="6"/>
  <c r="AH133" i="6"/>
  <c r="AZ133" i="6"/>
  <c r="BE133" i="6"/>
  <c r="AK133" i="6"/>
  <c r="AM133" i="6"/>
  <c r="AR133" i="6"/>
  <c r="AN133" i="6"/>
  <c r="BC133" i="6"/>
  <c r="AI133" i="6"/>
  <c r="BA133" i="6"/>
  <c r="X130" i="12"/>
  <c r="W130" i="12"/>
  <c r="AO133" i="12"/>
  <c r="O133" i="12"/>
  <c r="M133" i="12"/>
  <c r="X135" i="5"/>
  <c r="L135" i="5" s="1"/>
  <c r="C135" i="6" s="1"/>
  <c r="AB133" i="5"/>
  <c r="T129" i="12"/>
  <c r="U129" i="12"/>
  <c r="V129" i="12"/>
  <c r="C133" i="6"/>
  <c r="BD134" i="6"/>
  <c r="BB134" i="6"/>
  <c r="AV134" i="6"/>
  <c r="AU134" i="6"/>
  <c r="AR134" i="6"/>
  <c r="AO134" i="6"/>
  <c r="AP134" i="6"/>
  <c r="BF134" i="6"/>
  <c r="BA134" i="6"/>
  <c r="AX134" i="6"/>
  <c r="AM134" i="6"/>
  <c r="BG134" i="6"/>
  <c r="AT134" i="6"/>
  <c r="AS134" i="6"/>
  <c r="AZ134" i="6"/>
  <c r="AN134" i="6"/>
  <c r="AY134" i="6"/>
  <c r="BC134" i="6"/>
  <c r="AQ134" i="6"/>
  <c r="L135" i="12"/>
  <c r="J135" i="12"/>
  <c r="AD136" i="5"/>
  <c r="E136" i="5"/>
  <c r="C137" i="5"/>
  <c r="H136" i="5"/>
  <c r="A136" i="12"/>
  <c r="B136" i="5"/>
  <c r="G136" i="5"/>
  <c r="W136" i="5"/>
  <c r="H136" i="12" s="1"/>
  <c r="B136" i="6"/>
  <c r="N136" i="5"/>
  <c r="D136" i="6" s="1"/>
  <c r="H136" i="6" s="1"/>
  <c r="T136" i="5" s="1"/>
  <c r="AE136" i="5"/>
  <c r="F136" i="5"/>
  <c r="G139" i="12"/>
  <c r="AD134" i="6" l="1"/>
  <c r="AI134" i="6"/>
  <c r="AJ134" i="6"/>
  <c r="A135" i="6"/>
  <c r="M135" i="6" s="1"/>
  <c r="AI135" i="6" s="1"/>
  <c r="Y132" i="12"/>
  <c r="AF134" i="6"/>
  <c r="AG134" i="6"/>
  <c r="AC134" i="6"/>
  <c r="AB134" i="6"/>
  <c r="AH134" i="6"/>
  <c r="AK134" i="6"/>
  <c r="V130" i="12"/>
  <c r="U130" i="12"/>
  <c r="T130" i="12"/>
  <c r="Y133" i="12"/>
  <c r="X133" i="12" s="1"/>
  <c r="N133" i="12"/>
  <c r="AM135" i="5"/>
  <c r="I135" i="12"/>
  <c r="AO135" i="12" s="1"/>
  <c r="Z135" i="5"/>
  <c r="AB135" i="5" s="1"/>
  <c r="X132" i="12"/>
  <c r="W132" i="12"/>
  <c r="K135" i="12"/>
  <c r="AE137" i="5"/>
  <c r="AD137" i="5"/>
  <c r="G137" i="5"/>
  <c r="A137" i="12"/>
  <c r="K137" i="5"/>
  <c r="N137" i="5"/>
  <c r="D137" i="6" s="1"/>
  <c r="H137" i="6" s="1"/>
  <c r="T137" i="5" s="1"/>
  <c r="H137" i="5"/>
  <c r="D137" i="5"/>
  <c r="B137" i="12" s="1"/>
  <c r="B137" i="5"/>
  <c r="F137" i="5"/>
  <c r="E137" i="5"/>
  <c r="C138" i="5"/>
  <c r="J137" i="5"/>
  <c r="B137" i="6"/>
  <c r="W137" i="5"/>
  <c r="H137" i="12" s="1"/>
  <c r="A136" i="6"/>
  <c r="M136" i="6" s="1"/>
  <c r="AH136" i="6" s="1"/>
  <c r="G140" i="12"/>
  <c r="BF135" i="6" l="1"/>
  <c r="AF135" i="6"/>
  <c r="AD135" i="6"/>
  <c r="AH135" i="6"/>
  <c r="AB135" i="6"/>
  <c r="AT135" i="6"/>
  <c r="AM135" i="6"/>
  <c r="AR135" i="6"/>
  <c r="AY135" i="6"/>
  <c r="AO135" i="6"/>
  <c r="AU135" i="6"/>
  <c r="AJ135" i="6"/>
  <c r="BG135" i="6"/>
  <c r="BC135" i="6"/>
  <c r="AQ135" i="6"/>
  <c r="AG135" i="6"/>
  <c r="AN135" i="6"/>
  <c r="BE135" i="6"/>
  <c r="AK135" i="6"/>
  <c r="BA135" i="6"/>
  <c r="AV135" i="6"/>
  <c r="AZ135" i="6"/>
  <c r="AC135" i="6"/>
  <c r="BD135" i="6"/>
  <c r="AS135" i="6"/>
  <c r="AX135" i="6"/>
  <c r="AP135" i="6"/>
  <c r="BB135" i="6"/>
  <c r="W133" i="12"/>
  <c r="U133" i="12" s="1"/>
  <c r="M135" i="12"/>
  <c r="C135" i="12"/>
  <c r="O135" i="12"/>
  <c r="V132" i="12"/>
  <c r="T132" i="12"/>
  <c r="U132" i="12"/>
  <c r="X137" i="5"/>
  <c r="A137" i="6"/>
  <c r="M137" i="6" s="1"/>
  <c r="AX137" i="6" s="1"/>
  <c r="AK136" i="6"/>
  <c r="B138" i="6"/>
  <c r="H138" i="5"/>
  <c r="AD138" i="5"/>
  <c r="K138" i="5"/>
  <c r="B138" i="5"/>
  <c r="W138" i="5"/>
  <c r="H138" i="12" s="1"/>
  <c r="A138" i="12"/>
  <c r="J138" i="5"/>
  <c r="D138" i="5"/>
  <c r="B138" i="12" s="1"/>
  <c r="E138" i="5"/>
  <c r="C139" i="5"/>
  <c r="F138" i="5"/>
  <c r="G138" i="5"/>
  <c r="AE138" i="5"/>
  <c r="N138" i="5"/>
  <c r="D138" i="6" s="1"/>
  <c r="H138" i="6" s="1"/>
  <c r="T138" i="5" s="1"/>
  <c r="L137" i="12"/>
  <c r="J137" i="12"/>
  <c r="AR136" i="6"/>
  <c r="AI136" i="6"/>
  <c r="AQ136" i="6"/>
  <c r="AZ136" i="6"/>
  <c r="AS136" i="6"/>
  <c r="AN136" i="6"/>
  <c r="BE136" i="6"/>
  <c r="AV136" i="6"/>
  <c r="AY136" i="6"/>
  <c r="AT136" i="6"/>
  <c r="AP136" i="6"/>
  <c r="AU136" i="6"/>
  <c r="AX136" i="6"/>
  <c r="BC136" i="6"/>
  <c r="AD136" i="6"/>
  <c r="AF136" i="6"/>
  <c r="BA136" i="6"/>
  <c r="AJ136" i="6"/>
  <c r="AM136" i="6"/>
  <c r="BG136" i="6"/>
  <c r="AC136" i="6"/>
  <c r="AO136" i="6"/>
  <c r="AG136" i="6"/>
  <c r="BF136" i="6"/>
  <c r="BB136" i="6"/>
  <c r="AB136" i="6"/>
  <c r="BD136" i="6"/>
  <c r="G141" i="12"/>
  <c r="V133" i="12" l="1"/>
  <c r="N135" i="12"/>
  <c r="T133" i="12"/>
  <c r="Y135" i="12"/>
  <c r="W135" i="12" s="1"/>
  <c r="U135" i="12" s="1"/>
  <c r="AM137" i="6"/>
  <c r="AT137" i="6"/>
  <c r="BA137" i="6"/>
  <c r="AM137" i="5"/>
  <c r="I137" i="12"/>
  <c r="Z137" i="5"/>
  <c r="L137" i="5"/>
  <c r="AQ137" i="6"/>
  <c r="BD137" i="6"/>
  <c r="AH137" i="6"/>
  <c r="K137" i="12"/>
  <c r="BB137" i="6"/>
  <c r="BE137" i="6"/>
  <c r="BG137" i="6"/>
  <c r="AB137" i="6"/>
  <c r="AU137" i="6"/>
  <c r="AN137" i="6"/>
  <c r="BF137" i="6"/>
  <c r="AJ137" i="6"/>
  <c r="AF137" i="6"/>
  <c r="AY137" i="6"/>
  <c r="AP137" i="6"/>
  <c r="AG137" i="6"/>
  <c r="AI137" i="6"/>
  <c r="AZ137" i="6"/>
  <c r="AC137" i="6"/>
  <c r="AD137" i="6"/>
  <c r="AS137" i="6"/>
  <c r="BC137" i="6"/>
  <c r="AO137" i="6"/>
  <c r="AK137" i="6"/>
  <c r="AV137" i="6"/>
  <c r="AR137" i="6"/>
  <c r="X138" i="5"/>
  <c r="AM138" i="5" s="1"/>
  <c r="L138" i="12"/>
  <c r="J138" i="12"/>
  <c r="W139" i="5"/>
  <c r="H139" i="12" s="1"/>
  <c r="F139" i="5"/>
  <c r="D139" i="5"/>
  <c r="B139" i="12" s="1"/>
  <c r="AD139" i="5"/>
  <c r="AE139" i="5"/>
  <c r="E139" i="5"/>
  <c r="G139" i="5"/>
  <c r="B139" i="6"/>
  <c r="H139" i="5"/>
  <c r="J139" i="5"/>
  <c r="A139" i="12"/>
  <c r="K139" i="5"/>
  <c r="N139" i="5"/>
  <c r="D139" i="6" s="1"/>
  <c r="H139" i="6" s="1"/>
  <c r="T139" i="5" s="1"/>
  <c r="B139" i="5"/>
  <c r="A138" i="6"/>
  <c r="M138" i="6" s="1"/>
  <c r="G142" i="12"/>
  <c r="T135" i="12" l="1"/>
  <c r="C140" i="5"/>
  <c r="X135" i="12"/>
  <c r="V135" i="12"/>
  <c r="X139" i="5"/>
  <c r="Z139" i="5" s="1"/>
  <c r="AB139" i="5" s="1"/>
  <c r="C137" i="6"/>
  <c r="AB137" i="5"/>
  <c r="O137" i="12"/>
  <c r="M137" i="12"/>
  <c r="C137" i="12"/>
  <c r="AO137" i="12"/>
  <c r="I138" i="12"/>
  <c r="L138" i="5"/>
  <c r="Z138" i="5"/>
  <c r="K138" i="12"/>
  <c r="L139" i="12"/>
  <c r="J139" i="12"/>
  <c r="BF138" i="6"/>
  <c r="AS138" i="6"/>
  <c r="BB138" i="6"/>
  <c r="AY138" i="6"/>
  <c r="AP138" i="6"/>
  <c r="BC138" i="6"/>
  <c r="AJ138" i="6"/>
  <c r="AH138" i="6"/>
  <c r="AG138" i="6"/>
  <c r="AO138" i="6"/>
  <c r="AB138" i="6"/>
  <c r="AF138" i="6"/>
  <c r="AR138" i="6"/>
  <c r="AK138" i="6"/>
  <c r="AQ138" i="6"/>
  <c r="AT138" i="6"/>
  <c r="AI138" i="6"/>
  <c r="AZ138" i="6"/>
  <c r="AU138" i="6"/>
  <c r="AN138" i="6"/>
  <c r="AC138" i="6"/>
  <c r="BE138" i="6"/>
  <c r="BD138" i="6"/>
  <c r="BA138" i="6"/>
  <c r="BG138" i="6"/>
  <c r="AM138" i="6"/>
  <c r="AD138" i="6"/>
  <c r="AX138" i="6"/>
  <c r="AV138" i="6"/>
  <c r="A139" i="6"/>
  <c r="M139" i="6" s="1"/>
  <c r="G143" i="12"/>
  <c r="AE12" i="6"/>
  <c r="H14" i="6"/>
  <c r="AJ14" i="6" s="1"/>
  <c r="K11" i="10"/>
  <c r="AP12" i="6"/>
  <c r="J11" i="9"/>
  <c r="BA12" i="6"/>
  <c r="AE130" i="6" l="1"/>
  <c r="AE21" i="6"/>
  <c r="B140" i="5"/>
  <c r="N140" i="5"/>
  <c r="D140" i="6" s="1"/>
  <c r="H140" i="6" s="1"/>
  <c r="T140" i="5" s="1"/>
  <c r="F140" i="5"/>
  <c r="C141" i="5"/>
  <c r="A141" i="12" s="1"/>
  <c r="G140" i="5"/>
  <c r="B140" i="6"/>
  <c r="E140" i="5"/>
  <c r="AD140" i="5"/>
  <c r="A140" i="12"/>
  <c r="H140" i="5"/>
  <c r="AE140" i="5"/>
  <c r="W140" i="5"/>
  <c r="H140" i="12" s="1"/>
  <c r="L139" i="5"/>
  <c r="C139" i="6" s="1"/>
  <c r="AM139" i="5"/>
  <c r="I139" i="12"/>
  <c r="C139" i="12" s="1"/>
  <c r="Y137" i="12"/>
  <c r="W137" i="12" s="1"/>
  <c r="T137" i="12" s="1"/>
  <c r="N137" i="12"/>
  <c r="AB138" i="5"/>
  <c r="C138" i="6"/>
  <c r="O138" i="12"/>
  <c r="AO138" i="12"/>
  <c r="M138" i="12"/>
  <c r="C138" i="12"/>
  <c r="K139" i="12"/>
  <c r="AE87" i="6"/>
  <c r="AE111" i="6"/>
  <c r="AE112" i="6"/>
  <c r="AE113" i="6"/>
  <c r="BB139" i="6"/>
  <c r="BC139" i="6"/>
  <c r="BG139" i="6"/>
  <c r="AK139" i="6"/>
  <c r="AF139" i="6"/>
  <c r="AT139" i="6"/>
  <c r="AV139" i="6"/>
  <c r="AG139" i="6"/>
  <c r="AX139" i="6"/>
  <c r="AJ139" i="6"/>
  <c r="BF139" i="6"/>
  <c r="AN139" i="6"/>
  <c r="AR139" i="6"/>
  <c r="AM139" i="6"/>
  <c r="AP139" i="6"/>
  <c r="AH139" i="6"/>
  <c r="AU139" i="6"/>
  <c r="AS139" i="6"/>
  <c r="AD139" i="6"/>
  <c r="AC139" i="6"/>
  <c r="BE139" i="6"/>
  <c r="BA139" i="6"/>
  <c r="AZ139" i="6"/>
  <c r="BD139" i="6"/>
  <c r="AO139" i="6"/>
  <c r="AI139" i="6"/>
  <c r="AY139" i="6"/>
  <c r="AQ139" i="6"/>
  <c r="AB139" i="6"/>
  <c r="AE83" i="6"/>
  <c r="AE84" i="6"/>
  <c r="AE23" i="6"/>
  <c r="AE24" i="6"/>
  <c r="AE35" i="6"/>
  <c r="AE36" i="6"/>
  <c r="AE61" i="6"/>
  <c r="AE42" i="6"/>
  <c r="G144" i="12"/>
  <c r="AE16" i="6"/>
  <c r="AE17" i="6"/>
  <c r="AE18" i="6"/>
  <c r="AE19" i="6"/>
  <c r="AE20" i="6"/>
  <c r="AE22" i="6"/>
  <c r="AE25" i="6"/>
  <c r="AE26" i="6"/>
  <c r="AE27" i="6"/>
  <c r="AE28" i="6"/>
  <c r="AE29" i="6"/>
  <c r="AE30" i="6"/>
  <c r="AE31" i="6"/>
  <c r="AE32" i="6"/>
  <c r="AE33" i="6"/>
  <c r="AE34" i="6"/>
  <c r="AE37" i="6"/>
  <c r="AE38" i="6"/>
  <c r="AE39" i="6"/>
  <c r="AE40" i="6"/>
  <c r="AE41" i="6"/>
  <c r="AE43" i="6"/>
  <c r="AE44" i="6"/>
  <c r="AE45" i="6"/>
  <c r="AE46" i="6"/>
  <c r="AE47" i="6"/>
  <c r="AE48" i="6"/>
  <c r="AE49" i="6"/>
  <c r="AE50" i="6"/>
  <c r="AE51" i="6"/>
  <c r="AE52" i="6"/>
  <c r="AE53" i="6"/>
  <c r="AE54" i="6"/>
  <c r="AE55" i="6"/>
  <c r="AE56" i="6"/>
  <c r="AE57" i="6"/>
  <c r="AE58" i="6"/>
  <c r="AE59" i="6"/>
  <c r="AE60" i="6"/>
  <c r="AE62" i="6"/>
  <c r="AE63" i="6"/>
  <c r="AE64" i="6"/>
  <c r="AE65" i="6"/>
  <c r="AE66" i="6"/>
  <c r="AE67" i="6"/>
  <c r="AE68" i="6"/>
  <c r="AE69" i="6"/>
  <c r="AE70" i="6"/>
  <c r="AE71" i="6"/>
  <c r="AE72" i="6"/>
  <c r="AE73" i="6"/>
  <c r="AE74" i="6"/>
  <c r="AE75" i="6"/>
  <c r="AE76" i="6"/>
  <c r="AE77" i="6"/>
  <c r="AE78" i="6"/>
  <c r="AE79" i="6"/>
  <c r="AE80" i="6"/>
  <c r="AE81" i="6"/>
  <c r="AE82" i="6"/>
  <c r="AE85" i="6"/>
  <c r="AE86" i="6"/>
  <c r="AE88" i="6"/>
  <c r="AE89" i="6"/>
  <c r="AE90" i="6"/>
  <c r="AE91" i="6"/>
  <c r="AE92" i="6"/>
  <c r="AE93" i="6"/>
  <c r="AE94" i="6"/>
  <c r="AE95" i="6"/>
  <c r="AE96" i="6"/>
  <c r="AE97" i="6"/>
  <c r="AE98" i="6"/>
  <c r="AE99" i="6"/>
  <c r="AE100" i="6"/>
  <c r="AE101" i="6"/>
  <c r="AE102" i="6"/>
  <c r="AE103" i="6"/>
  <c r="AE104" i="6"/>
  <c r="AE105" i="6"/>
  <c r="AE106" i="6"/>
  <c r="AE107" i="6"/>
  <c r="AE108" i="6"/>
  <c r="AE109" i="6"/>
  <c r="AE110" i="6"/>
  <c r="AE114" i="6"/>
  <c r="AE115" i="6"/>
  <c r="AE116" i="6"/>
  <c r="AE117" i="6"/>
  <c r="AE118" i="6"/>
  <c r="AE119" i="6"/>
  <c r="AE120" i="6"/>
  <c r="AE121" i="6"/>
  <c r="AE122" i="6"/>
  <c r="AE123" i="6"/>
  <c r="AE124" i="6"/>
  <c r="AE125" i="6"/>
  <c r="AE126" i="6"/>
  <c r="AE127" i="6"/>
  <c r="AE128" i="6"/>
  <c r="AE129" i="6"/>
  <c r="AE131" i="6"/>
  <c r="AE132" i="6"/>
  <c r="AE133" i="6"/>
  <c r="AE134" i="6"/>
  <c r="AE135" i="6"/>
  <c r="AE136" i="6"/>
  <c r="AE137" i="6"/>
  <c r="AE138" i="6"/>
  <c r="AE139" i="6"/>
  <c r="AK14" i="6"/>
  <c r="T14" i="5"/>
  <c r="AB14" i="6"/>
  <c r="AE14" i="6"/>
  <c r="AD14" i="6"/>
  <c r="AH14" i="6"/>
  <c r="AC14" i="6"/>
  <c r="AG14" i="6"/>
  <c r="AI14" i="6"/>
  <c r="AF14" i="6"/>
  <c r="AE141" i="5" l="1"/>
  <c r="D141" i="5"/>
  <c r="B141" i="12" s="1"/>
  <c r="E141" i="5"/>
  <c r="J141" i="5"/>
  <c r="AD141" i="5"/>
  <c r="C142" i="5"/>
  <c r="AE142" i="5" s="1"/>
  <c r="F141" i="5"/>
  <c r="K141" i="5"/>
  <c r="B141" i="6"/>
  <c r="V137" i="12"/>
  <c r="W141" i="5"/>
  <c r="H141" i="12" s="1"/>
  <c r="N141" i="5"/>
  <c r="D141" i="6" s="1"/>
  <c r="H141" i="6" s="1"/>
  <c r="T141" i="5" s="1"/>
  <c r="G141" i="5"/>
  <c r="B141" i="5"/>
  <c r="H141" i="5"/>
  <c r="A140" i="6"/>
  <c r="M140" i="6" s="1"/>
  <c r="AE140" i="6" s="1"/>
  <c r="U137" i="12"/>
  <c r="M139" i="12"/>
  <c r="O139" i="12"/>
  <c r="AO139" i="12"/>
  <c r="X137" i="12"/>
  <c r="Y138" i="12"/>
  <c r="W138" i="12" s="1"/>
  <c r="N138" i="12"/>
  <c r="BB140" i="6"/>
  <c r="AX140" i="6"/>
  <c r="BE140" i="6"/>
  <c r="AS140" i="6"/>
  <c r="BF140" i="6"/>
  <c r="AU140" i="6"/>
  <c r="AQ140" i="6"/>
  <c r="AO140" i="6"/>
  <c r="BA140" i="6"/>
  <c r="BG140" i="6"/>
  <c r="AR140" i="6"/>
  <c r="AN140" i="6"/>
  <c r="AZ140" i="6"/>
  <c r="AV140" i="6"/>
  <c r="AP140" i="6"/>
  <c r="BC140" i="6"/>
  <c r="AT140" i="6"/>
  <c r="AY140" i="6"/>
  <c r="BD140" i="6"/>
  <c r="AM140" i="6"/>
  <c r="L141" i="12"/>
  <c r="J141" i="12"/>
  <c r="G145" i="12"/>
  <c r="G14" i="12"/>
  <c r="X14" i="5"/>
  <c r="A142" i="12" l="1"/>
  <c r="J142" i="12" s="1"/>
  <c r="W142" i="5"/>
  <c r="H142" i="12" s="1"/>
  <c r="F142" i="5"/>
  <c r="B142" i="6"/>
  <c r="H142" i="5"/>
  <c r="B142" i="5"/>
  <c r="AD142" i="5"/>
  <c r="X141" i="5"/>
  <c r="I141" i="12" s="1"/>
  <c r="G142" i="5"/>
  <c r="D142" i="5"/>
  <c r="B142" i="12" s="1"/>
  <c r="N142" i="5"/>
  <c r="D142" i="6" s="1"/>
  <c r="H142" i="6" s="1"/>
  <c r="T142" i="5" s="1"/>
  <c r="E142" i="5"/>
  <c r="J142" i="5"/>
  <c r="K142" i="5"/>
  <c r="C143" i="5"/>
  <c r="W143" i="5" s="1"/>
  <c r="H143" i="12" s="1"/>
  <c r="AB140" i="6"/>
  <c r="AK140" i="6"/>
  <c r="AJ140" i="6"/>
  <c r="A141" i="6"/>
  <c r="M141" i="6" s="1"/>
  <c r="AR141" i="6" s="1"/>
  <c r="AD140" i="6"/>
  <c r="AC140" i="6"/>
  <c r="AI140" i="6"/>
  <c r="AH140" i="6"/>
  <c r="AF140" i="6"/>
  <c r="AG140" i="6"/>
  <c r="Y139" i="12"/>
  <c r="W139" i="12" s="1"/>
  <c r="N139" i="12"/>
  <c r="X138" i="12"/>
  <c r="V138" i="12"/>
  <c r="U138" i="12"/>
  <c r="T138" i="12"/>
  <c r="K141" i="12"/>
  <c r="G146" i="12"/>
  <c r="I14" i="12"/>
  <c r="L14" i="5"/>
  <c r="I14" i="5"/>
  <c r="Z14" i="5"/>
  <c r="AM14" i="5"/>
  <c r="L142" i="12" l="1"/>
  <c r="K142" i="12" s="1"/>
  <c r="X142" i="5"/>
  <c r="L142" i="5" s="1"/>
  <c r="C142" i="6" s="1"/>
  <c r="L141" i="5"/>
  <c r="C141" i="6" s="1"/>
  <c r="Z141" i="5"/>
  <c r="N143" i="5"/>
  <c r="D143" i="6" s="1"/>
  <c r="H143" i="6" s="1"/>
  <c r="T143" i="5" s="1"/>
  <c r="X143" i="5" s="1"/>
  <c r="B143" i="6"/>
  <c r="D143" i="5"/>
  <c r="B143" i="12" s="1"/>
  <c r="A143" i="12"/>
  <c r="L143" i="12" s="1"/>
  <c r="AE143" i="5"/>
  <c r="K143" i="5"/>
  <c r="AM141" i="5"/>
  <c r="AD143" i="5"/>
  <c r="J143" i="5"/>
  <c r="H143" i="5"/>
  <c r="G143" i="5"/>
  <c r="F143" i="5"/>
  <c r="E143" i="5"/>
  <c r="B143" i="5"/>
  <c r="C144" i="5" s="1"/>
  <c r="AE144" i="5" s="1"/>
  <c r="AM141" i="6"/>
  <c r="A142" i="6"/>
  <c r="M142" i="6" s="1"/>
  <c r="AU142" i="6" s="1"/>
  <c r="AC141" i="6"/>
  <c r="AV141" i="6"/>
  <c r="BC141" i="6"/>
  <c r="BF141" i="6"/>
  <c r="AG141" i="6"/>
  <c r="BA141" i="6"/>
  <c r="AX141" i="6"/>
  <c r="AB141" i="6"/>
  <c r="AT141" i="6"/>
  <c r="BE141" i="6"/>
  <c r="AN141" i="6"/>
  <c r="AI141" i="6"/>
  <c r="AH141" i="6"/>
  <c r="AZ141" i="6"/>
  <c r="AF141" i="6"/>
  <c r="BG141" i="6"/>
  <c r="AE141" i="6"/>
  <c r="BB141" i="6"/>
  <c r="AU141" i="6"/>
  <c r="AQ141" i="6"/>
  <c r="AJ141" i="6"/>
  <c r="AD141" i="6"/>
  <c r="AY141" i="6"/>
  <c r="AP141" i="6"/>
  <c r="AO141" i="6"/>
  <c r="AS141" i="6"/>
  <c r="BD141" i="6"/>
  <c r="AK141" i="6"/>
  <c r="U139" i="12"/>
  <c r="T139" i="12"/>
  <c r="V139" i="12"/>
  <c r="X139" i="12"/>
  <c r="O141" i="12"/>
  <c r="C141" i="12"/>
  <c r="M141" i="12"/>
  <c r="AO141" i="12"/>
  <c r="G147" i="12"/>
  <c r="AA14" i="5"/>
  <c r="AB14" i="5"/>
  <c r="O14" i="5"/>
  <c r="C14" i="6"/>
  <c r="O14" i="12"/>
  <c r="M14" i="12"/>
  <c r="C14" i="12"/>
  <c r="AO14" i="12"/>
  <c r="Z142" i="5" l="1"/>
  <c r="AB142" i="5" s="1"/>
  <c r="I142" i="12"/>
  <c r="AO142" i="12" s="1"/>
  <c r="AM142" i="5"/>
  <c r="AB141" i="5"/>
  <c r="J143" i="12"/>
  <c r="K143" i="12" s="1"/>
  <c r="B144" i="6"/>
  <c r="N144" i="5"/>
  <c r="D144" i="6" s="1"/>
  <c r="H144" i="6" s="1"/>
  <c r="T144" i="5" s="1"/>
  <c r="A144" i="12"/>
  <c r="G144" i="5"/>
  <c r="W144" i="5"/>
  <c r="H144" i="12" s="1"/>
  <c r="B144" i="5"/>
  <c r="C145" i="5"/>
  <c r="K145" i="5" s="1"/>
  <c r="H144" i="5"/>
  <c r="AD144" i="5"/>
  <c r="E144" i="5"/>
  <c r="F144" i="5"/>
  <c r="AT142" i="6"/>
  <c r="AC142" i="6"/>
  <c r="BG142" i="6"/>
  <c r="AJ142" i="6"/>
  <c r="BD142" i="6"/>
  <c r="A143" i="6"/>
  <c r="M143" i="6" s="1"/>
  <c r="BA143" i="6" s="1"/>
  <c r="AQ142" i="6"/>
  <c r="BF142" i="6"/>
  <c r="BE142" i="6"/>
  <c r="AK142" i="6"/>
  <c r="AY142" i="6"/>
  <c r="BA142" i="6"/>
  <c r="AH142" i="6"/>
  <c r="AM142" i="6"/>
  <c r="AG142" i="6"/>
  <c r="AO142" i="6"/>
  <c r="BB142" i="6"/>
  <c r="AR142" i="6"/>
  <c r="AF142" i="6"/>
  <c r="AD142" i="6"/>
  <c r="AN142" i="6"/>
  <c r="AZ142" i="6"/>
  <c r="AP142" i="6"/>
  <c r="BC142" i="6"/>
  <c r="AI142" i="6"/>
  <c r="AE142" i="6"/>
  <c r="AB142" i="6"/>
  <c r="AX142" i="6"/>
  <c r="AV142" i="6"/>
  <c r="AS142" i="6"/>
  <c r="Y141" i="12"/>
  <c r="I143" i="12"/>
  <c r="Z143" i="5"/>
  <c r="L143" i="5"/>
  <c r="AM143" i="5"/>
  <c r="N141" i="12"/>
  <c r="G149" i="12"/>
  <c r="N14" i="12"/>
  <c r="Y14" i="12"/>
  <c r="D14" i="12"/>
  <c r="E14" i="6"/>
  <c r="C142" i="12" l="1"/>
  <c r="O142" i="12"/>
  <c r="Y142" i="12" s="1"/>
  <c r="M142" i="12"/>
  <c r="J145" i="5"/>
  <c r="W145" i="5"/>
  <c r="H145" i="12" s="1"/>
  <c r="AD145" i="5"/>
  <c r="N145" i="5"/>
  <c r="D145" i="6" s="1"/>
  <c r="H145" i="6" s="1"/>
  <c r="T145" i="5" s="1"/>
  <c r="B145" i="5"/>
  <c r="B145" i="6"/>
  <c r="C146" i="5"/>
  <c r="AD146" i="5" s="1"/>
  <c r="F145" i="5"/>
  <c r="AE145" i="5"/>
  <c r="A145" i="12"/>
  <c r="L145" i="12" s="1"/>
  <c r="D145" i="5"/>
  <c r="B145" i="12" s="1"/>
  <c r="E145" i="5"/>
  <c r="G145" i="5"/>
  <c r="H145" i="5"/>
  <c r="AP143" i="6"/>
  <c r="AJ143" i="6"/>
  <c r="AV143" i="6"/>
  <c r="AF143" i="6"/>
  <c r="AT143" i="6"/>
  <c r="BF143" i="6"/>
  <c r="AZ143" i="6"/>
  <c r="AO143" i="6"/>
  <c r="BD143" i="6"/>
  <c r="AM143" i="6"/>
  <c r="BC143" i="6"/>
  <c r="AU143" i="6"/>
  <c r="AQ143" i="6"/>
  <c r="AI143" i="6"/>
  <c r="BB143" i="6"/>
  <c r="BG143" i="6"/>
  <c r="AD143" i="6"/>
  <c r="AR143" i="6"/>
  <c r="AY143" i="6"/>
  <c r="AH143" i="6"/>
  <c r="AK143" i="6"/>
  <c r="AB143" i="6"/>
  <c r="AX143" i="6"/>
  <c r="BE143" i="6"/>
  <c r="AS143" i="6"/>
  <c r="AG143" i="6"/>
  <c r="AC143" i="6"/>
  <c r="AN143" i="6"/>
  <c r="AE143" i="6"/>
  <c r="A144" i="6"/>
  <c r="M144" i="6" s="1"/>
  <c r="AJ144" i="6" s="1"/>
  <c r="X141" i="12"/>
  <c r="W141" i="12"/>
  <c r="C143" i="6"/>
  <c r="AB143" i="5"/>
  <c r="O143" i="12"/>
  <c r="M143" i="12"/>
  <c r="AO143" i="12"/>
  <c r="C143" i="12"/>
  <c r="AT144" i="6"/>
  <c r="AX144" i="6"/>
  <c r="AQ144" i="6"/>
  <c r="BA144" i="6"/>
  <c r="AV144" i="6"/>
  <c r="BC144" i="6"/>
  <c r="BG144" i="6"/>
  <c r="BF144" i="6"/>
  <c r="AM144" i="6"/>
  <c r="AU144" i="6"/>
  <c r="AN144" i="6"/>
  <c r="AS144" i="6"/>
  <c r="AZ144" i="6"/>
  <c r="AO144" i="6"/>
  <c r="BB144" i="6"/>
  <c r="AR144" i="6"/>
  <c r="BD144" i="6"/>
  <c r="AY144" i="6"/>
  <c r="AP144" i="6"/>
  <c r="BE144" i="6"/>
  <c r="G150" i="12"/>
  <c r="W14" i="12"/>
  <c r="X14" i="12"/>
  <c r="N142" i="12" l="1"/>
  <c r="K146" i="5"/>
  <c r="W146" i="5"/>
  <c r="H146" i="12" s="1"/>
  <c r="J145" i="12"/>
  <c r="K145" i="12" s="1"/>
  <c r="X145" i="5"/>
  <c r="Z145" i="5" s="1"/>
  <c r="D146" i="5"/>
  <c r="B146" i="12" s="1"/>
  <c r="C147" i="5"/>
  <c r="C148" i="5" s="1"/>
  <c r="N148" i="5" s="1"/>
  <c r="AE146" i="5"/>
  <c r="G146" i="5"/>
  <c r="E146" i="5"/>
  <c r="A146" i="12"/>
  <c r="J146" i="12" s="1"/>
  <c r="B146" i="6"/>
  <c r="B146" i="5"/>
  <c r="N146" i="5"/>
  <c r="D146" i="6" s="1"/>
  <c r="H146" i="6" s="1"/>
  <c r="T146" i="5" s="1"/>
  <c r="J146" i="5"/>
  <c r="H146" i="5"/>
  <c r="F146" i="5"/>
  <c r="AD144" i="6"/>
  <c r="AF144" i="6"/>
  <c r="AB144" i="6"/>
  <c r="AE144" i="6"/>
  <c r="AK144" i="6"/>
  <c r="AG144" i="6"/>
  <c r="AH144" i="6"/>
  <c r="AC144" i="6"/>
  <c r="A145" i="6"/>
  <c r="M145" i="6" s="1"/>
  <c r="BB145" i="6" s="1"/>
  <c r="AI144" i="6"/>
  <c r="N143" i="12"/>
  <c r="V141" i="12"/>
  <c r="U141" i="12"/>
  <c r="T141" i="12"/>
  <c r="W142" i="12"/>
  <c r="X142" i="12"/>
  <c r="Y143" i="12"/>
  <c r="G151" i="12"/>
  <c r="U14" i="12"/>
  <c r="V14" i="12"/>
  <c r="T14" i="12"/>
  <c r="X146" i="5" l="1"/>
  <c r="I146" i="12" s="1"/>
  <c r="M146" i="12" s="1"/>
  <c r="AB145" i="5"/>
  <c r="L145" i="5"/>
  <c r="C145" i="6" s="1"/>
  <c r="I145" i="12"/>
  <c r="C145" i="12" s="1"/>
  <c r="L146" i="12"/>
  <c r="K146" i="12" s="1"/>
  <c r="AM145" i="5"/>
  <c r="AD147" i="5"/>
  <c r="N147" i="5"/>
  <c r="D147" i="6" s="1"/>
  <c r="H147" i="6" s="1"/>
  <c r="T147" i="5" s="1"/>
  <c r="B147" i="6"/>
  <c r="AD148" i="5"/>
  <c r="AE148" i="5"/>
  <c r="E147" i="5"/>
  <c r="E148" i="5" s="1"/>
  <c r="J148" i="5"/>
  <c r="D148" i="5"/>
  <c r="B148" i="12" s="1"/>
  <c r="A147" i="12"/>
  <c r="L147" i="12" s="1"/>
  <c r="J147" i="5"/>
  <c r="B148" i="6"/>
  <c r="C149" i="5"/>
  <c r="D149" i="5" s="1"/>
  <c r="B149" i="12" s="1"/>
  <c r="F147" i="5"/>
  <c r="F148" i="5" s="1"/>
  <c r="D147" i="5"/>
  <c r="B147" i="12" s="1"/>
  <c r="AE147" i="5"/>
  <c r="B147" i="5"/>
  <c r="B148" i="5" s="1"/>
  <c r="G147" i="5"/>
  <c r="G148" i="5" s="1"/>
  <c r="K147" i="5"/>
  <c r="K148" i="5"/>
  <c r="H147" i="5"/>
  <c r="H148" i="5" s="1"/>
  <c r="W148" i="5"/>
  <c r="W147" i="5"/>
  <c r="H147" i="12" s="1"/>
  <c r="A148" i="12"/>
  <c r="J148" i="12" s="1"/>
  <c r="BF145" i="6"/>
  <c r="A146" i="6"/>
  <c r="M146" i="6" s="1"/>
  <c r="AS146" i="6" s="1"/>
  <c r="BC145" i="6"/>
  <c r="AM145" i="6"/>
  <c r="AJ145" i="6"/>
  <c r="AC145" i="6"/>
  <c r="AT145" i="6"/>
  <c r="AN145" i="6"/>
  <c r="BE145" i="6"/>
  <c r="AU145" i="6"/>
  <c r="AO145" i="6"/>
  <c r="AE145" i="6"/>
  <c r="AV145" i="6"/>
  <c r="AS145" i="6"/>
  <c r="AQ145" i="6"/>
  <c r="AZ145" i="6"/>
  <c r="AF145" i="6"/>
  <c r="BD145" i="6"/>
  <c r="AD145" i="6"/>
  <c r="BA145" i="6"/>
  <c r="AY145" i="6"/>
  <c r="AP145" i="6"/>
  <c r="AB145" i="6"/>
  <c r="BG145" i="6"/>
  <c r="AK145" i="6"/>
  <c r="AR145" i="6"/>
  <c r="AH145" i="6"/>
  <c r="AI145" i="6"/>
  <c r="AG145" i="6"/>
  <c r="AX145" i="6"/>
  <c r="D148" i="6"/>
  <c r="U142" i="12"/>
  <c r="V142" i="12"/>
  <c r="T142" i="12"/>
  <c r="W143" i="12"/>
  <c r="X143" i="12"/>
  <c r="G152" i="12"/>
  <c r="O145" i="12" l="1"/>
  <c r="L148" i="12"/>
  <c r="K148" i="12" s="1"/>
  <c r="AO146" i="12"/>
  <c r="O146" i="12"/>
  <c r="N146" i="12" s="1"/>
  <c r="Z146" i="5"/>
  <c r="AB146" i="5" s="1"/>
  <c r="L146" i="5"/>
  <c r="C146" i="12"/>
  <c r="AM146" i="5"/>
  <c r="J147" i="12"/>
  <c r="K147" i="12" s="1"/>
  <c r="M145" i="12"/>
  <c r="AO145" i="12"/>
  <c r="F149" i="5"/>
  <c r="H149" i="5"/>
  <c r="N149" i="5"/>
  <c r="D149" i="6" s="1"/>
  <c r="H149" i="6" s="1"/>
  <c r="T149" i="5" s="1"/>
  <c r="W149" i="5"/>
  <c r="H149" i="12" s="1"/>
  <c r="G149" i="5"/>
  <c r="J149" i="5"/>
  <c r="AD149" i="5"/>
  <c r="B149" i="5"/>
  <c r="C150" i="5" s="1"/>
  <c r="K149" i="5"/>
  <c r="A149" i="12"/>
  <c r="J149" i="12" s="1"/>
  <c r="E149" i="5"/>
  <c r="AE149" i="5"/>
  <c r="B149" i="6"/>
  <c r="X147" i="5"/>
  <c r="I147" i="12" s="1"/>
  <c r="C147" i="12" s="1"/>
  <c r="AI146" i="6"/>
  <c r="A147" i="6"/>
  <c r="M147" i="6" s="1"/>
  <c r="BB147" i="6" s="1"/>
  <c r="AY146" i="6"/>
  <c r="AC146" i="6"/>
  <c r="AP146" i="6"/>
  <c r="AE146" i="6"/>
  <c r="BB146" i="6"/>
  <c r="BE146" i="6"/>
  <c r="AR146" i="6"/>
  <c r="AU146" i="6"/>
  <c r="AJ146" i="6"/>
  <c r="AZ146" i="6"/>
  <c r="AD146" i="6"/>
  <c r="AT146" i="6"/>
  <c r="BG146" i="6"/>
  <c r="AO146" i="6"/>
  <c r="BC146" i="6"/>
  <c r="AM146" i="6"/>
  <c r="AX146" i="6"/>
  <c r="AB146" i="6"/>
  <c r="AV146" i="6"/>
  <c r="AF146" i="6"/>
  <c r="AH146" i="6"/>
  <c r="AG146" i="6"/>
  <c r="AN146" i="6"/>
  <c r="BF146" i="6"/>
  <c r="AQ146" i="6"/>
  <c r="AK146" i="6"/>
  <c r="BD146" i="6"/>
  <c r="BA146" i="6"/>
  <c r="H148" i="6"/>
  <c r="T148" i="5" s="1"/>
  <c r="X148" i="5" s="1"/>
  <c r="U143" i="12"/>
  <c r="V143" i="12"/>
  <c r="T143" i="12"/>
  <c r="G153" i="12"/>
  <c r="Y146" i="12" l="1"/>
  <c r="X146" i="12" s="1"/>
  <c r="Y145" i="12"/>
  <c r="W145" i="12" s="1"/>
  <c r="U145" i="12" s="1"/>
  <c r="N145" i="12"/>
  <c r="C146" i="6"/>
  <c r="L149" i="12"/>
  <c r="K149" i="12" s="1"/>
  <c r="X149" i="5"/>
  <c r="L149" i="5" s="1"/>
  <c r="AO147" i="12"/>
  <c r="O147" i="12"/>
  <c r="Z147" i="5"/>
  <c r="AB147" i="5" s="1"/>
  <c r="AM147" i="5"/>
  <c r="L147" i="5"/>
  <c r="C147" i="6" s="1"/>
  <c r="M147" i="12"/>
  <c r="N150" i="5"/>
  <c r="D150" i="6" s="1"/>
  <c r="H150" i="6" s="1"/>
  <c r="T150" i="5" s="1"/>
  <c r="C151" i="5"/>
  <c r="F150" i="5"/>
  <c r="AD150" i="5"/>
  <c r="B150" i="5"/>
  <c r="B150" i="6"/>
  <c r="A150" i="12"/>
  <c r="G150" i="5"/>
  <c r="AE150" i="5"/>
  <c r="E150" i="5"/>
  <c r="W150" i="5"/>
  <c r="H150" i="12" s="1"/>
  <c r="H150" i="5"/>
  <c r="AB147" i="6"/>
  <c r="BA147" i="6"/>
  <c r="AD147" i="6"/>
  <c r="AR147" i="6"/>
  <c r="AH147" i="6"/>
  <c r="AN147" i="6"/>
  <c r="AJ147" i="6"/>
  <c r="BD147" i="6"/>
  <c r="AO147" i="6"/>
  <c r="A148" i="6"/>
  <c r="AX147" i="6"/>
  <c r="AE147" i="6"/>
  <c r="AU147" i="6"/>
  <c r="AG147" i="6"/>
  <c r="AY147" i="6"/>
  <c r="AM147" i="6"/>
  <c r="AS147" i="6"/>
  <c r="AF147" i="6"/>
  <c r="AQ147" i="6"/>
  <c r="BE147" i="6"/>
  <c r="BF147" i="6"/>
  <c r="BG147" i="6"/>
  <c r="AI147" i="6"/>
  <c r="AV147" i="6"/>
  <c r="BC147" i="6"/>
  <c r="AT147" i="6"/>
  <c r="AK147" i="6"/>
  <c r="AP147" i="6"/>
  <c r="AZ147" i="6"/>
  <c r="AC147" i="6"/>
  <c r="AM148" i="5"/>
  <c r="L148" i="5"/>
  <c r="I148" i="12"/>
  <c r="Z148" i="5"/>
  <c r="G154" i="12"/>
  <c r="W146" i="12" l="1"/>
  <c r="V146" i="12" s="1"/>
  <c r="X145" i="12"/>
  <c r="T145" i="12"/>
  <c r="V145" i="12"/>
  <c r="N147" i="12"/>
  <c r="I149" i="12"/>
  <c r="O149" i="12" s="1"/>
  <c r="AM149" i="5"/>
  <c r="Z149" i="5"/>
  <c r="AB149" i="5" s="1"/>
  <c r="Y147" i="12"/>
  <c r="X147" i="12" s="1"/>
  <c r="F151" i="5"/>
  <c r="AE151" i="5"/>
  <c r="A151" i="12"/>
  <c r="J151" i="12" s="1"/>
  <c r="W151" i="5"/>
  <c r="H151" i="12" s="1"/>
  <c r="D151" i="5"/>
  <c r="B151" i="12" s="1"/>
  <c r="N151" i="5"/>
  <c r="D151" i="6" s="1"/>
  <c r="H151" i="6" s="1"/>
  <c r="T151" i="5" s="1"/>
  <c r="B151" i="6"/>
  <c r="E151" i="5"/>
  <c r="C152" i="5"/>
  <c r="AD151" i="5"/>
  <c r="H151" i="5"/>
  <c r="B151" i="5"/>
  <c r="J151" i="5"/>
  <c r="K151" i="5"/>
  <c r="G151" i="5"/>
  <c r="M148" i="6"/>
  <c r="A149" i="6"/>
  <c r="AB148" i="5"/>
  <c r="C148" i="12"/>
  <c r="AO148" i="12"/>
  <c r="M148" i="12"/>
  <c r="O148" i="12"/>
  <c r="C148" i="6"/>
  <c r="U146" i="12"/>
  <c r="C149" i="6"/>
  <c r="AX150" i="6"/>
  <c r="AV150" i="6"/>
  <c r="AU150" i="6"/>
  <c r="BA150" i="6"/>
  <c r="BB150" i="6"/>
  <c r="AR150" i="6"/>
  <c r="AO150" i="6"/>
  <c r="AN150" i="6"/>
  <c r="AY150" i="6"/>
  <c r="BE150" i="6"/>
  <c r="BG150" i="6"/>
  <c r="BF150" i="6"/>
  <c r="BD150" i="6"/>
  <c r="AZ150" i="6"/>
  <c r="BC150" i="6"/>
  <c r="AQ150" i="6"/>
  <c r="AS150" i="6"/>
  <c r="AT150" i="6"/>
  <c r="AP150" i="6"/>
  <c r="AM150" i="6"/>
  <c r="G155" i="12"/>
  <c r="AE3" i="6"/>
  <c r="T6" i="6" s="1"/>
  <c r="T146" i="12" l="1"/>
  <c r="M149" i="12"/>
  <c r="N149" i="12" s="1"/>
  <c r="AO149" i="12"/>
  <c r="Y149" i="12" s="1"/>
  <c r="C149" i="12"/>
  <c r="F152" i="5"/>
  <c r="W147" i="12"/>
  <c r="V147" i="12" s="1"/>
  <c r="N152" i="5"/>
  <c r="D152" i="6" s="1"/>
  <c r="H152" i="6" s="1"/>
  <c r="T152" i="5" s="1"/>
  <c r="L151" i="12"/>
  <c r="K151" i="12" s="1"/>
  <c r="K152" i="5"/>
  <c r="H152" i="5"/>
  <c r="AD152" i="5"/>
  <c r="B152" i="6"/>
  <c r="X151" i="5"/>
  <c r="Z151" i="5" s="1"/>
  <c r="AB151" i="5" s="1"/>
  <c r="J152" i="5"/>
  <c r="W152" i="5"/>
  <c r="H152" i="12" s="1"/>
  <c r="A152" i="12"/>
  <c r="L152" i="12" s="1"/>
  <c r="C153" i="5"/>
  <c r="AD153" i="5" s="1"/>
  <c r="B152" i="5"/>
  <c r="AE152" i="5"/>
  <c r="D152" i="5"/>
  <c r="B152" i="12" s="1"/>
  <c r="G152" i="5"/>
  <c r="E152" i="5"/>
  <c r="M149" i="6"/>
  <c r="A150" i="6"/>
  <c r="AT148" i="6"/>
  <c r="AB148" i="6"/>
  <c r="AD148" i="6"/>
  <c r="AC148" i="6"/>
  <c r="BD148" i="6"/>
  <c r="AS148" i="6"/>
  <c r="AN148" i="6"/>
  <c r="AO148" i="6"/>
  <c r="AU148" i="6"/>
  <c r="AH148" i="6"/>
  <c r="AV148" i="6"/>
  <c r="BA148" i="6"/>
  <c r="AG148" i="6"/>
  <c r="AQ148" i="6"/>
  <c r="AI148" i="6"/>
  <c r="BB148" i="6"/>
  <c r="AX148" i="6"/>
  <c r="AE148" i="6"/>
  <c r="AY148" i="6"/>
  <c r="AJ148" i="6"/>
  <c r="AM148" i="6"/>
  <c r="AP148" i="6"/>
  <c r="BE148" i="6"/>
  <c r="BG148" i="6"/>
  <c r="AK148" i="6"/>
  <c r="BC148" i="6"/>
  <c r="AR148" i="6"/>
  <c r="BF148" i="6"/>
  <c r="AF148" i="6"/>
  <c r="AZ148" i="6"/>
  <c r="N148" i="12"/>
  <c r="Y148" i="12"/>
  <c r="G156" i="12"/>
  <c r="T147" i="12" l="1"/>
  <c r="AM151" i="5"/>
  <c r="J152" i="12"/>
  <c r="K152" i="12" s="1"/>
  <c r="X152" i="5"/>
  <c r="L152" i="5" s="1"/>
  <c r="U147" i="12"/>
  <c r="D153" i="5"/>
  <c r="B153" i="12" s="1"/>
  <c r="L151" i="5"/>
  <c r="C151" i="6" s="1"/>
  <c r="I151" i="12"/>
  <c r="C151" i="12" s="1"/>
  <c r="W153" i="5"/>
  <c r="H153" i="12" s="1"/>
  <c r="F153" i="5"/>
  <c r="B153" i="6"/>
  <c r="G153" i="5"/>
  <c r="K153" i="5"/>
  <c r="J153" i="5"/>
  <c r="E153" i="5"/>
  <c r="N153" i="5"/>
  <c r="D153" i="6" s="1"/>
  <c r="H153" i="6" s="1"/>
  <c r="T153" i="5" s="1"/>
  <c r="AE153" i="5"/>
  <c r="B153" i="5"/>
  <c r="C154" i="5" s="1"/>
  <c r="AD154" i="5" s="1"/>
  <c r="H153" i="5"/>
  <c r="A153" i="12"/>
  <c r="L153" i="12" s="1"/>
  <c r="AE149" i="6"/>
  <c r="AN149" i="6"/>
  <c r="AZ149" i="6"/>
  <c r="BB149" i="6"/>
  <c r="AB149" i="6"/>
  <c r="AP149" i="6"/>
  <c r="BF149" i="6"/>
  <c r="AU149" i="6"/>
  <c r="AJ149" i="6"/>
  <c r="AC149" i="6"/>
  <c r="AM149" i="6"/>
  <c r="AV149" i="6"/>
  <c r="AT149" i="6"/>
  <c r="AD149" i="6"/>
  <c r="BC149" i="6"/>
  <c r="AR149" i="6"/>
  <c r="AK149" i="6"/>
  <c r="BE149" i="6"/>
  <c r="AQ149" i="6"/>
  <c r="AI149" i="6"/>
  <c r="BA149" i="6"/>
  <c r="AO149" i="6"/>
  <c r="AF149" i="6"/>
  <c r="BD149" i="6"/>
  <c r="AS149" i="6"/>
  <c r="AY149" i="6"/>
  <c r="BG149" i="6"/>
  <c r="AH149" i="6"/>
  <c r="AG149" i="6"/>
  <c r="AX149" i="6"/>
  <c r="M150" i="6"/>
  <c r="A151" i="6"/>
  <c r="X148" i="12"/>
  <c r="W148" i="12"/>
  <c r="X149" i="12"/>
  <c r="W149" i="12"/>
  <c r="G157" i="12"/>
  <c r="Z152" i="5" l="1"/>
  <c r="AM152" i="5"/>
  <c r="I152" i="12"/>
  <c r="AO152" i="12" s="1"/>
  <c r="C152" i="6"/>
  <c r="M151" i="12"/>
  <c r="O151" i="12"/>
  <c r="H154" i="5"/>
  <c r="W154" i="5"/>
  <c r="H154" i="12" s="1"/>
  <c r="E154" i="5"/>
  <c r="AO151" i="12"/>
  <c r="X153" i="5"/>
  <c r="Z153" i="5" s="1"/>
  <c r="F154" i="5"/>
  <c r="N154" i="5"/>
  <c r="D154" i="6" s="1"/>
  <c r="H154" i="6" s="1"/>
  <c r="T154" i="5" s="1"/>
  <c r="B154" i="6"/>
  <c r="B154" i="5"/>
  <c r="AE154" i="5"/>
  <c r="A154" i="12"/>
  <c r="J153" i="12"/>
  <c r="K153" i="12" s="1"/>
  <c r="C155" i="5"/>
  <c r="D155" i="5" s="1"/>
  <c r="B155" i="12" s="1"/>
  <c r="G154" i="5"/>
  <c r="M151" i="6"/>
  <c r="A152" i="6"/>
  <c r="AC150" i="6"/>
  <c r="AE150" i="6"/>
  <c r="AJ150" i="6"/>
  <c r="AB150" i="6"/>
  <c r="AK150" i="6"/>
  <c r="AF150" i="6"/>
  <c r="AI150" i="6"/>
  <c r="AH150" i="6"/>
  <c r="AG150" i="6"/>
  <c r="AD150" i="6"/>
  <c r="V148" i="12"/>
  <c r="U148" i="12"/>
  <c r="T148" i="12"/>
  <c r="T149" i="12"/>
  <c r="U149" i="12"/>
  <c r="V149" i="12"/>
  <c r="G159" i="12"/>
  <c r="N151" i="12" l="1"/>
  <c r="AB152" i="5"/>
  <c r="O152" i="12"/>
  <c r="Y152" i="12" s="1"/>
  <c r="C152" i="12"/>
  <c r="M152" i="12"/>
  <c r="Y151" i="12"/>
  <c r="X151" i="12" s="1"/>
  <c r="I153" i="12"/>
  <c r="AO153" i="12" s="1"/>
  <c r="L153" i="5"/>
  <c r="AM153" i="5"/>
  <c r="E155" i="5"/>
  <c r="F155" i="5"/>
  <c r="B155" i="5"/>
  <c r="C156" i="5" s="1"/>
  <c r="N155" i="5"/>
  <c r="D155" i="6" s="1"/>
  <c r="H155" i="6" s="1"/>
  <c r="T155" i="5" s="1"/>
  <c r="B155" i="6"/>
  <c r="K155" i="5"/>
  <c r="AE155" i="5"/>
  <c r="J155" i="5"/>
  <c r="A155" i="12"/>
  <c r="L155" i="12" s="1"/>
  <c r="G155" i="5"/>
  <c r="W155" i="5"/>
  <c r="H155" i="12" s="1"/>
  <c r="H155" i="5"/>
  <c r="AD155" i="5"/>
  <c r="M152" i="6"/>
  <c r="A153" i="6"/>
  <c r="BF151" i="6"/>
  <c r="AV151" i="6"/>
  <c r="BC151" i="6"/>
  <c r="AC151" i="6"/>
  <c r="AG151" i="6"/>
  <c r="AH151" i="6"/>
  <c r="AD151" i="6"/>
  <c r="AK151" i="6"/>
  <c r="BE151" i="6"/>
  <c r="AU151" i="6"/>
  <c r="AX151" i="6"/>
  <c r="AJ151" i="6"/>
  <c r="BG151" i="6"/>
  <c r="AZ151" i="6"/>
  <c r="AB151" i="6"/>
  <c r="AT151" i="6"/>
  <c r="AO151" i="6"/>
  <c r="AR151" i="6"/>
  <c r="BB151" i="6"/>
  <c r="BD151" i="6"/>
  <c r="AE151" i="6"/>
  <c r="AY151" i="6"/>
  <c r="AF151" i="6"/>
  <c r="AM151" i="6"/>
  <c r="AS151" i="6"/>
  <c r="AN151" i="6"/>
  <c r="BA151" i="6"/>
  <c r="AP151" i="6"/>
  <c r="AQ151" i="6"/>
  <c r="AI151" i="6"/>
  <c r="AB153" i="5"/>
  <c r="G160" i="12"/>
  <c r="N152" i="12" l="1"/>
  <c r="E156" i="5"/>
  <c r="W151" i="12"/>
  <c r="V151" i="12" s="1"/>
  <c r="C153" i="6"/>
  <c r="C153" i="12"/>
  <c r="O153" i="12"/>
  <c r="Y153" i="12" s="1"/>
  <c r="J155" i="12"/>
  <c r="K155" i="12" s="1"/>
  <c r="M153" i="12"/>
  <c r="AD156" i="5"/>
  <c r="G156" i="5"/>
  <c r="H156" i="5"/>
  <c r="X155" i="5"/>
  <c r="I155" i="12" s="1"/>
  <c r="N156" i="5"/>
  <c r="D156" i="6" s="1"/>
  <c r="H156" i="6" s="1"/>
  <c r="T156" i="5" s="1"/>
  <c r="F156" i="5"/>
  <c r="AE156" i="5"/>
  <c r="A156" i="12"/>
  <c r="B156" i="6"/>
  <c r="C157" i="5"/>
  <c r="C158" i="5" s="1"/>
  <c r="N158" i="5" s="1"/>
  <c r="W156" i="5"/>
  <c r="H156" i="12" s="1"/>
  <c r="B156" i="5"/>
  <c r="M153" i="6"/>
  <c r="A154" i="6"/>
  <c r="AF152" i="6"/>
  <c r="AN152" i="6"/>
  <c r="BG152" i="6"/>
  <c r="AQ152" i="6"/>
  <c r="AM152" i="6"/>
  <c r="AE152" i="6"/>
  <c r="AT152" i="6"/>
  <c r="AR152" i="6"/>
  <c r="BD152" i="6"/>
  <c r="AZ152" i="6"/>
  <c r="BA152" i="6"/>
  <c r="AO152" i="6"/>
  <c r="AX152" i="6"/>
  <c r="AY152" i="6"/>
  <c r="AU152" i="6"/>
  <c r="AI152" i="6"/>
  <c r="AP152" i="6"/>
  <c r="AH152" i="6"/>
  <c r="AB152" i="6"/>
  <c r="AD152" i="6"/>
  <c r="BC152" i="6"/>
  <c r="BF152" i="6"/>
  <c r="BB152" i="6"/>
  <c r="AV152" i="6"/>
  <c r="AG152" i="6"/>
  <c r="AC152" i="6"/>
  <c r="AK152" i="6"/>
  <c r="BE152" i="6"/>
  <c r="AJ152" i="6"/>
  <c r="AS152" i="6"/>
  <c r="U151" i="12"/>
  <c r="W152" i="12"/>
  <c r="X152" i="12"/>
  <c r="G161" i="12"/>
  <c r="T151" i="12" l="1"/>
  <c r="Z155" i="5"/>
  <c r="AB155" i="5" s="1"/>
  <c r="N153" i="12"/>
  <c r="A157" i="12"/>
  <c r="J157" i="12" s="1"/>
  <c r="L155" i="5"/>
  <c r="C155" i="6" s="1"/>
  <c r="AM155" i="5"/>
  <c r="K157" i="5"/>
  <c r="AD157" i="5"/>
  <c r="C159" i="5"/>
  <c r="AD159" i="5" s="1"/>
  <c r="H157" i="5"/>
  <c r="H158" i="5" s="1"/>
  <c r="B158" i="6"/>
  <c r="F157" i="5"/>
  <c r="F158" i="5" s="1"/>
  <c r="D157" i="5"/>
  <c r="B157" i="12" s="1"/>
  <c r="D158" i="5"/>
  <c r="B158" i="12" s="1"/>
  <c r="J157" i="5"/>
  <c r="E157" i="5"/>
  <c r="E158" i="5" s="1"/>
  <c r="G157" i="5"/>
  <c r="G158" i="5" s="1"/>
  <c r="AE157" i="5"/>
  <c r="B157" i="6"/>
  <c r="B157" i="5"/>
  <c r="B158" i="5" s="1"/>
  <c r="W157" i="5"/>
  <c r="H157" i="12" s="1"/>
  <c r="N157" i="5"/>
  <c r="D157" i="6" s="1"/>
  <c r="H157" i="6" s="1"/>
  <c r="T157" i="5" s="1"/>
  <c r="A158" i="12"/>
  <c r="L158" i="12" s="1"/>
  <c r="AE158" i="5"/>
  <c r="W158" i="5"/>
  <c r="J158" i="5"/>
  <c r="K158" i="5"/>
  <c r="AD158" i="5"/>
  <c r="D158" i="6"/>
  <c r="AS153" i="6"/>
  <c r="AX153" i="6"/>
  <c r="BC153" i="6"/>
  <c r="AY153" i="6"/>
  <c r="AD153" i="6"/>
  <c r="BE153" i="6"/>
  <c r="AM153" i="6"/>
  <c r="BB153" i="6"/>
  <c r="AP153" i="6"/>
  <c r="AU153" i="6"/>
  <c r="AI153" i="6"/>
  <c r="AN153" i="6"/>
  <c r="AJ153" i="6"/>
  <c r="BG153" i="6"/>
  <c r="AK153" i="6"/>
  <c r="AO153" i="6"/>
  <c r="AR153" i="6"/>
  <c r="AG153" i="6"/>
  <c r="AC153" i="6"/>
  <c r="AQ153" i="6"/>
  <c r="AE153" i="6"/>
  <c r="AZ153" i="6"/>
  <c r="AT153" i="6"/>
  <c r="AV153" i="6"/>
  <c r="AB153" i="6"/>
  <c r="BD153" i="6"/>
  <c r="BF153" i="6"/>
  <c r="AF153" i="6"/>
  <c r="BA153" i="6"/>
  <c r="AH153" i="6"/>
  <c r="M154" i="6"/>
  <c r="A155" i="6"/>
  <c r="V152" i="12"/>
  <c r="T152" i="12"/>
  <c r="U152" i="12"/>
  <c r="W153" i="12"/>
  <c r="X153" i="12"/>
  <c r="C155" i="12"/>
  <c r="AO155" i="12"/>
  <c r="M155" i="12"/>
  <c r="O155" i="12"/>
  <c r="G162" i="12"/>
  <c r="L157" i="12" l="1"/>
  <c r="K157" i="12" s="1"/>
  <c r="X157" i="5"/>
  <c r="Z157" i="5" s="1"/>
  <c r="K159" i="5"/>
  <c r="E159" i="5"/>
  <c r="B159" i="5"/>
  <c r="D159" i="5"/>
  <c r="B159" i="12" s="1"/>
  <c r="J159" i="5"/>
  <c r="W159" i="5"/>
  <c r="H159" i="12" s="1"/>
  <c r="C160" i="5"/>
  <c r="C161" i="5" s="1"/>
  <c r="B159" i="6"/>
  <c r="N159" i="5"/>
  <c r="D159" i="6" s="1"/>
  <c r="H159" i="6" s="1"/>
  <c r="T159" i="5" s="1"/>
  <c r="H159" i="5"/>
  <c r="F159" i="5"/>
  <c r="G159" i="5"/>
  <c r="AE159" i="5"/>
  <c r="A159" i="12"/>
  <c r="J159" i="12" s="1"/>
  <c r="J158" i="12"/>
  <c r="K158" i="12" s="1"/>
  <c r="H158" i="6"/>
  <c r="T158" i="5" s="1"/>
  <c r="X158" i="5" s="1"/>
  <c r="M155" i="6"/>
  <c r="A156" i="6"/>
  <c r="BA154" i="6"/>
  <c r="AX154" i="6"/>
  <c r="AN154" i="6"/>
  <c r="AI154" i="6"/>
  <c r="BD154" i="6"/>
  <c r="AU154" i="6"/>
  <c r="AO154" i="6"/>
  <c r="AF154" i="6"/>
  <c r="AV154" i="6"/>
  <c r="BB154" i="6"/>
  <c r="AH154" i="6"/>
  <c r="AQ154" i="6"/>
  <c r="AT154" i="6"/>
  <c r="BF154" i="6"/>
  <c r="BE154" i="6"/>
  <c r="AK154" i="6"/>
  <c r="AP154" i="6"/>
  <c r="BG154" i="6"/>
  <c r="AE154" i="6"/>
  <c r="BC154" i="6"/>
  <c r="AD154" i="6"/>
  <c r="AY154" i="6"/>
  <c r="AB154" i="6"/>
  <c r="AC154" i="6"/>
  <c r="AM154" i="6"/>
  <c r="AJ154" i="6"/>
  <c r="AG154" i="6"/>
  <c r="AR154" i="6"/>
  <c r="AS154" i="6"/>
  <c r="AZ154" i="6"/>
  <c r="N155" i="12"/>
  <c r="Y155" i="12"/>
  <c r="U153" i="12"/>
  <c r="T153" i="12"/>
  <c r="V153" i="12"/>
  <c r="G164" i="12"/>
  <c r="AM157" i="5" l="1"/>
  <c r="I157" i="12"/>
  <c r="O157" i="12" s="1"/>
  <c r="L157" i="5"/>
  <c r="C157" i="6" s="1"/>
  <c r="AB157" i="5"/>
  <c r="X159" i="5"/>
  <c r="I159" i="12" s="1"/>
  <c r="M159" i="12" s="1"/>
  <c r="AE160" i="5"/>
  <c r="W160" i="5"/>
  <c r="H160" i="12" s="1"/>
  <c r="J160" i="5"/>
  <c r="H160" i="5"/>
  <c r="H161" i="5" s="1"/>
  <c r="G160" i="5"/>
  <c r="G161" i="5" s="1"/>
  <c r="N160" i="5"/>
  <c r="D160" i="6" s="1"/>
  <c r="H160" i="6" s="1"/>
  <c r="T160" i="5" s="1"/>
  <c r="K160" i="5"/>
  <c r="AD160" i="5"/>
  <c r="D160" i="5"/>
  <c r="B160" i="12" s="1"/>
  <c r="B160" i="5"/>
  <c r="B161" i="5" s="1"/>
  <c r="B160" i="6"/>
  <c r="E160" i="5"/>
  <c r="E161" i="5" s="1"/>
  <c r="A160" i="12"/>
  <c r="L160" i="12" s="1"/>
  <c r="L159" i="12"/>
  <c r="K159" i="12" s="1"/>
  <c r="F160" i="5"/>
  <c r="F161" i="5" s="1"/>
  <c r="L158" i="5"/>
  <c r="AM158" i="5"/>
  <c r="I158" i="12"/>
  <c r="Z158" i="5"/>
  <c r="M156" i="6"/>
  <c r="A157" i="6"/>
  <c r="A158" i="6" s="1"/>
  <c r="AP155" i="6"/>
  <c r="AD155" i="6"/>
  <c r="AI155" i="6"/>
  <c r="AU155" i="6"/>
  <c r="AF155" i="6"/>
  <c r="AK155" i="6"/>
  <c r="AG155" i="6"/>
  <c r="AR155" i="6"/>
  <c r="AC155" i="6"/>
  <c r="BE155" i="6"/>
  <c r="BG155" i="6"/>
  <c r="AS155" i="6"/>
  <c r="AX155" i="6"/>
  <c r="AH155" i="6"/>
  <c r="AY155" i="6"/>
  <c r="BC155" i="6"/>
  <c r="AQ155" i="6"/>
  <c r="BF155" i="6"/>
  <c r="AM155" i="6"/>
  <c r="AT155" i="6"/>
  <c r="AV155" i="6"/>
  <c r="AE155" i="6"/>
  <c r="BD155" i="6"/>
  <c r="AZ155" i="6"/>
  <c r="BA155" i="6"/>
  <c r="AN155" i="6"/>
  <c r="AB155" i="6"/>
  <c r="AO155" i="6"/>
  <c r="AJ155" i="6"/>
  <c r="BB155" i="6"/>
  <c r="AD161" i="5"/>
  <c r="J161" i="5"/>
  <c r="N161" i="5"/>
  <c r="D161" i="6" s="1"/>
  <c r="H161" i="6" s="1"/>
  <c r="T161" i="5" s="1"/>
  <c r="D161" i="5"/>
  <c r="B161" i="12" s="1"/>
  <c r="K161" i="5"/>
  <c r="C162" i="5"/>
  <c r="C163" i="5" s="1"/>
  <c r="A161" i="12"/>
  <c r="W161" i="5"/>
  <c r="H161" i="12" s="1"/>
  <c r="B161" i="6"/>
  <c r="AE161" i="5"/>
  <c r="X155" i="12"/>
  <c r="W155" i="12"/>
  <c r="G165" i="12"/>
  <c r="C157" i="12" l="1"/>
  <c r="M157" i="12"/>
  <c r="N157" i="12" s="1"/>
  <c r="AO157" i="12"/>
  <c r="Y157" i="12" s="1"/>
  <c r="O159" i="12"/>
  <c r="N159" i="12" s="1"/>
  <c r="L159" i="5"/>
  <c r="C159" i="6" s="1"/>
  <c r="J160" i="12"/>
  <c r="K160" i="12" s="1"/>
  <c r="Z159" i="5"/>
  <c r="AB159" i="5" s="1"/>
  <c r="AM159" i="5"/>
  <c r="C159" i="12"/>
  <c r="AO159" i="12"/>
  <c r="X160" i="5"/>
  <c r="L160" i="5" s="1"/>
  <c r="C160" i="6" s="1"/>
  <c r="D163" i="5"/>
  <c r="B163" i="12" s="1"/>
  <c r="K163" i="5"/>
  <c r="W163" i="5"/>
  <c r="J163" i="5"/>
  <c r="N163" i="5"/>
  <c r="AE163" i="5"/>
  <c r="B163" i="6"/>
  <c r="AD163" i="5"/>
  <c r="A163" i="12"/>
  <c r="M158" i="6"/>
  <c r="C158" i="6"/>
  <c r="AB158" i="5"/>
  <c r="C158" i="12"/>
  <c r="AO158" i="12"/>
  <c r="M158" i="12"/>
  <c r="O158" i="12"/>
  <c r="M157" i="6"/>
  <c r="A159" i="6"/>
  <c r="AH156" i="6"/>
  <c r="AV156" i="6"/>
  <c r="AJ156" i="6"/>
  <c r="AR156" i="6"/>
  <c r="AS156" i="6"/>
  <c r="AI156" i="6"/>
  <c r="AY156" i="6"/>
  <c r="AB156" i="6"/>
  <c r="AT156" i="6"/>
  <c r="BF156" i="6"/>
  <c r="AD156" i="6"/>
  <c r="AE156" i="6"/>
  <c r="AN156" i="6"/>
  <c r="BE156" i="6"/>
  <c r="AM156" i="6"/>
  <c r="AF156" i="6"/>
  <c r="BD156" i="6"/>
  <c r="AC156" i="6"/>
  <c r="BC156" i="6"/>
  <c r="AZ156" i="6"/>
  <c r="AG156" i="6"/>
  <c r="AU156" i="6"/>
  <c r="AO156" i="6"/>
  <c r="AQ156" i="6"/>
  <c r="BB156" i="6"/>
  <c r="AP156" i="6"/>
  <c r="BG156" i="6"/>
  <c r="BA156" i="6"/>
  <c r="AX156" i="6"/>
  <c r="AK156" i="6"/>
  <c r="X161" i="5"/>
  <c r="L161" i="5" s="1"/>
  <c r="F162" i="5"/>
  <c r="F163" i="5" s="1"/>
  <c r="D162" i="5"/>
  <c r="B162" i="12" s="1"/>
  <c r="K162" i="5"/>
  <c r="W162" i="5"/>
  <c r="H162" i="12" s="1"/>
  <c r="N162" i="5"/>
  <c r="D162" i="6" s="1"/>
  <c r="H162" i="6" s="1"/>
  <c r="T162" i="5" s="1"/>
  <c r="E162" i="5"/>
  <c r="E163" i="5" s="1"/>
  <c r="H162" i="5"/>
  <c r="H163" i="5" s="1"/>
  <c r="AE162" i="5"/>
  <c r="B162" i="6"/>
  <c r="B162" i="5"/>
  <c r="B163" i="5" s="1"/>
  <c r="A162" i="12"/>
  <c r="J162" i="5"/>
  <c r="AD162" i="5"/>
  <c r="G162" i="5"/>
  <c r="G163" i="5" s="1"/>
  <c r="C164" i="5"/>
  <c r="U155" i="12"/>
  <c r="T155" i="12"/>
  <c r="V155" i="12"/>
  <c r="L161" i="12"/>
  <c r="J161" i="12"/>
  <c r="G166" i="12"/>
  <c r="Y159" i="12" l="1"/>
  <c r="X159" i="12" s="1"/>
  <c r="Z160" i="5"/>
  <c r="AB160" i="5" s="1"/>
  <c r="AM160" i="5"/>
  <c r="I160" i="12"/>
  <c r="O160" i="12" s="1"/>
  <c r="D163" i="6"/>
  <c r="L163" i="12"/>
  <c r="J163" i="12"/>
  <c r="Y158" i="12"/>
  <c r="X158" i="12" s="1"/>
  <c r="N158" i="12"/>
  <c r="BE158" i="6"/>
  <c r="AQ158" i="6"/>
  <c r="AV158" i="6"/>
  <c r="BC158" i="6"/>
  <c r="BF158" i="6"/>
  <c r="AS158" i="6"/>
  <c r="AG158" i="6"/>
  <c r="AN158" i="6"/>
  <c r="AT158" i="6"/>
  <c r="AX158" i="6"/>
  <c r="AZ158" i="6"/>
  <c r="BA158" i="6"/>
  <c r="AM158" i="6"/>
  <c r="AC158" i="6"/>
  <c r="AR158" i="6"/>
  <c r="BG158" i="6"/>
  <c r="BD158" i="6"/>
  <c r="AO158" i="6"/>
  <c r="AI158" i="6"/>
  <c r="AY158" i="6"/>
  <c r="AU158" i="6"/>
  <c r="BB158" i="6"/>
  <c r="AP158" i="6"/>
  <c r="AF158" i="6"/>
  <c r="AK158" i="6"/>
  <c r="AE158" i="6"/>
  <c r="AH158" i="6"/>
  <c r="AJ158" i="6"/>
  <c r="AB158" i="6"/>
  <c r="AD158" i="6"/>
  <c r="M159" i="6"/>
  <c r="A160" i="6"/>
  <c r="AS157" i="6"/>
  <c r="BF157" i="6"/>
  <c r="BB157" i="6"/>
  <c r="BE157" i="6"/>
  <c r="AG157" i="6"/>
  <c r="AV157" i="6"/>
  <c r="AX157" i="6"/>
  <c r="AP157" i="6"/>
  <c r="BA157" i="6"/>
  <c r="BG157" i="6"/>
  <c r="AH157" i="6"/>
  <c r="AN157" i="6"/>
  <c r="AD157" i="6"/>
  <c r="AE157" i="6"/>
  <c r="BD157" i="6"/>
  <c r="AJ157" i="6"/>
  <c r="AR157" i="6"/>
  <c r="AQ157" i="6"/>
  <c r="AT157" i="6"/>
  <c r="AK157" i="6"/>
  <c r="AF157" i="6"/>
  <c r="BC157" i="6"/>
  <c r="AY157" i="6"/>
  <c r="AB157" i="6"/>
  <c r="AC157" i="6"/>
  <c r="AU157" i="6"/>
  <c r="AO157" i="6"/>
  <c r="AZ157" i="6"/>
  <c r="AI157" i="6"/>
  <c r="AM157" i="6"/>
  <c r="M160" i="12"/>
  <c r="C161" i="6"/>
  <c r="W157" i="12"/>
  <c r="X157" i="12"/>
  <c r="Z161" i="5"/>
  <c r="I161" i="12"/>
  <c r="AM161" i="5"/>
  <c r="X162" i="5"/>
  <c r="Z162" i="5" s="1"/>
  <c r="K161" i="12"/>
  <c r="AD164" i="5"/>
  <c r="J164" i="5"/>
  <c r="E164" i="5"/>
  <c r="AE164" i="5"/>
  <c r="G164" i="5"/>
  <c r="W164" i="5"/>
  <c r="H164" i="12" s="1"/>
  <c r="H164" i="5"/>
  <c r="B164" i="6"/>
  <c r="N164" i="5"/>
  <c r="D164" i="6" s="1"/>
  <c r="H164" i="6" s="1"/>
  <c r="T164" i="5" s="1"/>
  <c r="A164" i="12"/>
  <c r="D164" i="5"/>
  <c r="B164" i="12" s="1"/>
  <c r="B164" i="5"/>
  <c r="K164" i="5"/>
  <c r="C165" i="5"/>
  <c r="F164" i="5"/>
  <c r="L162" i="12"/>
  <c r="J162" i="12"/>
  <c r="G168" i="12"/>
  <c r="W159" i="12" l="1"/>
  <c r="T159" i="12" s="1"/>
  <c r="N160" i="12"/>
  <c r="AO160" i="12"/>
  <c r="Y160" i="12" s="1"/>
  <c r="X160" i="12" s="1"/>
  <c r="C160" i="12"/>
  <c r="K163" i="12"/>
  <c r="H163" i="6"/>
  <c r="T163" i="5" s="1"/>
  <c r="X163" i="5" s="1"/>
  <c r="W158" i="12"/>
  <c r="U158" i="12" s="1"/>
  <c r="M160" i="6"/>
  <c r="A161" i="6"/>
  <c r="AM159" i="6"/>
  <c r="AR159" i="6"/>
  <c r="AO159" i="6"/>
  <c r="AK159" i="6"/>
  <c r="BC159" i="6"/>
  <c r="BG159" i="6"/>
  <c r="AE159" i="6"/>
  <c r="BD159" i="6"/>
  <c r="AH159" i="6"/>
  <c r="AF159" i="6"/>
  <c r="AT159" i="6"/>
  <c r="AZ159" i="6"/>
  <c r="AN159" i="6"/>
  <c r="AC159" i="6"/>
  <c r="AI159" i="6"/>
  <c r="BF159" i="6"/>
  <c r="AS159" i="6"/>
  <c r="AG159" i="6"/>
  <c r="AJ159" i="6"/>
  <c r="AQ159" i="6"/>
  <c r="AX159" i="6"/>
  <c r="BE159" i="6"/>
  <c r="BB159" i="6"/>
  <c r="AV159" i="6"/>
  <c r="AP159" i="6"/>
  <c r="BA159" i="6"/>
  <c r="AU159" i="6"/>
  <c r="AY159" i="6"/>
  <c r="AD159" i="6"/>
  <c r="AB159" i="6"/>
  <c r="V159" i="12"/>
  <c r="U159" i="12"/>
  <c r="V157" i="12"/>
  <c r="T157" i="12"/>
  <c r="U157" i="12"/>
  <c r="C161" i="12"/>
  <c r="AO161" i="12"/>
  <c r="M161" i="12"/>
  <c r="O161" i="12"/>
  <c r="AB161" i="5"/>
  <c r="AB162" i="5"/>
  <c r="I162" i="12"/>
  <c r="L162" i="5"/>
  <c r="AM162" i="5"/>
  <c r="X164" i="5"/>
  <c r="AM164" i="5" s="1"/>
  <c r="K162" i="12"/>
  <c r="J164" i="12"/>
  <c r="L164" i="12"/>
  <c r="A165" i="12"/>
  <c r="B165" i="6"/>
  <c r="G165" i="5"/>
  <c r="K165" i="5"/>
  <c r="F165" i="5"/>
  <c r="D165" i="5"/>
  <c r="B165" i="12" s="1"/>
  <c r="W165" i="5"/>
  <c r="H165" i="12" s="1"/>
  <c r="B165" i="5"/>
  <c r="N165" i="5"/>
  <c r="D165" i="6" s="1"/>
  <c r="H165" i="6" s="1"/>
  <c r="T165" i="5" s="1"/>
  <c r="C166" i="5"/>
  <c r="C167" i="5" s="1"/>
  <c r="E165" i="5"/>
  <c r="AE165" i="5"/>
  <c r="AD165" i="5"/>
  <c r="J165" i="5"/>
  <c r="H165" i="5"/>
  <c r="G169" i="12"/>
  <c r="W160" i="12" l="1"/>
  <c r="T160" i="12" s="1"/>
  <c r="L163" i="5"/>
  <c r="AM163" i="5"/>
  <c r="I163" i="12"/>
  <c r="Z163" i="5"/>
  <c r="T158" i="12"/>
  <c r="V158" i="12"/>
  <c r="D167" i="5"/>
  <c r="B167" i="12" s="1"/>
  <c r="K167" i="5"/>
  <c r="W167" i="5"/>
  <c r="J167" i="5"/>
  <c r="AE167" i="5"/>
  <c r="B167" i="6"/>
  <c r="AD167" i="5"/>
  <c r="A167" i="12"/>
  <c r="N167" i="5"/>
  <c r="M161" i="6"/>
  <c r="A162" i="6"/>
  <c r="A163" i="6" s="1"/>
  <c r="AH160" i="6"/>
  <c r="BC160" i="6"/>
  <c r="BB160" i="6"/>
  <c r="AZ160" i="6"/>
  <c r="AG160" i="6"/>
  <c r="AF160" i="6"/>
  <c r="AM160" i="6"/>
  <c r="AS160" i="6"/>
  <c r="AE160" i="6"/>
  <c r="AP160" i="6"/>
  <c r="AT160" i="6"/>
  <c r="BA160" i="6"/>
  <c r="AR160" i="6"/>
  <c r="AY160" i="6"/>
  <c r="AV160" i="6"/>
  <c r="AQ160" i="6"/>
  <c r="AK160" i="6"/>
  <c r="AN160" i="6"/>
  <c r="AJ160" i="6"/>
  <c r="AD160" i="6"/>
  <c r="AB160" i="6"/>
  <c r="AC160" i="6"/>
  <c r="BG160" i="6"/>
  <c r="BD160" i="6"/>
  <c r="BF160" i="6"/>
  <c r="BE160" i="6"/>
  <c r="AI160" i="6"/>
  <c r="AU160" i="6"/>
  <c r="AX160" i="6"/>
  <c r="AO160" i="6"/>
  <c r="U160" i="12"/>
  <c r="V160" i="12"/>
  <c r="N161" i="12"/>
  <c r="Y161" i="12"/>
  <c r="X165" i="5"/>
  <c r="Z165" i="5" s="1"/>
  <c r="AB165" i="5" s="1"/>
  <c r="I164" i="12"/>
  <c r="C164" i="12" s="1"/>
  <c r="K164" i="12"/>
  <c r="Z164" i="5"/>
  <c r="AB164" i="5" s="1"/>
  <c r="L164" i="5"/>
  <c r="C164" i="6" s="1"/>
  <c r="C162" i="6"/>
  <c r="O162" i="12"/>
  <c r="C162" i="12"/>
  <c r="M162" i="12"/>
  <c r="AO162" i="12"/>
  <c r="C168" i="5"/>
  <c r="J166" i="5"/>
  <c r="AE166" i="5"/>
  <c r="N166" i="5"/>
  <c r="D166" i="6" s="1"/>
  <c r="H166" i="6" s="1"/>
  <c r="T166" i="5" s="1"/>
  <c r="B166" i="6"/>
  <c r="B166" i="5"/>
  <c r="B167" i="5" s="1"/>
  <c r="K166" i="5"/>
  <c r="D166" i="5"/>
  <c r="B166" i="12" s="1"/>
  <c r="F166" i="5"/>
  <c r="F167" i="5" s="1"/>
  <c r="H166" i="5"/>
  <c r="H167" i="5" s="1"/>
  <c r="AD166" i="5"/>
  <c r="W166" i="5"/>
  <c r="H166" i="12" s="1"/>
  <c r="G166" i="5"/>
  <c r="G167" i="5" s="1"/>
  <c r="E166" i="5"/>
  <c r="E167" i="5" s="1"/>
  <c r="A166" i="12"/>
  <c r="L165" i="12"/>
  <c r="J165" i="12"/>
  <c r="G170" i="12"/>
  <c r="AB163" i="5" l="1"/>
  <c r="M163" i="6"/>
  <c r="C163" i="12"/>
  <c r="AO163" i="12"/>
  <c r="M163" i="12"/>
  <c r="O163" i="12"/>
  <c r="C163" i="6"/>
  <c r="L167" i="12"/>
  <c r="J167" i="12"/>
  <c r="D167" i="6"/>
  <c r="AR161" i="6"/>
  <c r="AV161" i="6"/>
  <c r="AS161" i="6"/>
  <c r="AP161" i="6"/>
  <c r="BA161" i="6"/>
  <c r="AN161" i="6"/>
  <c r="BG161" i="6"/>
  <c r="BE161" i="6"/>
  <c r="AD161" i="6"/>
  <c r="AE161" i="6"/>
  <c r="BC161" i="6"/>
  <c r="BD161" i="6"/>
  <c r="AU161" i="6"/>
  <c r="BF161" i="6"/>
  <c r="AY161" i="6"/>
  <c r="AO161" i="6"/>
  <c r="AH161" i="6"/>
  <c r="AT161" i="6"/>
  <c r="AB161" i="6"/>
  <c r="AZ161" i="6"/>
  <c r="AG161" i="6"/>
  <c r="AF161" i="6"/>
  <c r="BB161" i="6"/>
  <c r="AM161" i="6"/>
  <c r="AC161" i="6"/>
  <c r="AJ161" i="6"/>
  <c r="AQ161" i="6"/>
  <c r="AI161" i="6"/>
  <c r="AX161" i="6"/>
  <c r="AK161" i="6"/>
  <c r="M162" i="6"/>
  <c r="A164" i="6"/>
  <c r="AO164" i="12"/>
  <c r="O164" i="12"/>
  <c r="M164" i="12"/>
  <c r="L165" i="5"/>
  <c r="C165" i="6" s="1"/>
  <c r="I165" i="12"/>
  <c r="C165" i="12" s="1"/>
  <c r="AM165" i="5"/>
  <c r="X161" i="12"/>
  <c r="W161" i="12"/>
  <c r="Y162" i="12"/>
  <c r="N162" i="12"/>
  <c r="K165" i="12"/>
  <c r="AD168" i="5"/>
  <c r="N168" i="5"/>
  <c r="D168" i="6" s="1"/>
  <c r="H168" i="6" s="1"/>
  <c r="T168" i="5" s="1"/>
  <c r="A168" i="12"/>
  <c r="G168" i="5"/>
  <c r="C169" i="5"/>
  <c r="D168" i="5"/>
  <c r="B168" i="12" s="1"/>
  <c r="W168" i="5"/>
  <c r="H168" i="12" s="1"/>
  <c r="E168" i="5"/>
  <c r="K168" i="5"/>
  <c r="J168" i="5"/>
  <c r="B168" i="6"/>
  <c r="AE168" i="5"/>
  <c r="F168" i="5"/>
  <c r="H168" i="5"/>
  <c r="B168" i="5"/>
  <c r="J166" i="12"/>
  <c r="L166" i="12"/>
  <c r="X166" i="5"/>
  <c r="G171" i="12"/>
  <c r="N163" i="12" l="1"/>
  <c r="Y163" i="12"/>
  <c r="BB163" i="6"/>
  <c r="AP163" i="6"/>
  <c r="BE163" i="6"/>
  <c r="AO163" i="6"/>
  <c r="AS163" i="6"/>
  <c r="AV163" i="6"/>
  <c r="BC163" i="6"/>
  <c r="AZ163" i="6"/>
  <c r="AN163" i="6"/>
  <c r="AT163" i="6"/>
  <c r="AQ163" i="6"/>
  <c r="AX163" i="6"/>
  <c r="BD163" i="6"/>
  <c r="AU163" i="6"/>
  <c r="BF163" i="6"/>
  <c r="BA163" i="6"/>
  <c r="BG163" i="6"/>
  <c r="AM163" i="6"/>
  <c r="AR163" i="6"/>
  <c r="AY163" i="6"/>
  <c r="AB163" i="6"/>
  <c r="AJ163" i="6"/>
  <c r="AG163" i="6"/>
  <c r="AF163" i="6"/>
  <c r="AI163" i="6"/>
  <c r="AC163" i="6"/>
  <c r="AD163" i="6"/>
  <c r="AH163" i="6"/>
  <c r="AK163" i="6"/>
  <c r="AE163" i="6"/>
  <c r="K167" i="12"/>
  <c r="H167" i="6"/>
  <c r="T167" i="5" s="1"/>
  <c r="X167" i="5" s="1"/>
  <c r="AN162" i="6"/>
  <c r="AX162" i="6"/>
  <c r="BC162" i="6"/>
  <c r="AM162" i="6"/>
  <c r="AP162" i="6"/>
  <c r="AJ162" i="6"/>
  <c r="AU162" i="6"/>
  <c r="AB162" i="6"/>
  <c r="AE162" i="6"/>
  <c r="AC162" i="6"/>
  <c r="AZ162" i="6"/>
  <c r="AQ162" i="6"/>
  <c r="BG162" i="6"/>
  <c r="AO162" i="6"/>
  <c r="BE162" i="6"/>
  <c r="BA162" i="6"/>
  <c r="AS162" i="6"/>
  <c r="AK162" i="6"/>
  <c r="AT162" i="6"/>
  <c r="AR162" i="6"/>
  <c r="AD162" i="6"/>
  <c r="AG162" i="6"/>
  <c r="AV162" i="6"/>
  <c r="BD162" i="6"/>
  <c r="AY162" i="6"/>
  <c r="AI162" i="6"/>
  <c r="BF162" i="6"/>
  <c r="BB162" i="6"/>
  <c r="AF162" i="6"/>
  <c r="AH162" i="6"/>
  <c r="M164" i="6"/>
  <c r="A165" i="6"/>
  <c r="Y164" i="12"/>
  <c r="X164" i="12" s="1"/>
  <c r="N164" i="12"/>
  <c r="M165" i="12"/>
  <c r="O165" i="12"/>
  <c r="AO165" i="12"/>
  <c r="K166" i="12"/>
  <c r="V161" i="12"/>
  <c r="U161" i="12"/>
  <c r="T161" i="12"/>
  <c r="X162" i="12"/>
  <c r="W162" i="12"/>
  <c r="X168" i="5"/>
  <c r="A169" i="12"/>
  <c r="AE169" i="5"/>
  <c r="AD169" i="5"/>
  <c r="B169" i="6"/>
  <c r="F169" i="5"/>
  <c r="N169" i="5"/>
  <c r="D169" i="6" s="1"/>
  <c r="H169" i="6" s="1"/>
  <c r="T169" i="5" s="1"/>
  <c r="C170" i="5"/>
  <c r="B169" i="5"/>
  <c r="K169" i="5"/>
  <c r="J169" i="5"/>
  <c r="W169" i="5"/>
  <c r="H169" i="12" s="1"/>
  <c r="E169" i="5"/>
  <c r="G169" i="5"/>
  <c r="H169" i="5"/>
  <c r="D169" i="5"/>
  <c r="B169" i="12" s="1"/>
  <c r="J168" i="12"/>
  <c r="L168" i="12"/>
  <c r="I166" i="12"/>
  <c r="L166" i="5"/>
  <c r="AM166" i="5"/>
  <c r="Z166" i="5"/>
  <c r="G172" i="12"/>
  <c r="X163" i="12" l="1"/>
  <c r="W163" i="12"/>
  <c r="L167" i="5"/>
  <c r="I167" i="12"/>
  <c r="AM167" i="5"/>
  <c r="Z167" i="5"/>
  <c r="M165" i="6"/>
  <c r="A166" i="6"/>
  <c r="A167" i="6" s="1"/>
  <c r="BF164" i="6"/>
  <c r="AX164" i="6"/>
  <c r="AB164" i="6"/>
  <c r="AJ164" i="6"/>
  <c r="AV164" i="6"/>
  <c r="AZ164" i="6"/>
  <c r="BC164" i="6"/>
  <c r="AH164" i="6"/>
  <c r="AM164" i="6"/>
  <c r="AS164" i="6"/>
  <c r="AP164" i="6"/>
  <c r="BD164" i="6"/>
  <c r="AR164" i="6"/>
  <c r="AU164" i="6"/>
  <c r="AK164" i="6"/>
  <c r="BG164" i="6"/>
  <c r="AE164" i="6"/>
  <c r="AF164" i="6"/>
  <c r="AD164" i="6"/>
  <c r="BA164" i="6"/>
  <c r="AY164" i="6"/>
  <c r="AN164" i="6"/>
  <c r="AI164" i="6"/>
  <c r="AO164" i="6"/>
  <c r="BE164" i="6"/>
  <c r="AT164" i="6"/>
  <c r="AQ164" i="6"/>
  <c r="AG164" i="6"/>
  <c r="AC164" i="6"/>
  <c r="BB164" i="6"/>
  <c r="W164" i="12"/>
  <c r="U164" i="12" s="1"/>
  <c r="N165" i="12"/>
  <c r="Y165" i="12"/>
  <c r="T162" i="12"/>
  <c r="U162" i="12"/>
  <c r="V162" i="12"/>
  <c r="X169" i="5"/>
  <c r="AM169" i="5" s="1"/>
  <c r="K168" i="12"/>
  <c r="I168" i="12"/>
  <c r="L168" i="5"/>
  <c r="AM168" i="5"/>
  <c r="Z168" i="5"/>
  <c r="F170" i="5"/>
  <c r="AE170" i="5"/>
  <c r="N170" i="5"/>
  <c r="D170" i="6" s="1"/>
  <c r="H170" i="6" s="1"/>
  <c r="T170" i="5" s="1"/>
  <c r="D170" i="5"/>
  <c r="B170" i="12" s="1"/>
  <c r="B170" i="6"/>
  <c r="K170" i="5"/>
  <c r="B170" i="5"/>
  <c r="H170" i="5"/>
  <c r="E170" i="5"/>
  <c r="AD170" i="5"/>
  <c r="J170" i="5"/>
  <c r="A170" i="12"/>
  <c r="W170" i="5"/>
  <c r="H170" i="12" s="1"/>
  <c r="C171" i="5"/>
  <c r="G170" i="5"/>
  <c r="AB166" i="5"/>
  <c r="C166" i="6"/>
  <c r="O166" i="12"/>
  <c r="AO166" i="12"/>
  <c r="M166" i="12"/>
  <c r="C166" i="12"/>
  <c r="L169" i="12"/>
  <c r="J169" i="12"/>
  <c r="G173" i="12"/>
  <c r="V163" i="12" l="1"/>
  <c r="U163" i="12"/>
  <c r="T163" i="12"/>
  <c r="AB167" i="5"/>
  <c r="C167" i="12"/>
  <c r="AO167" i="12"/>
  <c r="M167" i="12"/>
  <c r="O167" i="12"/>
  <c r="C167" i="6"/>
  <c r="M167" i="6"/>
  <c r="M166" i="6"/>
  <c r="A168" i="6"/>
  <c r="AJ165" i="6"/>
  <c r="AO165" i="6"/>
  <c r="BE165" i="6"/>
  <c r="AG165" i="6"/>
  <c r="AD165" i="6"/>
  <c r="BG165" i="6"/>
  <c r="AF165" i="6"/>
  <c r="AH165" i="6"/>
  <c r="AK165" i="6"/>
  <c r="AT165" i="6"/>
  <c r="AP165" i="6"/>
  <c r="BD165" i="6"/>
  <c r="AY165" i="6"/>
  <c r="BC165" i="6"/>
  <c r="AS165" i="6"/>
  <c r="BA165" i="6"/>
  <c r="AM165" i="6"/>
  <c r="AZ165" i="6"/>
  <c r="BF165" i="6"/>
  <c r="AU165" i="6"/>
  <c r="AB165" i="6"/>
  <c r="AQ165" i="6"/>
  <c r="AE165" i="6"/>
  <c r="AR165" i="6"/>
  <c r="AX165" i="6"/>
  <c r="AV165" i="6"/>
  <c r="BB165" i="6"/>
  <c r="AI165" i="6"/>
  <c r="AN165" i="6"/>
  <c r="AC165" i="6"/>
  <c r="T164" i="12"/>
  <c r="V164" i="12"/>
  <c r="I169" i="12"/>
  <c r="C169" i="12" s="1"/>
  <c r="Z169" i="5"/>
  <c r="L169" i="5"/>
  <c r="C169" i="6" s="1"/>
  <c r="X165" i="12"/>
  <c r="W165" i="12"/>
  <c r="Y166" i="12"/>
  <c r="X166" i="12" s="1"/>
  <c r="K169" i="12"/>
  <c r="X170" i="5"/>
  <c r="I170" i="12" s="1"/>
  <c r="AB168" i="5"/>
  <c r="C168" i="6"/>
  <c r="O168" i="12"/>
  <c r="M168" i="12"/>
  <c r="C168" i="12"/>
  <c r="AO168" i="12"/>
  <c r="C172" i="5"/>
  <c r="E171" i="5"/>
  <c r="AE171" i="5"/>
  <c r="K171" i="5"/>
  <c r="G171" i="5"/>
  <c r="D171" i="5"/>
  <c r="B171" i="12" s="1"/>
  <c r="F171" i="5"/>
  <c r="W171" i="5"/>
  <c r="H171" i="12" s="1"/>
  <c r="AD171" i="5"/>
  <c r="N171" i="5"/>
  <c r="D171" i="6" s="1"/>
  <c r="H171" i="6" s="1"/>
  <c r="T171" i="5" s="1"/>
  <c r="B171" i="5"/>
  <c r="J171" i="5"/>
  <c r="H171" i="5"/>
  <c r="B171" i="6"/>
  <c r="A171" i="12"/>
  <c r="N166" i="12"/>
  <c r="L170" i="12"/>
  <c r="J170" i="12"/>
  <c r="G177" i="12"/>
  <c r="O170" i="12" l="1"/>
  <c r="AO169" i="12"/>
  <c r="N167" i="12"/>
  <c r="Y167" i="12"/>
  <c r="BE167" i="6"/>
  <c r="BC167" i="6"/>
  <c r="BA167" i="6"/>
  <c r="BG167" i="6"/>
  <c r="AV167" i="6"/>
  <c r="AT167" i="6"/>
  <c r="AR167" i="6"/>
  <c r="AY167" i="6"/>
  <c r="AN167" i="6"/>
  <c r="AP167" i="6"/>
  <c r="BD167" i="6"/>
  <c r="BB167" i="6"/>
  <c r="AZ167" i="6"/>
  <c r="AU167" i="6"/>
  <c r="AS167" i="6"/>
  <c r="AQ167" i="6"/>
  <c r="BF167" i="6"/>
  <c r="AM167" i="6"/>
  <c r="AX167" i="6"/>
  <c r="AO167" i="6"/>
  <c r="AB167" i="6"/>
  <c r="AD167" i="6"/>
  <c r="AH167" i="6"/>
  <c r="AG167" i="6"/>
  <c r="AJ167" i="6"/>
  <c r="AC167" i="6"/>
  <c r="AE167" i="6"/>
  <c r="AI167" i="6"/>
  <c r="AK167" i="6"/>
  <c r="AF167" i="6"/>
  <c r="AB166" i="6"/>
  <c r="AR166" i="6"/>
  <c r="AI166" i="6"/>
  <c r="AY166" i="6"/>
  <c r="AO166" i="6"/>
  <c r="BG166" i="6"/>
  <c r="AC166" i="6"/>
  <c r="BF166" i="6"/>
  <c r="AM166" i="6"/>
  <c r="AQ166" i="6"/>
  <c r="AH166" i="6"/>
  <c r="BC166" i="6"/>
  <c r="BE166" i="6"/>
  <c r="AG166" i="6"/>
  <c r="AT166" i="6"/>
  <c r="BA166" i="6"/>
  <c r="AV166" i="6"/>
  <c r="AN166" i="6"/>
  <c r="AU166" i="6"/>
  <c r="AZ166" i="6"/>
  <c r="AS166" i="6"/>
  <c r="AX166" i="6"/>
  <c r="BD166" i="6"/>
  <c r="AK166" i="6"/>
  <c r="AD166" i="6"/>
  <c r="AJ166" i="6"/>
  <c r="AE166" i="6"/>
  <c r="BB166" i="6"/>
  <c r="AP166" i="6"/>
  <c r="AF166" i="6"/>
  <c r="M168" i="6"/>
  <c r="A169" i="6"/>
  <c r="O169" i="12"/>
  <c r="M169" i="12"/>
  <c r="AB169" i="5"/>
  <c r="X171" i="5"/>
  <c r="L171" i="5" s="1"/>
  <c r="T165" i="12"/>
  <c r="V165" i="12"/>
  <c r="U165" i="12"/>
  <c r="W166" i="12"/>
  <c r="AO170" i="12"/>
  <c r="C170" i="12"/>
  <c r="M170" i="12"/>
  <c r="Z170" i="5"/>
  <c r="AM170" i="5"/>
  <c r="L170" i="5"/>
  <c r="Y168" i="12"/>
  <c r="X168" i="12" s="1"/>
  <c r="K170" i="12"/>
  <c r="N168" i="12"/>
  <c r="J171" i="12"/>
  <c r="L171" i="12"/>
  <c r="AE172" i="5"/>
  <c r="G172" i="5"/>
  <c r="K172" i="5"/>
  <c r="C173" i="5"/>
  <c r="C174" i="5" s="1"/>
  <c r="F172" i="5"/>
  <c r="AD172" i="5"/>
  <c r="W172" i="5"/>
  <c r="H172" i="12" s="1"/>
  <c r="H172" i="5"/>
  <c r="B172" i="5"/>
  <c r="D172" i="5"/>
  <c r="B172" i="12" s="1"/>
  <c r="E172" i="5"/>
  <c r="A172" i="12"/>
  <c r="B172" i="6"/>
  <c r="N172" i="5"/>
  <c r="D172" i="6" s="1"/>
  <c r="H172" i="6" s="1"/>
  <c r="T172" i="5" s="1"/>
  <c r="J172" i="5"/>
  <c r="G178" i="12"/>
  <c r="N170" i="12" l="1"/>
  <c r="Y170" i="12"/>
  <c r="X170" i="12" s="1"/>
  <c r="Y169" i="12"/>
  <c r="X169" i="12" s="1"/>
  <c r="B174" i="6"/>
  <c r="D174" i="5"/>
  <c r="B174" i="12" s="1"/>
  <c r="A174" i="12"/>
  <c r="K174" i="5"/>
  <c r="W174" i="5"/>
  <c r="J174" i="5"/>
  <c r="C175" i="5"/>
  <c r="C176" i="5" s="1"/>
  <c r="AE174" i="5"/>
  <c r="AD174" i="5"/>
  <c r="N174" i="5"/>
  <c r="X167" i="12"/>
  <c r="W167" i="12"/>
  <c r="M169" i="6"/>
  <c r="A170" i="6"/>
  <c r="BB168" i="6"/>
  <c r="AH168" i="6"/>
  <c r="AM168" i="6"/>
  <c r="AJ168" i="6"/>
  <c r="AB168" i="6"/>
  <c r="BC168" i="6"/>
  <c r="BF168" i="6"/>
  <c r="BA168" i="6"/>
  <c r="AG168" i="6"/>
  <c r="AZ168" i="6"/>
  <c r="AE168" i="6"/>
  <c r="AN168" i="6"/>
  <c r="AT168" i="6"/>
  <c r="BD168" i="6"/>
  <c r="AU168" i="6"/>
  <c r="AC168" i="6"/>
  <c r="AS168" i="6"/>
  <c r="AD168" i="6"/>
  <c r="AY168" i="6"/>
  <c r="BE168" i="6"/>
  <c r="AF168" i="6"/>
  <c r="AX168" i="6"/>
  <c r="AP168" i="6"/>
  <c r="AI168" i="6"/>
  <c r="AR168" i="6"/>
  <c r="AV168" i="6"/>
  <c r="BG168" i="6"/>
  <c r="AO168" i="6"/>
  <c r="AQ168" i="6"/>
  <c r="AK168" i="6"/>
  <c r="N169" i="12"/>
  <c r="C171" i="6"/>
  <c r="Z171" i="5"/>
  <c r="AB171" i="5" s="1"/>
  <c r="I171" i="12"/>
  <c r="C171" i="12" s="1"/>
  <c r="AM171" i="5"/>
  <c r="V166" i="12"/>
  <c r="U166" i="12"/>
  <c r="T166" i="12"/>
  <c r="AB170" i="5"/>
  <c r="W168" i="12"/>
  <c r="V168" i="12" s="1"/>
  <c r="K171" i="12"/>
  <c r="C170" i="6"/>
  <c r="L172" i="12"/>
  <c r="J172" i="12"/>
  <c r="A173" i="12"/>
  <c r="AE173" i="5"/>
  <c r="H173" i="5"/>
  <c r="H174" i="5" s="1"/>
  <c r="B173" i="6"/>
  <c r="AD173" i="5"/>
  <c r="N173" i="5"/>
  <c r="D173" i="6" s="1"/>
  <c r="H173" i="6" s="1"/>
  <c r="T173" i="5" s="1"/>
  <c r="J173" i="5"/>
  <c r="K173" i="5"/>
  <c r="W173" i="5"/>
  <c r="H173" i="12" s="1"/>
  <c r="F173" i="5"/>
  <c r="F174" i="5" s="1"/>
  <c r="D173" i="5"/>
  <c r="B173" i="12" s="1"/>
  <c r="G173" i="5"/>
  <c r="G174" i="5" s="1"/>
  <c r="E173" i="5"/>
  <c r="E174" i="5" s="1"/>
  <c r="B173" i="5"/>
  <c r="B174" i="5" s="1"/>
  <c r="W169" i="12"/>
  <c r="X172" i="5"/>
  <c r="G179" i="12"/>
  <c r="W170" i="12" l="1"/>
  <c r="D176" i="5"/>
  <c r="B176" i="12" s="1"/>
  <c r="K176" i="5"/>
  <c r="W176" i="5"/>
  <c r="J176" i="5"/>
  <c r="AE176" i="5"/>
  <c r="N176" i="5"/>
  <c r="B176" i="6"/>
  <c r="AD176" i="5"/>
  <c r="A176" i="12"/>
  <c r="D174" i="6"/>
  <c r="J174" i="12"/>
  <c r="L174" i="12"/>
  <c r="B175" i="6"/>
  <c r="F175" i="5"/>
  <c r="F176" i="5" s="1"/>
  <c r="N175" i="5"/>
  <c r="E175" i="5"/>
  <c r="E176" i="5" s="1"/>
  <c r="D175" i="5"/>
  <c r="B175" i="12" s="1"/>
  <c r="A175" i="12"/>
  <c r="K175" i="5"/>
  <c r="W175" i="5"/>
  <c r="J175" i="5"/>
  <c r="B175" i="5"/>
  <c r="B176" i="5" s="1"/>
  <c r="AE175" i="5"/>
  <c r="AD175" i="5"/>
  <c r="H175" i="5"/>
  <c r="H176" i="5" s="1"/>
  <c r="G175" i="5"/>
  <c r="G176" i="5" s="1"/>
  <c r="V167" i="12"/>
  <c r="U167" i="12"/>
  <c r="T167" i="12"/>
  <c r="M170" i="6"/>
  <c r="A171" i="6"/>
  <c r="AE169" i="6"/>
  <c r="BC169" i="6"/>
  <c r="AX169" i="6"/>
  <c r="AR169" i="6"/>
  <c r="AJ169" i="6"/>
  <c r="AK169" i="6"/>
  <c r="AU169" i="6"/>
  <c r="AV169" i="6"/>
  <c r="BF169" i="6"/>
  <c r="AI169" i="6"/>
  <c r="AC169" i="6"/>
  <c r="AD169" i="6"/>
  <c r="AN169" i="6"/>
  <c r="AB169" i="6"/>
  <c r="BE169" i="6"/>
  <c r="AG169" i="6"/>
  <c r="AH169" i="6"/>
  <c r="BD169" i="6"/>
  <c r="BB169" i="6"/>
  <c r="AM169" i="6"/>
  <c r="AY169" i="6"/>
  <c r="BG169" i="6"/>
  <c r="AO169" i="6"/>
  <c r="AP169" i="6"/>
  <c r="AZ169" i="6"/>
  <c r="AF169" i="6"/>
  <c r="AT169" i="6"/>
  <c r="AQ169" i="6"/>
  <c r="BA169" i="6"/>
  <c r="AS169" i="6"/>
  <c r="O171" i="12"/>
  <c r="M171" i="12"/>
  <c r="AO171" i="12"/>
  <c r="U168" i="12"/>
  <c r="T168" i="12"/>
  <c r="X173" i="5"/>
  <c r="L173" i="5" s="1"/>
  <c r="V169" i="12"/>
  <c r="T169" i="12"/>
  <c r="U169" i="12"/>
  <c r="J173" i="12"/>
  <c r="L173" i="12"/>
  <c r="I172" i="12"/>
  <c r="L172" i="5"/>
  <c r="Z172" i="5"/>
  <c r="AM172" i="5"/>
  <c r="K172" i="12"/>
  <c r="U170" i="12"/>
  <c r="T170" i="12"/>
  <c r="V170" i="12"/>
  <c r="G180" i="12"/>
  <c r="D176" i="6" l="1"/>
  <c r="K174" i="12"/>
  <c r="L176" i="12"/>
  <c r="J176" i="12"/>
  <c r="D175" i="6"/>
  <c r="H174" i="6"/>
  <c r="T174" i="5" s="1"/>
  <c r="X174" i="5" s="1"/>
  <c r="L175" i="12"/>
  <c r="J175" i="12"/>
  <c r="C177" i="5"/>
  <c r="M171" i="6"/>
  <c r="A172" i="6"/>
  <c r="AG170" i="6"/>
  <c r="AH170" i="6"/>
  <c r="BG170" i="6"/>
  <c r="AJ170" i="6"/>
  <c r="BD170" i="6"/>
  <c r="AF170" i="6"/>
  <c r="AI170" i="6"/>
  <c r="AC170" i="6"/>
  <c r="AV170" i="6"/>
  <c r="AZ170" i="6"/>
  <c r="AN170" i="6"/>
  <c r="AT170" i="6"/>
  <c r="AU170" i="6"/>
  <c r="AX170" i="6"/>
  <c r="BE170" i="6"/>
  <c r="BC170" i="6"/>
  <c r="AP170" i="6"/>
  <c r="AS170" i="6"/>
  <c r="AE170" i="6"/>
  <c r="AD170" i="6"/>
  <c r="BF170" i="6"/>
  <c r="AR170" i="6"/>
  <c r="BB170" i="6"/>
  <c r="AB170" i="6"/>
  <c r="BA170" i="6"/>
  <c r="AO170" i="6"/>
  <c r="AQ170" i="6"/>
  <c r="AK170" i="6"/>
  <c r="AY170" i="6"/>
  <c r="AM170" i="6"/>
  <c r="N171" i="12"/>
  <c r="Y171" i="12"/>
  <c r="X171" i="12" s="1"/>
  <c r="C173" i="6"/>
  <c r="Z173" i="5"/>
  <c r="AM173" i="5"/>
  <c r="I173" i="12"/>
  <c r="K173" i="12"/>
  <c r="AB172" i="5"/>
  <c r="C172" i="6"/>
  <c r="C172" i="12"/>
  <c r="M172" i="12"/>
  <c r="O172" i="12"/>
  <c r="AO172" i="12"/>
  <c r="G181" i="12"/>
  <c r="K176" i="12" l="1"/>
  <c r="H176" i="6"/>
  <c r="T176" i="5" s="1"/>
  <c r="X176" i="5" s="1"/>
  <c r="K175" i="12"/>
  <c r="B177" i="5"/>
  <c r="AD177" i="5"/>
  <c r="C178" i="5"/>
  <c r="B177" i="6"/>
  <c r="A177" i="12"/>
  <c r="F177" i="5"/>
  <c r="AE177" i="5"/>
  <c r="E177" i="5"/>
  <c r="N177" i="5"/>
  <c r="D177" i="6" s="1"/>
  <c r="H177" i="6" s="1"/>
  <c r="T177" i="5" s="1"/>
  <c r="W177" i="5"/>
  <c r="H177" i="12" s="1"/>
  <c r="G177" i="5"/>
  <c r="H177" i="5"/>
  <c r="L174" i="5"/>
  <c r="I174" i="12"/>
  <c r="AM174" i="5"/>
  <c r="Z174" i="5"/>
  <c r="H175" i="6"/>
  <c r="T175" i="5" s="1"/>
  <c r="X175" i="5" s="1"/>
  <c r="AS171" i="6"/>
  <c r="AC171" i="6"/>
  <c r="AY171" i="6"/>
  <c r="AV171" i="6"/>
  <c r="AB171" i="6"/>
  <c r="BG171" i="6"/>
  <c r="AD171" i="6"/>
  <c r="AQ171" i="6"/>
  <c r="AK171" i="6"/>
  <c r="AM171" i="6"/>
  <c r="AG171" i="6"/>
  <c r="BF171" i="6"/>
  <c r="AZ171" i="6"/>
  <c r="AX171" i="6"/>
  <c r="AF171" i="6"/>
  <c r="AE171" i="6"/>
  <c r="BD171" i="6"/>
  <c r="AH171" i="6"/>
  <c r="BC171" i="6"/>
  <c r="AR171" i="6"/>
  <c r="AN171" i="6"/>
  <c r="BE171" i="6"/>
  <c r="AU171" i="6"/>
  <c r="AJ171" i="6"/>
  <c r="BB171" i="6"/>
  <c r="AP171" i="6"/>
  <c r="BA171" i="6"/>
  <c r="AT171" i="6"/>
  <c r="AO171" i="6"/>
  <c r="AI171" i="6"/>
  <c r="M172" i="6"/>
  <c r="A173" i="6"/>
  <c r="A174" i="6" s="1"/>
  <c r="W171" i="12"/>
  <c r="V171" i="12" s="1"/>
  <c r="C173" i="12"/>
  <c r="O173" i="12"/>
  <c r="AO173" i="12"/>
  <c r="M173" i="12"/>
  <c r="AB173" i="5"/>
  <c r="N172" i="12"/>
  <c r="Y172" i="12"/>
  <c r="X172" i="12" s="1"/>
  <c r="G182" i="12"/>
  <c r="L176" i="5" l="1"/>
  <c r="I176" i="12"/>
  <c r="AM176" i="5"/>
  <c r="Z176" i="5"/>
  <c r="AM175" i="5"/>
  <c r="L175" i="5"/>
  <c r="I175" i="12"/>
  <c r="Z175" i="5"/>
  <c r="C174" i="12"/>
  <c r="O174" i="12"/>
  <c r="AO174" i="12"/>
  <c r="M174" i="12"/>
  <c r="W178" i="5"/>
  <c r="H178" i="12" s="1"/>
  <c r="G178" i="5"/>
  <c r="J178" i="5"/>
  <c r="E178" i="5"/>
  <c r="F178" i="5"/>
  <c r="AD178" i="5"/>
  <c r="AE178" i="5"/>
  <c r="N178" i="5"/>
  <c r="D178" i="6" s="1"/>
  <c r="H178" i="6" s="1"/>
  <c r="T178" i="5" s="1"/>
  <c r="D178" i="5"/>
  <c r="B178" i="12" s="1"/>
  <c r="A178" i="12"/>
  <c r="B178" i="5"/>
  <c r="H178" i="5"/>
  <c r="K178" i="5"/>
  <c r="B178" i="6"/>
  <c r="C179" i="5"/>
  <c r="C174" i="6"/>
  <c r="M174" i="6"/>
  <c r="A175" i="6"/>
  <c r="A176" i="6" s="1"/>
  <c r="AB174" i="5"/>
  <c r="M173" i="6"/>
  <c r="AM172" i="6"/>
  <c r="AP172" i="6"/>
  <c r="AG172" i="6"/>
  <c r="AO172" i="6"/>
  <c r="AQ172" i="6"/>
  <c r="AT172" i="6"/>
  <c r="AJ172" i="6"/>
  <c r="BF172" i="6"/>
  <c r="BD172" i="6"/>
  <c r="AI172" i="6"/>
  <c r="AN172" i="6"/>
  <c r="AU172" i="6"/>
  <c r="AE172" i="6"/>
  <c r="AK172" i="6"/>
  <c r="AV172" i="6"/>
  <c r="AH172" i="6"/>
  <c r="BA172" i="6"/>
  <c r="AD172" i="6"/>
  <c r="AZ172" i="6"/>
  <c r="AF172" i="6"/>
  <c r="AB172" i="6"/>
  <c r="AR172" i="6"/>
  <c r="AS172" i="6"/>
  <c r="AY172" i="6"/>
  <c r="BC172" i="6"/>
  <c r="AX172" i="6"/>
  <c r="AC172" i="6"/>
  <c r="BB172" i="6"/>
  <c r="BE172" i="6"/>
  <c r="BG172" i="6"/>
  <c r="U171" i="12"/>
  <c r="T171" i="12"/>
  <c r="W172" i="12"/>
  <c r="U172" i="12" s="1"/>
  <c r="Y173" i="12"/>
  <c r="N173" i="12"/>
  <c r="G183" i="12"/>
  <c r="M176" i="6" l="1"/>
  <c r="X178" i="5"/>
  <c r="I178" i="12" s="1"/>
  <c r="AB176" i="5"/>
  <c r="C176" i="12"/>
  <c r="O176" i="12"/>
  <c r="AO176" i="12"/>
  <c r="M176" i="12"/>
  <c r="C176" i="6"/>
  <c r="Y174" i="12"/>
  <c r="X174" i="12" s="1"/>
  <c r="M175" i="6"/>
  <c r="AP174" i="6"/>
  <c r="BE174" i="6"/>
  <c r="BC174" i="6"/>
  <c r="AV174" i="6"/>
  <c r="AT174" i="6"/>
  <c r="AZ174" i="6"/>
  <c r="AN174" i="6"/>
  <c r="AK174" i="6"/>
  <c r="AQ174" i="6"/>
  <c r="BF174" i="6"/>
  <c r="AE174" i="6"/>
  <c r="AC174" i="6"/>
  <c r="AX174" i="6"/>
  <c r="BD174" i="6"/>
  <c r="BB174" i="6"/>
  <c r="AO174" i="6"/>
  <c r="AU174" i="6"/>
  <c r="AS174" i="6"/>
  <c r="BA174" i="6"/>
  <c r="BG174" i="6"/>
  <c r="AF174" i="6"/>
  <c r="AM174" i="6"/>
  <c r="AJ174" i="6"/>
  <c r="AR174" i="6"/>
  <c r="AY174" i="6"/>
  <c r="AD174" i="6"/>
  <c r="AB174" i="6"/>
  <c r="AI174" i="6"/>
  <c r="AH174" i="6"/>
  <c r="AG174" i="6"/>
  <c r="J178" i="12"/>
  <c r="L178" i="12"/>
  <c r="AB175" i="5"/>
  <c r="C175" i="12"/>
  <c r="M175" i="12"/>
  <c r="O175" i="12"/>
  <c r="AO175" i="12"/>
  <c r="AD179" i="5"/>
  <c r="N179" i="5"/>
  <c r="D179" i="6" s="1"/>
  <c r="H179" i="6" s="1"/>
  <c r="T179" i="5" s="1"/>
  <c r="D179" i="5"/>
  <c r="B179" i="12" s="1"/>
  <c r="A179" i="12"/>
  <c r="E179" i="5"/>
  <c r="G179" i="5"/>
  <c r="AE179" i="5"/>
  <c r="B179" i="5"/>
  <c r="H179" i="5"/>
  <c r="K179" i="5"/>
  <c r="B179" i="6"/>
  <c r="F179" i="5"/>
  <c r="W179" i="5"/>
  <c r="H179" i="12" s="1"/>
  <c r="J179" i="5"/>
  <c r="C180" i="5"/>
  <c r="C175" i="6"/>
  <c r="N174" i="12"/>
  <c r="M177" i="6"/>
  <c r="AU173" i="6"/>
  <c r="BD173" i="6"/>
  <c r="AM173" i="6"/>
  <c r="AV173" i="6"/>
  <c r="AJ173" i="6"/>
  <c r="AF173" i="6"/>
  <c r="BC173" i="6"/>
  <c r="BA173" i="6"/>
  <c r="AS173" i="6"/>
  <c r="AH173" i="6"/>
  <c r="AT173" i="6"/>
  <c r="BE173" i="6"/>
  <c r="BF173" i="6"/>
  <c r="AY173" i="6"/>
  <c r="AD173" i="6"/>
  <c r="AX173" i="6"/>
  <c r="AR173" i="6"/>
  <c r="BG173" i="6"/>
  <c r="AZ173" i="6"/>
  <c r="AO173" i="6"/>
  <c r="AN173" i="6"/>
  <c r="AK173" i="6"/>
  <c r="AI173" i="6"/>
  <c r="BB173" i="6"/>
  <c r="AG173" i="6"/>
  <c r="AP173" i="6"/>
  <c r="AQ173" i="6"/>
  <c r="AE173" i="6"/>
  <c r="AC173" i="6"/>
  <c r="AB173" i="6"/>
  <c r="V172" i="12"/>
  <c r="T172" i="12"/>
  <c r="X173" i="12"/>
  <c r="W173" i="12"/>
  <c r="G184" i="12"/>
  <c r="O178" i="12" l="1"/>
  <c r="W174" i="12"/>
  <c r="T174" i="12" s="1"/>
  <c r="AM178" i="5"/>
  <c r="AO178" i="12"/>
  <c r="Y175" i="12"/>
  <c r="W175" i="12" s="1"/>
  <c r="Z178" i="5"/>
  <c r="L178" i="5"/>
  <c r="C178" i="6" s="1"/>
  <c r="C178" i="12"/>
  <c r="M178" i="12"/>
  <c r="K178" i="12"/>
  <c r="Y176" i="12"/>
  <c r="X176" i="12" s="1"/>
  <c r="N176" i="12"/>
  <c r="BE176" i="6"/>
  <c r="AZ176" i="6"/>
  <c r="AP176" i="6"/>
  <c r="AV176" i="6"/>
  <c r="BC176" i="6"/>
  <c r="AB176" i="6"/>
  <c r="AG176" i="6"/>
  <c r="AQ176" i="6"/>
  <c r="AN176" i="6"/>
  <c r="AT176" i="6"/>
  <c r="BF176" i="6"/>
  <c r="AS176" i="6"/>
  <c r="BG176" i="6"/>
  <c r="BD176" i="6"/>
  <c r="BA176" i="6"/>
  <c r="AY176" i="6"/>
  <c r="AU176" i="6"/>
  <c r="AO176" i="6"/>
  <c r="AR176" i="6"/>
  <c r="AM176" i="6"/>
  <c r="BB176" i="6"/>
  <c r="AX176" i="6"/>
  <c r="AD176" i="6"/>
  <c r="AI176" i="6"/>
  <c r="AF176" i="6"/>
  <c r="AK176" i="6"/>
  <c r="AE176" i="6"/>
  <c r="AH176" i="6"/>
  <c r="AJ176" i="6"/>
  <c r="AC176" i="6"/>
  <c r="X179" i="5"/>
  <c r="W180" i="5"/>
  <c r="H180" i="12" s="1"/>
  <c r="H180" i="5"/>
  <c r="E180" i="5"/>
  <c r="G180" i="5"/>
  <c r="A180" i="12"/>
  <c r="C181" i="5"/>
  <c r="B180" i="5"/>
  <c r="D180" i="5"/>
  <c r="B180" i="12" s="1"/>
  <c r="F180" i="5"/>
  <c r="K180" i="5"/>
  <c r="AE180" i="5"/>
  <c r="AD180" i="5"/>
  <c r="B180" i="6"/>
  <c r="J180" i="5"/>
  <c r="N180" i="5"/>
  <c r="D180" i="6" s="1"/>
  <c r="H180" i="6" s="1"/>
  <c r="T180" i="5" s="1"/>
  <c r="N175" i="12"/>
  <c r="AQ175" i="6"/>
  <c r="BF175" i="6"/>
  <c r="AX175" i="6"/>
  <c r="BD175" i="6"/>
  <c r="BB175" i="6"/>
  <c r="AO175" i="6"/>
  <c r="AU175" i="6"/>
  <c r="AS175" i="6"/>
  <c r="BA175" i="6"/>
  <c r="BG175" i="6"/>
  <c r="AM175" i="6"/>
  <c r="AJ175" i="6"/>
  <c r="AR175" i="6"/>
  <c r="AY175" i="6"/>
  <c r="AD175" i="6"/>
  <c r="AB175" i="6"/>
  <c r="AI175" i="6"/>
  <c r="AP175" i="6"/>
  <c r="BE175" i="6"/>
  <c r="BC175" i="6"/>
  <c r="AV175" i="6"/>
  <c r="AT175" i="6"/>
  <c r="AZ175" i="6"/>
  <c r="AN175" i="6"/>
  <c r="AK175" i="6"/>
  <c r="AH175" i="6"/>
  <c r="AC175" i="6"/>
  <c r="AE175" i="6"/>
  <c r="AG175" i="6"/>
  <c r="AF175" i="6"/>
  <c r="J179" i="12"/>
  <c r="L179" i="12"/>
  <c r="A177" i="6"/>
  <c r="A178" i="6" s="1"/>
  <c r="M178" i="6" s="1"/>
  <c r="AV177" i="6"/>
  <c r="BB177" i="6"/>
  <c r="AB177" i="6"/>
  <c r="AS177" i="6"/>
  <c r="AE177" i="6"/>
  <c r="BE177" i="6"/>
  <c r="AJ177" i="6"/>
  <c r="AH177" i="6"/>
  <c r="AZ177" i="6"/>
  <c r="AD177" i="6"/>
  <c r="AM177" i="6"/>
  <c r="AY177" i="6"/>
  <c r="AG177" i="6"/>
  <c r="BF177" i="6"/>
  <c r="AP177" i="6"/>
  <c r="AF177" i="6"/>
  <c r="AI177" i="6"/>
  <c r="AX177" i="6"/>
  <c r="AQ177" i="6"/>
  <c r="AK177" i="6"/>
  <c r="AN177" i="6"/>
  <c r="BC177" i="6"/>
  <c r="BA177" i="6"/>
  <c r="AO177" i="6"/>
  <c r="BG177" i="6"/>
  <c r="AT177" i="6"/>
  <c r="AU177" i="6"/>
  <c r="AR177" i="6"/>
  <c r="AC177" i="6"/>
  <c r="BD177" i="6"/>
  <c r="V173" i="12"/>
  <c r="U173" i="12"/>
  <c r="T173" i="12"/>
  <c r="G185" i="12"/>
  <c r="N178" i="12" l="1"/>
  <c r="Y178" i="12"/>
  <c r="W178" i="12" s="1"/>
  <c r="V178" i="12" s="1"/>
  <c r="X175" i="12"/>
  <c r="U174" i="12"/>
  <c r="V174" i="12"/>
  <c r="AB178" i="5"/>
  <c r="X180" i="5"/>
  <c r="AM180" i="5" s="1"/>
  <c r="W176" i="12"/>
  <c r="V176" i="12" s="1"/>
  <c r="K179" i="12"/>
  <c r="A179" i="6"/>
  <c r="M179" i="6" s="1"/>
  <c r="C182" i="5"/>
  <c r="AE181" i="5"/>
  <c r="H181" i="5"/>
  <c r="F181" i="5"/>
  <c r="G181" i="5"/>
  <c r="E181" i="5"/>
  <c r="B181" i="5"/>
  <c r="D181" i="5"/>
  <c r="B181" i="12" s="1"/>
  <c r="N181" i="5"/>
  <c r="D181" i="6" s="1"/>
  <c r="H181" i="6" s="1"/>
  <c r="T181" i="5" s="1"/>
  <c r="J181" i="5"/>
  <c r="B181" i="6"/>
  <c r="W181" i="5"/>
  <c r="H181" i="12" s="1"/>
  <c r="K181" i="5"/>
  <c r="A181" i="12"/>
  <c r="AD181" i="5"/>
  <c r="L180" i="12"/>
  <c r="J180" i="12"/>
  <c r="AM179" i="5"/>
  <c r="I179" i="12"/>
  <c r="L179" i="5"/>
  <c r="Z179" i="5"/>
  <c r="V175" i="12"/>
  <c r="U175" i="12"/>
  <c r="T175" i="12"/>
  <c r="AG178" i="6"/>
  <c r="BF178" i="6"/>
  <c r="AI178" i="6"/>
  <c r="AD178" i="6"/>
  <c r="AP178" i="6"/>
  <c r="BE178" i="6"/>
  <c r="AX178" i="6"/>
  <c r="AK178" i="6"/>
  <c r="AV178" i="6"/>
  <c r="AC178" i="6"/>
  <c r="AZ178" i="6"/>
  <c r="AN178" i="6"/>
  <c r="AF178" i="6"/>
  <c r="AE178" i="6"/>
  <c r="AU178" i="6"/>
  <c r="BB178" i="6"/>
  <c r="AH178" i="6"/>
  <c r="AS178" i="6"/>
  <c r="AB178" i="6"/>
  <c r="AQ178" i="6"/>
  <c r="AY178" i="6"/>
  <c r="AT178" i="6"/>
  <c r="AM178" i="6"/>
  <c r="AJ178" i="6"/>
  <c r="BC178" i="6"/>
  <c r="BD178" i="6"/>
  <c r="BA178" i="6"/>
  <c r="AR178" i="6"/>
  <c r="BG178" i="6"/>
  <c r="AO178" i="6"/>
  <c r="G186" i="12"/>
  <c r="X178" i="12" l="1"/>
  <c r="T178" i="12"/>
  <c r="U178" i="12"/>
  <c r="T176" i="12"/>
  <c r="U176" i="12"/>
  <c r="I180" i="12"/>
  <c r="L180" i="5"/>
  <c r="Z180" i="5"/>
  <c r="A180" i="6"/>
  <c r="M180" i="6" s="1"/>
  <c r="X181" i="5"/>
  <c r="K180" i="12"/>
  <c r="AB179" i="5"/>
  <c r="C179" i="6"/>
  <c r="J181" i="12"/>
  <c r="L181" i="12"/>
  <c r="C179" i="12"/>
  <c r="AO179" i="12"/>
  <c r="M179" i="12"/>
  <c r="O179" i="12"/>
  <c r="K182" i="5"/>
  <c r="AD182" i="5"/>
  <c r="AE182" i="5"/>
  <c r="D182" i="5"/>
  <c r="B182" i="12" s="1"/>
  <c r="W182" i="5"/>
  <c r="H182" i="12" s="1"/>
  <c r="N182" i="5"/>
  <c r="D182" i="6" s="1"/>
  <c r="H182" i="6" s="1"/>
  <c r="T182" i="5" s="1"/>
  <c r="B182" i="6"/>
  <c r="G182" i="5"/>
  <c r="J182" i="5"/>
  <c r="E182" i="5"/>
  <c r="H182" i="5"/>
  <c r="A182" i="12"/>
  <c r="B182" i="5"/>
  <c r="F182" i="5"/>
  <c r="C183" i="5"/>
  <c r="BF179" i="6"/>
  <c r="AE179" i="6"/>
  <c r="AT179" i="6"/>
  <c r="BE179" i="6"/>
  <c r="AJ179" i="6"/>
  <c r="AI179" i="6"/>
  <c r="BA179" i="6"/>
  <c r="BD179" i="6"/>
  <c r="AU179" i="6"/>
  <c r="AR179" i="6"/>
  <c r="AP179" i="6"/>
  <c r="AS179" i="6"/>
  <c r="AQ179" i="6"/>
  <c r="BC179" i="6"/>
  <c r="AN179" i="6"/>
  <c r="AY179" i="6"/>
  <c r="AK179" i="6"/>
  <c r="AM179" i="6"/>
  <c r="AH179" i="6"/>
  <c r="BG179" i="6"/>
  <c r="AD179" i="6"/>
  <c r="AB179" i="6"/>
  <c r="AZ179" i="6"/>
  <c r="AG179" i="6"/>
  <c r="AV179" i="6"/>
  <c r="AX179" i="6"/>
  <c r="BB179" i="6"/>
  <c r="AO179" i="6"/>
  <c r="AC179" i="6"/>
  <c r="AF179" i="6"/>
  <c r="G187" i="12"/>
  <c r="A181" i="6" l="1"/>
  <c r="M181" i="6" s="1"/>
  <c r="X182" i="5"/>
  <c r="Z182" i="5" s="1"/>
  <c r="AB182" i="5" s="1"/>
  <c r="C180" i="6"/>
  <c r="C180" i="12"/>
  <c r="O180" i="12"/>
  <c r="AO180" i="12"/>
  <c r="M180" i="12"/>
  <c r="AB180" i="5"/>
  <c r="K181" i="12"/>
  <c r="N179" i="12"/>
  <c r="Z181" i="5"/>
  <c r="AM181" i="5"/>
  <c r="L181" i="5"/>
  <c r="I181" i="12"/>
  <c r="Y179" i="12"/>
  <c r="X179" i="12" s="1"/>
  <c r="K183" i="5"/>
  <c r="B183" i="6"/>
  <c r="W183" i="5"/>
  <c r="H183" i="12" s="1"/>
  <c r="AE183" i="5"/>
  <c r="E183" i="5"/>
  <c r="A183" i="12"/>
  <c r="D183" i="5"/>
  <c r="B183" i="12" s="1"/>
  <c r="N183" i="5"/>
  <c r="D183" i="6" s="1"/>
  <c r="H183" i="6" s="1"/>
  <c r="T183" i="5" s="1"/>
  <c r="G183" i="5"/>
  <c r="H183" i="5"/>
  <c r="F183" i="5"/>
  <c r="B183" i="5"/>
  <c r="AD183" i="5"/>
  <c r="C184" i="5"/>
  <c r="J183" i="5"/>
  <c r="J182" i="12"/>
  <c r="L182" i="12"/>
  <c r="AK180" i="6"/>
  <c r="AG180" i="6"/>
  <c r="BB180" i="6"/>
  <c r="AQ180" i="6"/>
  <c r="AE180" i="6"/>
  <c r="AU180" i="6"/>
  <c r="BE180" i="6"/>
  <c r="AO180" i="6"/>
  <c r="BD180" i="6"/>
  <c r="AX180" i="6"/>
  <c r="AT180" i="6"/>
  <c r="BA180" i="6"/>
  <c r="AM180" i="6"/>
  <c r="BF180" i="6"/>
  <c r="BG180" i="6"/>
  <c r="AZ180" i="6"/>
  <c r="AD180" i="6"/>
  <c r="AJ180" i="6"/>
  <c r="AH180" i="6"/>
  <c r="AP180" i="6"/>
  <c r="AR180" i="6"/>
  <c r="AV180" i="6"/>
  <c r="AB180" i="6"/>
  <c r="AS180" i="6"/>
  <c r="BC180" i="6"/>
  <c r="AF180" i="6"/>
  <c r="AI180" i="6"/>
  <c r="AC180" i="6"/>
  <c r="AN180" i="6"/>
  <c r="AY180" i="6"/>
  <c r="G188" i="12"/>
  <c r="A182" i="6" l="1"/>
  <c r="Y180" i="12"/>
  <c r="X180" i="12" s="1"/>
  <c r="AM182" i="5"/>
  <c r="L182" i="5"/>
  <c r="I182" i="12"/>
  <c r="N180" i="12"/>
  <c r="K182" i="12"/>
  <c r="X183" i="5"/>
  <c r="AM183" i="5" s="1"/>
  <c r="W179" i="12"/>
  <c r="U179" i="12" s="1"/>
  <c r="AO181" i="12"/>
  <c r="O181" i="12"/>
  <c r="M181" i="12"/>
  <c r="C181" i="12"/>
  <c r="C181" i="6"/>
  <c r="AB181" i="5"/>
  <c r="E184" i="5"/>
  <c r="B184" i="5"/>
  <c r="A184" i="12"/>
  <c r="B184" i="6"/>
  <c r="C185" i="5"/>
  <c r="G184" i="5"/>
  <c r="F184" i="5"/>
  <c r="W184" i="5"/>
  <c r="H184" i="12" s="1"/>
  <c r="D184" i="5"/>
  <c r="B184" i="12" s="1"/>
  <c r="AE184" i="5"/>
  <c r="AD184" i="5"/>
  <c r="J184" i="5"/>
  <c r="K184" i="5"/>
  <c r="H184" i="5"/>
  <c r="N184" i="5"/>
  <c r="D184" i="6" s="1"/>
  <c r="H184" i="6" s="1"/>
  <c r="T184" i="5" s="1"/>
  <c r="L183" i="12"/>
  <c r="J183" i="12"/>
  <c r="M182" i="6"/>
  <c r="A183" i="6"/>
  <c r="AS181" i="6"/>
  <c r="AN181" i="6"/>
  <c r="BC181" i="6"/>
  <c r="AY181" i="6"/>
  <c r="AB181" i="6"/>
  <c r="AP181" i="6"/>
  <c r="AC181" i="6"/>
  <c r="BB181" i="6"/>
  <c r="AR181" i="6"/>
  <c r="AE181" i="6"/>
  <c r="AF181" i="6"/>
  <c r="AZ181" i="6"/>
  <c r="AM181" i="6"/>
  <c r="BE181" i="6"/>
  <c r="AV181" i="6"/>
  <c r="AU181" i="6"/>
  <c r="AO181" i="6"/>
  <c r="AG181" i="6"/>
  <c r="AQ181" i="6"/>
  <c r="AK181" i="6"/>
  <c r="AH181" i="6"/>
  <c r="AD181" i="6"/>
  <c r="BA181" i="6"/>
  <c r="AX181" i="6"/>
  <c r="AJ181" i="6"/>
  <c r="BG181" i="6"/>
  <c r="BD181" i="6"/>
  <c r="AT181" i="6"/>
  <c r="AI181" i="6"/>
  <c r="BF181" i="6"/>
  <c r="G189" i="12"/>
  <c r="W180" i="12" l="1"/>
  <c r="U180" i="12" s="1"/>
  <c r="C182" i="6"/>
  <c r="M182" i="12"/>
  <c r="O182" i="12"/>
  <c r="AO182" i="12"/>
  <c r="C182" i="12"/>
  <c r="T179" i="12"/>
  <c r="Z183" i="5"/>
  <c r="I183" i="12"/>
  <c r="L183" i="5"/>
  <c r="V179" i="12"/>
  <c r="N181" i="12"/>
  <c r="K183" i="12"/>
  <c r="X184" i="5"/>
  <c r="Y181" i="12"/>
  <c r="E185" i="5"/>
  <c r="B185" i="6"/>
  <c r="J185" i="5"/>
  <c r="G185" i="5"/>
  <c r="N185" i="5"/>
  <c r="D185" i="6" s="1"/>
  <c r="H185" i="6" s="1"/>
  <c r="T185" i="5" s="1"/>
  <c r="H185" i="5"/>
  <c r="K185" i="5"/>
  <c r="AE185" i="5"/>
  <c r="C186" i="5"/>
  <c r="AD185" i="5"/>
  <c r="D185" i="5"/>
  <c r="B185" i="12" s="1"/>
  <c r="B185" i="5"/>
  <c r="A185" i="12"/>
  <c r="W185" i="5"/>
  <c r="H185" i="12" s="1"/>
  <c r="F185" i="5"/>
  <c r="L184" i="12"/>
  <c r="J184" i="12"/>
  <c r="M183" i="6"/>
  <c r="A184" i="6"/>
  <c r="AY182" i="6"/>
  <c r="BG182" i="6"/>
  <c r="BB182" i="6"/>
  <c r="AF182" i="6"/>
  <c r="AQ182" i="6"/>
  <c r="BD182" i="6"/>
  <c r="AP182" i="6"/>
  <c r="AC182" i="6"/>
  <c r="AD182" i="6"/>
  <c r="AE182" i="6"/>
  <c r="AI182" i="6"/>
  <c r="AV182" i="6"/>
  <c r="BC182" i="6"/>
  <c r="AZ182" i="6"/>
  <c r="AT182" i="6"/>
  <c r="AX182" i="6"/>
  <c r="AM182" i="6"/>
  <c r="AN182" i="6"/>
  <c r="AB182" i="6"/>
  <c r="AH182" i="6"/>
  <c r="AK182" i="6"/>
  <c r="AR182" i="6"/>
  <c r="BE182" i="6"/>
  <c r="AS182" i="6"/>
  <c r="AJ182" i="6"/>
  <c r="BA182" i="6"/>
  <c r="AU182" i="6"/>
  <c r="BF182" i="6"/>
  <c r="AO182" i="6"/>
  <c r="AG182" i="6"/>
  <c r="G190" i="12"/>
  <c r="T180" i="12" l="1"/>
  <c r="V180" i="12"/>
  <c r="N182" i="12"/>
  <c r="Y182" i="12"/>
  <c r="AB183" i="5"/>
  <c r="O183" i="12"/>
  <c r="AO183" i="12"/>
  <c r="C183" i="12"/>
  <c r="M183" i="12"/>
  <c r="C183" i="6"/>
  <c r="X185" i="5"/>
  <c r="AM184" i="5"/>
  <c r="L184" i="5"/>
  <c r="Z184" i="5"/>
  <c r="I184" i="12"/>
  <c r="X181" i="12"/>
  <c r="W181" i="12"/>
  <c r="K184" i="12"/>
  <c r="L185" i="12"/>
  <c r="J185" i="12"/>
  <c r="C187" i="5"/>
  <c r="K186" i="5"/>
  <c r="B186" i="6"/>
  <c r="H186" i="5"/>
  <c r="W186" i="5"/>
  <c r="H186" i="12" s="1"/>
  <c r="AD186" i="5"/>
  <c r="F186" i="5"/>
  <c r="D186" i="5"/>
  <c r="B186" i="12" s="1"/>
  <c r="A186" i="12"/>
  <c r="B186" i="5"/>
  <c r="G186" i="5"/>
  <c r="J186" i="5"/>
  <c r="N186" i="5"/>
  <c r="D186" i="6" s="1"/>
  <c r="H186" i="6" s="1"/>
  <c r="T186" i="5" s="1"/>
  <c r="X186" i="5" s="1"/>
  <c r="AE186" i="5"/>
  <c r="E186" i="5"/>
  <c r="M184" i="6"/>
  <c r="A185" i="6"/>
  <c r="BB183" i="6"/>
  <c r="BD183" i="6"/>
  <c r="AM183" i="6"/>
  <c r="AB183" i="6"/>
  <c r="AR183" i="6"/>
  <c r="AH183" i="6"/>
  <c r="AU183" i="6"/>
  <c r="BC183" i="6"/>
  <c r="AE183" i="6"/>
  <c r="AN183" i="6"/>
  <c r="AF183" i="6"/>
  <c r="AK183" i="6"/>
  <c r="AT183" i="6"/>
  <c r="BA183" i="6"/>
  <c r="AO183" i="6"/>
  <c r="AY183" i="6"/>
  <c r="AI183" i="6"/>
  <c r="AJ183" i="6"/>
  <c r="AG183" i="6"/>
  <c r="AX183" i="6"/>
  <c r="AC183" i="6"/>
  <c r="BF183" i="6"/>
  <c r="BG183" i="6"/>
  <c r="AQ183" i="6"/>
  <c r="AS183" i="6"/>
  <c r="AP183" i="6"/>
  <c r="AD183" i="6"/>
  <c r="AV183" i="6"/>
  <c r="AZ183" i="6"/>
  <c r="BE183" i="6"/>
  <c r="G191" i="12"/>
  <c r="W182" i="12" l="1"/>
  <c r="X182" i="12"/>
  <c r="Y183" i="12"/>
  <c r="N183" i="12"/>
  <c r="M184" i="12"/>
  <c r="AO184" i="12"/>
  <c r="O184" i="12"/>
  <c r="C184" i="12"/>
  <c r="AB184" i="5"/>
  <c r="C184" i="6"/>
  <c r="AM185" i="5"/>
  <c r="L185" i="5"/>
  <c r="I185" i="12"/>
  <c r="Z185" i="5"/>
  <c r="T181" i="12"/>
  <c r="U181" i="12"/>
  <c r="V181" i="12"/>
  <c r="K185" i="12"/>
  <c r="AM186" i="5"/>
  <c r="I186" i="12"/>
  <c r="L186" i="5"/>
  <c r="Z186" i="5"/>
  <c r="L186" i="12"/>
  <c r="J186" i="12"/>
  <c r="E187" i="5"/>
  <c r="H187" i="5"/>
  <c r="A187" i="12"/>
  <c r="G187" i="5"/>
  <c r="N187" i="5"/>
  <c r="D187" i="6" s="1"/>
  <c r="H187" i="6" s="1"/>
  <c r="T187" i="5" s="1"/>
  <c r="W187" i="5"/>
  <c r="H187" i="12" s="1"/>
  <c r="AE187" i="5"/>
  <c r="B187" i="6"/>
  <c r="AD187" i="5"/>
  <c r="J187" i="5"/>
  <c r="K187" i="5"/>
  <c r="F187" i="5"/>
  <c r="B187" i="5"/>
  <c r="C188" i="5" s="1"/>
  <c r="D187" i="5"/>
  <c r="B187" i="12" s="1"/>
  <c r="M185" i="6"/>
  <c r="A186" i="6"/>
  <c r="AK184" i="6"/>
  <c r="AV184" i="6"/>
  <c r="AB184" i="6"/>
  <c r="BG184" i="6"/>
  <c r="AE184" i="6"/>
  <c r="AM184" i="6"/>
  <c r="AU184" i="6"/>
  <c r="AN184" i="6"/>
  <c r="AS184" i="6"/>
  <c r="AO184" i="6"/>
  <c r="AD184" i="6"/>
  <c r="AG184" i="6"/>
  <c r="AH184" i="6"/>
  <c r="BE184" i="6"/>
  <c r="AF184" i="6"/>
  <c r="AP184" i="6"/>
  <c r="BC184" i="6"/>
  <c r="AQ184" i="6"/>
  <c r="AZ184" i="6"/>
  <c r="AT184" i="6"/>
  <c r="BB184" i="6"/>
  <c r="AI184" i="6"/>
  <c r="AX184" i="6"/>
  <c r="BF184" i="6"/>
  <c r="AR184" i="6"/>
  <c r="AC184" i="6"/>
  <c r="BD184" i="6"/>
  <c r="BA184" i="6"/>
  <c r="AY184" i="6"/>
  <c r="AJ184" i="6"/>
  <c r="G192" i="12"/>
  <c r="V182" i="12" l="1"/>
  <c r="T182" i="12"/>
  <c r="U182" i="12"/>
  <c r="X183" i="12"/>
  <c r="W183" i="12"/>
  <c r="AB185" i="5"/>
  <c r="C185" i="12"/>
  <c r="AO185" i="12"/>
  <c r="M185" i="12"/>
  <c r="O185" i="12"/>
  <c r="N184" i="12"/>
  <c r="C185" i="6"/>
  <c r="Y184" i="12"/>
  <c r="K186" i="12"/>
  <c r="X187" i="5"/>
  <c r="AB186" i="5"/>
  <c r="C186" i="6"/>
  <c r="N188" i="5"/>
  <c r="D188" i="6" s="1"/>
  <c r="H188" i="6" s="1"/>
  <c r="T188" i="5" s="1"/>
  <c r="W188" i="5"/>
  <c r="H188" i="12" s="1"/>
  <c r="A188" i="12"/>
  <c r="B188" i="6"/>
  <c r="E188" i="5"/>
  <c r="C189" i="5"/>
  <c r="H188" i="5"/>
  <c r="G188" i="5"/>
  <c r="AD188" i="5"/>
  <c r="AE188" i="5"/>
  <c r="B188" i="5"/>
  <c r="F188" i="5"/>
  <c r="M186" i="12"/>
  <c r="O186" i="12"/>
  <c r="C186" i="12"/>
  <c r="AO186" i="12"/>
  <c r="J187" i="12"/>
  <c r="L187" i="12"/>
  <c r="M186" i="6"/>
  <c r="A187" i="6"/>
  <c r="AC185" i="6"/>
  <c r="AT185" i="6"/>
  <c r="AD185" i="6"/>
  <c r="AB185" i="6"/>
  <c r="AG185" i="6"/>
  <c r="AZ185" i="6"/>
  <c r="AS185" i="6"/>
  <c r="AJ185" i="6"/>
  <c r="BG185" i="6"/>
  <c r="AU185" i="6"/>
  <c r="AQ185" i="6"/>
  <c r="BB185" i="6"/>
  <c r="AX185" i="6"/>
  <c r="AP185" i="6"/>
  <c r="BD185" i="6"/>
  <c r="AV185" i="6"/>
  <c r="BA185" i="6"/>
  <c r="AI185" i="6"/>
  <c r="AF185" i="6"/>
  <c r="BE185" i="6"/>
  <c r="AH185" i="6"/>
  <c r="AN185" i="6"/>
  <c r="AM185" i="6"/>
  <c r="BF185" i="6"/>
  <c r="AR185" i="6"/>
  <c r="BC185" i="6"/>
  <c r="AY185" i="6"/>
  <c r="AE185" i="6"/>
  <c r="AK185" i="6"/>
  <c r="AO185" i="6"/>
  <c r="G193" i="12"/>
  <c r="T183" i="12" l="1"/>
  <c r="U183" i="12"/>
  <c r="V183" i="12"/>
  <c r="N185" i="12"/>
  <c r="N186" i="12"/>
  <c r="Y185" i="12"/>
  <c r="W184" i="12"/>
  <c r="X184" i="12"/>
  <c r="AM187" i="5"/>
  <c r="L187" i="5"/>
  <c r="Z187" i="5"/>
  <c r="I187" i="12"/>
  <c r="Y186" i="12"/>
  <c r="J189" i="5"/>
  <c r="E189" i="5"/>
  <c r="AE189" i="5"/>
  <c r="G189" i="5"/>
  <c r="A189" i="12"/>
  <c r="W189" i="5"/>
  <c r="H189" i="12" s="1"/>
  <c r="H189" i="5"/>
  <c r="C190" i="5"/>
  <c r="D189" i="5"/>
  <c r="B189" i="12" s="1"/>
  <c r="B189" i="6"/>
  <c r="AD189" i="5"/>
  <c r="N189" i="5"/>
  <c r="D189" i="6" s="1"/>
  <c r="H189" i="6" s="1"/>
  <c r="T189" i="5" s="1"/>
  <c r="K189" i="5"/>
  <c r="B189" i="5"/>
  <c r="F189" i="5"/>
  <c r="K187" i="12"/>
  <c r="M187" i="6"/>
  <c r="A188" i="6"/>
  <c r="BD186" i="6"/>
  <c r="AS186" i="6"/>
  <c r="BA186" i="6"/>
  <c r="AC186" i="6"/>
  <c r="AT186" i="6"/>
  <c r="AU186" i="6"/>
  <c r="AB186" i="6"/>
  <c r="AQ186" i="6"/>
  <c r="BC186" i="6"/>
  <c r="AO186" i="6"/>
  <c r="AJ186" i="6"/>
  <c r="BB186" i="6"/>
  <c r="BF186" i="6"/>
  <c r="BE186" i="6"/>
  <c r="AF186" i="6"/>
  <c r="AX186" i="6"/>
  <c r="AV186" i="6"/>
  <c r="AM186" i="6"/>
  <c r="AN186" i="6"/>
  <c r="AG186" i="6"/>
  <c r="AD186" i="6"/>
  <c r="AK186" i="6"/>
  <c r="AY186" i="6"/>
  <c r="AH186" i="6"/>
  <c r="AP186" i="6"/>
  <c r="BG186" i="6"/>
  <c r="AE186" i="6"/>
  <c r="AZ186" i="6"/>
  <c r="AR186" i="6"/>
  <c r="AI186" i="6"/>
  <c r="G194" i="12"/>
  <c r="U184" i="12" l="1"/>
  <c r="V184" i="12"/>
  <c r="T184" i="12"/>
  <c r="W185" i="12"/>
  <c r="X185" i="12"/>
  <c r="X189" i="5"/>
  <c r="C187" i="12"/>
  <c r="M187" i="12"/>
  <c r="AO187" i="12"/>
  <c r="O187" i="12"/>
  <c r="AB187" i="5"/>
  <c r="C187" i="6"/>
  <c r="L189" i="12"/>
  <c r="J189" i="12"/>
  <c r="N190" i="5"/>
  <c r="D190" i="6" s="1"/>
  <c r="H190" i="6" s="1"/>
  <c r="T190" i="5" s="1"/>
  <c r="B190" i="5"/>
  <c r="K190" i="5"/>
  <c r="D190" i="5"/>
  <c r="B190" i="12" s="1"/>
  <c r="A190" i="12"/>
  <c r="H190" i="5"/>
  <c r="F190" i="5"/>
  <c r="E190" i="5"/>
  <c r="G190" i="5"/>
  <c r="B190" i="6"/>
  <c r="J190" i="5"/>
  <c r="C191" i="5"/>
  <c r="AD190" i="5"/>
  <c r="AE190" i="5"/>
  <c r="W190" i="5"/>
  <c r="H190" i="12" s="1"/>
  <c r="W186" i="12"/>
  <c r="X186" i="12"/>
  <c r="M188" i="6"/>
  <c r="A189" i="6"/>
  <c r="AM187" i="6"/>
  <c r="BE187" i="6"/>
  <c r="AZ187" i="6"/>
  <c r="AE187" i="6"/>
  <c r="BB187" i="6"/>
  <c r="BD187" i="6"/>
  <c r="AO187" i="6"/>
  <c r="AU187" i="6"/>
  <c r="AK187" i="6"/>
  <c r="AQ187" i="6"/>
  <c r="AB187" i="6"/>
  <c r="AV187" i="6"/>
  <c r="AS187" i="6"/>
  <c r="BF187" i="6"/>
  <c r="AJ187" i="6"/>
  <c r="AG187" i="6"/>
  <c r="BA187" i="6"/>
  <c r="BC187" i="6"/>
  <c r="BG187" i="6"/>
  <c r="AX187" i="6"/>
  <c r="AD187" i="6"/>
  <c r="AF187" i="6"/>
  <c r="AN187" i="6"/>
  <c r="AT187" i="6"/>
  <c r="AC187" i="6"/>
  <c r="AI187" i="6"/>
  <c r="AH187" i="6"/>
  <c r="AP187" i="6"/>
  <c r="AR187" i="6"/>
  <c r="AY187" i="6"/>
  <c r="G195" i="12"/>
  <c r="N187" i="12" l="1"/>
  <c r="T185" i="12"/>
  <c r="V185" i="12"/>
  <c r="U185" i="12"/>
  <c r="X190" i="5"/>
  <c r="L190" i="5" s="1"/>
  <c r="Z189" i="5"/>
  <c r="L189" i="5"/>
  <c r="AM189" i="5"/>
  <c r="I189" i="12"/>
  <c r="K189" i="12"/>
  <c r="Y187" i="12"/>
  <c r="J190" i="12"/>
  <c r="L190" i="12"/>
  <c r="J191" i="5"/>
  <c r="N191" i="5"/>
  <c r="D191" i="6" s="1"/>
  <c r="H191" i="6" s="1"/>
  <c r="T191" i="5" s="1"/>
  <c r="F191" i="5"/>
  <c r="B191" i="6"/>
  <c r="W191" i="5"/>
  <c r="H191" i="12" s="1"/>
  <c r="AD191" i="5"/>
  <c r="AE191" i="5"/>
  <c r="E191" i="5"/>
  <c r="K191" i="5"/>
  <c r="B191" i="5"/>
  <c r="C192" i="5" s="1"/>
  <c r="H191" i="5"/>
  <c r="A191" i="12"/>
  <c r="G191" i="5"/>
  <c r="D191" i="5"/>
  <c r="B191" i="12" s="1"/>
  <c r="T186" i="12"/>
  <c r="V186" i="12"/>
  <c r="U186" i="12"/>
  <c r="M189" i="6"/>
  <c r="A190" i="6"/>
  <c r="AH188" i="6"/>
  <c r="AX188" i="6"/>
  <c r="AC188" i="6"/>
  <c r="AF188" i="6"/>
  <c r="AT188" i="6"/>
  <c r="BB188" i="6"/>
  <c r="BC188" i="6"/>
  <c r="AV188" i="6"/>
  <c r="BG188" i="6"/>
  <c r="AS188" i="6"/>
  <c r="BF188" i="6"/>
  <c r="AQ188" i="6"/>
  <c r="BD188" i="6"/>
  <c r="AI188" i="6"/>
  <c r="AY188" i="6"/>
  <c r="AD188" i="6"/>
  <c r="AZ188" i="6"/>
  <c r="AG188" i="6"/>
  <c r="AN188" i="6"/>
  <c r="AU188" i="6"/>
  <c r="BE188" i="6"/>
  <c r="AO188" i="6"/>
  <c r="AB188" i="6"/>
  <c r="AR188" i="6"/>
  <c r="BA188" i="6"/>
  <c r="AE188" i="6"/>
  <c r="AP188" i="6"/>
  <c r="AJ188" i="6"/>
  <c r="AM188" i="6"/>
  <c r="AK188" i="6"/>
  <c r="G196" i="12"/>
  <c r="C190" i="6" l="1"/>
  <c r="I190" i="12"/>
  <c r="AM190" i="5"/>
  <c r="Z190" i="5"/>
  <c r="AO189" i="12"/>
  <c r="O189" i="12"/>
  <c r="M189" i="12"/>
  <c r="C189" i="12"/>
  <c r="X191" i="5"/>
  <c r="C189" i="6"/>
  <c r="K190" i="12"/>
  <c r="AB189" i="5"/>
  <c r="X187" i="12"/>
  <c r="W187" i="12"/>
  <c r="J191" i="12"/>
  <c r="L191" i="12"/>
  <c r="A192" i="12"/>
  <c r="C193" i="5"/>
  <c r="H192" i="5"/>
  <c r="W192" i="5"/>
  <c r="H192" i="12" s="1"/>
  <c r="N192" i="5"/>
  <c r="D192" i="6" s="1"/>
  <c r="H192" i="6" s="1"/>
  <c r="T192" i="5" s="1"/>
  <c r="B192" i="5"/>
  <c r="F192" i="5"/>
  <c r="E192" i="5"/>
  <c r="B192" i="6"/>
  <c r="AD192" i="5"/>
  <c r="G192" i="5"/>
  <c r="AE192" i="5"/>
  <c r="M190" i="6"/>
  <c r="A191" i="6"/>
  <c r="AE189" i="6"/>
  <c r="AC189" i="6"/>
  <c r="AY189" i="6"/>
  <c r="AT189" i="6"/>
  <c r="AU189" i="6"/>
  <c r="AG189" i="6"/>
  <c r="AV189" i="6"/>
  <c r="BA189" i="6"/>
  <c r="AO189" i="6"/>
  <c r="BF189" i="6"/>
  <c r="BB189" i="6"/>
  <c r="BC189" i="6"/>
  <c r="AI189" i="6"/>
  <c r="AX189" i="6"/>
  <c r="AH189" i="6"/>
  <c r="AF189" i="6"/>
  <c r="AP189" i="6"/>
  <c r="AQ189" i="6"/>
  <c r="AZ189" i="6"/>
  <c r="AS189" i="6"/>
  <c r="AJ189" i="6"/>
  <c r="AB189" i="6"/>
  <c r="BD189" i="6"/>
  <c r="BG189" i="6"/>
  <c r="AM189" i="6"/>
  <c r="AN189" i="6"/>
  <c r="AK189" i="6"/>
  <c r="AR189" i="6"/>
  <c r="BE189" i="6"/>
  <c r="AD189" i="6"/>
  <c r="G197" i="12"/>
  <c r="K191" i="12" l="1"/>
  <c r="N189" i="12"/>
  <c r="AB190" i="5"/>
  <c r="C190" i="12"/>
  <c r="M190" i="12"/>
  <c r="O190" i="12"/>
  <c r="AO190" i="12"/>
  <c r="Y189" i="12"/>
  <c r="I191" i="12"/>
  <c r="L191" i="5"/>
  <c r="Z191" i="5"/>
  <c r="AM191" i="5"/>
  <c r="V187" i="12"/>
  <c r="T187" i="12"/>
  <c r="U187" i="12"/>
  <c r="H193" i="5"/>
  <c r="B193" i="5"/>
  <c r="F193" i="5"/>
  <c r="K193" i="5"/>
  <c r="AD193" i="5"/>
  <c r="G193" i="5"/>
  <c r="A193" i="12"/>
  <c r="AE193" i="5"/>
  <c r="D193" i="5"/>
  <c r="B193" i="12" s="1"/>
  <c r="W193" i="5"/>
  <c r="H193" i="12" s="1"/>
  <c r="E193" i="5"/>
  <c r="C194" i="5"/>
  <c r="J193" i="5"/>
  <c r="N193" i="5"/>
  <c r="D193" i="6" s="1"/>
  <c r="H193" i="6" s="1"/>
  <c r="T193" i="5" s="1"/>
  <c r="B193" i="6"/>
  <c r="M191" i="6"/>
  <c r="A192" i="6"/>
  <c r="AG190" i="6"/>
  <c r="AV190" i="6"/>
  <c r="BE190" i="6"/>
  <c r="BF190" i="6"/>
  <c r="AE190" i="6"/>
  <c r="AF190" i="6"/>
  <c r="BA190" i="6"/>
  <c r="AI190" i="6"/>
  <c r="AD190" i="6"/>
  <c r="AS190" i="6"/>
  <c r="BB190" i="6"/>
  <c r="AH190" i="6"/>
  <c r="AZ190" i="6"/>
  <c r="AQ190" i="6"/>
  <c r="BC190" i="6"/>
  <c r="AN190" i="6"/>
  <c r="AX190" i="6"/>
  <c r="BG190" i="6"/>
  <c r="AT190" i="6"/>
  <c r="AK190" i="6"/>
  <c r="AP190" i="6"/>
  <c r="BD190" i="6"/>
  <c r="AM190" i="6"/>
  <c r="AC190" i="6"/>
  <c r="AO190" i="6"/>
  <c r="AJ190" i="6"/>
  <c r="AB190" i="6"/>
  <c r="AY190" i="6"/>
  <c r="AR190" i="6"/>
  <c r="AU190" i="6"/>
  <c r="G198" i="12"/>
  <c r="Y190" i="12" l="1"/>
  <c r="X190" i="12" s="1"/>
  <c r="N190" i="12"/>
  <c r="AO191" i="12"/>
  <c r="O191" i="12"/>
  <c r="M191" i="12"/>
  <c r="C191" i="12"/>
  <c r="X189" i="12"/>
  <c r="W189" i="12"/>
  <c r="AB191" i="5"/>
  <c r="C191" i="6"/>
  <c r="X193" i="5"/>
  <c r="J193" i="12"/>
  <c r="L193" i="12"/>
  <c r="B194" i="5"/>
  <c r="A194" i="12"/>
  <c r="N194" i="5"/>
  <c r="D194" i="6" s="1"/>
  <c r="H194" i="6" s="1"/>
  <c r="T194" i="5" s="1"/>
  <c r="D194" i="5"/>
  <c r="B194" i="12" s="1"/>
  <c r="J194" i="5"/>
  <c r="B194" i="6"/>
  <c r="AD194" i="5"/>
  <c r="AE194" i="5"/>
  <c r="K194" i="5"/>
  <c r="W194" i="5"/>
  <c r="H194" i="12" s="1"/>
  <c r="G194" i="5"/>
  <c r="C195" i="5"/>
  <c r="E194" i="5"/>
  <c r="H194" i="5"/>
  <c r="F194" i="5"/>
  <c r="AE191" i="6"/>
  <c r="AX191" i="6"/>
  <c r="AM191" i="6"/>
  <c r="BE191" i="6"/>
  <c r="AZ191" i="6"/>
  <c r="AP191" i="6"/>
  <c r="AV191" i="6"/>
  <c r="AB191" i="6"/>
  <c r="AN191" i="6"/>
  <c r="AT191" i="6"/>
  <c r="BD191" i="6"/>
  <c r="AK191" i="6"/>
  <c r="AC191" i="6"/>
  <c r="BC191" i="6"/>
  <c r="AJ191" i="6"/>
  <c r="AF191" i="6"/>
  <c r="AR191" i="6"/>
  <c r="AU191" i="6"/>
  <c r="AY191" i="6"/>
  <c r="BG191" i="6"/>
  <c r="AI191" i="6"/>
  <c r="BA191" i="6"/>
  <c r="AH191" i="6"/>
  <c r="AS191" i="6"/>
  <c r="AQ191" i="6"/>
  <c r="AO191" i="6"/>
  <c r="BF191" i="6"/>
  <c r="AG191" i="6"/>
  <c r="AD191" i="6"/>
  <c r="BB191" i="6"/>
  <c r="M192" i="6"/>
  <c r="A193" i="6"/>
  <c r="G199" i="12"/>
  <c r="W190" i="12" l="1"/>
  <c r="U190" i="12" s="1"/>
  <c r="N191" i="12"/>
  <c r="V189" i="12"/>
  <c r="U189" i="12"/>
  <c r="T189" i="12"/>
  <c r="K193" i="12"/>
  <c r="Y191" i="12"/>
  <c r="AM193" i="5"/>
  <c r="L193" i="5"/>
  <c r="Z193" i="5"/>
  <c r="I193" i="12"/>
  <c r="X194" i="5"/>
  <c r="A195" i="12"/>
  <c r="B195" i="5"/>
  <c r="J195" i="5"/>
  <c r="AE195" i="5"/>
  <c r="B195" i="6"/>
  <c r="F195" i="5"/>
  <c r="K195" i="5"/>
  <c r="N195" i="5"/>
  <c r="D195" i="6" s="1"/>
  <c r="H195" i="6" s="1"/>
  <c r="T195" i="5" s="1"/>
  <c r="AD195" i="5"/>
  <c r="H195" i="5"/>
  <c r="G195" i="5"/>
  <c r="D195" i="5"/>
  <c r="B195" i="12" s="1"/>
  <c r="E195" i="5"/>
  <c r="W195" i="5"/>
  <c r="H195" i="12" s="1"/>
  <c r="C196" i="5"/>
  <c r="L194" i="12"/>
  <c r="J194" i="12"/>
  <c r="M193" i="6"/>
  <c r="A194" i="6"/>
  <c r="AE192" i="6"/>
  <c r="AI192" i="6"/>
  <c r="AB192" i="6"/>
  <c r="BE192" i="6"/>
  <c r="BA192" i="6"/>
  <c r="AM192" i="6"/>
  <c r="AY192" i="6"/>
  <c r="BF192" i="6"/>
  <c r="AK192" i="6"/>
  <c r="AC192" i="6"/>
  <c r="AF192" i="6"/>
  <c r="AN192" i="6"/>
  <c r="AS192" i="6"/>
  <c r="AX192" i="6"/>
  <c r="AU192" i="6"/>
  <c r="AG192" i="6"/>
  <c r="BB192" i="6"/>
  <c r="AZ192" i="6"/>
  <c r="AJ192" i="6"/>
  <c r="AO192" i="6"/>
  <c r="AP192" i="6"/>
  <c r="BD192" i="6"/>
  <c r="AV192" i="6"/>
  <c r="BG192" i="6"/>
  <c r="AQ192" i="6"/>
  <c r="AR192" i="6"/>
  <c r="AT192" i="6"/>
  <c r="BC192" i="6"/>
  <c r="AH192" i="6"/>
  <c r="AD192" i="6"/>
  <c r="G200" i="12"/>
  <c r="T190" i="12" l="1"/>
  <c r="V190" i="12"/>
  <c r="K194" i="12"/>
  <c r="X195" i="5"/>
  <c r="X191" i="12"/>
  <c r="W191" i="12"/>
  <c r="M193" i="12"/>
  <c r="O193" i="12"/>
  <c r="C193" i="12"/>
  <c r="AO193" i="12"/>
  <c r="AB193" i="5"/>
  <c r="C193" i="6"/>
  <c r="Z194" i="5"/>
  <c r="L194" i="5"/>
  <c r="I194" i="12"/>
  <c r="AM194" i="5"/>
  <c r="W196" i="5"/>
  <c r="H196" i="12" s="1"/>
  <c r="B196" i="5"/>
  <c r="AE196" i="5"/>
  <c r="G196" i="5"/>
  <c r="F196" i="5"/>
  <c r="D196" i="5"/>
  <c r="B196" i="12" s="1"/>
  <c r="AD196" i="5"/>
  <c r="J196" i="5"/>
  <c r="K196" i="5"/>
  <c r="C197" i="5"/>
  <c r="N196" i="5"/>
  <c r="D196" i="6" s="1"/>
  <c r="H196" i="6" s="1"/>
  <c r="T196" i="5" s="1"/>
  <c r="H196" i="5"/>
  <c r="E196" i="5"/>
  <c r="A196" i="12"/>
  <c r="B196" i="6"/>
  <c r="L195" i="12"/>
  <c r="J195" i="12"/>
  <c r="AR193" i="6"/>
  <c r="AK193" i="6"/>
  <c r="AC193" i="6"/>
  <c r="AF193" i="6"/>
  <c r="BF193" i="6"/>
  <c r="AD193" i="6"/>
  <c r="AX193" i="6"/>
  <c r="AI193" i="6"/>
  <c r="AE193" i="6"/>
  <c r="AU193" i="6"/>
  <c r="AJ193" i="6"/>
  <c r="AB193" i="6"/>
  <c r="AN193" i="6"/>
  <c r="AG193" i="6"/>
  <c r="AP193" i="6"/>
  <c r="AY193" i="6"/>
  <c r="AS193" i="6"/>
  <c r="AQ193" i="6"/>
  <c r="AT193" i="6"/>
  <c r="BG193" i="6"/>
  <c r="AH193" i="6"/>
  <c r="BE193" i="6"/>
  <c r="BB193" i="6"/>
  <c r="BA193" i="6"/>
  <c r="AM193" i="6"/>
  <c r="BD193" i="6"/>
  <c r="AZ193" i="6"/>
  <c r="BC193" i="6"/>
  <c r="AO193" i="6"/>
  <c r="AV193" i="6"/>
  <c r="M194" i="6"/>
  <c r="A195" i="6"/>
  <c r="G201" i="12"/>
  <c r="X196" i="5" l="1"/>
  <c r="L196" i="5" s="1"/>
  <c r="C196" i="6" s="1"/>
  <c r="Y193" i="12"/>
  <c r="I195" i="12"/>
  <c r="Z195" i="5"/>
  <c r="AM195" i="5"/>
  <c r="L195" i="5"/>
  <c r="N193" i="12"/>
  <c r="V191" i="12"/>
  <c r="T191" i="12"/>
  <c r="U191" i="12"/>
  <c r="K195" i="12"/>
  <c r="AO194" i="12"/>
  <c r="M194" i="12"/>
  <c r="C194" i="12"/>
  <c r="O194" i="12"/>
  <c r="C194" i="6"/>
  <c r="AB194" i="5"/>
  <c r="J196" i="12"/>
  <c r="L196" i="12"/>
  <c r="AD197" i="5"/>
  <c r="D197" i="5"/>
  <c r="B197" i="12" s="1"/>
  <c r="G197" i="5"/>
  <c r="AE197" i="5"/>
  <c r="J197" i="5"/>
  <c r="H197" i="5"/>
  <c r="E197" i="5"/>
  <c r="N197" i="5"/>
  <c r="D197" i="6" s="1"/>
  <c r="H197" i="6" s="1"/>
  <c r="T197" i="5" s="1"/>
  <c r="W197" i="5"/>
  <c r="H197" i="12" s="1"/>
  <c r="F197" i="5"/>
  <c r="A197" i="12"/>
  <c r="B197" i="6"/>
  <c r="B197" i="5"/>
  <c r="C198" i="5" s="1"/>
  <c r="K197" i="5"/>
  <c r="AC194" i="6"/>
  <c r="BC194" i="6"/>
  <c r="AR194" i="6"/>
  <c r="AK194" i="6"/>
  <c r="AJ194" i="6"/>
  <c r="AV194" i="6"/>
  <c r="AM194" i="6"/>
  <c r="AT194" i="6"/>
  <c r="AS194" i="6"/>
  <c r="BE194" i="6"/>
  <c r="AQ194" i="6"/>
  <c r="AH194" i="6"/>
  <c r="AZ194" i="6"/>
  <c r="BB194" i="6"/>
  <c r="AN194" i="6"/>
  <c r="BF194" i="6"/>
  <c r="AF194" i="6"/>
  <c r="AO194" i="6"/>
  <c r="AX194" i="6"/>
  <c r="BA194" i="6"/>
  <c r="BD194" i="6"/>
  <c r="AP194" i="6"/>
  <c r="AB194" i="6"/>
  <c r="AE194" i="6"/>
  <c r="AU194" i="6"/>
  <c r="AG194" i="6"/>
  <c r="AI194" i="6"/>
  <c r="BG194" i="6"/>
  <c r="AD194" i="6"/>
  <c r="AY194" i="6"/>
  <c r="M195" i="6"/>
  <c r="A196" i="6"/>
  <c r="G202" i="12"/>
  <c r="Z196" i="5" l="1"/>
  <c r="AM196" i="5"/>
  <c r="I196" i="12"/>
  <c r="C196" i="12" s="1"/>
  <c r="X197" i="5"/>
  <c r="AM197" i="5" s="1"/>
  <c r="K196" i="12"/>
  <c r="X193" i="12"/>
  <c r="W193" i="12"/>
  <c r="C195" i="6"/>
  <c r="N194" i="12"/>
  <c r="AB195" i="5"/>
  <c r="O195" i="12"/>
  <c r="AO195" i="12"/>
  <c r="M195" i="12"/>
  <c r="C195" i="12"/>
  <c r="Y194" i="12"/>
  <c r="J197" i="12"/>
  <c r="L197" i="12"/>
  <c r="B198" i="5"/>
  <c r="AD198" i="5"/>
  <c r="C199" i="5"/>
  <c r="H198" i="5"/>
  <c r="G198" i="5"/>
  <c r="N198" i="5"/>
  <c r="D198" i="6" s="1"/>
  <c r="H198" i="6" s="1"/>
  <c r="T198" i="5" s="1"/>
  <c r="B198" i="6"/>
  <c r="AE198" i="5"/>
  <c r="F198" i="5"/>
  <c r="W198" i="5"/>
  <c r="H198" i="12" s="1"/>
  <c r="E198" i="5"/>
  <c r="A198" i="12"/>
  <c r="M196" i="6"/>
  <c r="A197" i="6"/>
  <c r="AS195" i="6"/>
  <c r="AN195" i="6"/>
  <c r="BB195" i="6"/>
  <c r="AY195" i="6"/>
  <c r="AT195" i="6"/>
  <c r="AX195" i="6"/>
  <c r="AD195" i="6"/>
  <c r="AB195" i="6"/>
  <c r="AC195" i="6"/>
  <c r="BF195" i="6"/>
  <c r="AK195" i="6"/>
  <c r="AF195" i="6"/>
  <c r="BD195" i="6"/>
  <c r="AP195" i="6"/>
  <c r="AE195" i="6"/>
  <c r="BA195" i="6"/>
  <c r="AM195" i="6"/>
  <c r="AI195" i="6"/>
  <c r="BC195" i="6"/>
  <c r="AV195" i="6"/>
  <c r="AO195" i="6"/>
  <c r="AH195" i="6"/>
  <c r="BE195" i="6"/>
  <c r="AR195" i="6"/>
  <c r="AU195" i="6"/>
  <c r="AG195" i="6"/>
  <c r="AZ195" i="6"/>
  <c r="BG195" i="6"/>
  <c r="AQ195" i="6"/>
  <c r="AJ195" i="6"/>
  <c r="G203" i="12"/>
  <c r="AB196" i="5" l="1"/>
  <c r="AO196" i="12"/>
  <c r="M196" i="12"/>
  <c r="O196" i="12"/>
  <c r="L197" i="5"/>
  <c r="I197" i="12"/>
  <c r="Z197" i="5"/>
  <c r="U193" i="12"/>
  <c r="T193" i="12"/>
  <c r="V193" i="12"/>
  <c r="Y195" i="12"/>
  <c r="X195" i="12" s="1"/>
  <c r="N195" i="12"/>
  <c r="K197" i="12"/>
  <c r="X194" i="12"/>
  <c r="W194" i="12"/>
  <c r="G199" i="5"/>
  <c r="C200" i="5"/>
  <c r="H199" i="5"/>
  <c r="AE199" i="5"/>
  <c r="AD199" i="5"/>
  <c r="D199" i="5"/>
  <c r="B199" i="12" s="1"/>
  <c r="F199" i="5"/>
  <c r="B199" i="5"/>
  <c r="E199" i="5"/>
  <c r="K199" i="5"/>
  <c r="A199" i="12"/>
  <c r="B199" i="6"/>
  <c r="W199" i="5"/>
  <c r="H199" i="12" s="1"/>
  <c r="N199" i="5"/>
  <c r="D199" i="6" s="1"/>
  <c r="H199" i="6" s="1"/>
  <c r="T199" i="5" s="1"/>
  <c r="J199" i="5"/>
  <c r="M197" i="6"/>
  <c r="A198" i="6"/>
  <c r="AV196" i="6"/>
  <c r="AG196" i="6"/>
  <c r="AQ196" i="6"/>
  <c r="AH196" i="6"/>
  <c r="BC196" i="6"/>
  <c r="BE196" i="6"/>
  <c r="AP196" i="6"/>
  <c r="AU196" i="6"/>
  <c r="AX196" i="6"/>
  <c r="AZ196" i="6"/>
  <c r="AY196" i="6"/>
  <c r="BG196" i="6"/>
  <c r="AS196" i="6"/>
  <c r="AJ196" i="6"/>
  <c r="AF196" i="6"/>
  <c r="AO196" i="6"/>
  <c r="BA196" i="6"/>
  <c r="AM196" i="6"/>
  <c r="AK196" i="6"/>
  <c r="AT196" i="6"/>
  <c r="AE196" i="6"/>
  <c r="AR196" i="6"/>
  <c r="AC196" i="6"/>
  <c r="BB196" i="6"/>
  <c r="BD196" i="6"/>
  <c r="AD196" i="6"/>
  <c r="AI196" i="6"/>
  <c r="AB196" i="6"/>
  <c r="BF196" i="6"/>
  <c r="AN196" i="6"/>
  <c r="G204" i="12"/>
  <c r="X199" i="5" l="1"/>
  <c r="AM199" i="5" s="1"/>
  <c r="Y196" i="12"/>
  <c r="N196" i="12"/>
  <c r="C197" i="6"/>
  <c r="C197" i="12"/>
  <c r="M197" i="12"/>
  <c r="O197" i="12"/>
  <c r="AO197" i="12"/>
  <c r="AB197" i="5"/>
  <c r="W195" i="12"/>
  <c r="T195" i="12" s="1"/>
  <c r="T194" i="12"/>
  <c r="U194" i="12"/>
  <c r="V194" i="12"/>
  <c r="J199" i="12"/>
  <c r="L199" i="12"/>
  <c r="C201" i="5"/>
  <c r="G200" i="5"/>
  <c r="AE200" i="5"/>
  <c r="B200" i="5"/>
  <c r="K200" i="5"/>
  <c r="E200" i="5"/>
  <c r="B200" i="6"/>
  <c r="D200" i="5"/>
  <c r="B200" i="12" s="1"/>
  <c r="AD200" i="5"/>
  <c r="H200" i="5"/>
  <c r="J200" i="5"/>
  <c r="W200" i="5"/>
  <c r="H200" i="12" s="1"/>
  <c r="A200" i="12"/>
  <c r="N200" i="5"/>
  <c r="D200" i="6" s="1"/>
  <c r="H200" i="6" s="1"/>
  <c r="T200" i="5" s="1"/>
  <c r="F200" i="5"/>
  <c r="M198" i="6"/>
  <c r="A199" i="6"/>
  <c r="AB197" i="6"/>
  <c r="BG197" i="6"/>
  <c r="AC197" i="6"/>
  <c r="AH197" i="6"/>
  <c r="AN197" i="6"/>
  <c r="BB197" i="6"/>
  <c r="BF197" i="6"/>
  <c r="AJ197" i="6"/>
  <c r="AP197" i="6"/>
  <c r="AR197" i="6"/>
  <c r="AM197" i="6"/>
  <c r="AO197" i="6"/>
  <c r="BE197" i="6"/>
  <c r="AY197" i="6"/>
  <c r="AK197" i="6"/>
  <c r="AD197" i="6"/>
  <c r="AS197" i="6"/>
  <c r="AI197" i="6"/>
  <c r="AE197" i="6"/>
  <c r="AQ197" i="6"/>
  <c r="AF197" i="6"/>
  <c r="AX197" i="6"/>
  <c r="AG197" i="6"/>
  <c r="BC197" i="6"/>
  <c r="AZ197" i="6"/>
  <c r="AU197" i="6"/>
  <c r="BA197" i="6"/>
  <c r="AT197" i="6"/>
  <c r="AV197" i="6"/>
  <c r="BD197" i="6"/>
  <c r="G205" i="12"/>
  <c r="Z199" i="5" l="1"/>
  <c r="AB199" i="5" s="1"/>
  <c r="L199" i="5"/>
  <c r="I199" i="12"/>
  <c r="AO199" i="12" s="1"/>
  <c r="X196" i="12"/>
  <c r="W196" i="12"/>
  <c r="X200" i="5"/>
  <c r="AM200" i="5" s="1"/>
  <c r="N197" i="12"/>
  <c r="Y197" i="12"/>
  <c r="V195" i="12"/>
  <c r="U195" i="12"/>
  <c r="K199" i="12"/>
  <c r="W201" i="5"/>
  <c r="H201" i="12" s="1"/>
  <c r="B201" i="5"/>
  <c r="B201" i="6"/>
  <c r="K201" i="5"/>
  <c r="G201" i="5"/>
  <c r="A201" i="12"/>
  <c r="H201" i="5"/>
  <c r="N201" i="5"/>
  <c r="D201" i="6" s="1"/>
  <c r="H201" i="6" s="1"/>
  <c r="T201" i="5" s="1"/>
  <c r="AE201" i="5"/>
  <c r="F201" i="5"/>
  <c r="AD201" i="5"/>
  <c r="E201" i="5"/>
  <c r="D201" i="5"/>
  <c r="B201" i="12" s="1"/>
  <c r="J201" i="5"/>
  <c r="C202" i="5"/>
  <c r="J200" i="12"/>
  <c r="L200" i="12"/>
  <c r="BC198" i="6"/>
  <c r="AJ198" i="6"/>
  <c r="AP198" i="6"/>
  <c r="AE198" i="6"/>
  <c r="AQ198" i="6"/>
  <c r="AF198" i="6"/>
  <c r="AG198" i="6"/>
  <c r="AK198" i="6"/>
  <c r="AH198" i="6"/>
  <c r="AS198" i="6"/>
  <c r="AV198" i="6"/>
  <c r="AT198" i="6"/>
  <c r="AR198" i="6"/>
  <c r="AD198" i="6"/>
  <c r="BE198" i="6"/>
  <c r="AB198" i="6"/>
  <c r="AN198" i="6"/>
  <c r="BB198" i="6"/>
  <c r="BG198" i="6"/>
  <c r="BF198" i="6"/>
  <c r="BD198" i="6"/>
  <c r="AZ198" i="6"/>
  <c r="AO198" i="6"/>
  <c r="BA198" i="6"/>
  <c r="AU198" i="6"/>
  <c r="AI198" i="6"/>
  <c r="AM198" i="6"/>
  <c r="AY198" i="6"/>
  <c r="AX198" i="6"/>
  <c r="AC198" i="6"/>
  <c r="M199" i="6"/>
  <c r="A200" i="6"/>
  <c r="G210" i="12"/>
  <c r="M199" i="12" l="1"/>
  <c r="O199" i="12"/>
  <c r="Y199" i="12" s="1"/>
  <c r="W199" i="12" s="1"/>
  <c r="C199" i="12"/>
  <c r="C199" i="6"/>
  <c r="Z200" i="5"/>
  <c r="AB200" i="5" s="1"/>
  <c r="L200" i="5"/>
  <c r="I200" i="12"/>
  <c r="C200" i="12" s="1"/>
  <c r="V196" i="12"/>
  <c r="U196" i="12"/>
  <c r="T196" i="12"/>
  <c r="X201" i="5"/>
  <c r="AM201" i="5" s="1"/>
  <c r="X197" i="12"/>
  <c r="W197" i="12"/>
  <c r="B202" i="6"/>
  <c r="A202" i="12"/>
  <c r="W202" i="5"/>
  <c r="H202" i="12" s="1"/>
  <c r="B202" i="5"/>
  <c r="D202" i="5"/>
  <c r="B202" i="12" s="1"/>
  <c r="E202" i="5"/>
  <c r="AD202" i="5"/>
  <c r="F202" i="5"/>
  <c r="N202" i="5"/>
  <c r="D202" i="6" s="1"/>
  <c r="H202" i="6" s="1"/>
  <c r="T202" i="5" s="1"/>
  <c r="C203" i="5"/>
  <c r="J202" i="5"/>
  <c r="K202" i="5"/>
  <c r="G202" i="5"/>
  <c r="H202" i="5"/>
  <c r="AE202" i="5"/>
  <c r="J201" i="12"/>
  <c r="L201" i="12"/>
  <c r="K200" i="12"/>
  <c r="AE199" i="6"/>
  <c r="BF199" i="6"/>
  <c r="AS199" i="6"/>
  <c r="AU199" i="6"/>
  <c r="AI199" i="6"/>
  <c r="BG199" i="6"/>
  <c r="AC199" i="6"/>
  <c r="AJ199" i="6"/>
  <c r="AX199" i="6"/>
  <c r="BE199" i="6"/>
  <c r="AQ199" i="6"/>
  <c r="AZ199" i="6"/>
  <c r="AV199" i="6"/>
  <c r="BA199" i="6"/>
  <c r="AB199" i="6"/>
  <c r="AN199" i="6"/>
  <c r="BB199" i="6"/>
  <c r="AO199" i="6"/>
  <c r="AD199" i="6"/>
  <c r="BC199" i="6"/>
  <c r="AY199" i="6"/>
  <c r="AM199" i="6"/>
  <c r="AK199" i="6"/>
  <c r="AG199" i="6"/>
  <c r="BD199" i="6"/>
  <c r="AR199" i="6"/>
  <c r="AT199" i="6"/>
  <c r="AH199" i="6"/>
  <c r="AP199" i="6"/>
  <c r="AF199" i="6"/>
  <c r="M200" i="6"/>
  <c r="A201" i="6"/>
  <c r="G211" i="12"/>
  <c r="X199" i="12" l="1"/>
  <c r="N199" i="12"/>
  <c r="AO200" i="12"/>
  <c r="O200" i="12"/>
  <c r="C200" i="6"/>
  <c r="M200" i="12"/>
  <c r="Z201" i="5"/>
  <c r="L201" i="5"/>
  <c r="I201" i="12"/>
  <c r="C201" i="12" s="1"/>
  <c r="X202" i="5"/>
  <c r="Z202" i="5" s="1"/>
  <c r="V197" i="12"/>
  <c r="T197" i="12"/>
  <c r="U197" i="12"/>
  <c r="J203" i="5"/>
  <c r="B203" i="6"/>
  <c r="C204" i="5"/>
  <c r="D203" i="5"/>
  <c r="B203" i="12" s="1"/>
  <c r="AD203" i="5"/>
  <c r="K203" i="5"/>
  <c r="N203" i="5"/>
  <c r="D203" i="6" s="1"/>
  <c r="H203" i="6" s="1"/>
  <c r="T203" i="5" s="1"/>
  <c r="A203" i="12"/>
  <c r="AE203" i="5"/>
  <c r="F203" i="5"/>
  <c r="B203" i="5"/>
  <c r="E203" i="5"/>
  <c r="W203" i="5"/>
  <c r="H203" i="12" s="1"/>
  <c r="H203" i="5"/>
  <c r="G203" i="5"/>
  <c r="J202" i="12"/>
  <c r="L202" i="12"/>
  <c r="K201" i="12"/>
  <c r="M201" i="6"/>
  <c r="A202" i="6"/>
  <c r="AJ200" i="6"/>
  <c r="AI200" i="6"/>
  <c r="BD200" i="6"/>
  <c r="AZ200" i="6"/>
  <c r="AH200" i="6"/>
  <c r="AO200" i="6"/>
  <c r="AF200" i="6"/>
  <c r="AQ200" i="6"/>
  <c r="AP200" i="6"/>
  <c r="BC200" i="6"/>
  <c r="AE200" i="6"/>
  <c r="BF200" i="6"/>
  <c r="AV200" i="6"/>
  <c r="AY200" i="6"/>
  <c r="AX200" i="6"/>
  <c r="AU200" i="6"/>
  <c r="BB200" i="6"/>
  <c r="AC200" i="6"/>
  <c r="AN200" i="6"/>
  <c r="AS200" i="6"/>
  <c r="BA200" i="6"/>
  <c r="AB200" i="6"/>
  <c r="AR200" i="6"/>
  <c r="BG200" i="6"/>
  <c r="AM200" i="6"/>
  <c r="BE200" i="6"/>
  <c r="AK200" i="6"/>
  <c r="AG200" i="6"/>
  <c r="AD200" i="6"/>
  <c r="AT200" i="6"/>
  <c r="T199" i="12"/>
  <c r="U199" i="12"/>
  <c r="V199" i="12"/>
  <c r="G212" i="12"/>
  <c r="N200" i="12" l="1"/>
  <c r="Y200" i="12"/>
  <c r="X200" i="12" s="1"/>
  <c r="AB201" i="5"/>
  <c r="AO201" i="12"/>
  <c r="O201" i="12"/>
  <c r="M201" i="12"/>
  <c r="C201" i="6"/>
  <c r="K202" i="12"/>
  <c r="AB202" i="5"/>
  <c r="I202" i="12"/>
  <c r="M202" i="12" s="1"/>
  <c r="L202" i="5"/>
  <c r="AM202" i="5"/>
  <c r="D204" i="5"/>
  <c r="B204" i="12" s="1"/>
  <c r="N204" i="5"/>
  <c r="D204" i="6" s="1"/>
  <c r="H204" i="6" s="1"/>
  <c r="T204" i="5" s="1"/>
  <c r="G204" i="5"/>
  <c r="J204" i="5"/>
  <c r="W204" i="5"/>
  <c r="H204" i="12" s="1"/>
  <c r="A204" i="12"/>
  <c r="AD204" i="5"/>
  <c r="C205" i="5"/>
  <c r="C206" i="5" s="1"/>
  <c r="C207" i="5" s="1"/>
  <c r="C208" i="5" s="1"/>
  <c r="K204" i="5"/>
  <c r="E204" i="5"/>
  <c r="B204" i="6"/>
  <c r="B204" i="5"/>
  <c r="F204" i="5"/>
  <c r="H204" i="5"/>
  <c r="AE204" i="5"/>
  <c r="L203" i="12"/>
  <c r="J203" i="12"/>
  <c r="X203" i="5"/>
  <c r="M202" i="6"/>
  <c r="A203" i="6"/>
  <c r="AT201" i="6"/>
  <c r="BA201" i="6"/>
  <c r="AQ201" i="6"/>
  <c r="AM201" i="6"/>
  <c r="AZ201" i="6"/>
  <c r="AG201" i="6"/>
  <c r="AC201" i="6"/>
  <c r="AE201" i="6"/>
  <c r="AR201" i="6"/>
  <c r="AU201" i="6"/>
  <c r="AP201" i="6"/>
  <c r="AB201" i="6"/>
  <c r="AD201" i="6"/>
  <c r="BB201" i="6"/>
  <c r="BF201" i="6"/>
  <c r="BC201" i="6"/>
  <c r="AI201" i="6"/>
  <c r="AY201" i="6"/>
  <c r="AH201" i="6"/>
  <c r="AS201" i="6"/>
  <c r="AK201" i="6"/>
  <c r="AO201" i="6"/>
  <c r="AX201" i="6"/>
  <c r="BG201" i="6"/>
  <c r="AJ201" i="6"/>
  <c r="BE201" i="6"/>
  <c r="AN201" i="6"/>
  <c r="AV201" i="6"/>
  <c r="BD201" i="6"/>
  <c r="AF201" i="6"/>
  <c r="G213" i="12"/>
  <c r="B208" i="6" l="1"/>
  <c r="D208" i="5"/>
  <c r="B208" i="12" s="1"/>
  <c r="A208" i="12"/>
  <c r="K208" i="5"/>
  <c r="W208" i="5"/>
  <c r="J208" i="5"/>
  <c r="C209" i="5"/>
  <c r="AE208" i="5"/>
  <c r="AD208" i="5"/>
  <c r="N208" i="5"/>
  <c r="D207" i="5"/>
  <c r="B207" i="12" s="1"/>
  <c r="K207" i="5"/>
  <c r="W207" i="5"/>
  <c r="J207" i="5"/>
  <c r="AE207" i="5"/>
  <c r="B207" i="6"/>
  <c r="AD207" i="5"/>
  <c r="A207" i="12"/>
  <c r="N207" i="5"/>
  <c r="D206" i="5"/>
  <c r="B206" i="12" s="1"/>
  <c r="K206" i="5"/>
  <c r="W206" i="5"/>
  <c r="J206" i="5"/>
  <c r="N206" i="5"/>
  <c r="AE206" i="5"/>
  <c r="B206" i="6"/>
  <c r="AD206" i="5"/>
  <c r="A206" i="12"/>
  <c r="W200" i="12"/>
  <c r="AO202" i="12"/>
  <c r="C202" i="12"/>
  <c r="O202" i="12"/>
  <c r="N202" i="12" s="1"/>
  <c r="Y201" i="12"/>
  <c r="X201" i="12" s="1"/>
  <c r="N201" i="12"/>
  <c r="C202" i="6"/>
  <c r="K203" i="12"/>
  <c r="X204" i="5"/>
  <c r="J205" i="5"/>
  <c r="H205" i="5"/>
  <c r="H206" i="5" s="1"/>
  <c r="H207" i="5" s="1"/>
  <c r="H208" i="5" s="1"/>
  <c r="B205" i="5"/>
  <c r="B206" i="5" s="1"/>
  <c r="B207" i="5" s="1"/>
  <c r="B208" i="5" s="1"/>
  <c r="W205" i="5"/>
  <c r="H205" i="12" s="1"/>
  <c r="D205" i="5"/>
  <c r="B205" i="12" s="1"/>
  <c r="N205" i="5"/>
  <c r="D205" i="6" s="1"/>
  <c r="H205" i="6" s="1"/>
  <c r="T205" i="5" s="1"/>
  <c r="G205" i="5"/>
  <c r="G206" i="5" s="1"/>
  <c r="G207" i="5" s="1"/>
  <c r="G208" i="5" s="1"/>
  <c r="E205" i="5"/>
  <c r="E206" i="5" s="1"/>
  <c r="E207" i="5" s="1"/>
  <c r="E208" i="5" s="1"/>
  <c r="AE205" i="5"/>
  <c r="A205" i="12"/>
  <c r="B205" i="6"/>
  <c r="K205" i="5"/>
  <c r="AD205" i="5"/>
  <c r="F205" i="5"/>
  <c r="F206" i="5" s="1"/>
  <c r="F207" i="5" s="1"/>
  <c r="F208" i="5" s="1"/>
  <c r="J204" i="12"/>
  <c r="L204" i="12"/>
  <c r="I203" i="12"/>
  <c r="Z203" i="5"/>
  <c r="AM203" i="5"/>
  <c r="L203" i="5"/>
  <c r="M203" i="6"/>
  <c r="A204" i="6"/>
  <c r="AC202" i="6"/>
  <c r="AF202" i="6"/>
  <c r="BG202" i="6"/>
  <c r="AH202" i="6"/>
  <c r="BE202" i="6"/>
  <c r="AK202" i="6"/>
  <c r="BD202" i="6"/>
  <c r="AO202" i="6"/>
  <c r="AT202" i="6"/>
  <c r="AD202" i="6"/>
  <c r="AU202" i="6"/>
  <c r="AE202" i="6"/>
  <c r="AY202" i="6"/>
  <c r="BF202" i="6"/>
  <c r="AV202" i="6"/>
  <c r="BB202" i="6"/>
  <c r="AQ202" i="6"/>
  <c r="BA202" i="6"/>
  <c r="AS202" i="6"/>
  <c r="AX202" i="6"/>
  <c r="BC202" i="6"/>
  <c r="AI202" i="6"/>
  <c r="AP202" i="6"/>
  <c r="AZ202" i="6"/>
  <c r="AB202" i="6"/>
  <c r="AR202" i="6"/>
  <c r="AJ202" i="6"/>
  <c r="AN202" i="6"/>
  <c r="AM202" i="6"/>
  <c r="AG202" i="6"/>
  <c r="G214" i="12"/>
  <c r="J208" i="12" l="1"/>
  <c r="L208" i="12"/>
  <c r="D208" i="6"/>
  <c r="B209" i="6"/>
  <c r="F209" i="5"/>
  <c r="N209" i="5"/>
  <c r="E209" i="5"/>
  <c r="D209" i="5"/>
  <c r="B209" i="12" s="1"/>
  <c r="G209" i="5"/>
  <c r="A209" i="12"/>
  <c r="K209" i="5"/>
  <c r="W209" i="5"/>
  <c r="J209" i="5"/>
  <c r="B209" i="5"/>
  <c r="AE209" i="5"/>
  <c r="AD209" i="5"/>
  <c r="H209" i="5"/>
  <c r="L207" i="12"/>
  <c r="J207" i="12"/>
  <c r="D207" i="6"/>
  <c r="L206" i="12"/>
  <c r="J206" i="12"/>
  <c r="D206" i="6"/>
  <c r="T200" i="12"/>
  <c r="U200" i="12"/>
  <c r="V200" i="12"/>
  <c r="W201" i="12"/>
  <c r="Y202" i="12"/>
  <c r="I204" i="12"/>
  <c r="L204" i="5"/>
  <c r="Z204" i="5"/>
  <c r="AM204" i="5"/>
  <c r="X205" i="5"/>
  <c r="C203" i="6"/>
  <c r="AB203" i="5"/>
  <c r="M203" i="12"/>
  <c r="AO203" i="12"/>
  <c r="O203" i="12"/>
  <c r="C203" i="12"/>
  <c r="J205" i="12"/>
  <c r="L205" i="12"/>
  <c r="K204" i="12"/>
  <c r="M204" i="6"/>
  <c r="A205" i="6"/>
  <c r="BD203" i="6"/>
  <c r="AY203" i="6"/>
  <c r="BG203" i="6"/>
  <c r="AQ203" i="6"/>
  <c r="AK203" i="6"/>
  <c r="AN203" i="6"/>
  <c r="AH203" i="6"/>
  <c r="BB203" i="6"/>
  <c r="BC203" i="6"/>
  <c r="AT203" i="6"/>
  <c r="AO203" i="6"/>
  <c r="AD203" i="6"/>
  <c r="AE203" i="6"/>
  <c r="AF203" i="6"/>
  <c r="AP203" i="6"/>
  <c r="AS203" i="6"/>
  <c r="AB203" i="6"/>
  <c r="AZ203" i="6"/>
  <c r="AM203" i="6"/>
  <c r="BA203" i="6"/>
  <c r="AU203" i="6"/>
  <c r="AX203" i="6"/>
  <c r="AI203" i="6"/>
  <c r="AV203" i="6"/>
  <c r="AC203" i="6"/>
  <c r="BF203" i="6"/>
  <c r="BE203" i="6"/>
  <c r="AJ203" i="6"/>
  <c r="AG203" i="6"/>
  <c r="AR203" i="6"/>
  <c r="G215" i="12"/>
  <c r="A206" i="6" l="1"/>
  <c r="A207" i="6" s="1"/>
  <c r="A208" i="6" s="1"/>
  <c r="M208" i="6" s="1"/>
  <c r="AV208" i="6" s="1"/>
  <c r="K208" i="12"/>
  <c r="D209" i="6"/>
  <c r="L209" i="12"/>
  <c r="J209" i="12"/>
  <c r="C210" i="5"/>
  <c r="H208" i="6"/>
  <c r="T208" i="5" s="1"/>
  <c r="X208" i="5" s="1"/>
  <c r="K206" i="12"/>
  <c r="H207" i="6"/>
  <c r="T207" i="5" s="1"/>
  <c r="X207" i="5" s="1"/>
  <c r="K207" i="12"/>
  <c r="H206" i="6"/>
  <c r="T206" i="5" s="1"/>
  <c r="X206" i="5" s="1"/>
  <c r="V201" i="12"/>
  <c r="U201" i="12"/>
  <c r="T201" i="12"/>
  <c r="W202" i="12"/>
  <c r="X202" i="12"/>
  <c r="N203" i="12"/>
  <c r="AB204" i="5"/>
  <c r="C204" i="6"/>
  <c r="O204" i="12"/>
  <c r="C204" i="12"/>
  <c r="AO204" i="12"/>
  <c r="M204" i="12"/>
  <c r="K205" i="12"/>
  <c r="AM205" i="5"/>
  <c r="I205" i="12"/>
  <c r="L205" i="5"/>
  <c r="Z205" i="5"/>
  <c r="Y203" i="12"/>
  <c r="M205" i="6"/>
  <c r="AN204" i="6"/>
  <c r="AU204" i="6"/>
  <c r="AV204" i="6"/>
  <c r="BC204" i="6"/>
  <c r="AQ204" i="6"/>
  <c r="AX204" i="6"/>
  <c r="AR204" i="6"/>
  <c r="BG204" i="6"/>
  <c r="AS204" i="6"/>
  <c r="AY204" i="6"/>
  <c r="AP204" i="6"/>
  <c r="BF204" i="6"/>
  <c r="AB204" i="6"/>
  <c r="AK204" i="6"/>
  <c r="AD204" i="6"/>
  <c r="AJ204" i="6"/>
  <c r="BE204" i="6"/>
  <c r="AO204" i="6"/>
  <c r="BA204" i="6"/>
  <c r="AT204" i="6"/>
  <c r="BD204" i="6"/>
  <c r="AH204" i="6"/>
  <c r="AF204" i="6"/>
  <c r="AE204" i="6"/>
  <c r="BB204" i="6"/>
  <c r="AM204" i="6"/>
  <c r="AG204" i="6"/>
  <c r="AI204" i="6"/>
  <c r="AC204" i="6"/>
  <c r="AZ204" i="6"/>
  <c r="G216" i="12"/>
  <c r="M206" i="6" l="1"/>
  <c r="BE206" i="6" s="1"/>
  <c r="M207" i="6"/>
  <c r="BE207" i="6" s="1"/>
  <c r="A209" i="6"/>
  <c r="M209" i="6" s="1"/>
  <c r="BA209" i="6" s="1"/>
  <c r="K209" i="12"/>
  <c r="AK208" i="6"/>
  <c r="AN208" i="6"/>
  <c r="AJ208" i="6"/>
  <c r="BC208" i="6"/>
  <c r="BE208" i="6"/>
  <c r="AG208" i="6"/>
  <c r="AQ208" i="6"/>
  <c r="AD208" i="6"/>
  <c r="AP208" i="6"/>
  <c r="AZ208" i="6"/>
  <c r="AM208" i="6"/>
  <c r="AF208" i="6"/>
  <c r="AY208" i="6"/>
  <c r="AU208" i="6"/>
  <c r="AO208" i="6"/>
  <c r="BG208" i="6"/>
  <c r="AI208" i="6"/>
  <c r="AS208" i="6"/>
  <c r="BD208" i="6"/>
  <c r="AX208" i="6"/>
  <c r="AB208" i="6"/>
  <c r="AR208" i="6"/>
  <c r="H209" i="6"/>
  <c r="T209" i="5" s="1"/>
  <c r="X209" i="5" s="1"/>
  <c r="AC208" i="6"/>
  <c r="AE208" i="6"/>
  <c r="BF208" i="6"/>
  <c r="BB208" i="6"/>
  <c r="BA208" i="6"/>
  <c r="AT208" i="6"/>
  <c r="L208" i="5"/>
  <c r="I208" i="12"/>
  <c r="AM208" i="5"/>
  <c r="Z208" i="5"/>
  <c r="AH208" i="6"/>
  <c r="E210" i="5"/>
  <c r="G210" i="5"/>
  <c r="F210" i="5"/>
  <c r="H210" i="5"/>
  <c r="D210" i="5"/>
  <c r="B210" i="12" s="1"/>
  <c r="N210" i="5"/>
  <c r="D210" i="6" s="1"/>
  <c r="H210" i="6" s="1"/>
  <c r="T210" i="5" s="1"/>
  <c r="W210" i="5"/>
  <c r="H210" i="12" s="1"/>
  <c r="B210" i="6"/>
  <c r="A210" i="12"/>
  <c r="B210" i="5"/>
  <c r="K210" i="5"/>
  <c r="C211" i="5"/>
  <c r="AD210" i="5"/>
  <c r="AE210" i="5"/>
  <c r="J210" i="5"/>
  <c r="L207" i="5"/>
  <c r="I207" i="12"/>
  <c r="AM207" i="5"/>
  <c r="Z207" i="5"/>
  <c r="L206" i="5"/>
  <c r="I206" i="12"/>
  <c r="AM206" i="5"/>
  <c r="Z206" i="5"/>
  <c r="V202" i="12"/>
  <c r="U202" i="12"/>
  <c r="T202" i="12"/>
  <c r="Y204" i="12"/>
  <c r="W204" i="12" s="1"/>
  <c r="N204" i="12"/>
  <c r="AB205" i="5"/>
  <c r="C205" i="6"/>
  <c r="C205" i="12"/>
  <c r="AO205" i="12"/>
  <c r="O205" i="12"/>
  <c r="M205" i="12"/>
  <c r="W203" i="12"/>
  <c r="X203" i="12"/>
  <c r="AE205" i="6"/>
  <c r="AV205" i="6"/>
  <c r="BB205" i="6"/>
  <c r="AC205" i="6"/>
  <c r="AS205" i="6"/>
  <c r="AH205" i="6"/>
  <c r="AF205" i="6"/>
  <c r="AB205" i="6"/>
  <c r="BC205" i="6"/>
  <c r="AY205" i="6"/>
  <c r="BD205" i="6"/>
  <c r="AO205" i="6"/>
  <c r="AG205" i="6"/>
  <c r="AP205" i="6"/>
  <c r="AZ205" i="6"/>
  <c r="AX205" i="6"/>
  <c r="AI205" i="6"/>
  <c r="BA205" i="6"/>
  <c r="AM205" i="6"/>
  <c r="AR205" i="6"/>
  <c r="AU205" i="6"/>
  <c r="BE205" i="6"/>
  <c r="AT205" i="6"/>
  <c r="BG205" i="6"/>
  <c r="BF205" i="6"/>
  <c r="AN205" i="6"/>
  <c r="AQ205" i="6"/>
  <c r="AD205" i="6"/>
  <c r="AK205" i="6"/>
  <c r="AJ205" i="6"/>
  <c r="G217" i="12"/>
  <c r="AJ207" i="6" l="1"/>
  <c r="AF206" i="6"/>
  <c r="AU206" i="6"/>
  <c r="BF206" i="6"/>
  <c r="AX206" i="6"/>
  <c r="BB206" i="6"/>
  <c r="AJ206" i="6"/>
  <c r="AK206" i="6"/>
  <c r="AR206" i="6"/>
  <c r="AD206" i="6"/>
  <c r="AE206" i="6"/>
  <c r="AZ206" i="6"/>
  <c r="AH206" i="6"/>
  <c r="AY206" i="6"/>
  <c r="BA206" i="6"/>
  <c r="AC206" i="6"/>
  <c r="BG206" i="6"/>
  <c r="AP206" i="6"/>
  <c r="BC206" i="6"/>
  <c r="AI206" i="6"/>
  <c r="AM206" i="6"/>
  <c r="AG206" i="6"/>
  <c r="AB206" i="6"/>
  <c r="AO206" i="6"/>
  <c r="AS206" i="6"/>
  <c r="AT206" i="6"/>
  <c r="AV206" i="6"/>
  <c r="AN206" i="6"/>
  <c r="BD206" i="6"/>
  <c r="AQ206" i="6"/>
  <c r="BC207" i="6"/>
  <c r="AO207" i="6"/>
  <c r="AX207" i="6"/>
  <c r="AF207" i="6"/>
  <c r="AN207" i="6"/>
  <c r="AI207" i="6"/>
  <c r="AR207" i="6"/>
  <c r="BG207" i="6"/>
  <c r="BB207" i="6"/>
  <c r="AP207" i="6"/>
  <c r="AV207" i="6"/>
  <c r="AE207" i="6"/>
  <c r="AT207" i="6"/>
  <c r="AY207" i="6"/>
  <c r="BD207" i="6"/>
  <c r="BA207" i="6"/>
  <c r="AK207" i="6"/>
  <c r="AS207" i="6"/>
  <c r="AQ207" i="6"/>
  <c r="AZ207" i="6"/>
  <c r="AC207" i="6"/>
  <c r="AG207" i="6"/>
  <c r="BF207" i="6"/>
  <c r="AH207" i="6"/>
  <c r="AB207" i="6"/>
  <c r="AM207" i="6"/>
  <c r="AD207" i="6"/>
  <c r="AU207" i="6"/>
  <c r="A210" i="6"/>
  <c r="M210" i="6" s="1"/>
  <c r="BE210" i="6" s="1"/>
  <c r="AC209" i="6"/>
  <c r="X210" i="5"/>
  <c r="AS209" i="6"/>
  <c r="AX209" i="6"/>
  <c r="E211" i="5"/>
  <c r="N211" i="5"/>
  <c r="D211" i="6" s="1"/>
  <c r="H211" i="6" s="1"/>
  <c r="T211" i="5" s="1"/>
  <c r="B211" i="5"/>
  <c r="C212" i="5" s="1"/>
  <c r="AE211" i="5"/>
  <c r="K211" i="5"/>
  <c r="J211" i="5"/>
  <c r="AD211" i="5"/>
  <c r="D211" i="5"/>
  <c r="B211" i="12" s="1"/>
  <c r="W211" i="5"/>
  <c r="H211" i="12" s="1"/>
  <c r="A211" i="12"/>
  <c r="G211" i="5"/>
  <c r="H211" i="5"/>
  <c r="F211" i="5"/>
  <c r="B211" i="6"/>
  <c r="C208" i="12"/>
  <c r="O208" i="12"/>
  <c r="AO208" i="12"/>
  <c r="M208" i="12"/>
  <c r="AK209" i="6"/>
  <c r="AE209" i="6"/>
  <c r="BF209" i="6"/>
  <c r="AH209" i="6"/>
  <c r="C208" i="6"/>
  <c r="AT209" i="6"/>
  <c r="AN209" i="6"/>
  <c r="AM209" i="5"/>
  <c r="L209" i="5"/>
  <c r="I209" i="12"/>
  <c r="Z209" i="5"/>
  <c r="AQ209" i="6"/>
  <c r="L210" i="12"/>
  <c r="J210" i="12"/>
  <c r="BC209" i="6"/>
  <c r="AV209" i="6"/>
  <c r="AG209" i="6"/>
  <c r="AZ209" i="6"/>
  <c r="AD209" i="6"/>
  <c r="BE209" i="6"/>
  <c r="AP209" i="6"/>
  <c r="AM209" i="6"/>
  <c r="AY209" i="6"/>
  <c r="AI209" i="6"/>
  <c r="AB209" i="6"/>
  <c r="AU209" i="6"/>
  <c r="AF209" i="6"/>
  <c r="BG209" i="6"/>
  <c r="AR209" i="6"/>
  <c r="AB208" i="5"/>
  <c r="BB209" i="6"/>
  <c r="BD209" i="6"/>
  <c r="AO209" i="6"/>
  <c r="AJ209" i="6"/>
  <c r="AB207" i="5"/>
  <c r="C207" i="12"/>
  <c r="AO207" i="12"/>
  <c r="M207" i="12"/>
  <c r="O207" i="12"/>
  <c r="C207" i="6"/>
  <c r="C206" i="12"/>
  <c r="AO206" i="12"/>
  <c r="M206" i="12"/>
  <c r="O206" i="12"/>
  <c r="C206" i="6"/>
  <c r="AB206" i="5"/>
  <c r="X204" i="12"/>
  <c r="V204" i="12"/>
  <c r="T204" i="12"/>
  <c r="U204" i="12"/>
  <c r="N205" i="12"/>
  <c r="Y205" i="12"/>
  <c r="V203" i="12"/>
  <c r="U203" i="12"/>
  <c r="T203" i="12"/>
  <c r="G218" i="12"/>
  <c r="Y208" i="12" l="1"/>
  <c r="W208" i="12" s="1"/>
  <c r="AT210" i="6"/>
  <c r="AG210" i="6"/>
  <c r="AX210" i="6"/>
  <c r="AC210" i="6"/>
  <c r="BC210" i="6"/>
  <c r="AP210" i="6"/>
  <c r="AD210" i="6"/>
  <c r="BD210" i="6"/>
  <c r="AI210" i="6"/>
  <c r="AO210" i="6"/>
  <c r="AN210" i="6"/>
  <c r="AQ210" i="6"/>
  <c r="AY210" i="6"/>
  <c r="AH210" i="6"/>
  <c r="AF210" i="6"/>
  <c r="K210" i="12"/>
  <c r="AK210" i="6"/>
  <c r="AZ210" i="6"/>
  <c r="BA210" i="6"/>
  <c r="AB210" i="6"/>
  <c r="AR210" i="6"/>
  <c r="AJ210" i="6"/>
  <c r="AS210" i="6"/>
  <c r="BB210" i="6"/>
  <c r="BF210" i="6"/>
  <c r="BG210" i="6"/>
  <c r="AM210" i="6"/>
  <c r="AU210" i="6"/>
  <c r="AV210" i="6"/>
  <c r="AE210" i="6"/>
  <c r="X211" i="5"/>
  <c r="AM211" i="5" s="1"/>
  <c r="I210" i="12"/>
  <c r="Z210" i="5"/>
  <c r="L210" i="5"/>
  <c r="AM210" i="5"/>
  <c r="N207" i="12"/>
  <c r="A211" i="6"/>
  <c r="M211" i="6" s="1"/>
  <c r="AJ211" i="6" s="1"/>
  <c r="AB209" i="5"/>
  <c r="C209" i="12"/>
  <c r="O209" i="12"/>
  <c r="AO209" i="12"/>
  <c r="M209" i="12"/>
  <c r="B212" i="5"/>
  <c r="F212" i="5"/>
  <c r="A212" i="12"/>
  <c r="AE212" i="5"/>
  <c r="C213" i="5"/>
  <c r="G212" i="5"/>
  <c r="W212" i="5"/>
  <c r="H212" i="12" s="1"/>
  <c r="B212" i="6"/>
  <c r="H212" i="5"/>
  <c r="N212" i="5"/>
  <c r="D212" i="6" s="1"/>
  <c r="H212" i="6" s="1"/>
  <c r="T212" i="5" s="1"/>
  <c r="E212" i="5"/>
  <c r="AD212" i="5"/>
  <c r="C209" i="6"/>
  <c r="L211" i="12"/>
  <c r="J211" i="12"/>
  <c r="N208" i="12"/>
  <c r="Y207" i="12"/>
  <c r="N206" i="12"/>
  <c r="Y206" i="12"/>
  <c r="X205" i="12"/>
  <c r="W205" i="12"/>
  <c r="G219" i="12"/>
  <c r="X208" i="12" l="1"/>
  <c r="Y209" i="12"/>
  <c r="Z211" i="5"/>
  <c r="I211" i="12"/>
  <c r="C211" i="12" s="1"/>
  <c r="AT211" i="6"/>
  <c r="C210" i="6"/>
  <c r="AB210" i="5"/>
  <c r="AX211" i="6"/>
  <c r="AS211" i="6"/>
  <c r="L211" i="5"/>
  <c r="M210" i="12"/>
  <c r="AO210" i="12"/>
  <c r="C210" i="12"/>
  <c r="O210" i="12"/>
  <c r="AN211" i="6"/>
  <c r="BA211" i="6"/>
  <c r="AV211" i="6"/>
  <c r="BB211" i="6"/>
  <c r="AZ211" i="6"/>
  <c r="N209" i="12"/>
  <c r="AB211" i="6"/>
  <c r="BG211" i="6"/>
  <c r="BC211" i="6"/>
  <c r="AU211" i="6"/>
  <c r="AI211" i="6"/>
  <c r="AC211" i="6"/>
  <c r="AG211" i="6"/>
  <c r="AO211" i="6"/>
  <c r="BD211" i="6"/>
  <c r="AK211" i="6"/>
  <c r="AD211" i="6"/>
  <c r="BF211" i="6"/>
  <c r="AP211" i="6"/>
  <c r="AF211" i="6"/>
  <c r="AY211" i="6"/>
  <c r="AH211" i="6"/>
  <c r="AQ211" i="6"/>
  <c r="AE211" i="6"/>
  <c r="AM211" i="6"/>
  <c r="BE211" i="6"/>
  <c r="AR211" i="6"/>
  <c r="V208" i="12"/>
  <c r="U208" i="12"/>
  <c r="T208" i="12"/>
  <c r="X209" i="12"/>
  <c r="W209" i="12"/>
  <c r="C214" i="5"/>
  <c r="D213" i="5"/>
  <c r="B213" i="12" s="1"/>
  <c r="H213" i="5"/>
  <c r="G213" i="5"/>
  <c r="E213" i="5"/>
  <c r="B213" i="6"/>
  <c r="F213" i="5"/>
  <c r="A213" i="12"/>
  <c r="N213" i="5"/>
  <c r="D213" i="6" s="1"/>
  <c r="H213" i="6" s="1"/>
  <c r="T213" i="5" s="1"/>
  <c r="B213" i="5"/>
  <c r="AD213" i="5"/>
  <c r="W213" i="5"/>
  <c r="H213" i="12" s="1"/>
  <c r="K213" i="5"/>
  <c r="AE213" i="5"/>
  <c r="J213" i="5"/>
  <c r="K211" i="12"/>
  <c r="A212" i="6"/>
  <c r="M212" i="6" s="1"/>
  <c r="AS212" i="6" s="1"/>
  <c r="X207" i="12"/>
  <c r="W207" i="12"/>
  <c r="X206" i="12"/>
  <c r="W206" i="12"/>
  <c r="V205" i="12"/>
  <c r="T205" i="12"/>
  <c r="U205" i="12"/>
  <c r="G220" i="12"/>
  <c r="M211" i="12" l="1"/>
  <c r="O211" i="12"/>
  <c r="AO211" i="12"/>
  <c r="X213" i="5"/>
  <c r="AM213" i="5" s="1"/>
  <c r="N210" i="12"/>
  <c r="AB211" i="5"/>
  <c r="Y210" i="12"/>
  <c r="C211" i="6"/>
  <c r="AI212" i="6"/>
  <c r="AP212" i="6"/>
  <c r="AE214" i="5"/>
  <c r="G214" i="5"/>
  <c r="AD214" i="5"/>
  <c r="A214" i="12"/>
  <c r="N214" i="5"/>
  <c r="D214" i="6" s="1"/>
  <c r="H214" i="6" s="1"/>
  <c r="T214" i="5" s="1"/>
  <c r="W214" i="5"/>
  <c r="H214" i="12" s="1"/>
  <c r="F214" i="5"/>
  <c r="H214" i="5"/>
  <c r="E214" i="5"/>
  <c r="D214" i="5"/>
  <c r="B214" i="12" s="1"/>
  <c r="J214" i="5"/>
  <c r="K214" i="5"/>
  <c r="C215" i="5"/>
  <c r="B214" i="6"/>
  <c r="B214" i="5"/>
  <c r="BE212" i="6"/>
  <c r="AD212" i="6"/>
  <c r="AX212" i="6"/>
  <c r="J213" i="12"/>
  <c r="L213" i="12"/>
  <c r="BF212" i="6"/>
  <c r="BG212" i="6"/>
  <c r="AC212" i="6"/>
  <c r="AV212" i="6"/>
  <c r="BC212" i="6"/>
  <c r="AT212" i="6"/>
  <c r="AN212" i="6"/>
  <c r="AH212" i="6"/>
  <c r="BD212" i="6"/>
  <c r="AR212" i="6"/>
  <c r="AB212" i="6"/>
  <c r="AO212" i="6"/>
  <c r="A213" i="6"/>
  <c r="M213" i="6" s="1"/>
  <c r="AU213" i="6" s="1"/>
  <c r="V209" i="12"/>
  <c r="U209" i="12"/>
  <c r="T209" i="12"/>
  <c r="AJ212" i="6"/>
  <c r="AU212" i="6"/>
  <c r="AE212" i="6"/>
  <c r="AG212" i="6"/>
  <c r="AK212" i="6"/>
  <c r="BA212" i="6"/>
  <c r="AQ212" i="6"/>
  <c r="BB212" i="6"/>
  <c r="AF212" i="6"/>
  <c r="AZ212" i="6"/>
  <c r="AY212" i="6"/>
  <c r="AM212" i="6"/>
  <c r="V207" i="12"/>
  <c r="U207" i="12"/>
  <c r="T207" i="12"/>
  <c r="V206" i="12"/>
  <c r="U206" i="12"/>
  <c r="T206" i="12"/>
  <c r="G221" i="12"/>
  <c r="N211" i="12" l="1"/>
  <c r="X214" i="5"/>
  <c r="AM214" i="5" s="1"/>
  <c r="Z213" i="5"/>
  <c r="AB213" i="5" s="1"/>
  <c r="Y211" i="12"/>
  <c r="I213" i="12"/>
  <c r="M213" i="12" s="1"/>
  <c r="L213" i="5"/>
  <c r="K213" i="12"/>
  <c r="A214" i="6"/>
  <c r="M214" i="6" s="1"/>
  <c r="AG214" i="6" s="1"/>
  <c r="X210" i="12"/>
  <c r="W210" i="12"/>
  <c r="BF213" i="6"/>
  <c r="AO213" i="6"/>
  <c r="F215" i="5"/>
  <c r="J215" i="5"/>
  <c r="AE215" i="5"/>
  <c r="C216" i="5"/>
  <c r="B215" i="6"/>
  <c r="AD215" i="5"/>
  <c r="N215" i="5"/>
  <c r="D215" i="6" s="1"/>
  <c r="H215" i="6" s="1"/>
  <c r="T215" i="5" s="1"/>
  <c r="A215" i="12"/>
  <c r="B215" i="5"/>
  <c r="K215" i="5"/>
  <c r="G215" i="5"/>
  <c r="W215" i="5"/>
  <c r="H215" i="12" s="1"/>
  <c r="E215" i="5"/>
  <c r="H215" i="5"/>
  <c r="D215" i="5"/>
  <c r="B215" i="12" s="1"/>
  <c r="BD213" i="6"/>
  <c r="AK213" i="6"/>
  <c r="AD213" i="6"/>
  <c r="AF213" i="6"/>
  <c r="AC213" i="6"/>
  <c r="L214" i="12"/>
  <c r="J214" i="12"/>
  <c r="AI213" i="6"/>
  <c r="AY213" i="6"/>
  <c r="AV213" i="6"/>
  <c r="AP213" i="6"/>
  <c r="AE213" i="6"/>
  <c r="AM213" i="6"/>
  <c r="BE213" i="6"/>
  <c r="BB213" i="6"/>
  <c r="AQ213" i="6"/>
  <c r="AB213" i="6"/>
  <c r="AG213" i="6"/>
  <c r="BC213" i="6"/>
  <c r="AT213" i="6"/>
  <c r="AS213" i="6"/>
  <c r="BA213" i="6"/>
  <c r="AX213" i="6"/>
  <c r="AN213" i="6"/>
  <c r="AZ213" i="6"/>
  <c r="AJ213" i="6"/>
  <c r="AR213" i="6"/>
  <c r="BG213" i="6"/>
  <c r="AH213" i="6"/>
  <c r="L214" i="5" l="1"/>
  <c r="C214" i="6" s="1"/>
  <c r="Z214" i="5"/>
  <c r="AB214" i="5" s="1"/>
  <c r="I214" i="12"/>
  <c r="AO214" i="12" s="1"/>
  <c r="O213" i="12"/>
  <c r="N213" i="12" s="1"/>
  <c r="W211" i="12"/>
  <c r="X211" i="12"/>
  <c r="C213" i="6"/>
  <c r="AO213" i="12"/>
  <c r="C213" i="12"/>
  <c r="AB214" i="6"/>
  <c r="AJ214" i="6"/>
  <c r="AR214" i="6"/>
  <c r="BE214" i="6"/>
  <c r="K214" i="12"/>
  <c r="AM214" i="6"/>
  <c r="AE214" i="6"/>
  <c r="BB214" i="6"/>
  <c r="AU214" i="6"/>
  <c r="AP214" i="6"/>
  <c r="AZ214" i="6"/>
  <c r="BF214" i="6"/>
  <c r="AD214" i="6"/>
  <c r="BC214" i="6"/>
  <c r="AF214" i="6"/>
  <c r="U210" i="12"/>
  <c r="V210" i="12"/>
  <c r="T210" i="12"/>
  <c r="AQ214" i="6"/>
  <c r="AX214" i="6"/>
  <c r="X215" i="5"/>
  <c r="AS214" i="6"/>
  <c r="AK214" i="6"/>
  <c r="AO214" i="6"/>
  <c r="AC214" i="6"/>
  <c r="AT214" i="6"/>
  <c r="AY214" i="6"/>
  <c r="AH214" i="6"/>
  <c r="AI214" i="6"/>
  <c r="AV214" i="6"/>
  <c r="BG214" i="6"/>
  <c r="BA214" i="6"/>
  <c r="BD214" i="6"/>
  <c r="AN214" i="6"/>
  <c r="A215" i="6"/>
  <c r="M215" i="6" s="1"/>
  <c r="AV215" i="6" s="1"/>
  <c r="J216" i="5"/>
  <c r="D216" i="5"/>
  <c r="B216" i="12" s="1"/>
  <c r="AE216" i="5"/>
  <c r="C217" i="5"/>
  <c r="A216" i="12"/>
  <c r="AD216" i="5"/>
  <c r="K216" i="5"/>
  <c r="N216" i="5"/>
  <c r="D216" i="6" s="1"/>
  <c r="H216" i="6" s="1"/>
  <c r="T216" i="5" s="1"/>
  <c r="F216" i="5"/>
  <c r="H216" i="5"/>
  <c r="G216" i="5"/>
  <c r="B216" i="6"/>
  <c r="E216" i="5"/>
  <c r="W216" i="5"/>
  <c r="H216" i="12" s="1"/>
  <c r="B216" i="5"/>
  <c r="L215" i="12"/>
  <c r="J215" i="12"/>
  <c r="G222" i="12"/>
  <c r="M214" i="12" l="1"/>
  <c r="Y213" i="12"/>
  <c r="W213" i="12" s="1"/>
  <c r="T213" i="12" s="1"/>
  <c r="O214" i="12"/>
  <c r="Y214" i="12" s="1"/>
  <c r="C214" i="12"/>
  <c r="V211" i="12"/>
  <c r="T211" i="12"/>
  <c r="U211" i="12"/>
  <c r="X216" i="5"/>
  <c r="Z216" i="5" s="1"/>
  <c r="Z215" i="5"/>
  <c r="AM215" i="5"/>
  <c r="I215" i="12"/>
  <c r="K215" i="12"/>
  <c r="L215" i="5"/>
  <c r="AC215" i="6"/>
  <c r="AJ215" i="6"/>
  <c r="AU215" i="6"/>
  <c r="BB215" i="6"/>
  <c r="BF215" i="6"/>
  <c r="AT215" i="6"/>
  <c r="AB215" i="6"/>
  <c r="AN215" i="6"/>
  <c r="BA215" i="6"/>
  <c r="AH215" i="6"/>
  <c r="AD215" i="6"/>
  <c r="AQ215" i="6"/>
  <c r="AK215" i="6"/>
  <c r="BC215" i="6"/>
  <c r="AZ215" i="6"/>
  <c r="AG215" i="6"/>
  <c r="AS215" i="6"/>
  <c r="AE215" i="6"/>
  <c r="AR215" i="6"/>
  <c r="BD215" i="6"/>
  <c r="AI215" i="6"/>
  <c r="AF215" i="6"/>
  <c r="AX215" i="6"/>
  <c r="BG215" i="6"/>
  <c r="BE215" i="6"/>
  <c r="AM215" i="6"/>
  <c r="AY215" i="6"/>
  <c r="AO215" i="6"/>
  <c r="AP215" i="6"/>
  <c r="L216" i="12"/>
  <c r="J216" i="12"/>
  <c r="A216" i="6"/>
  <c r="M216" i="6" s="1"/>
  <c r="AS216" i="6" s="1"/>
  <c r="J217" i="5"/>
  <c r="N217" i="5"/>
  <c r="D217" i="6" s="1"/>
  <c r="H217" i="6" s="1"/>
  <c r="T217" i="5" s="1"/>
  <c r="H217" i="5"/>
  <c r="K217" i="5"/>
  <c r="AE217" i="5"/>
  <c r="C218" i="5"/>
  <c r="G217" i="5"/>
  <c r="AD217" i="5"/>
  <c r="F217" i="5"/>
  <c r="B217" i="5"/>
  <c r="B217" i="6"/>
  <c r="E217" i="5"/>
  <c r="W217" i="5"/>
  <c r="H217" i="12" s="1"/>
  <c r="A217" i="12"/>
  <c r="D217" i="5"/>
  <c r="B217" i="12" s="1"/>
  <c r="V213" i="12"/>
  <c r="G223" i="12"/>
  <c r="U213" i="12" l="1"/>
  <c r="X213" i="12"/>
  <c r="X214" i="12"/>
  <c r="W214" i="12"/>
  <c r="T214" i="12" s="1"/>
  <c r="N214" i="12"/>
  <c r="I216" i="12"/>
  <c r="M216" i="12" s="1"/>
  <c r="L216" i="5"/>
  <c r="AM216" i="5"/>
  <c r="AB216" i="5"/>
  <c r="X217" i="5"/>
  <c r="Z217" i="5" s="1"/>
  <c r="C215" i="6"/>
  <c r="C215" i="12"/>
  <c r="O215" i="12"/>
  <c r="M215" i="12"/>
  <c r="AO215" i="12"/>
  <c r="AB215" i="5"/>
  <c r="K216" i="12"/>
  <c r="AI216" i="6"/>
  <c r="BF216" i="6"/>
  <c r="AB216" i="6"/>
  <c r="AJ216" i="6"/>
  <c r="J217" i="12"/>
  <c r="L217" i="12"/>
  <c r="F218" i="5"/>
  <c r="K218" i="5"/>
  <c r="J218" i="5"/>
  <c r="C219" i="5"/>
  <c r="E218" i="5"/>
  <c r="H218" i="5"/>
  <c r="AE218" i="5"/>
  <c r="W218" i="5"/>
  <c r="H218" i="12" s="1"/>
  <c r="B218" i="5"/>
  <c r="B218" i="6"/>
  <c r="N218" i="5"/>
  <c r="D218" i="6" s="1"/>
  <c r="H218" i="6" s="1"/>
  <c r="T218" i="5" s="1"/>
  <c r="G218" i="5"/>
  <c r="D218" i="5"/>
  <c r="B218" i="12" s="1"/>
  <c r="AD218" i="5"/>
  <c r="A218" i="12"/>
  <c r="AK216" i="6"/>
  <c r="AP216" i="6"/>
  <c r="AZ216" i="6"/>
  <c r="AO216" i="6"/>
  <c r="AF216" i="6"/>
  <c r="BC216" i="6"/>
  <c r="AX216" i="6"/>
  <c r="AG216" i="6"/>
  <c r="AT216" i="6"/>
  <c r="AN216" i="6"/>
  <c r="AD216" i="6"/>
  <c r="BE216" i="6"/>
  <c r="AR216" i="6"/>
  <c r="AQ216" i="6"/>
  <c r="AU216" i="6"/>
  <c r="A217" i="6"/>
  <c r="M217" i="6" s="1"/>
  <c r="AO217" i="6" s="1"/>
  <c r="AY216" i="6"/>
  <c r="AE216" i="6"/>
  <c r="BG216" i="6"/>
  <c r="BA216" i="6"/>
  <c r="AM216" i="6"/>
  <c r="BD216" i="6"/>
  <c r="AV216" i="6"/>
  <c r="AH216" i="6"/>
  <c r="BB216" i="6"/>
  <c r="AC216" i="6"/>
  <c r="U214" i="12"/>
  <c r="G224" i="12"/>
  <c r="V214" i="12" l="1"/>
  <c r="O216" i="12"/>
  <c r="N216" i="12" s="1"/>
  <c r="C216" i="6"/>
  <c r="C216" i="12"/>
  <c r="AO216" i="12"/>
  <c r="AM217" i="5"/>
  <c r="I217" i="12"/>
  <c r="C217" i="12" s="1"/>
  <c r="L217" i="5"/>
  <c r="X218" i="5"/>
  <c r="I218" i="12" s="1"/>
  <c r="Y215" i="12"/>
  <c r="N215" i="12"/>
  <c r="K217" i="12"/>
  <c r="AV217" i="6"/>
  <c r="AY217" i="6"/>
  <c r="AR217" i="6"/>
  <c r="AH217" i="6"/>
  <c r="AG217" i="6"/>
  <c r="BD217" i="6"/>
  <c r="AJ217" i="6"/>
  <c r="AT217" i="6"/>
  <c r="AN217" i="6"/>
  <c r="AC217" i="6"/>
  <c r="AB217" i="6"/>
  <c r="BC217" i="6"/>
  <c r="N219" i="5"/>
  <c r="D219" i="6" s="1"/>
  <c r="H219" i="6" s="1"/>
  <c r="T219" i="5" s="1"/>
  <c r="AE219" i="5"/>
  <c r="K219" i="5"/>
  <c r="B219" i="5"/>
  <c r="F219" i="5"/>
  <c r="G219" i="5"/>
  <c r="B219" i="6"/>
  <c r="A219" i="12"/>
  <c r="W219" i="5"/>
  <c r="H219" i="12" s="1"/>
  <c r="C220" i="5"/>
  <c r="AD219" i="5"/>
  <c r="J219" i="5"/>
  <c r="H219" i="5"/>
  <c r="E219" i="5"/>
  <c r="D219" i="5"/>
  <c r="B219" i="12" s="1"/>
  <c r="AI217" i="6"/>
  <c r="AF217" i="6"/>
  <c r="AE217" i="6"/>
  <c r="AQ217" i="6"/>
  <c r="AM217" i="6"/>
  <c r="A218" i="6"/>
  <c r="M218" i="6" s="1"/>
  <c r="AS218" i="6" s="1"/>
  <c r="AX217" i="6"/>
  <c r="AU217" i="6"/>
  <c r="AP217" i="6"/>
  <c r="AZ217" i="6"/>
  <c r="AS217" i="6"/>
  <c r="BB217" i="6"/>
  <c r="AD217" i="6"/>
  <c r="BE217" i="6"/>
  <c r="BA217" i="6"/>
  <c r="BF217" i="6"/>
  <c r="BG217" i="6"/>
  <c r="AK217" i="6"/>
  <c r="L218" i="12"/>
  <c r="J218" i="12"/>
  <c r="AB217" i="5"/>
  <c r="G225" i="12"/>
  <c r="Y216" i="12" l="1"/>
  <c r="X216" i="12" s="1"/>
  <c r="M217" i="12"/>
  <c r="O217" i="12"/>
  <c r="AO217" i="12"/>
  <c r="C217" i="6"/>
  <c r="AO218" i="12"/>
  <c r="C218" i="12"/>
  <c r="M218" i="12"/>
  <c r="O218" i="12"/>
  <c r="K218" i="12"/>
  <c r="X215" i="12"/>
  <c r="W215" i="12"/>
  <c r="Z218" i="5"/>
  <c r="L218" i="5"/>
  <c r="AM218" i="5"/>
  <c r="AY218" i="6"/>
  <c r="AZ218" i="6"/>
  <c r="AP218" i="6"/>
  <c r="BD218" i="6"/>
  <c r="AB218" i="6"/>
  <c r="BG218" i="6"/>
  <c r="AG218" i="6"/>
  <c r="BE218" i="6"/>
  <c r="AJ218" i="6"/>
  <c r="AK218" i="6"/>
  <c r="AV218" i="6"/>
  <c r="BC218" i="6"/>
  <c r="BF218" i="6"/>
  <c r="W220" i="5"/>
  <c r="H220" i="12" s="1"/>
  <c r="D220" i="5"/>
  <c r="B220" i="12" s="1"/>
  <c r="B220" i="6"/>
  <c r="K220" i="5"/>
  <c r="B220" i="5"/>
  <c r="F220" i="5"/>
  <c r="A220" i="12"/>
  <c r="N220" i="5"/>
  <c r="D220" i="6" s="1"/>
  <c r="H220" i="6" s="1"/>
  <c r="T220" i="5" s="1"/>
  <c r="AD220" i="5"/>
  <c r="E220" i="5"/>
  <c r="G220" i="5"/>
  <c r="C221" i="5"/>
  <c r="H220" i="5"/>
  <c r="AE220" i="5"/>
  <c r="J220" i="5"/>
  <c r="AQ218" i="6"/>
  <c r="BB218" i="6"/>
  <c r="X219" i="5"/>
  <c r="AX218" i="6"/>
  <c r="AM218" i="6"/>
  <c r="J219" i="12"/>
  <c r="L219" i="12"/>
  <c r="AE218" i="6"/>
  <c r="AN218" i="6"/>
  <c r="AT218" i="6"/>
  <c r="AD218" i="6"/>
  <c r="AC218" i="6"/>
  <c r="AH218" i="6"/>
  <c r="AO218" i="6"/>
  <c r="BA218" i="6"/>
  <c r="A219" i="6"/>
  <c r="M219" i="6" s="1"/>
  <c r="BE219" i="6" s="1"/>
  <c r="AR218" i="6"/>
  <c r="AF218" i="6"/>
  <c r="AU218" i="6"/>
  <c r="AI218" i="6"/>
  <c r="G226" i="12"/>
  <c r="W216" i="12" l="1"/>
  <c r="N217" i="12"/>
  <c r="Y217" i="12"/>
  <c r="W217" i="12" s="1"/>
  <c r="Y218" i="12"/>
  <c r="W218" i="12" s="1"/>
  <c r="N218" i="12"/>
  <c r="K219" i="12"/>
  <c r="X220" i="5"/>
  <c r="I220" i="12" s="1"/>
  <c r="AO220" i="12" s="1"/>
  <c r="C218" i="6"/>
  <c r="AB218" i="5"/>
  <c r="T215" i="12"/>
  <c r="U215" i="12"/>
  <c r="V215" i="12"/>
  <c r="BG219" i="6"/>
  <c r="AN219" i="6"/>
  <c r="AE219" i="6"/>
  <c r="A220" i="6"/>
  <c r="M220" i="6" s="1"/>
  <c r="AS220" i="6" s="1"/>
  <c r="BA219" i="6"/>
  <c r="BB219" i="6"/>
  <c r="AG219" i="6"/>
  <c r="AQ219" i="6"/>
  <c r="AJ219" i="6"/>
  <c r="AX219" i="6"/>
  <c r="AO219" i="6"/>
  <c r="AS219" i="6"/>
  <c r="AU219" i="6"/>
  <c r="L219" i="5"/>
  <c r="Z219" i="5"/>
  <c r="I219" i="12"/>
  <c r="AM219" i="5"/>
  <c r="AC219" i="6"/>
  <c r="AZ219" i="6"/>
  <c r="J220" i="12"/>
  <c r="L220" i="12"/>
  <c r="AF219" i="6"/>
  <c r="AM219" i="6"/>
  <c r="AR219" i="6"/>
  <c r="BC219" i="6"/>
  <c r="BF219" i="6"/>
  <c r="AV219" i="6"/>
  <c r="AI219" i="6"/>
  <c r="AH219" i="6"/>
  <c r="AK219" i="6"/>
  <c r="AT219" i="6"/>
  <c r="AY219" i="6"/>
  <c r="AP219" i="6"/>
  <c r="AB219" i="6"/>
  <c r="AD219" i="6"/>
  <c r="BD219" i="6"/>
  <c r="B221" i="5"/>
  <c r="K221" i="5"/>
  <c r="N221" i="5"/>
  <c r="D221" i="6" s="1"/>
  <c r="H221" i="6" s="1"/>
  <c r="T221" i="5" s="1"/>
  <c r="A221" i="12"/>
  <c r="AD221" i="5"/>
  <c r="AE221" i="5"/>
  <c r="H221" i="5"/>
  <c r="B221" i="6"/>
  <c r="E221" i="5"/>
  <c r="W221" i="5"/>
  <c r="H221" i="12" s="1"/>
  <c r="F221" i="5"/>
  <c r="D221" i="5"/>
  <c r="B221" i="12" s="1"/>
  <c r="J221" i="5"/>
  <c r="G221" i="5"/>
  <c r="X218" i="12"/>
  <c r="T218" i="12"/>
  <c r="V218" i="12"/>
  <c r="U218" i="12"/>
  <c r="G227" i="12"/>
  <c r="V216" i="12" l="1"/>
  <c r="U216" i="12"/>
  <c r="T216" i="12"/>
  <c r="X217" i="12"/>
  <c r="V217" i="12"/>
  <c r="U217" i="12"/>
  <c r="T217" i="12"/>
  <c r="Z220" i="5"/>
  <c r="AB220" i="5" s="1"/>
  <c r="C220" i="12"/>
  <c r="O220" i="12"/>
  <c r="Y220" i="12" s="1"/>
  <c r="X220" i="12" s="1"/>
  <c r="M220" i="12"/>
  <c r="A221" i="6"/>
  <c r="M221" i="6" s="1"/>
  <c r="AY221" i="6" s="1"/>
  <c r="AM220" i="5"/>
  <c r="L220" i="5"/>
  <c r="X221" i="5"/>
  <c r="Z221" i="5" s="1"/>
  <c r="AB221" i="5" s="1"/>
  <c r="AO220" i="6"/>
  <c r="AY220" i="6"/>
  <c r="AR220" i="6"/>
  <c r="AV220" i="6"/>
  <c r="AE220" i="6"/>
  <c r="AF220" i="6"/>
  <c r="BB220" i="6"/>
  <c r="AH220" i="6"/>
  <c r="BA220" i="6"/>
  <c r="AD220" i="6"/>
  <c r="AT220" i="6"/>
  <c r="AJ220" i="6"/>
  <c r="AU220" i="6"/>
  <c r="J221" i="12"/>
  <c r="L221" i="12"/>
  <c r="O219" i="12"/>
  <c r="M219" i="12"/>
  <c r="C219" i="12"/>
  <c r="AO219" i="12"/>
  <c r="AB219" i="5"/>
  <c r="C219" i="6"/>
  <c r="AX220" i="6"/>
  <c r="AK220" i="6"/>
  <c r="AI220" i="6"/>
  <c r="BD220" i="6"/>
  <c r="K220" i="12"/>
  <c r="AZ220" i="6"/>
  <c r="AB220" i="6"/>
  <c r="C222" i="5"/>
  <c r="AN220" i="6"/>
  <c r="BC220" i="6"/>
  <c r="AG220" i="6"/>
  <c r="BF220" i="6"/>
  <c r="BG220" i="6"/>
  <c r="AQ220" i="6"/>
  <c r="BE220" i="6"/>
  <c r="AP220" i="6"/>
  <c r="AC220" i="6"/>
  <c r="AM220" i="6"/>
  <c r="G228" i="12"/>
  <c r="L221" i="5" l="1"/>
  <c r="C221" i="6" s="1"/>
  <c r="AM221" i="5"/>
  <c r="I221" i="12"/>
  <c r="C221" i="12" s="1"/>
  <c r="N220" i="12"/>
  <c r="AN221" i="6"/>
  <c r="AT221" i="6"/>
  <c r="AD221" i="6"/>
  <c r="BB221" i="6"/>
  <c r="AH221" i="6"/>
  <c r="AV221" i="6"/>
  <c r="AU221" i="6"/>
  <c r="BE221" i="6"/>
  <c r="AF221" i="6"/>
  <c r="AQ221" i="6"/>
  <c r="AM221" i="6"/>
  <c r="AZ221" i="6"/>
  <c r="AR221" i="6"/>
  <c r="AE221" i="6"/>
  <c r="BA221" i="6"/>
  <c r="AI221" i="6"/>
  <c r="AK221" i="6"/>
  <c r="BF221" i="6"/>
  <c r="BD221" i="6"/>
  <c r="AG221" i="6"/>
  <c r="AB221" i="6"/>
  <c r="AJ221" i="6"/>
  <c r="AC221" i="6"/>
  <c r="AO221" i="6"/>
  <c r="AS221" i="6"/>
  <c r="BC221" i="6"/>
  <c r="BG221" i="6"/>
  <c r="AX221" i="6"/>
  <c r="AP221" i="6"/>
  <c r="C220" i="6"/>
  <c r="K221" i="12"/>
  <c r="M221" i="12"/>
  <c r="W222" i="5"/>
  <c r="H222" i="12" s="1"/>
  <c r="E222" i="5"/>
  <c r="K222" i="5"/>
  <c r="AE222" i="5"/>
  <c r="H222" i="5"/>
  <c r="N222" i="5"/>
  <c r="D222" i="6" s="1"/>
  <c r="H222" i="6" s="1"/>
  <c r="T222" i="5" s="1"/>
  <c r="F222" i="5"/>
  <c r="G222" i="5"/>
  <c r="A222" i="12"/>
  <c r="D222" i="5"/>
  <c r="B222" i="12" s="1"/>
  <c r="B222" i="5"/>
  <c r="C223" i="5"/>
  <c r="B222" i="6"/>
  <c r="J222" i="5"/>
  <c r="AD222" i="5"/>
  <c r="N219" i="12"/>
  <c r="Y219" i="12"/>
  <c r="W220" i="12"/>
  <c r="V220" i="12" s="1"/>
  <c r="G229" i="12"/>
  <c r="O221" i="12" l="1"/>
  <c r="N221" i="12" s="1"/>
  <c r="AO221" i="12"/>
  <c r="Y221" i="12" s="1"/>
  <c r="X222" i="5"/>
  <c r="AM222" i="5" s="1"/>
  <c r="X219" i="12"/>
  <c r="W219" i="12"/>
  <c r="A222" i="6"/>
  <c r="M222" i="6" s="1"/>
  <c r="AQ222" i="6" s="1"/>
  <c r="H223" i="5"/>
  <c r="B223" i="6"/>
  <c r="E223" i="5"/>
  <c r="G223" i="5"/>
  <c r="W223" i="5"/>
  <c r="H223" i="12" s="1"/>
  <c r="AE223" i="5"/>
  <c r="K223" i="5"/>
  <c r="F223" i="5"/>
  <c r="N223" i="5"/>
  <c r="D223" i="6" s="1"/>
  <c r="H223" i="6" s="1"/>
  <c r="T223" i="5" s="1"/>
  <c r="AD223" i="5"/>
  <c r="B223" i="5"/>
  <c r="C224" i="5"/>
  <c r="A223" i="12"/>
  <c r="J223" i="5"/>
  <c r="D223" i="5"/>
  <c r="B223" i="12" s="1"/>
  <c r="L222" i="12"/>
  <c r="J222" i="12"/>
  <c r="T220" i="12"/>
  <c r="U220" i="12"/>
  <c r="G230" i="12"/>
  <c r="X221" i="12" l="1"/>
  <c r="W221" i="12"/>
  <c r="U221" i="12" s="1"/>
  <c r="L222" i="5"/>
  <c r="C222" i="6" s="1"/>
  <c r="I222" i="12"/>
  <c r="O222" i="12" s="1"/>
  <c r="K222" i="12"/>
  <c r="Z222" i="5"/>
  <c r="X223" i="5"/>
  <c r="L223" i="5" s="1"/>
  <c r="AJ222" i="6"/>
  <c r="AN222" i="6"/>
  <c r="AU222" i="6"/>
  <c r="AV222" i="6"/>
  <c r="J223" i="12"/>
  <c r="L223" i="12"/>
  <c r="V219" i="12"/>
  <c r="T219" i="12"/>
  <c r="U219" i="12"/>
  <c r="AM222" i="6"/>
  <c r="BA222" i="6"/>
  <c r="AH222" i="6"/>
  <c r="BB222" i="6"/>
  <c r="BC222" i="6"/>
  <c r="AR222" i="6"/>
  <c r="AY222" i="6"/>
  <c r="G224" i="5"/>
  <c r="H224" i="5"/>
  <c r="B224" i="5"/>
  <c r="C225" i="5" s="1"/>
  <c r="AD224" i="5"/>
  <c r="W224" i="5"/>
  <c r="H224" i="12" s="1"/>
  <c r="J224" i="5"/>
  <c r="B224" i="6"/>
  <c r="F224" i="5"/>
  <c r="A224" i="12"/>
  <c r="AE224" i="5"/>
  <c r="N224" i="5"/>
  <c r="D224" i="6" s="1"/>
  <c r="H224" i="6" s="1"/>
  <c r="T224" i="5" s="1"/>
  <c r="K224" i="5"/>
  <c r="D224" i="5"/>
  <c r="B224" i="12" s="1"/>
  <c r="E224" i="5"/>
  <c r="BD222" i="6"/>
  <c r="AE222" i="6"/>
  <c r="AG222" i="6"/>
  <c r="AO222" i="6"/>
  <c r="AK222" i="6"/>
  <c r="AT222" i="6"/>
  <c r="AX222" i="6"/>
  <c r="A223" i="6"/>
  <c r="M223" i="6" s="1"/>
  <c r="BE223" i="6" s="1"/>
  <c r="AI222" i="6"/>
  <c r="AP222" i="6"/>
  <c r="AB222" i="6"/>
  <c r="BE222" i="6"/>
  <c r="AF222" i="6"/>
  <c r="AZ222" i="6"/>
  <c r="BF222" i="6"/>
  <c r="AD222" i="6"/>
  <c r="BG222" i="6"/>
  <c r="AC222" i="6"/>
  <c r="AS222" i="6"/>
  <c r="V221" i="12"/>
  <c r="G231" i="12"/>
  <c r="T221" i="12" l="1"/>
  <c r="C222" i="12"/>
  <c r="M222" i="12"/>
  <c r="N222" i="12" s="1"/>
  <c r="AO222" i="12"/>
  <c r="Y222" i="12" s="1"/>
  <c r="W222" i="12" s="1"/>
  <c r="K223" i="12"/>
  <c r="C223" i="6"/>
  <c r="AB222" i="5"/>
  <c r="X224" i="5"/>
  <c r="L224" i="5" s="1"/>
  <c r="C224" i="6" s="1"/>
  <c r="I223" i="12"/>
  <c r="AM223" i="5"/>
  <c r="Z223" i="5"/>
  <c r="AS223" i="6"/>
  <c r="AC223" i="6"/>
  <c r="AM223" i="6"/>
  <c r="AQ223" i="6"/>
  <c r="BF223" i="6"/>
  <c r="AH223" i="6"/>
  <c r="AZ223" i="6"/>
  <c r="AF223" i="6"/>
  <c r="BA223" i="6"/>
  <c r="AG223" i="6"/>
  <c r="AR223" i="6"/>
  <c r="AE225" i="5"/>
  <c r="N225" i="5"/>
  <c r="D225" i="6" s="1"/>
  <c r="H225" i="6" s="1"/>
  <c r="T225" i="5" s="1"/>
  <c r="C226" i="5"/>
  <c r="W225" i="5"/>
  <c r="H225" i="12" s="1"/>
  <c r="F225" i="5"/>
  <c r="B225" i="5"/>
  <c r="B225" i="6"/>
  <c r="H225" i="5"/>
  <c r="E225" i="5"/>
  <c r="G225" i="5"/>
  <c r="A225" i="12"/>
  <c r="AD225" i="5"/>
  <c r="BG223" i="6"/>
  <c r="AE223" i="6"/>
  <c r="BB223" i="6"/>
  <c r="J224" i="12"/>
  <c r="L224" i="12"/>
  <c r="AO223" i="6"/>
  <c r="AI223" i="6"/>
  <c r="BC223" i="6"/>
  <c r="AU223" i="6"/>
  <c r="AV223" i="6"/>
  <c r="AX223" i="6"/>
  <c r="AD223" i="6"/>
  <c r="AK223" i="6"/>
  <c r="AT223" i="6"/>
  <c r="BD223" i="6"/>
  <c r="AJ223" i="6"/>
  <c r="AY223" i="6"/>
  <c r="AP223" i="6"/>
  <c r="AB223" i="6"/>
  <c r="AN223" i="6"/>
  <c r="A224" i="6"/>
  <c r="M224" i="6" s="1"/>
  <c r="AQ224" i="6" s="1"/>
  <c r="G232" i="12"/>
  <c r="X222" i="12" l="1"/>
  <c r="AM224" i="5"/>
  <c r="K224" i="12"/>
  <c r="AB223" i="5"/>
  <c r="M223" i="12"/>
  <c r="C223" i="12"/>
  <c r="AO223" i="12"/>
  <c r="O223" i="12"/>
  <c r="Z224" i="5"/>
  <c r="I224" i="12"/>
  <c r="BG224" i="6"/>
  <c r="AT224" i="6"/>
  <c r="AC224" i="6"/>
  <c r="AH224" i="6"/>
  <c r="B226" i="5"/>
  <c r="N226" i="5"/>
  <c r="D226" i="6" s="1"/>
  <c r="H226" i="6" s="1"/>
  <c r="T226" i="5" s="1"/>
  <c r="C227" i="5"/>
  <c r="AD226" i="5"/>
  <c r="E226" i="5"/>
  <c r="A226" i="12"/>
  <c r="F226" i="5"/>
  <c r="AE226" i="5"/>
  <c r="B226" i="6"/>
  <c r="G226" i="5"/>
  <c r="J226" i="5"/>
  <c r="W226" i="5"/>
  <c r="H226" i="12" s="1"/>
  <c r="H226" i="5"/>
  <c r="D226" i="5"/>
  <c r="B226" i="12" s="1"/>
  <c r="K226" i="5"/>
  <c r="BC224" i="6"/>
  <c r="AS224" i="6"/>
  <c r="AN224" i="6"/>
  <c r="AM224" i="6"/>
  <c r="AE224" i="6"/>
  <c r="BE224" i="6"/>
  <c r="AV224" i="6"/>
  <c r="BB224" i="6"/>
  <c r="AR224" i="6"/>
  <c r="AG224" i="6"/>
  <c r="AZ224" i="6"/>
  <c r="AB224" i="6"/>
  <c r="AI224" i="6"/>
  <c r="BA224" i="6"/>
  <c r="A225" i="6"/>
  <c r="M225" i="6" s="1"/>
  <c r="AY225" i="6" s="1"/>
  <c r="AO224" i="6"/>
  <c r="AF224" i="6"/>
  <c r="BD224" i="6"/>
  <c r="AY224" i="6"/>
  <c r="AJ224" i="6"/>
  <c r="AD224" i="6"/>
  <c r="AX224" i="6"/>
  <c r="AU224" i="6"/>
  <c r="AK224" i="6"/>
  <c r="AP224" i="6"/>
  <c r="BF224" i="6"/>
  <c r="T222" i="12"/>
  <c r="V222" i="12"/>
  <c r="U222" i="12"/>
  <c r="G233" i="12"/>
  <c r="N223" i="12" l="1"/>
  <c r="Y223" i="12"/>
  <c r="X223" i="12" s="1"/>
  <c r="AB224" i="5"/>
  <c r="X226" i="5"/>
  <c r="L226" i="5" s="1"/>
  <c r="C226" i="6" s="1"/>
  <c r="O224" i="12"/>
  <c r="M224" i="12"/>
  <c r="C224" i="12"/>
  <c r="AO224" i="12"/>
  <c r="AT225" i="6"/>
  <c r="AQ225" i="6"/>
  <c r="AB225" i="6"/>
  <c r="AF225" i="6"/>
  <c r="A226" i="6"/>
  <c r="M226" i="6" s="1"/>
  <c r="BB226" i="6" s="1"/>
  <c r="AK225" i="6"/>
  <c r="AG225" i="6"/>
  <c r="AP225" i="6"/>
  <c r="AE225" i="6"/>
  <c r="AO225" i="6"/>
  <c r="AV225" i="6"/>
  <c r="AJ225" i="6"/>
  <c r="J226" i="12"/>
  <c r="L226" i="12"/>
  <c r="AM225" i="6"/>
  <c r="BF225" i="6"/>
  <c r="BD225" i="6"/>
  <c r="BC225" i="6"/>
  <c r="AD225" i="6"/>
  <c r="AH225" i="6"/>
  <c r="AZ225" i="6"/>
  <c r="AN225" i="6"/>
  <c r="AC225" i="6"/>
  <c r="BA225" i="6"/>
  <c r="BB225" i="6"/>
  <c r="AS225" i="6"/>
  <c r="AI225" i="6"/>
  <c r="BE225" i="6"/>
  <c r="AM226" i="5"/>
  <c r="AR225" i="6"/>
  <c r="BG225" i="6"/>
  <c r="AX225" i="6"/>
  <c r="AU225" i="6"/>
  <c r="N227" i="5"/>
  <c r="D227" i="6" s="1"/>
  <c r="H227" i="6" s="1"/>
  <c r="T227" i="5" s="1"/>
  <c r="C228" i="5"/>
  <c r="B227" i="5"/>
  <c r="AD227" i="5"/>
  <c r="W227" i="5"/>
  <c r="H227" i="12" s="1"/>
  <c r="G227" i="5"/>
  <c r="A227" i="12"/>
  <c r="F227" i="5"/>
  <c r="AE227" i="5"/>
  <c r="D227" i="5"/>
  <c r="B227" i="12" s="1"/>
  <c r="E227" i="5"/>
  <c r="J227" i="5"/>
  <c r="B227" i="6"/>
  <c r="K227" i="5"/>
  <c r="H227" i="5"/>
  <c r="G234" i="12"/>
  <c r="W223" i="12" l="1"/>
  <c r="T223" i="12" s="1"/>
  <c r="Y224" i="12"/>
  <c r="X224" i="12" s="1"/>
  <c r="A227" i="6"/>
  <c r="M227" i="6" s="1"/>
  <c r="BC227" i="6" s="1"/>
  <c r="N224" i="12"/>
  <c r="I226" i="12"/>
  <c r="Z226" i="5"/>
  <c r="AO226" i="6"/>
  <c r="AE226" i="6"/>
  <c r="AX226" i="6"/>
  <c r="AB226" i="6"/>
  <c r="AY226" i="6"/>
  <c r="BC226" i="6"/>
  <c r="BE226" i="6"/>
  <c r="AD226" i="6"/>
  <c r="AU226" i="6"/>
  <c r="AK226" i="6"/>
  <c r="K226" i="12"/>
  <c r="AF226" i="6"/>
  <c r="AI226" i="6"/>
  <c r="X227" i="5"/>
  <c r="BA226" i="6"/>
  <c r="AZ226" i="6"/>
  <c r="AV226" i="6"/>
  <c r="BD226" i="6"/>
  <c r="AQ226" i="6"/>
  <c r="AP226" i="6"/>
  <c r="AR226" i="6"/>
  <c r="E228" i="5"/>
  <c r="F228" i="5"/>
  <c r="C229" i="5"/>
  <c r="G228" i="5"/>
  <c r="B228" i="5"/>
  <c r="J228" i="5"/>
  <c r="K228" i="5"/>
  <c r="W228" i="5"/>
  <c r="H228" i="12" s="1"/>
  <c r="N228" i="5"/>
  <c r="D228" i="6" s="1"/>
  <c r="H228" i="6" s="1"/>
  <c r="T228" i="5" s="1"/>
  <c r="A228" i="12"/>
  <c r="D228" i="5"/>
  <c r="B228" i="12" s="1"/>
  <c r="H228" i="5"/>
  <c r="AE228" i="5"/>
  <c r="B228" i="6"/>
  <c r="AD228" i="5"/>
  <c r="AJ226" i="6"/>
  <c r="AN226" i="6"/>
  <c r="BG226" i="6"/>
  <c r="AT226" i="6"/>
  <c r="AG226" i="6"/>
  <c r="L227" i="12"/>
  <c r="J227" i="12"/>
  <c r="AM226" i="6"/>
  <c r="AC226" i="6"/>
  <c r="AH226" i="6"/>
  <c r="BF226" i="6"/>
  <c r="AS226" i="6"/>
  <c r="V223" i="12" l="1"/>
  <c r="U223" i="12"/>
  <c r="X228" i="5"/>
  <c r="Z228" i="5" s="1"/>
  <c r="W224" i="12"/>
  <c r="K227" i="12"/>
  <c r="AG227" i="6"/>
  <c r="BD227" i="6"/>
  <c r="AY227" i="6"/>
  <c r="AN227" i="6"/>
  <c r="AK227" i="6"/>
  <c r="AP227" i="6"/>
  <c r="AJ227" i="6"/>
  <c r="BF227" i="6"/>
  <c r="AR227" i="6"/>
  <c r="AS227" i="6"/>
  <c r="AT227" i="6"/>
  <c r="AC227" i="6"/>
  <c r="AU227" i="6"/>
  <c r="AE227" i="6"/>
  <c r="AZ227" i="6"/>
  <c r="AF227" i="6"/>
  <c r="AD227" i="6"/>
  <c r="AI227" i="6"/>
  <c r="AH227" i="6"/>
  <c r="BB227" i="6"/>
  <c r="AQ227" i="6"/>
  <c r="AX227" i="6"/>
  <c r="BA227" i="6"/>
  <c r="AM227" i="6"/>
  <c r="AB227" i="6"/>
  <c r="BG227" i="6"/>
  <c r="BE227" i="6"/>
  <c r="AO227" i="6"/>
  <c r="AV227" i="6"/>
  <c r="AB226" i="5"/>
  <c r="AO226" i="12"/>
  <c r="C226" i="12"/>
  <c r="M226" i="12"/>
  <c r="O226" i="12"/>
  <c r="W229" i="5"/>
  <c r="H229" i="12" s="1"/>
  <c r="K229" i="5"/>
  <c r="H229" i="5"/>
  <c r="B229" i="6"/>
  <c r="A229" i="12"/>
  <c r="D229" i="5"/>
  <c r="B229" i="12" s="1"/>
  <c r="E229" i="5"/>
  <c r="F229" i="5"/>
  <c r="N229" i="5"/>
  <c r="D229" i="6" s="1"/>
  <c r="H229" i="6" s="1"/>
  <c r="T229" i="5" s="1"/>
  <c r="X229" i="5" s="1"/>
  <c r="Z229" i="5" s="1"/>
  <c r="C230" i="5"/>
  <c r="AD229" i="5"/>
  <c r="AE229" i="5"/>
  <c r="J229" i="5"/>
  <c r="B229" i="5"/>
  <c r="G229" i="5"/>
  <c r="J228" i="12"/>
  <c r="L228" i="12"/>
  <c r="L227" i="5"/>
  <c r="Z227" i="5"/>
  <c r="I227" i="12"/>
  <c r="AM227" i="5"/>
  <c r="A228" i="6"/>
  <c r="M228" i="6" s="1"/>
  <c r="AM228" i="6" s="1"/>
  <c r="G235" i="12"/>
  <c r="K228" i="12" l="1"/>
  <c r="AM228" i="5"/>
  <c r="I228" i="12"/>
  <c r="C228" i="12" s="1"/>
  <c r="L228" i="5"/>
  <c r="T224" i="12"/>
  <c r="U224" i="12"/>
  <c r="V224" i="12"/>
  <c r="Y226" i="12"/>
  <c r="N226" i="12"/>
  <c r="BF228" i="6"/>
  <c r="AX228" i="6"/>
  <c r="AI228" i="6"/>
  <c r="M227" i="12"/>
  <c r="O227" i="12"/>
  <c r="AO227" i="12"/>
  <c r="C227" i="12"/>
  <c r="A229" i="6"/>
  <c r="M229" i="6" s="1"/>
  <c r="AS229" i="6" s="1"/>
  <c r="AE228" i="6"/>
  <c r="AN228" i="6"/>
  <c r="BG228" i="6"/>
  <c r="AK228" i="6"/>
  <c r="BC228" i="6"/>
  <c r="AB227" i="5"/>
  <c r="AO228" i="6"/>
  <c r="BE228" i="6"/>
  <c r="AF228" i="6"/>
  <c r="AC228" i="6"/>
  <c r="AZ228" i="6"/>
  <c r="AU228" i="6"/>
  <c r="AB229" i="5"/>
  <c r="C227" i="6"/>
  <c r="E230" i="5"/>
  <c r="N230" i="5"/>
  <c r="D230" i="6" s="1"/>
  <c r="H230" i="6" s="1"/>
  <c r="T230" i="5" s="1"/>
  <c r="B230" i="5"/>
  <c r="G230" i="5"/>
  <c r="AD230" i="5"/>
  <c r="A230" i="12"/>
  <c r="D230" i="5"/>
  <c r="B230" i="12" s="1"/>
  <c r="F230" i="5"/>
  <c r="J230" i="5"/>
  <c r="B230" i="6"/>
  <c r="K230" i="5"/>
  <c r="W230" i="5"/>
  <c r="H230" i="12" s="1"/>
  <c r="AE230" i="5"/>
  <c r="C231" i="5"/>
  <c r="H230" i="5"/>
  <c r="AR228" i="6"/>
  <c r="AT228" i="6"/>
  <c r="AV228" i="6"/>
  <c r="BA228" i="6"/>
  <c r="AM229" i="5"/>
  <c r="BD228" i="6"/>
  <c r="AB228" i="6"/>
  <c r="I229" i="12"/>
  <c r="L229" i="5"/>
  <c r="C229" i="6" s="1"/>
  <c r="BB228" i="6"/>
  <c r="AJ228" i="6"/>
  <c r="AH228" i="6"/>
  <c r="AY228" i="6"/>
  <c r="AD228" i="6"/>
  <c r="AS228" i="6"/>
  <c r="AQ228" i="6"/>
  <c r="AP228" i="6"/>
  <c r="AG228" i="6"/>
  <c r="J229" i="12"/>
  <c r="L229" i="12"/>
  <c r="AB228" i="5"/>
  <c r="G236" i="12"/>
  <c r="M229" i="12" l="1"/>
  <c r="AO228" i="12"/>
  <c r="O229" i="12"/>
  <c r="AO229" i="12"/>
  <c r="C229" i="12"/>
  <c r="M228" i="12"/>
  <c r="C228" i="6"/>
  <c r="O228" i="12"/>
  <c r="X230" i="5"/>
  <c r="I230" i="12" s="1"/>
  <c r="C230" i="12" s="1"/>
  <c r="Y227" i="12"/>
  <c r="X227" i="12" s="1"/>
  <c r="K229" i="12"/>
  <c r="W226" i="12"/>
  <c r="X226" i="12"/>
  <c r="BD229" i="6"/>
  <c r="AU229" i="6"/>
  <c r="BF229" i="6"/>
  <c r="AM229" i="6"/>
  <c r="AB229" i="6"/>
  <c r="AV229" i="6"/>
  <c r="AD229" i="6"/>
  <c r="AZ229" i="6"/>
  <c r="D231" i="5"/>
  <c r="B231" i="12" s="1"/>
  <c r="C232" i="5"/>
  <c r="AE231" i="5"/>
  <c r="E231" i="5"/>
  <c r="B231" i="6"/>
  <c r="K231" i="5"/>
  <c r="F231" i="5"/>
  <c r="B231" i="5"/>
  <c r="J231" i="5"/>
  <c r="A231" i="12"/>
  <c r="N231" i="5"/>
  <c r="D231" i="6" s="1"/>
  <c r="H231" i="6" s="1"/>
  <c r="T231" i="5" s="1"/>
  <c r="H231" i="5"/>
  <c r="G231" i="5"/>
  <c r="W231" i="5"/>
  <c r="H231" i="12" s="1"/>
  <c r="AD231" i="5"/>
  <c r="J230" i="12"/>
  <c r="L230" i="12"/>
  <c r="AG229" i="6"/>
  <c r="AX229" i="6"/>
  <c r="AN229" i="6"/>
  <c r="AP229" i="6"/>
  <c r="AY229" i="6"/>
  <c r="N227" i="12"/>
  <c r="AT229" i="6"/>
  <c r="AR229" i="6"/>
  <c r="AC229" i="6"/>
  <c r="BB229" i="6"/>
  <c r="BG229" i="6"/>
  <c r="AI229" i="6"/>
  <c r="BA229" i="6"/>
  <c r="AH229" i="6"/>
  <c r="AK229" i="6"/>
  <c r="AQ229" i="6"/>
  <c r="AF229" i="6"/>
  <c r="A230" i="6"/>
  <c r="M230" i="6" s="1"/>
  <c r="AQ230" i="6" s="1"/>
  <c r="BC229" i="6"/>
  <c r="AE229" i="6"/>
  <c r="AO229" i="6"/>
  <c r="AJ229" i="6"/>
  <c r="BE229" i="6"/>
  <c r="G237" i="12"/>
  <c r="N229" i="12" l="1"/>
  <c r="Y229" i="12"/>
  <c r="X229" i="12" s="1"/>
  <c r="N228" i="12"/>
  <c r="AM230" i="5"/>
  <c r="Z230" i="5"/>
  <c r="W227" i="12"/>
  <c r="Y228" i="12"/>
  <c r="L230" i="5"/>
  <c r="C230" i="6" s="1"/>
  <c r="M230" i="12"/>
  <c r="O230" i="12"/>
  <c r="AO230" i="12"/>
  <c r="X231" i="5"/>
  <c r="I231" i="12" s="1"/>
  <c r="C231" i="12" s="1"/>
  <c r="K230" i="12"/>
  <c r="T226" i="12"/>
  <c r="U226" i="12"/>
  <c r="V226" i="12"/>
  <c r="AV230" i="6"/>
  <c r="AK230" i="6"/>
  <c r="AC230" i="6"/>
  <c r="AB230" i="6"/>
  <c r="AT230" i="6"/>
  <c r="AE230" i="6"/>
  <c r="J231" i="12"/>
  <c r="L231" i="12"/>
  <c r="B232" i="6"/>
  <c r="A232" i="12"/>
  <c r="N232" i="5"/>
  <c r="D232" i="6" s="1"/>
  <c r="H232" i="6" s="1"/>
  <c r="T232" i="5" s="1"/>
  <c r="W232" i="5"/>
  <c r="H232" i="12" s="1"/>
  <c r="J232" i="5"/>
  <c r="B232" i="5"/>
  <c r="AE232" i="5"/>
  <c r="E232" i="5"/>
  <c r="F232" i="5"/>
  <c r="D232" i="5"/>
  <c r="B232" i="12" s="1"/>
  <c r="H232" i="5"/>
  <c r="C233" i="5"/>
  <c r="AD232" i="5"/>
  <c r="G232" i="5"/>
  <c r="K232" i="5"/>
  <c r="AX230" i="6"/>
  <c r="AM230" i="6"/>
  <c r="AO230" i="6"/>
  <c r="BF230" i="6"/>
  <c r="AY230" i="6"/>
  <c r="BE230" i="6"/>
  <c r="BC230" i="6"/>
  <c r="BG230" i="6"/>
  <c r="AF230" i="6"/>
  <c r="AI230" i="6"/>
  <c r="AZ230" i="6"/>
  <c r="AR230" i="6"/>
  <c r="AD230" i="6"/>
  <c r="BD230" i="6"/>
  <c r="AH230" i="6"/>
  <c r="AU230" i="6"/>
  <c r="AP230" i="6"/>
  <c r="BA230" i="6"/>
  <c r="AS230" i="6"/>
  <c r="AJ230" i="6"/>
  <c r="AG230" i="6"/>
  <c r="AN230" i="6"/>
  <c r="BB230" i="6"/>
  <c r="A231" i="6"/>
  <c r="M231" i="6" s="1"/>
  <c r="BG231" i="6" s="1"/>
  <c r="G239" i="12"/>
  <c r="AB230" i="5" l="1"/>
  <c r="M231" i="12"/>
  <c r="AO231" i="12"/>
  <c r="W229" i="12"/>
  <c r="O231" i="12"/>
  <c r="L231" i="5"/>
  <c r="Z231" i="5"/>
  <c r="AB231" i="5" s="1"/>
  <c r="AM231" i="5"/>
  <c r="Y230" i="12"/>
  <c r="X230" i="12" s="1"/>
  <c r="W228" i="12"/>
  <c r="X228" i="12"/>
  <c r="V227" i="12"/>
  <c r="T227" i="12"/>
  <c r="U227" i="12"/>
  <c r="K231" i="12"/>
  <c r="X232" i="5"/>
  <c r="I232" i="12" s="1"/>
  <c r="N230" i="12"/>
  <c r="AV231" i="6"/>
  <c r="AS231" i="6"/>
  <c r="AG231" i="6"/>
  <c r="AE231" i="6"/>
  <c r="AB231" i="6"/>
  <c r="AZ231" i="6"/>
  <c r="BE231" i="6"/>
  <c r="BD231" i="6"/>
  <c r="AF231" i="6"/>
  <c r="BA231" i="6"/>
  <c r="AM231" i="6"/>
  <c r="BF231" i="6"/>
  <c r="BC231" i="6"/>
  <c r="AD231" i="6"/>
  <c r="AI231" i="6"/>
  <c r="AP231" i="6"/>
  <c r="AR231" i="6"/>
  <c r="AX231" i="6"/>
  <c r="AT231" i="6"/>
  <c r="AK231" i="6"/>
  <c r="A233" i="12"/>
  <c r="B233" i="5"/>
  <c r="D233" i="5"/>
  <c r="B233" i="12" s="1"/>
  <c r="F233" i="5"/>
  <c r="N233" i="5"/>
  <c r="D233" i="6" s="1"/>
  <c r="H233" i="6" s="1"/>
  <c r="T233" i="5" s="1"/>
  <c r="B233" i="6"/>
  <c r="AD233" i="5"/>
  <c r="AE233" i="5"/>
  <c r="E233" i="5"/>
  <c r="C234" i="5"/>
  <c r="W233" i="5"/>
  <c r="H233" i="12" s="1"/>
  <c r="K233" i="5"/>
  <c r="J233" i="5"/>
  <c r="H233" i="5"/>
  <c r="G233" i="5"/>
  <c r="AH231" i="6"/>
  <c r="AN231" i="6"/>
  <c r="BB231" i="6"/>
  <c r="AC231" i="6"/>
  <c r="AU231" i="6"/>
  <c r="AO231" i="6"/>
  <c r="J232" i="12"/>
  <c r="L232" i="12"/>
  <c r="AQ231" i="6"/>
  <c r="AJ231" i="6"/>
  <c r="AY231" i="6"/>
  <c r="A232" i="6"/>
  <c r="M232" i="6" s="1"/>
  <c r="BA232" i="6" s="1"/>
  <c r="W230" i="12"/>
  <c r="T229" i="12"/>
  <c r="U229" i="12"/>
  <c r="V229" i="12"/>
  <c r="G240" i="12"/>
  <c r="M232" i="12" l="1"/>
  <c r="C232" i="12"/>
  <c r="Y231" i="12"/>
  <c r="X231" i="12" s="1"/>
  <c r="N231" i="12"/>
  <c r="C231" i="6"/>
  <c r="AO232" i="12"/>
  <c r="O232" i="12"/>
  <c r="V228" i="12"/>
  <c r="U228" i="12"/>
  <c r="T228" i="12"/>
  <c r="AM232" i="5"/>
  <c r="Z232" i="5"/>
  <c r="L232" i="5"/>
  <c r="X233" i="5"/>
  <c r="Z233" i="5" s="1"/>
  <c r="K232" i="12"/>
  <c r="AI232" i="6"/>
  <c r="AR232" i="6"/>
  <c r="AD232" i="6"/>
  <c r="B234" i="5"/>
  <c r="E234" i="5"/>
  <c r="N234" i="5"/>
  <c r="D234" i="6" s="1"/>
  <c r="H234" i="6" s="1"/>
  <c r="T234" i="5" s="1"/>
  <c r="AD234" i="5"/>
  <c r="G234" i="5"/>
  <c r="J234" i="5"/>
  <c r="F234" i="5"/>
  <c r="A234" i="12"/>
  <c r="D234" i="5"/>
  <c r="B234" i="12" s="1"/>
  <c r="B234" i="6"/>
  <c r="K234" i="5"/>
  <c r="W234" i="5"/>
  <c r="H234" i="12" s="1"/>
  <c r="H234" i="5"/>
  <c r="AE234" i="5"/>
  <c r="BB232" i="6"/>
  <c r="AU232" i="6"/>
  <c r="BC232" i="6"/>
  <c r="AY232" i="6"/>
  <c r="AQ232" i="6"/>
  <c r="L233" i="12"/>
  <c r="J233" i="12"/>
  <c r="AT232" i="6"/>
  <c r="AK232" i="6"/>
  <c r="BG232" i="6"/>
  <c r="AE232" i="6"/>
  <c r="BD232" i="6"/>
  <c r="AF232" i="6"/>
  <c r="AC232" i="6"/>
  <c r="AB232" i="6"/>
  <c r="AG232" i="6"/>
  <c r="AJ232" i="6"/>
  <c r="BE232" i="6"/>
  <c r="AX232" i="6"/>
  <c r="AS232" i="6"/>
  <c r="AZ232" i="6"/>
  <c r="A233" i="6"/>
  <c r="M233" i="6" s="1"/>
  <c r="AC233" i="6" s="1"/>
  <c r="AH232" i="6"/>
  <c r="AN232" i="6"/>
  <c r="AM232" i="6"/>
  <c r="AV232" i="6"/>
  <c r="AP232" i="6"/>
  <c r="AO232" i="6"/>
  <c r="BF232" i="6"/>
  <c r="V230" i="12"/>
  <c r="T230" i="12"/>
  <c r="U230" i="12"/>
  <c r="G241" i="12"/>
  <c r="N232" i="12" l="1"/>
  <c r="W231" i="12"/>
  <c r="Y232" i="12"/>
  <c r="W232" i="12" s="1"/>
  <c r="V232" i="12" s="1"/>
  <c r="I233" i="12"/>
  <c r="AM233" i="5"/>
  <c r="AB232" i="5"/>
  <c r="L233" i="5"/>
  <c r="C232" i="6"/>
  <c r="AB233" i="5"/>
  <c r="X234" i="5"/>
  <c r="I234" i="12" s="1"/>
  <c r="AO234" i="12" s="1"/>
  <c r="K233" i="12"/>
  <c r="C235" i="5"/>
  <c r="AN233" i="6"/>
  <c r="BG233" i="6"/>
  <c r="BC233" i="6"/>
  <c r="AH233" i="6"/>
  <c r="A234" i="6"/>
  <c r="M234" i="6" s="1"/>
  <c r="AP234" i="6" s="1"/>
  <c r="AB233" i="6"/>
  <c r="AI233" i="6"/>
  <c r="AJ233" i="6"/>
  <c r="BE233" i="6"/>
  <c r="BA233" i="6"/>
  <c r="BB233" i="6"/>
  <c r="AS233" i="6"/>
  <c r="AQ233" i="6"/>
  <c r="AD233" i="6"/>
  <c r="AM233" i="6"/>
  <c r="L234" i="12"/>
  <c r="J234" i="12"/>
  <c r="AE233" i="6"/>
  <c r="AT233" i="6"/>
  <c r="AP233" i="6"/>
  <c r="AG233" i="6"/>
  <c r="AV233" i="6"/>
  <c r="AK233" i="6"/>
  <c r="AF233" i="6"/>
  <c r="AY233" i="6"/>
  <c r="BF233" i="6"/>
  <c r="AX233" i="6"/>
  <c r="BD233" i="6"/>
  <c r="AU233" i="6"/>
  <c r="AO233" i="6"/>
  <c r="AR233" i="6"/>
  <c r="AZ233" i="6"/>
  <c r="V231" i="12"/>
  <c r="U231" i="12"/>
  <c r="T231" i="12"/>
  <c r="U232" i="12"/>
  <c r="T232" i="12"/>
  <c r="G242" i="12"/>
  <c r="X232" i="12" l="1"/>
  <c r="C233" i="12"/>
  <c r="M233" i="12"/>
  <c r="O233" i="12"/>
  <c r="AO233" i="12"/>
  <c r="Z234" i="5"/>
  <c r="C233" i="6"/>
  <c r="C234" i="12"/>
  <c r="M234" i="12"/>
  <c r="O234" i="12"/>
  <c r="AM234" i="5"/>
  <c r="L234" i="5"/>
  <c r="K234" i="12"/>
  <c r="AB234" i="6"/>
  <c r="BD234" i="6"/>
  <c r="AI234" i="6"/>
  <c r="BA234" i="6"/>
  <c r="AE234" i="6"/>
  <c r="AO234" i="6"/>
  <c r="AT234" i="6"/>
  <c r="AC234" i="6"/>
  <c r="AX234" i="6"/>
  <c r="AY234" i="6"/>
  <c r="BF234" i="6"/>
  <c r="AG234" i="6"/>
  <c r="BE234" i="6"/>
  <c r="AU234" i="6"/>
  <c r="AV234" i="6"/>
  <c r="AD234" i="6"/>
  <c r="BC234" i="6"/>
  <c r="AM234" i="6"/>
  <c r="AN234" i="6"/>
  <c r="AS234" i="6"/>
  <c r="AF234" i="6"/>
  <c r="AQ234" i="6"/>
  <c r="AR234" i="6"/>
  <c r="AK234" i="6"/>
  <c r="BB234" i="6"/>
  <c r="AH234" i="6"/>
  <c r="AJ234" i="6"/>
  <c r="BG234" i="6"/>
  <c r="AZ234" i="6"/>
  <c r="N235" i="5"/>
  <c r="D235" i="6" s="1"/>
  <c r="H235" i="6" s="1"/>
  <c r="T235" i="5" s="1"/>
  <c r="F235" i="5"/>
  <c r="W235" i="5"/>
  <c r="H235" i="12" s="1"/>
  <c r="K235" i="5"/>
  <c r="A235" i="12"/>
  <c r="B235" i="5"/>
  <c r="H235" i="5"/>
  <c r="AE235" i="5"/>
  <c r="E235" i="5"/>
  <c r="C236" i="5"/>
  <c r="G235" i="5"/>
  <c r="J235" i="5"/>
  <c r="D235" i="5"/>
  <c r="B235" i="12" s="1"/>
  <c r="B235" i="6"/>
  <c r="AD235" i="5"/>
  <c r="G243" i="12"/>
  <c r="AB234" i="5" l="1"/>
  <c r="N234" i="12"/>
  <c r="Y233" i="12"/>
  <c r="N233" i="12"/>
  <c r="Y234" i="12"/>
  <c r="W234" i="12" s="1"/>
  <c r="V234" i="12" s="1"/>
  <c r="C234" i="6"/>
  <c r="X235" i="5"/>
  <c r="L235" i="5" s="1"/>
  <c r="A235" i="6"/>
  <c r="M235" i="6" s="1"/>
  <c r="L235" i="12"/>
  <c r="J235" i="12"/>
  <c r="B236" i="5"/>
  <c r="C237" i="5" s="1"/>
  <c r="C238" i="5" s="1"/>
  <c r="D236" i="5"/>
  <c r="B236" i="12" s="1"/>
  <c r="A236" i="12"/>
  <c r="AE236" i="5"/>
  <c r="K236" i="5"/>
  <c r="AD236" i="5"/>
  <c r="E236" i="5"/>
  <c r="J236" i="5"/>
  <c r="W236" i="5"/>
  <c r="H236" i="12" s="1"/>
  <c r="G236" i="5"/>
  <c r="F236" i="5"/>
  <c r="H236" i="5"/>
  <c r="N236" i="5"/>
  <c r="D236" i="6" s="1"/>
  <c r="H236" i="6" s="1"/>
  <c r="T236" i="5" s="1"/>
  <c r="B236" i="6"/>
  <c r="G244" i="12"/>
  <c r="AM235" i="5" l="1"/>
  <c r="D238" i="5"/>
  <c r="B238" i="12" s="1"/>
  <c r="K238" i="5"/>
  <c r="W238" i="5"/>
  <c r="J238" i="5"/>
  <c r="AE238" i="5"/>
  <c r="B238" i="6"/>
  <c r="AD238" i="5"/>
  <c r="N238" i="5"/>
  <c r="A238" i="12"/>
  <c r="U234" i="12"/>
  <c r="C235" i="6"/>
  <c r="T234" i="12"/>
  <c r="X233" i="12"/>
  <c r="W233" i="12"/>
  <c r="X236" i="5"/>
  <c r="L236" i="5" s="1"/>
  <c r="C236" i="6" s="1"/>
  <c r="X234" i="12"/>
  <c r="I235" i="12"/>
  <c r="Z235" i="5"/>
  <c r="K235" i="12"/>
  <c r="AD235" i="6"/>
  <c r="AE235" i="6"/>
  <c r="AR235" i="6"/>
  <c r="AB235" i="6"/>
  <c r="AJ235" i="6"/>
  <c r="AM235" i="6"/>
  <c r="AV235" i="6"/>
  <c r="AS235" i="6"/>
  <c r="AC235" i="6"/>
  <c r="BG235" i="6"/>
  <c r="AK235" i="6"/>
  <c r="BF235" i="6"/>
  <c r="AP235" i="6"/>
  <c r="AO235" i="6"/>
  <c r="BC235" i="6"/>
  <c r="AI235" i="6"/>
  <c r="BB235" i="6"/>
  <c r="AF235" i="6"/>
  <c r="AU235" i="6"/>
  <c r="BE235" i="6"/>
  <c r="AY235" i="6"/>
  <c r="AX235" i="6"/>
  <c r="BA235" i="6"/>
  <c r="AQ235" i="6"/>
  <c r="AT235" i="6"/>
  <c r="AN235" i="6"/>
  <c r="AZ235" i="6"/>
  <c r="BD235" i="6"/>
  <c r="AH235" i="6"/>
  <c r="AG235" i="6"/>
  <c r="A236" i="6"/>
  <c r="M236" i="6" s="1"/>
  <c r="BF236" i="6" s="1"/>
  <c r="C239" i="5"/>
  <c r="W237" i="5"/>
  <c r="H237" i="12" s="1"/>
  <c r="F237" i="5"/>
  <c r="F238" i="5" s="1"/>
  <c r="AD237" i="5"/>
  <c r="N237" i="5"/>
  <c r="D237" i="6" s="1"/>
  <c r="H237" i="6" s="1"/>
  <c r="T237" i="5" s="1"/>
  <c r="H237" i="5"/>
  <c r="H238" i="5" s="1"/>
  <c r="G237" i="5"/>
  <c r="G238" i="5" s="1"/>
  <c r="E237" i="5"/>
  <c r="E238" i="5" s="1"/>
  <c r="B237" i="5"/>
  <c r="B238" i="5" s="1"/>
  <c r="AE237" i="5"/>
  <c r="B237" i="6"/>
  <c r="A237" i="12"/>
  <c r="L236" i="12"/>
  <c r="J236" i="12"/>
  <c r="G248" i="12"/>
  <c r="L238" i="12" l="1"/>
  <c r="J238" i="12"/>
  <c r="D238" i="6"/>
  <c r="Z236" i="5"/>
  <c r="AB236" i="5" s="1"/>
  <c r="I236" i="12"/>
  <c r="C236" i="12" s="1"/>
  <c r="AM236" i="5"/>
  <c r="U233" i="12"/>
  <c r="T233" i="12"/>
  <c r="V233" i="12"/>
  <c r="K236" i="12"/>
  <c r="C235" i="12"/>
  <c r="AO235" i="12"/>
  <c r="O235" i="12"/>
  <c r="M235" i="12"/>
  <c r="AB235" i="5"/>
  <c r="A237" i="6"/>
  <c r="M237" i="6" s="1"/>
  <c r="AG237" i="6" s="1"/>
  <c r="AV236" i="6"/>
  <c r="AO236" i="6"/>
  <c r="AY236" i="6"/>
  <c r="AZ236" i="6"/>
  <c r="AU236" i="6"/>
  <c r="AX236" i="6"/>
  <c r="AF236" i="6"/>
  <c r="AN236" i="6"/>
  <c r="AH236" i="6"/>
  <c r="AM236" i="6"/>
  <c r="AR236" i="6"/>
  <c r="AJ236" i="6"/>
  <c r="AT236" i="6"/>
  <c r="AE236" i="6"/>
  <c r="AG236" i="6"/>
  <c r="AB236" i="6"/>
  <c r="AS236" i="6"/>
  <c r="BB236" i="6"/>
  <c r="BD236" i="6"/>
  <c r="BA236" i="6"/>
  <c r="H239" i="5"/>
  <c r="J239" i="5"/>
  <c r="A239" i="12"/>
  <c r="K239" i="5"/>
  <c r="B239" i="5"/>
  <c r="G239" i="5"/>
  <c r="F239" i="5"/>
  <c r="C240" i="5"/>
  <c r="D239" i="5"/>
  <c r="B239" i="12" s="1"/>
  <c r="AD239" i="5"/>
  <c r="N239" i="5"/>
  <c r="D239" i="6" s="1"/>
  <c r="H239" i="6" s="1"/>
  <c r="T239" i="5" s="1"/>
  <c r="W239" i="5"/>
  <c r="H239" i="12" s="1"/>
  <c r="B239" i="6"/>
  <c r="E239" i="5"/>
  <c r="AE239" i="5"/>
  <c r="BE236" i="6"/>
  <c r="AQ236" i="6"/>
  <c r="BG236" i="6"/>
  <c r="AK236" i="6"/>
  <c r="AP236" i="6"/>
  <c r="BC236" i="6"/>
  <c r="AI236" i="6"/>
  <c r="AC236" i="6"/>
  <c r="AD236" i="6"/>
  <c r="G249" i="12"/>
  <c r="AO236" i="12" l="1"/>
  <c r="O236" i="12"/>
  <c r="M236" i="12"/>
  <c r="K238" i="12"/>
  <c r="H238" i="6"/>
  <c r="T238" i="5" s="1"/>
  <c r="X238" i="5" s="1"/>
  <c r="A238" i="6"/>
  <c r="M238" i="6" s="1"/>
  <c r="X239" i="5"/>
  <c r="I239" i="12" s="1"/>
  <c r="C239" i="12" s="1"/>
  <c r="N235" i="12"/>
  <c r="Y235" i="12"/>
  <c r="AF237" i="6"/>
  <c r="AH237" i="6"/>
  <c r="AS237" i="6"/>
  <c r="AM237" i="6"/>
  <c r="BE237" i="6"/>
  <c r="BD237" i="6"/>
  <c r="AK237" i="6"/>
  <c r="W240" i="5"/>
  <c r="H240" i="12" s="1"/>
  <c r="K240" i="5"/>
  <c r="A240" i="12"/>
  <c r="D240" i="5"/>
  <c r="B240" i="12" s="1"/>
  <c r="B240" i="5"/>
  <c r="B240" i="6"/>
  <c r="N240" i="5"/>
  <c r="D240" i="6" s="1"/>
  <c r="H240" i="6" s="1"/>
  <c r="T240" i="5" s="1"/>
  <c r="G240" i="5"/>
  <c r="E240" i="5"/>
  <c r="C241" i="5"/>
  <c r="H240" i="5"/>
  <c r="F240" i="5"/>
  <c r="AE240" i="5"/>
  <c r="AD240" i="5"/>
  <c r="J240" i="5"/>
  <c r="AV237" i="6"/>
  <c r="AO237" i="6"/>
  <c r="BA237" i="6"/>
  <c r="BC237" i="6"/>
  <c r="AD237" i="6"/>
  <c r="AR237" i="6"/>
  <c r="AY237" i="6"/>
  <c r="AI237" i="6"/>
  <c r="BF237" i="6"/>
  <c r="AU237" i="6"/>
  <c r="AC237" i="6"/>
  <c r="AZ237" i="6"/>
  <c r="AQ237" i="6"/>
  <c r="AB237" i="6"/>
  <c r="AT237" i="6"/>
  <c r="AN237" i="6"/>
  <c r="AP237" i="6"/>
  <c r="AX237" i="6"/>
  <c r="AE237" i="6"/>
  <c r="BG237" i="6"/>
  <c r="BB237" i="6"/>
  <c r="AJ237" i="6"/>
  <c r="J239" i="12"/>
  <c r="L239" i="12"/>
  <c r="G250" i="12"/>
  <c r="N236" i="12" l="1"/>
  <c r="Y236" i="12"/>
  <c r="W236" i="12" s="1"/>
  <c r="AS238" i="6"/>
  <c r="BG238" i="6"/>
  <c r="BE238" i="6"/>
  <c r="BF238" i="6"/>
  <c r="AY238" i="6"/>
  <c r="AX238" i="6"/>
  <c r="AV238" i="6"/>
  <c r="BC238" i="6"/>
  <c r="AP238" i="6"/>
  <c r="AN238" i="6"/>
  <c r="AT238" i="6"/>
  <c r="BA238" i="6"/>
  <c r="BD238" i="6"/>
  <c r="AR238" i="6"/>
  <c r="AZ238" i="6"/>
  <c r="AU238" i="6"/>
  <c r="AO238" i="6"/>
  <c r="AQ238" i="6"/>
  <c r="AM238" i="6"/>
  <c r="BB238" i="6"/>
  <c r="AH238" i="6"/>
  <c r="AI238" i="6"/>
  <c r="AC238" i="6"/>
  <c r="AF238" i="6"/>
  <c r="AK238" i="6"/>
  <c r="AE238" i="6"/>
  <c r="L238" i="5"/>
  <c r="AM238" i="5"/>
  <c r="I238" i="12"/>
  <c r="Z238" i="5"/>
  <c r="AG238" i="6"/>
  <c r="AB238" i="6"/>
  <c r="AJ238" i="6"/>
  <c r="A239" i="6"/>
  <c r="M239" i="6" s="1"/>
  <c r="AY239" i="6" s="1"/>
  <c r="AD238" i="6"/>
  <c r="K239" i="12"/>
  <c r="X236" i="12"/>
  <c r="M239" i="12"/>
  <c r="L239" i="5"/>
  <c r="AO239" i="12"/>
  <c r="AM239" i="5"/>
  <c r="Z239" i="5"/>
  <c r="O239" i="12"/>
  <c r="X235" i="12"/>
  <c r="W235" i="12"/>
  <c r="X240" i="5"/>
  <c r="L240" i="5" s="1"/>
  <c r="J240" i="12"/>
  <c r="L240" i="12"/>
  <c r="B241" i="6"/>
  <c r="D241" i="5"/>
  <c r="B241" i="12" s="1"/>
  <c r="W241" i="5"/>
  <c r="H241" i="12" s="1"/>
  <c r="J241" i="5"/>
  <c r="K241" i="5"/>
  <c r="F241" i="5"/>
  <c r="AE241" i="5"/>
  <c r="E241" i="5"/>
  <c r="C242" i="5"/>
  <c r="G241" i="5"/>
  <c r="H241" i="5"/>
  <c r="A241" i="12"/>
  <c r="AD241" i="5"/>
  <c r="N241" i="5"/>
  <c r="D241" i="6" s="1"/>
  <c r="H241" i="6" s="1"/>
  <c r="T241" i="5" s="1"/>
  <c r="B241" i="5"/>
  <c r="U236" i="12"/>
  <c r="V236" i="12"/>
  <c r="T236" i="12"/>
  <c r="G251" i="12"/>
  <c r="A240" i="6" l="1"/>
  <c r="M240" i="6" s="1"/>
  <c r="AQ240" i="6" s="1"/>
  <c r="AS239" i="6"/>
  <c r="AI239" i="6"/>
  <c r="AO239" i="6"/>
  <c r="BF239" i="6"/>
  <c r="BG239" i="6"/>
  <c r="BB239" i="6"/>
  <c r="AM239" i="6"/>
  <c r="AV239" i="6"/>
  <c r="AE239" i="6"/>
  <c r="AC239" i="6"/>
  <c r="AB238" i="5"/>
  <c r="BE239" i="6"/>
  <c r="AG239" i="6"/>
  <c r="AH239" i="6"/>
  <c r="AZ239" i="6"/>
  <c r="C238" i="12"/>
  <c r="AO238" i="12"/>
  <c r="M238" i="12"/>
  <c r="O238" i="12"/>
  <c r="AX239" i="6"/>
  <c r="AQ239" i="6"/>
  <c r="AU239" i="6"/>
  <c r="C238" i="6"/>
  <c r="AN239" i="6"/>
  <c r="AF239" i="6"/>
  <c r="BC239" i="6"/>
  <c r="BD239" i="6"/>
  <c r="AB239" i="6"/>
  <c r="AP239" i="6"/>
  <c r="AD239" i="6"/>
  <c r="BA239" i="6"/>
  <c r="AR239" i="6"/>
  <c r="AJ239" i="6"/>
  <c r="AK239" i="6"/>
  <c r="AT239" i="6"/>
  <c r="C239" i="6"/>
  <c r="AB239" i="5"/>
  <c r="K240" i="12"/>
  <c r="Y239" i="12"/>
  <c r="N239" i="12"/>
  <c r="T235" i="12"/>
  <c r="V235" i="12"/>
  <c r="U235" i="12"/>
  <c r="C240" i="6"/>
  <c r="I240" i="12"/>
  <c r="AM240" i="5"/>
  <c r="Z240" i="5"/>
  <c r="K242" i="5"/>
  <c r="B242" i="6"/>
  <c r="H242" i="5"/>
  <c r="A242" i="12"/>
  <c r="F242" i="5"/>
  <c r="AE242" i="5"/>
  <c r="E242" i="5"/>
  <c r="N242" i="5"/>
  <c r="D242" i="6" s="1"/>
  <c r="H242" i="6" s="1"/>
  <c r="T242" i="5" s="1"/>
  <c r="D242" i="5"/>
  <c r="B242" i="12" s="1"/>
  <c r="W242" i="5"/>
  <c r="H242" i="12" s="1"/>
  <c r="AD242" i="5"/>
  <c r="G242" i="5"/>
  <c r="B242" i="5"/>
  <c r="J242" i="5"/>
  <c r="C243" i="5"/>
  <c r="A241" i="6"/>
  <c r="M241" i="6" s="1"/>
  <c r="AH241" i="6" s="1"/>
  <c r="X241" i="5"/>
  <c r="L241" i="12"/>
  <c r="J241" i="12"/>
  <c r="G252" i="12"/>
  <c r="N238" i="12" l="1"/>
  <c r="AP240" i="6"/>
  <c r="AH240" i="6"/>
  <c r="AG240" i="6"/>
  <c r="AF240" i="6"/>
  <c r="BC240" i="6"/>
  <c r="BG240" i="6"/>
  <c r="BA240" i="6"/>
  <c r="AB240" i="6"/>
  <c r="BB240" i="6"/>
  <c r="AM240" i="6"/>
  <c r="AN240" i="6"/>
  <c r="AE240" i="6"/>
  <c r="AK240" i="6"/>
  <c r="AD240" i="6"/>
  <c r="AT240" i="6"/>
  <c r="AC240" i="6"/>
  <c r="BD240" i="6"/>
  <c r="AI240" i="6"/>
  <c r="AJ240" i="6"/>
  <c r="AZ240" i="6"/>
  <c r="BF240" i="6"/>
  <c r="AV240" i="6"/>
  <c r="AY240" i="6"/>
  <c r="AS240" i="6"/>
  <c r="AO240" i="6"/>
  <c r="AX240" i="6"/>
  <c r="AU240" i="6"/>
  <c r="BE240" i="6"/>
  <c r="AR240" i="6"/>
  <c r="Y238" i="12"/>
  <c r="X242" i="5"/>
  <c r="L242" i="5" s="1"/>
  <c r="C242" i="6" s="1"/>
  <c r="W239" i="12"/>
  <c r="X239" i="12"/>
  <c r="K241" i="12"/>
  <c r="AB240" i="5"/>
  <c r="O240" i="12"/>
  <c r="M240" i="12"/>
  <c r="C240" i="12"/>
  <c r="AO240" i="12"/>
  <c r="BE241" i="6"/>
  <c r="L242" i="12"/>
  <c r="J242" i="12"/>
  <c r="AP241" i="6"/>
  <c r="AK241" i="6"/>
  <c r="AM241" i="5"/>
  <c r="L241" i="5"/>
  <c r="Z241" i="5"/>
  <c r="I241" i="12"/>
  <c r="A242" i="6"/>
  <c r="M242" i="6" s="1"/>
  <c r="AF242" i="6" s="1"/>
  <c r="AZ241" i="6"/>
  <c r="AU241" i="6"/>
  <c r="AE241" i="6"/>
  <c r="AV241" i="6"/>
  <c r="BB241" i="6"/>
  <c r="AI241" i="6"/>
  <c r="AG241" i="6"/>
  <c r="AX241" i="6"/>
  <c r="BC241" i="6"/>
  <c r="AJ241" i="6"/>
  <c r="AQ241" i="6"/>
  <c r="AY241" i="6"/>
  <c r="C244" i="5"/>
  <c r="D243" i="5"/>
  <c r="B243" i="12" s="1"/>
  <c r="J243" i="5"/>
  <c r="AE243" i="5"/>
  <c r="H243" i="5"/>
  <c r="F243" i="5"/>
  <c r="A243" i="12"/>
  <c r="N243" i="5"/>
  <c r="D243" i="6" s="1"/>
  <c r="H243" i="6" s="1"/>
  <c r="T243" i="5" s="1"/>
  <c r="B243" i="6"/>
  <c r="B243" i="5"/>
  <c r="G243" i="5"/>
  <c r="E243" i="5"/>
  <c r="AD243" i="5"/>
  <c r="K243" i="5"/>
  <c r="W243" i="5"/>
  <c r="H243" i="12" s="1"/>
  <c r="AC241" i="6"/>
  <c r="BD241" i="6"/>
  <c r="BG241" i="6"/>
  <c r="AF241" i="6"/>
  <c r="AM241" i="6"/>
  <c r="AO241" i="6"/>
  <c r="BF241" i="6"/>
  <c r="AR241" i="6"/>
  <c r="BA241" i="6"/>
  <c r="AS241" i="6"/>
  <c r="AT241" i="6"/>
  <c r="AD241" i="6"/>
  <c r="AN241" i="6"/>
  <c r="AB241" i="6"/>
  <c r="G253" i="12"/>
  <c r="X238" i="12" l="1"/>
  <c r="W238" i="12"/>
  <c r="Z242" i="5"/>
  <c r="I242" i="12"/>
  <c r="C242" i="12" s="1"/>
  <c r="AM242" i="5"/>
  <c r="K242" i="12"/>
  <c r="Y240" i="12"/>
  <c r="X240" i="12" s="1"/>
  <c r="U239" i="12"/>
  <c r="V239" i="12"/>
  <c r="T239" i="12"/>
  <c r="N240" i="12"/>
  <c r="X243" i="5"/>
  <c r="L243" i="5" s="1"/>
  <c r="C243" i="6" s="1"/>
  <c r="AX242" i="6"/>
  <c r="A243" i="6"/>
  <c r="M243" i="6" s="1"/>
  <c r="AD243" i="6" s="1"/>
  <c r="K244" i="5"/>
  <c r="N244" i="5"/>
  <c r="D244" i="6" s="1"/>
  <c r="H244" i="6" s="1"/>
  <c r="T244" i="5" s="1"/>
  <c r="B244" i="5"/>
  <c r="A244" i="12"/>
  <c r="H244" i="5"/>
  <c r="G244" i="5"/>
  <c r="D244" i="5"/>
  <c r="B244" i="12" s="1"/>
  <c r="AE244" i="5"/>
  <c r="E244" i="5"/>
  <c r="AD244" i="5"/>
  <c r="J244" i="5"/>
  <c r="F244" i="5"/>
  <c r="B244" i="6"/>
  <c r="W244" i="5"/>
  <c r="H244" i="12" s="1"/>
  <c r="AB241" i="5"/>
  <c r="C241" i="6"/>
  <c r="AU242" i="6"/>
  <c r="AJ242" i="6"/>
  <c r="BD242" i="6"/>
  <c r="AN242" i="6"/>
  <c r="J243" i="12"/>
  <c r="L243" i="12"/>
  <c r="BB242" i="6"/>
  <c r="BC242" i="6"/>
  <c r="AB242" i="6"/>
  <c r="AQ242" i="6"/>
  <c r="AZ242" i="6"/>
  <c r="AK242" i="6"/>
  <c r="AS242" i="6"/>
  <c r="AD242" i="6"/>
  <c r="AH242" i="6"/>
  <c r="AR242" i="6"/>
  <c r="BE242" i="6"/>
  <c r="AG242" i="6"/>
  <c r="BG242" i="6"/>
  <c r="AT242" i="6"/>
  <c r="BA242" i="6"/>
  <c r="BF242" i="6"/>
  <c r="AY242" i="6"/>
  <c r="AI242" i="6"/>
  <c r="AO242" i="6"/>
  <c r="AV242" i="6"/>
  <c r="AE242" i="6"/>
  <c r="AM242" i="6"/>
  <c r="AC242" i="6"/>
  <c r="AP242" i="6"/>
  <c r="M241" i="12"/>
  <c r="AO241" i="12"/>
  <c r="O241" i="12"/>
  <c r="C241" i="12"/>
  <c r="G254" i="12"/>
  <c r="C245" i="5" l="1"/>
  <c r="O242" i="12"/>
  <c r="V238" i="12"/>
  <c r="U238" i="12"/>
  <c r="T238" i="12"/>
  <c r="AB242" i="5"/>
  <c r="AO242" i="12"/>
  <c r="M242" i="12"/>
  <c r="W240" i="12"/>
  <c r="U240" i="12" s="1"/>
  <c r="AM243" i="5"/>
  <c r="I243" i="12"/>
  <c r="O243" i="12" s="1"/>
  <c r="Z243" i="5"/>
  <c r="N241" i="12"/>
  <c r="BE243" i="6"/>
  <c r="AC243" i="6"/>
  <c r="BD243" i="6"/>
  <c r="AK243" i="6"/>
  <c r="AI243" i="6"/>
  <c r="BG243" i="6"/>
  <c r="AS243" i="6"/>
  <c r="A244" i="6"/>
  <c r="M244" i="6" s="1"/>
  <c r="AO244" i="6" s="1"/>
  <c r="AZ243" i="6"/>
  <c r="BF243" i="6"/>
  <c r="AH243" i="6"/>
  <c r="AB243" i="6"/>
  <c r="AV243" i="6"/>
  <c r="AY243" i="6"/>
  <c r="BA243" i="6"/>
  <c r="X244" i="5"/>
  <c r="AN243" i="6"/>
  <c r="AO243" i="6"/>
  <c r="BB243" i="6"/>
  <c r="AP243" i="6"/>
  <c r="AU243" i="6"/>
  <c r="Y241" i="12"/>
  <c r="J244" i="12"/>
  <c r="L244" i="12"/>
  <c r="BC243" i="6"/>
  <c r="AE243" i="6"/>
  <c r="AJ243" i="6"/>
  <c r="AQ243" i="6"/>
  <c r="AT243" i="6"/>
  <c r="AR243" i="6"/>
  <c r="AX243" i="6"/>
  <c r="K243" i="12"/>
  <c r="AF243" i="6"/>
  <c r="AM243" i="6"/>
  <c r="AG243" i="6"/>
  <c r="G255" i="12"/>
  <c r="AF245" i="5"/>
  <c r="AG245" i="5" l="1"/>
  <c r="S245" i="5"/>
  <c r="AE245" i="5"/>
  <c r="B245" i="6"/>
  <c r="A245" i="6" s="1"/>
  <c r="AD245" i="5"/>
  <c r="H245" i="5"/>
  <c r="F245" i="5"/>
  <c r="A245" i="12"/>
  <c r="W245" i="5"/>
  <c r="N245" i="5"/>
  <c r="D245" i="6" s="1"/>
  <c r="H245" i="6" s="1"/>
  <c r="T245" i="5" s="1"/>
  <c r="C246" i="5"/>
  <c r="B245" i="5"/>
  <c r="G245" i="5"/>
  <c r="E245" i="5"/>
  <c r="Y242" i="12"/>
  <c r="X242" i="12" s="1"/>
  <c r="N242" i="12"/>
  <c r="V240" i="12"/>
  <c r="T240" i="12"/>
  <c r="C243" i="12"/>
  <c r="AO243" i="12"/>
  <c r="Y243" i="12" s="1"/>
  <c r="X243" i="12" s="1"/>
  <c r="M243" i="12"/>
  <c r="N243" i="12" s="1"/>
  <c r="AB243" i="5"/>
  <c r="AR244" i="6"/>
  <c r="AV244" i="6"/>
  <c r="AJ244" i="6"/>
  <c r="AZ244" i="6"/>
  <c r="AE244" i="6"/>
  <c r="AS244" i="6"/>
  <c r="AT244" i="6"/>
  <c r="AI244" i="6"/>
  <c r="AC244" i="6"/>
  <c r="AK244" i="6"/>
  <c r="AY244" i="6"/>
  <c r="AN244" i="6"/>
  <c r="BC244" i="6"/>
  <c r="AH244" i="6"/>
  <c r="BD244" i="6"/>
  <c r="BG244" i="6"/>
  <c r="AQ244" i="6"/>
  <c r="BB244" i="6"/>
  <c r="AU244" i="6"/>
  <c r="AB244" i="6"/>
  <c r="AP244" i="6"/>
  <c r="AX244" i="6"/>
  <c r="BF244" i="6"/>
  <c r="AF244" i="6"/>
  <c r="AD244" i="6"/>
  <c r="AM244" i="6"/>
  <c r="BA244" i="6"/>
  <c r="AG244" i="6"/>
  <c r="BE244" i="6"/>
  <c r="K244" i="12"/>
  <c r="I244" i="12"/>
  <c r="AM244" i="5"/>
  <c r="L244" i="5"/>
  <c r="Z244" i="5"/>
  <c r="X241" i="12"/>
  <c r="W241" i="12"/>
  <c r="G256" i="12"/>
  <c r="M245" i="6" l="1"/>
  <c r="G245" i="6"/>
  <c r="B246" i="6"/>
  <c r="F246" i="5"/>
  <c r="W246" i="5"/>
  <c r="N246" i="5"/>
  <c r="D246" i="6" s="1"/>
  <c r="H246" i="6" s="1"/>
  <c r="T246" i="5" s="1"/>
  <c r="J246" i="5"/>
  <c r="E246" i="5"/>
  <c r="B246" i="5"/>
  <c r="G246" i="5"/>
  <c r="C247" i="5"/>
  <c r="D246" i="5"/>
  <c r="B246" i="12" s="1"/>
  <c r="AE246" i="5"/>
  <c r="K246" i="5"/>
  <c r="AD246" i="5"/>
  <c r="A246" i="12"/>
  <c r="H246" i="5"/>
  <c r="W242" i="12"/>
  <c r="U242" i="12" s="1"/>
  <c r="E245" i="12"/>
  <c r="F245" i="6"/>
  <c r="BF245" i="6"/>
  <c r="BD245" i="6"/>
  <c r="AU245" i="6"/>
  <c r="AO245" i="6"/>
  <c r="BA245" i="6"/>
  <c r="BG245" i="6"/>
  <c r="AM245" i="6"/>
  <c r="AR245" i="6"/>
  <c r="AY245" i="6"/>
  <c r="BB245" i="6"/>
  <c r="AP245" i="6"/>
  <c r="BE245" i="6"/>
  <c r="AX245" i="6"/>
  <c r="AS245" i="6"/>
  <c r="AV245" i="6"/>
  <c r="BC245" i="6"/>
  <c r="AZ245" i="6"/>
  <c r="AN245" i="6"/>
  <c r="AT245" i="6"/>
  <c r="AQ245" i="6"/>
  <c r="AB245" i="6"/>
  <c r="AJ245" i="6"/>
  <c r="AG245" i="6"/>
  <c r="AI245" i="6"/>
  <c r="AD245" i="6"/>
  <c r="AF245" i="6"/>
  <c r="AC245" i="6"/>
  <c r="AH245" i="6"/>
  <c r="AK245" i="6"/>
  <c r="AE245" i="6"/>
  <c r="W243" i="12"/>
  <c r="T243" i="12" s="1"/>
  <c r="V242" i="12"/>
  <c r="M244" i="12"/>
  <c r="AO244" i="12"/>
  <c r="O244" i="12"/>
  <c r="C244" i="12"/>
  <c r="AB244" i="5"/>
  <c r="C244" i="6"/>
  <c r="U241" i="12"/>
  <c r="T241" i="12"/>
  <c r="V241" i="12"/>
  <c r="G257" i="12"/>
  <c r="A246" i="6" l="1"/>
  <c r="M246" i="6" s="1"/>
  <c r="AU246" i="6" s="1"/>
  <c r="T242" i="12"/>
  <c r="G247" i="5"/>
  <c r="AE247" i="5"/>
  <c r="K247" i="5"/>
  <c r="F247" i="5"/>
  <c r="W247" i="5"/>
  <c r="N247" i="5"/>
  <c r="D247" i="6" s="1"/>
  <c r="H247" i="6" s="1"/>
  <c r="T247" i="5" s="1"/>
  <c r="X247" i="5" s="1"/>
  <c r="J247" i="5"/>
  <c r="E247" i="5"/>
  <c r="B247" i="5"/>
  <c r="AD247" i="5"/>
  <c r="B247" i="6"/>
  <c r="H247" i="5"/>
  <c r="D247" i="5"/>
  <c r="B247" i="12" s="1"/>
  <c r="A247" i="12"/>
  <c r="X246" i="5"/>
  <c r="V243" i="12"/>
  <c r="L246" i="12"/>
  <c r="J246" i="12"/>
  <c r="U243" i="12"/>
  <c r="N244" i="12"/>
  <c r="Y244" i="12"/>
  <c r="G258" i="12"/>
  <c r="K246" i="12" l="1"/>
  <c r="A247" i="6"/>
  <c r="M247" i="6" s="1"/>
  <c r="AM247" i="6" s="1"/>
  <c r="AJ246" i="6"/>
  <c r="AZ246" i="6"/>
  <c r="BE246" i="6"/>
  <c r="I246" i="12"/>
  <c r="O246" i="12" s="1"/>
  <c r="AN246" i="6"/>
  <c r="AG246" i="6"/>
  <c r="AR246" i="6"/>
  <c r="Z246" i="5"/>
  <c r="BG246" i="6"/>
  <c r="AX246" i="6"/>
  <c r="AS246" i="6"/>
  <c r="BD246" i="6"/>
  <c r="AH246" i="6"/>
  <c r="AY246" i="6"/>
  <c r="L246" i="5"/>
  <c r="C246" i="6" s="1"/>
  <c r="AF246" i="6"/>
  <c r="AM246" i="5"/>
  <c r="AQ246" i="6"/>
  <c r="AP246" i="6"/>
  <c r="BA246" i="6"/>
  <c r="BC246" i="6"/>
  <c r="BB246" i="6"/>
  <c r="AT246" i="6"/>
  <c r="AC246" i="6"/>
  <c r="AI246" i="6"/>
  <c r="AD246" i="6"/>
  <c r="AB246" i="6"/>
  <c r="AV246" i="6"/>
  <c r="AM246" i="6"/>
  <c r="AE246" i="6"/>
  <c r="AK246" i="6"/>
  <c r="AO246" i="6"/>
  <c r="BF246" i="6"/>
  <c r="J247" i="12"/>
  <c r="L247" i="12"/>
  <c r="C246" i="12"/>
  <c r="AO246" i="12"/>
  <c r="M246" i="12"/>
  <c r="I247" i="12"/>
  <c r="AM247" i="5"/>
  <c r="L247" i="5"/>
  <c r="Z247" i="5"/>
  <c r="X244" i="12"/>
  <c r="W244" i="12"/>
  <c r="G259" i="12"/>
  <c r="AK247" i="6" l="1"/>
  <c r="AF247" i="6"/>
  <c r="BF247" i="6"/>
  <c r="AY247" i="6"/>
  <c r="AZ247" i="6"/>
  <c r="AD247" i="6"/>
  <c r="AS247" i="6"/>
  <c r="AJ247" i="6"/>
  <c r="AH247" i="6"/>
  <c r="BG247" i="6"/>
  <c r="AQ247" i="6"/>
  <c r="BA247" i="6"/>
  <c r="AI247" i="6"/>
  <c r="AG247" i="6"/>
  <c r="AX247" i="6"/>
  <c r="AP247" i="6"/>
  <c r="AV247" i="6"/>
  <c r="AO247" i="6"/>
  <c r="BD247" i="6"/>
  <c r="BE247" i="6"/>
  <c r="BC247" i="6"/>
  <c r="BB247" i="6"/>
  <c r="AN247" i="6"/>
  <c r="AC247" i="6"/>
  <c r="AR247" i="6"/>
  <c r="AB247" i="6"/>
  <c r="AT247" i="6"/>
  <c r="AE247" i="6"/>
  <c r="AU247" i="6"/>
  <c r="AB246" i="5"/>
  <c r="K247" i="12"/>
  <c r="C248" i="5"/>
  <c r="N246" i="12"/>
  <c r="Y246" i="12"/>
  <c r="AB247" i="5"/>
  <c r="C247" i="6"/>
  <c r="C247" i="12"/>
  <c r="O247" i="12"/>
  <c r="AO247" i="12"/>
  <c r="M247" i="12"/>
  <c r="U244" i="12"/>
  <c r="V244" i="12"/>
  <c r="T244" i="12"/>
  <c r="G260" i="12"/>
  <c r="Y247" i="12" l="1"/>
  <c r="B248" i="6"/>
  <c r="A248" i="6" s="1"/>
  <c r="G248" i="5"/>
  <c r="B248" i="5"/>
  <c r="AE248" i="5"/>
  <c r="C249" i="5"/>
  <c r="W248" i="5"/>
  <c r="H248" i="12" s="1"/>
  <c r="A248" i="12"/>
  <c r="E248" i="5"/>
  <c r="F248" i="5"/>
  <c r="H248" i="5"/>
  <c r="N248" i="5"/>
  <c r="D248" i="6" s="1"/>
  <c r="AD248" i="5"/>
  <c r="N247" i="12"/>
  <c r="W247" i="12"/>
  <c r="X247" i="12"/>
  <c r="X246" i="12"/>
  <c r="W246" i="12"/>
  <c r="G261" i="12"/>
  <c r="A249" i="12" l="1"/>
  <c r="B249" i="5"/>
  <c r="C250" i="5"/>
  <c r="W249" i="5"/>
  <c r="H249" i="12" s="1"/>
  <c r="K249" i="5"/>
  <c r="N249" i="5"/>
  <c r="D249" i="6" s="1"/>
  <c r="H249" i="6" s="1"/>
  <c r="T249" i="5" s="1"/>
  <c r="AE249" i="5"/>
  <c r="AD249" i="5"/>
  <c r="E249" i="5"/>
  <c r="J249" i="5"/>
  <c r="D249" i="5"/>
  <c r="B249" i="12" s="1"/>
  <c r="F249" i="5"/>
  <c r="H249" i="5"/>
  <c r="G249" i="5"/>
  <c r="B249" i="6"/>
  <c r="AT248" i="6"/>
  <c r="AX248" i="6"/>
  <c r="AQ248" i="6"/>
  <c r="AR248" i="6"/>
  <c r="H248" i="6"/>
  <c r="AV248" i="6"/>
  <c r="AZ248" i="6"/>
  <c r="AN248" i="6"/>
  <c r="BF248" i="6"/>
  <c r="AO248" i="6"/>
  <c r="BA248" i="6"/>
  <c r="AM248" i="6"/>
  <c r="BE248" i="6"/>
  <c r="AS248" i="6"/>
  <c r="M248" i="6"/>
  <c r="AP248" i="6" s="1"/>
  <c r="BC248" i="6"/>
  <c r="BD248" i="6"/>
  <c r="BB248" i="6"/>
  <c r="BG248" i="6"/>
  <c r="AY248" i="6"/>
  <c r="AU248" i="6"/>
  <c r="V247" i="12"/>
  <c r="U247" i="12"/>
  <c r="T247" i="12"/>
  <c r="T246" i="12"/>
  <c r="U246" i="12"/>
  <c r="V246" i="12"/>
  <c r="G262" i="12"/>
  <c r="X249" i="5" l="1"/>
  <c r="I249" i="12" s="1"/>
  <c r="T248" i="5"/>
  <c r="AG248" i="6"/>
  <c r="AD248" i="6"/>
  <c r="AK248" i="6"/>
  <c r="AJ248" i="6"/>
  <c r="AF248" i="6"/>
  <c r="AC248" i="6"/>
  <c r="AH248" i="6"/>
  <c r="AI248" i="6"/>
  <c r="AE248" i="6"/>
  <c r="AB248" i="6"/>
  <c r="B250" i="5"/>
  <c r="E250" i="5"/>
  <c r="C251" i="5"/>
  <c r="B250" i="6"/>
  <c r="G250" i="5"/>
  <c r="AD250" i="5"/>
  <c r="D250" i="5"/>
  <c r="B250" i="12" s="1"/>
  <c r="H250" i="5"/>
  <c r="A250" i="12"/>
  <c r="AE250" i="5"/>
  <c r="N250" i="5"/>
  <c r="D250" i="6" s="1"/>
  <c r="H250" i="6" s="1"/>
  <c r="T250" i="5" s="1"/>
  <c r="W250" i="5"/>
  <c r="H250" i="12" s="1"/>
  <c r="F250" i="5"/>
  <c r="J250" i="5"/>
  <c r="K250" i="5"/>
  <c r="L249" i="5"/>
  <c r="C249" i="6" s="1"/>
  <c r="L249" i="12"/>
  <c r="O249" i="12" s="1"/>
  <c r="J249" i="12"/>
  <c r="M249" i="12" s="1"/>
  <c r="A249" i="6"/>
  <c r="M249" i="6" s="1"/>
  <c r="AF249" i="6" s="1"/>
  <c r="C249" i="12"/>
  <c r="AO249" i="12"/>
  <c r="G263" i="12"/>
  <c r="AM249" i="5" l="1"/>
  <c r="Z249" i="5"/>
  <c r="AB249" i="5" s="1"/>
  <c r="K249" i="12"/>
  <c r="N249" i="12"/>
  <c r="AU249" i="6"/>
  <c r="AM249" i="6"/>
  <c r="AP249" i="6"/>
  <c r="AQ249" i="6"/>
  <c r="BB249" i="6"/>
  <c r="BF249" i="6"/>
  <c r="L250" i="12"/>
  <c r="J250" i="12"/>
  <c r="AE249" i="6"/>
  <c r="BE249" i="6"/>
  <c r="BD249" i="6"/>
  <c r="AB249" i="6"/>
  <c r="AS249" i="6"/>
  <c r="AJ249" i="6"/>
  <c r="AK249" i="6"/>
  <c r="AH249" i="6"/>
  <c r="AR249" i="6"/>
  <c r="AI249" i="6"/>
  <c r="BA249" i="6"/>
  <c r="BC249" i="6"/>
  <c r="AD249" i="6"/>
  <c r="AG249" i="6"/>
  <c r="AV249" i="6"/>
  <c r="AX249" i="6"/>
  <c r="AN249" i="6"/>
  <c r="A250" i="6"/>
  <c r="M250" i="6" s="1"/>
  <c r="BG249" i="6"/>
  <c r="AY249" i="6"/>
  <c r="AO249" i="6"/>
  <c r="AC249" i="6"/>
  <c r="X250" i="5"/>
  <c r="AD251" i="5"/>
  <c r="E251" i="5"/>
  <c r="B251" i="5"/>
  <c r="A251" i="12"/>
  <c r="J251" i="5"/>
  <c r="F251" i="5"/>
  <c r="H251" i="5"/>
  <c r="C252" i="5"/>
  <c r="AE251" i="5"/>
  <c r="N251" i="5"/>
  <c r="D251" i="6" s="1"/>
  <c r="H251" i="6" s="1"/>
  <c r="T251" i="5" s="1"/>
  <c r="G251" i="5"/>
  <c r="K251" i="5"/>
  <c r="D251" i="5"/>
  <c r="B251" i="12" s="1"/>
  <c r="B251" i="6"/>
  <c r="W251" i="5"/>
  <c r="H251" i="12" s="1"/>
  <c r="AT249" i="6"/>
  <c r="AZ249" i="6"/>
  <c r="Y249" i="12"/>
  <c r="G264" i="12"/>
  <c r="A251" i="6" l="1"/>
  <c r="M251" i="6" s="1"/>
  <c r="BB251" i="6" s="1"/>
  <c r="C253" i="5"/>
  <c r="W252" i="5"/>
  <c r="H252" i="12" s="1"/>
  <c r="J252" i="5"/>
  <c r="A252" i="12"/>
  <c r="AE252" i="5"/>
  <c r="G252" i="5"/>
  <c r="B252" i="5"/>
  <c r="E252" i="5"/>
  <c r="B252" i="6"/>
  <c r="D252" i="5"/>
  <c r="B252" i="12" s="1"/>
  <c r="F252" i="5"/>
  <c r="K252" i="5"/>
  <c r="N252" i="5"/>
  <c r="D252" i="6" s="1"/>
  <c r="AD252" i="5"/>
  <c r="H252" i="5"/>
  <c r="AM250" i="5"/>
  <c r="L250" i="5"/>
  <c r="I250" i="12"/>
  <c r="Z250" i="5"/>
  <c r="K250" i="12"/>
  <c r="L251" i="12"/>
  <c r="J251" i="12"/>
  <c r="AV250" i="6"/>
  <c r="AO250" i="6"/>
  <c r="AM250" i="6"/>
  <c r="AJ250" i="6"/>
  <c r="AH250" i="6"/>
  <c r="AI250" i="6"/>
  <c r="BE250" i="6"/>
  <c r="AX250" i="6"/>
  <c r="BA250" i="6"/>
  <c r="AD250" i="6"/>
  <c r="AK250" i="6"/>
  <c r="AU250" i="6"/>
  <c r="AN250" i="6"/>
  <c r="BG250" i="6"/>
  <c r="AQ250" i="6"/>
  <c r="AS250" i="6"/>
  <c r="AF250" i="6"/>
  <c r="AB250" i="6"/>
  <c r="AE250" i="6"/>
  <c r="AY250" i="6"/>
  <c r="AG250" i="6"/>
  <c r="BC250" i="6"/>
  <c r="BF250" i="6"/>
  <c r="BB250" i="6"/>
  <c r="BD250" i="6"/>
  <c r="AZ250" i="6"/>
  <c r="AP250" i="6"/>
  <c r="AC250" i="6"/>
  <c r="AT250" i="6"/>
  <c r="AR250" i="6"/>
  <c r="X251" i="5"/>
  <c r="W249" i="12"/>
  <c r="X249" i="12"/>
  <c r="G265" i="12"/>
  <c r="AF251" i="6" l="1"/>
  <c r="BG251" i="6"/>
  <c r="AB251" i="6"/>
  <c r="AG251" i="6"/>
  <c r="AH251" i="6"/>
  <c r="AM251" i="6"/>
  <c r="AV251" i="6"/>
  <c r="AO251" i="6"/>
  <c r="AZ251" i="6"/>
  <c r="BA251" i="6"/>
  <c r="AI251" i="6"/>
  <c r="BE251" i="6"/>
  <c r="AY251" i="6"/>
  <c r="BF251" i="6"/>
  <c r="AQ251" i="6"/>
  <c r="AP251" i="6"/>
  <c r="AX251" i="6"/>
  <c r="BC251" i="6"/>
  <c r="AN251" i="6"/>
  <c r="AJ251" i="6"/>
  <c r="AK251" i="6"/>
  <c r="AU251" i="6"/>
  <c r="BD251" i="6"/>
  <c r="AR251" i="6"/>
  <c r="AD251" i="6"/>
  <c r="AE251" i="6"/>
  <c r="AC251" i="6"/>
  <c r="AT251" i="6"/>
  <c r="AS251" i="6"/>
  <c r="K251" i="12"/>
  <c r="H252" i="6"/>
  <c r="J252" i="12"/>
  <c r="L252" i="12"/>
  <c r="AA250" i="5"/>
  <c r="AB250" i="5"/>
  <c r="AO250" i="12"/>
  <c r="M250" i="12"/>
  <c r="O250" i="12"/>
  <c r="C250" i="12"/>
  <c r="L251" i="5"/>
  <c r="I251" i="12"/>
  <c r="AM251" i="5"/>
  <c r="Z251" i="5"/>
  <c r="C250" i="6"/>
  <c r="O250" i="5"/>
  <c r="A252" i="6"/>
  <c r="M252" i="6" s="1"/>
  <c r="AM252" i="6" s="1"/>
  <c r="E253" i="5"/>
  <c r="N253" i="5"/>
  <c r="D253" i="6" s="1"/>
  <c r="D253" i="5"/>
  <c r="B253" i="12" s="1"/>
  <c r="W253" i="5"/>
  <c r="H253" i="12" s="1"/>
  <c r="B253" i="6"/>
  <c r="B253" i="5"/>
  <c r="F253" i="5"/>
  <c r="K253" i="5"/>
  <c r="J253" i="5"/>
  <c r="AE253" i="5"/>
  <c r="A253" i="12"/>
  <c r="AD253" i="5"/>
  <c r="G253" i="5"/>
  <c r="H253" i="5"/>
  <c r="C254" i="5"/>
  <c r="T249" i="12"/>
  <c r="V249" i="12"/>
  <c r="U249" i="12"/>
  <c r="G266" i="12"/>
  <c r="Y250" i="12" l="1"/>
  <c r="X250" i="12" s="1"/>
  <c r="K252" i="12"/>
  <c r="N250" i="12"/>
  <c r="A253" i="6"/>
  <c r="M253" i="6" s="1"/>
  <c r="AY253" i="6" s="1"/>
  <c r="AB251" i="5"/>
  <c r="AA251" i="5"/>
  <c r="T252" i="5"/>
  <c r="X252" i="5" s="1"/>
  <c r="AG252" i="6"/>
  <c r="AI252" i="6"/>
  <c r="AC252" i="6"/>
  <c r="AQ252" i="6"/>
  <c r="AU252" i="6"/>
  <c r="AB252" i="6"/>
  <c r="BA252" i="6"/>
  <c r="AF252" i="6"/>
  <c r="AE252" i="6"/>
  <c r="J253" i="12"/>
  <c r="L253" i="12"/>
  <c r="AO251" i="12"/>
  <c r="C251" i="12"/>
  <c r="M251" i="12"/>
  <c r="O251" i="12"/>
  <c r="N251" i="12" s="1"/>
  <c r="BC252" i="6"/>
  <c r="AN252" i="6"/>
  <c r="AP252" i="6"/>
  <c r="H253" i="6"/>
  <c r="O251" i="5"/>
  <c r="C251" i="6"/>
  <c r="AZ252" i="6"/>
  <c r="BE252" i="6"/>
  <c r="AJ252" i="6"/>
  <c r="BB252" i="6"/>
  <c r="W250" i="12"/>
  <c r="U250" i="12" s="1"/>
  <c r="BG252" i="6"/>
  <c r="BF252" i="6"/>
  <c r="BD252" i="6"/>
  <c r="AX252" i="6"/>
  <c r="AR252" i="6"/>
  <c r="AV252" i="6"/>
  <c r="AK252" i="6"/>
  <c r="AO252" i="6"/>
  <c r="AD252" i="6"/>
  <c r="E254" i="5"/>
  <c r="K254" i="5"/>
  <c r="C255" i="5"/>
  <c r="F254" i="5"/>
  <c r="A254" i="12"/>
  <c r="J254" i="5"/>
  <c r="D254" i="5"/>
  <c r="B254" i="12" s="1"/>
  <c r="H254" i="5"/>
  <c r="AE254" i="5"/>
  <c r="B254" i="6"/>
  <c r="AD254" i="5"/>
  <c r="N254" i="5"/>
  <c r="D254" i="6" s="1"/>
  <c r="H254" i="6" s="1"/>
  <c r="T254" i="5" s="1"/>
  <c r="W254" i="5"/>
  <c r="H254" i="12" s="1"/>
  <c r="B254" i="5"/>
  <c r="G254" i="5"/>
  <c r="D250" i="12"/>
  <c r="E250" i="6"/>
  <c r="AH252" i="6"/>
  <c r="AT252" i="6"/>
  <c r="AY252" i="6"/>
  <c r="AS252" i="6"/>
  <c r="G267" i="12"/>
  <c r="A254" i="6" l="1"/>
  <c r="M254" i="6" s="1"/>
  <c r="BA254" i="6" s="1"/>
  <c r="AK253" i="6"/>
  <c r="AJ253" i="6"/>
  <c r="V250" i="12"/>
  <c r="AD253" i="6"/>
  <c r="T250" i="12"/>
  <c r="AO253" i="6"/>
  <c r="AF253" i="6"/>
  <c r="AB253" i="6"/>
  <c r="Y251" i="12"/>
  <c r="X251" i="12" s="1"/>
  <c r="AQ253" i="6"/>
  <c r="AV253" i="6"/>
  <c r="K253" i="12"/>
  <c r="BC253" i="6"/>
  <c r="T253" i="5"/>
  <c r="X253" i="5" s="1"/>
  <c r="AC253" i="6"/>
  <c r="AH253" i="6"/>
  <c r="AE253" i="6"/>
  <c r="AI253" i="6"/>
  <c r="BB253" i="6"/>
  <c r="L254" i="12"/>
  <c r="J254" i="12"/>
  <c r="AZ253" i="6"/>
  <c r="AX253" i="6"/>
  <c r="AU253" i="6"/>
  <c r="E251" i="6"/>
  <c r="D251" i="12"/>
  <c r="X254" i="5"/>
  <c r="AR253" i="6"/>
  <c r="AM253" i="6"/>
  <c r="AT253" i="6"/>
  <c r="W255" i="5"/>
  <c r="H255" i="12" s="1"/>
  <c r="A255" i="12"/>
  <c r="D255" i="5"/>
  <c r="B255" i="12" s="1"/>
  <c r="H255" i="5"/>
  <c r="AE255" i="5"/>
  <c r="F255" i="5"/>
  <c r="K255" i="5"/>
  <c r="E255" i="5"/>
  <c r="C256" i="5"/>
  <c r="AD255" i="5"/>
  <c r="J255" i="5"/>
  <c r="N255" i="5"/>
  <c r="D255" i="6" s="1"/>
  <c r="H255" i="6" s="1"/>
  <c r="T255" i="5" s="1"/>
  <c r="B255" i="5"/>
  <c r="B255" i="6"/>
  <c r="G255" i="5"/>
  <c r="BE253" i="6"/>
  <c r="AG253" i="6"/>
  <c r="AN253" i="6"/>
  <c r="Z252" i="5"/>
  <c r="L252" i="5"/>
  <c r="AM252" i="5"/>
  <c r="I252" i="12"/>
  <c r="BF253" i="6"/>
  <c r="BG253" i="6"/>
  <c r="AP253" i="6"/>
  <c r="BA253" i="6"/>
  <c r="AS253" i="6"/>
  <c r="BD253" i="6"/>
  <c r="G268" i="12"/>
  <c r="X255" i="5" l="1"/>
  <c r="I255" i="12" s="1"/>
  <c r="BD254" i="6"/>
  <c r="AN254" i="6"/>
  <c r="AJ254" i="6"/>
  <c r="BB254" i="6"/>
  <c r="AR254" i="6"/>
  <c r="AB254" i="6"/>
  <c r="AC254" i="6"/>
  <c r="AI254" i="6"/>
  <c r="AV254" i="6"/>
  <c r="AQ254" i="6"/>
  <c r="BG254" i="6"/>
  <c r="AX254" i="6"/>
  <c r="AG254" i="6"/>
  <c r="AF254" i="6"/>
  <c r="AY254" i="6"/>
  <c r="AZ254" i="6"/>
  <c r="AS254" i="6"/>
  <c r="AE254" i="6"/>
  <c r="AT254" i="6"/>
  <c r="AH254" i="6"/>
  <c r="AK254" i="6"/>
  <c r="AD254" i="6"/>
  <c r="BC254" i="6"/>
  <c r="AO254" i="6"/>
  <c r="AU254" i="6"/>
  <c r="BF254" i="6"/>
  <c r="AM254" i="6"/>
  <c r="BE254" i="6"/>
  <c r="AP254" i="6"/>
  <c r="L255" i="5"/>
  <c r="W251" i="12"/>
  <c r="Z255" i="5"/>
  <c r="AA255" i="5" s="1"/>
  <c r="O252" i="12"/>
  <c r="AO252" i="12"/>
  <c r="C252" i="12"/>
  <c r="M252" i="12"/>
  <c r="A255" i="6"/>
  <c r="M255" i="6" s="1"/>
  <c r="BF255" i="6" s="1"/>
  <c r="Z254" i="5"/>
  <c r="L254" i="5"/>
  <c r="I254" i="12"/>
  <c r="AM254" i="5"/>
  <c r="AM255" i="5"/>
  <c r="AB252" i="5"/>
  <c r="AA252" i="5"/>
  <c r="C252" i="6"/>
  <c r="O252" i="5"/>
  <c r="L255" i="12"/>
  <c r="J255" i="12"/>
  <c r="K254" i="12"/>
  <c r="N256" i="5"/>
  <c r="D256" i="6" s="1"/>
  <c r="H256" i="6" s="1"/>
  <c r="T256" i="5" s="1"/>
  <c r="H256" i="5"/>
  <c r="B256" i="6"/>
  <c r="E256" i="5"/>
  <c r="C257" i="5"/>
  <c r="F256" i="5"/>
  <c r="G256" i="5"/>
  <c r="J256" i="5"/>
  <c r="B256" i="5"/>
  <c r="AD256" i="5"/>
  <c r="D256" i="5"/>
  <c r="B256" i="12" s="1"/>
  <c r="A256" i="12"/>
  <c r="AE256" i="5"/>
  <c r="K256" i="5"/>
  <c r="W256" i="5"/>
  <c r="H256" i="12" s="1"/>
  <c r="Z253" i="5"/>
  <c r="I253" i="12"/>
  <c r="L253" i="5"/>
  <c r="AM253" i="5"/>
  <c r="O255" i="5"/>
  <c r="C255" i="6"/>
  <c r="M255" i="12"/>
  <c r="C255" i="12"/>
  <c r="O255" i="12"/>
  <c r="AO255" i="12"/>
  <c r="G269" i="12"/>
  <c r="X256" i="5" l="1"/>
  <c r="AM256" i="5" s="1"/>
  <c r="AB255" i="5"/>
  <c r="K255" i="12"/>
  <c r="A256" i="6"/>
  <c r="M256" i="6" s="1"/>
  <c r="AD256" i="6" s="1"/>
  <c r="Z256" i="5"/>
  <c r="N252" i="12"/>
  <c r="L256" i="5"/>
  <c r="I256" i="12"/>
  <c r="M256" i="12" s="1"/>
  <c r="V251" i="12"/>
  <c r="U251" i="12"/>
  <c r="T251" i="12"/>
  <c r="AB253" i="5"/>
  <c r="AA253" i="5"/>
  <c r="J257" i="5"/>
  <c r="B257" i="6"/>
  <c r="D257" i="5"/>
  <c r="B257" i="12" s="1"/>
  <c r="B257" i="5"/>
  <c r="AE257" i="5"/>
  <c r="A257" i="12"/>
  <c r="E257" i="5"/>
  <c r="N257" i="5"/>
  <c r="D257" i="6" s="1"/>
  <c r="H257" i="6" s="1"/>
  <c r="T257" i="5" s="1"/>
  <c r="K257" i="5"/>
  <c r="F257" i="5"/>
  <c r="AD257" i="5"/>
  <c r="G257" i="5"/>
  <c r="W257" i="5"/>
  <c r="H257" i="12" s="1"/>
  <c r="C258" i="5"/>
  <c r="H257" i="5"/>
  <c r="AZ255" i="6"/>
  <c r="AB255" i="6"/>
  <c r="Y252" i="12"/>
  <c r="L256" i="12"/>
  <c r="J256" i="12"/>
  <c r="BA255" i="6"/>
  <c r="AK255" i="6"/>
  <c r="O254" i="12"/>
  <c r="M254" i="12"/>
  <c r="AO254" i="12"/>
  <c r="C254" i="12"/>
  <c r="AF255" i="6"/>
  <c r="O253" i="5"/>
  <c r="C253" i="6"/>
  <c r="E252" i="6"/>
  <c r="D252" i="12"/>
  <c r="C254" i="6"/>
  <c r="O254" i="5"/>
  <c r="AX255" i="6"/>
  <c r="Y255" i="12"/>
  <c r="W255" i="12" s="1"/>
  <c r="AO253" i="12"/>
  <c r="O253" i="12"/>
  <c r="C253" i="12"/>
  <c r="M253" i="12"/>
  <c r="AB254" i="5"/>
  <c r="AA254" i="5"/>
  <c r="BD255" i="6"/>
  <c r="AI255" i="6"/>
  <c r="AP255" i="6"/>
  <c r="BE255" i="6"/>
  <c r="AG255" i="6"/>
  <c r="AT255" i="6"/>
  <c r="AO255" i="6"/>
  <c r="BG255" i="6"/>
  <c r="AE255" i="6"/>
  <c r="BC255" i="6"/>
  <c r="AJ255" i="6"/>
  <c r="AS255" i="6"/>
  <c r="AQ255" i="6"/>
  <c r="AR255" i="6"/>
  <c r="AD255" i="6"/>
  <c r="AY255" i="6"/>
  <c r="AV255" i="6"/>
  <c r="AC255" i="6"/>
  <c r="AM255" i="6"/>
  <c r="AU255" i="6"/>
  <c r="BB255" i="6"/>
  <c r="AN255" i="6"/>
  <c r="AH255" i="6"/>
  <c r="E255" i="6"/>
  <c r="D255" i="12"/>
  <c r="AB256" i="5"/>
  <c r="AA256" i="5"/>
  <c r="C256" i="6"/>
  <c r="O256" i="5"/>
  <c r="N255" i="12"/>
  <c r="O256" i="12"/>
  <c r="G270" i="12"/>
  <c r="AO256" i="12" l="1"/>
  <c r="C256" i="12"/>
  <c r="X255" i="12"/>
  <c r="K256" i="12"/>
  <c r="N253" i="12"/>
  <c r="Y254" i="12"/>
  <c r="X254" i="12" s="1"/>
  <c r="AU256" i="6"/>
  <c r="X257" i="5"/>
  <c r="L257" i="5" s="1"/>
  <c r="C257" i="6" s="1"/>
  <c r="AY256" i="6"/>
  <c r="AT256" i="6"/>
  <c r="AX256" i="6"/>
  <c r="AR256" i="6"/>
  <c r="AF256" i="6"/>
  <c r="BG256" i="6"/>
  <c r="AN256" i="6"/>
  <c r="BD256" i="6"/>
  <c r="BE256" i="6"/>
  <c r="AQ256" i="6"/>
  <c r="AZ256" i="6"/>
  <c r="AJ256" i="6"/>
  <c r="AI256" i="6"/>
  <c r="AH256" i="6"/>
  <c r="AM256" i="6"/>
  <c r="AS256" i="6"/>
  <c r="BF256" i="6"/>
  <c r="AP256" i="6"/>
  <c r="AG256" i="6"/>
  <c r="AO256" i="6"/>
  <c r="AV256" i="6"/>
  <c r="BC256" i="6"/>
  <c r="AK256" i="6"/>
  <c r="AE256" i="6"/>
  <c r="BB256" i="6"/>
  <c r="AB256" i="6"/>
  <c r="AC256" i="6"/>
  <c r="BA256" i="6"/>
  <c r="N256" i="12"/>
  <c r="Y253" i="12"/>
  <c r="B258" i="5"/>
  <c r="K258" i="5"/>
  <c r="AD258" i="5"/>
  <c r="J258" i="5"/>
  <c r="D258" i="5"/>
  <c r="B258" i="12" s="1"/>
  <c r="W258" i="5"/>
  <c r="H258" i="12" s="1"/>
  <c r="F258" i="5"/>
  <c r="A258" i="12"/>
  <c r="B258" i="6"/>
  <c r="H258" i="5"/>
  <c r="N258" i="5"/>
  <c r="D258" i="6" s="1"/>
  <c r="E258" i="5"/>
  <c r="C259" i="5"/>
  <c r="G258" i="5"/>
  <c r="AE258" i="5"/>
  <c r="J257" i="12"/>
  <c r="L257" i="12"/>
  <c r="E253" i="6"/>
  <c r="D253" i="12"/>
  <c r="N254" i="12"/>
  <c r="X252" i="12"/>
  <c r="W252" i="12"/>
  <c r="A257" i="6"/>
  <c r="M257" i="6" s="1"/>
  <c r="E254" i="6"/>
  <c r="D254" i="12"/>
  <c r="D256" i="12"/>
  <c r="E256" i="6"/>
  <c r="Y256" i="12"/>
  <c r="V255" i="12"/>
  <c r="T255" i="12"/>
  <c r="U255" i="12"/>
  <c r="G271" i="12"/>
  <c r="W254" i="12" l="1"/>
  <c r="Z257" i="5"/>
  <c r="AB257" i="5" s="1"/>
  <c r="O257" i="5"/>
  <c r="AM257" i="5"/>
  <c r="I257" i="12"/>
  <c r="K257" i="12"/>
  <c r="H258" i="6"/>
  <c r="F259" i="5"/>
  <c r="E259" i="5"/>
  <c r="W259" i="5"/>
  <c r="H259" i="12" s="1"/>
  <c r="C260" i="5"/>
  <c r="N259" i="5"/>
  <c r="D259" i="6" s="1"/>
  <c r="G259" i="5"/>
  <c r="H259" i="5"/>
  <c r="AE259" i="5"/>
  <c r="D259" i="5"/>
  <c r="B259" i="12" s="1"/>
  <c r="B259" i="6"/>
  <c r="K259" i="5"/>
  <c r="J259" i="5"/>
  <c r="B259" i="5"/>
  <c r="AD259" i="5"/>
  <c r="A259" i="12"/>
  <c r="A258" i="6"/>
  <c r="M258" i="6" s="1"/>
  <c r="BD258" i="6" s="1"/>
  <c r="L258" i="12"/>
  <c r="J258" i="12"/>
  <c r="V254" i="12"/>
  <c r="T254" i="12"/>
  <c r="U254" i="12"/>
  <c r="AP257" i="6"/>
  <c r="AH257" i="6"/>
  <c r="AK257" i="6"/>
  <c r="BE257" i="6"/>
  <c r="AO257" i="6"/>
  <c r="AF257" i="6"/>
  <c r="AX257" i="6"/>
  <c r="BC257" i="6"/>
  <c r="AM257" i="6"/>
  <c r="AN257" i="6"/>
  <c r="AU257" i="6"/>
  <c r="AC257" i="6"/>
  <c r="AQ257" i="6"/>
  <c r="AY257" i="6"/>
  <c r="AB257" i="6"/>
  <c r="AI257" i="6"/>
  <c r="AD257" i="6"/>
  <c r="BA257" i="6"/>
  <c r="AS257" i="6"/>
  <c r="AZ257" i="6"/>
  <c r="AR257" i="6"/>
  <c r="AJ257" i="6"/>
  <c r="AG257" i="6"/>
  <c r="BB257" i="6"/>
  <c r="AV257" i="6"/>
  <c r="BG257" i="6"/>
  <c r="BD257" i="6"/>
  <c r="AT257" i="6"/>
  <c r="BF257" i="6"/>
  <c r="AE257" i="6"/>
  <c r="U252" i="12"/>
  <c r="V252" i="12"/>
  <c r="T252" i="12"/>
  <c r="W253" i="12"/>
  <c r="X253" i="12"/>
  <c r="X256" i="12"/>
  <c r="W256" i="12"/>
  <c r="E257" i="6"/>
  <c r="D257" i="12"/>
  <c r="G272" i="12"/>
  <c r="AA257" i="5" l="1"/>
  <c r="C257" i="12"/>
  <c r="M257" i="12"/>
  <c r="AO257" i="12"/>
  <c r="O257" i="12"/>
  <c r="A259" i="6"/>
  <c r="M259" i="6" s="1"/>
  <c r="BF259" i="6" s="1"/>
  <c r="K258" i="12"/>
  <c r="AC258" i="6"/>
  <c r="AM258" i="6"/>
  <c r="BC258" i="6"/>
  <c r="AB258" i="6"/>
  <c r="V253" i="12"/>
  <c r="U253" i="12"/>
  <c r="T253" i="12"/>
  <c r="J259" i="12"/>
  <c r="L259" i="12"/>
  <c r="AS258" i="6"/>
  <c r="AY258" i="6"/>
  <c r="H259" i="6"/>
  <c r="AX258" i="6"/>
  <c r="C261" i="5"/>
  <c r="W260" i="5"/>
  <c r="H260" i="12" s="1"/>
  <c r="G260" i="5"/>
  <c r="F260" i="5"/>
  <c r="AE260" i="5"/>
  <c r="AD260" i="5"/>
  <c r="J260" i="5"/>
  <c r="B260" i="6"/>
  <c r="D260" i="5"/>
  <c r="B260" i="12" s="1"/>
  <c r="E260" i="5"/>
  <c r="N260" i="5"/>
  <c r="D260" i="6" s="1"/>
  <c r="B260" i="5"/>
  <c r="A260" i="12"/>
  <c r="H260" i="5"/>
  <c r="K260" i="5"/>
  <c r="T258" i="5"/>
  <c r="X258" i="5" s="1"/>
  <c r="AK258" i="6"/>
  <c r="AH258" i="6"/>
  <c r="AE258" i="6"/>
  <c r="AD258" i="6"/>
  <c r="AI258" i="6"/>
  <c r="AF258" i="6"/>
  <c r="AJ258" i="6"/>
  <c r="BG258" i="6"/>
  <c r="AO258" i="6"/>
  <c r="AU258" i="6"/>
  <c r="AV258" i="6"/>
  <c r="BA258" i="6"/>
  <c r="AR258" i="6"/>
  <c r="AZ258" i="6"/>
  <c r="AN258" i="6"/>
  <c r="BF258" i="6"/>
  <c r="AQ258" i="6"/>
  <c r="BB258" i="6"/>
  <c r="AT258" i="6"/>
  <c r="AP258" i="6"/>
  <c r="BE258" i="6"/>
  <c r="AG258" i="6"/>
  <c r="T256" i="12"/>
  <c r="U256" i="12"/>
  <c r="V256" i="12"/>
  <c r="G273" i="12"/>
  <c r="N257" i="12" l="1"/>
  <c r="K259" i="12"/>
  <c r="Y257" i="12"/>
  <c r="AE259" i="6"/>
  <c r="AR259" i="6"/>
  <c r="AV259" i="6"/>
  <c r="AM259" i="6"/>
  <c r="AS259" i="6"/>
  <c r="AT259" i="6"/>
  <c r="AX259" i="6"/>
  <c r="AQ259" i="6"/>
  <c r="AP259" i="6"/>
  <c r="AZ259" i="6"/>
  <c r="AN259" i="6"/>
  <c r="BG259" i="6"/>
  <c r="AO259" i="6"/>
  <c r="BD259" i="6"/>
  <c r="AU259" i="6"/>
  <c r="BC259" i="6"/>
  <c r="AY259" i="6"/>
  <c r="BB259" i="6"/>
  <c r="BA259" i="6"/>
  <c r="BE259" i="6"/>
  <c r="AF259" i="6"/>
  <c r="A260" i="6"/>
  <c r="M260" i="6" s="1"/>
  <c r="AM260" i="6" s="1"/>
  <c r="T259" i="5"/>
  <c r="X259" i="5" s="1"/>
  <c r="AI259" i="6"/>
  <c r="AG259" i="6"/>
  <c r="L258" i="5"/>
  <c r="I258" i="12"/>
  <c r="AM258" i="5"/>
  <c r="Z258" i="5"/>
  <c r="AJ259" i="6"/>
  <c r="AD259" i="6"/>
  <c r="J260" i="12"/>
  <c r="L260" i="12"/>
  <c r="AH259" i="6"/>
  <c r="H261" i="5"/>
  <c r="B261" i="5"/>
  <c r="J261" i="5"/>
  <c r="G261" i="5"/>
  <c r="N261" i="5"/>
  <c r="D261" i="6" s="1"/>
  <c r="H261" i="6" s="1"/>
  <c r="T261" i="5" s="1"/>
  <c r="AD261" i="5"/>
  <c r="D261" i="5"/>
  <c r="B261" i="12" s="1"/>
  <c r="E261" i="5"/>
  <c r="AE261" i="5"/>
  <c r="A261" i="12"/>
  <c r="F261" i="5"/>
  <c r="W261" i="5"/>
  <c r="H261" i="12" s="1"/>
  <c r="B261" i="6"/>
  <c r="K261" i="5"/>
  <c r="C262" i="5"/>
  <c r="AK259" i="6"/>
  <c r="AB259" i="6"/>
  <c r="H260" i="6"/>
  <c r="AC259" i="6"/>
  <c r="G274" i="12"/>
  <c r="K260" i="12" l="1"/>
  <c r="X261" i="5"/>
  <c r="L261" i="5" s="1"/>
  <c r="X257" i="12"/>
  <c r="W257" i="12"/>
  <c r="A261" i="6"/>
  <c r="M261" i="6" s="1"/>
  <c r="AF261" i="6" s="1"/>
  <c r="AC260" i="6"/>
  <c r="AH260" i="6"/>
  <c r="AY260" i="6"/>
  <c r="AU260" i="6"/>
  <c r="BA260" i="6"/>
  <c r="K262" i="5"/>
  <c r="E262" i="5"/>
  <c r="AE262" i="5"/>
  <c r="G262" i="5"/>
  <c r="F262" i="5"/>
  <c r="J262" i="5"/>
  <c r="W262" i="5"/>
  <c r="H262" i="12" s="1"/>
  <c r="B262" i="6"/>
  <c r="D262" i="5"/>
  <c r="B262" i="12" s="1"/>
  <c r="B262" i="5"/>
  <c r="C263" i="5"/>
  <c r="AD262" i="5"/>
  <c r="A262" i="12"/>
  <c r="H262" i="5"/>
  <c r="N262" i="5"/>
  <c r="D262" i="6" s="1"/>
  <c r="H262" i="6" s="1"/>
  <c r="T262" i="5" s="1"/>
  <c r="O258" i="12"/>
  <c r="M258" i="12"/>
  <c r="C258" i="12"/>
  <c r="AO258" i="12"/>
  <c r="BG260" i="6"/>
  <c r="BE260" i="6"/>
  <c r="BD260" i="6"/>
  <c r="AQ260" i="6"/>
  <c r="C258" i="6"/>
  <c r="O258" i="5"/>
  <c r="AP260" i="6"/>
  <c r="AZ260" i="6"/>
  <c r="BF260" i="6"/>
  <c r="AE260" i="6"/>
  <c r="AI260" i="6"/>
  <c r="AR260" i="6"/>
  <c r="AT260" i="6"/>
  <c r="AG260" i="6"/>
  <c r="AV260" i="6"/>
  <c r="BC260" i="6"/>
  <c r="AM259" i="5"/>
  <c r="I259" i="12"/>
  <c r="Z259" i="5"/>
  <c r="L259" i="5"/>
  <c r="AX260" i="6"/>
  <c r="BB260" i="6"/>
  <c r="T260" i="5"/>
  <c r="X260" i="5" s="1"/>
  <c r="AD260" i="6"/>
  <c r="AJ260" i="6"/>
  <c r="AB260" i="6"/>
  <c r="AN260" i="6"/>
  <c r="L261" i="12"/>
  <c r="J261" i="12"/>
  <c r="AF260" i="6"/>
  <c r="AO260" i="6"/>
  <c r="AS260" i="6"/>
  <c r="AA258" i="5"/>
  <c r="AB258" i="5"/>
  <c r="AK260" i="6"/>
  <c r="C261" i="6"/>
  <c r="O261" i="5"/>
  <c r="G275" i="12"/>
  <c r="I261" i="12" l="1"/>
  <c r="C261" i="12" s="1"/>
  <c r="X262" i="5"/>
  <c r="Z262" i="5" s="1"/>
  <c r="AM261" i="5"/>
  <c r="Z261" i="5"/>
  <c r="O261" i="12"/>
  <c r="M261" i="12"/>
  <c r="AO261" i="12"/>
  <c r="Y261" i="12" s="1"/>
  <c r="AP261" i="6"/>
  <c r="AZ261" i="6"/>
  <c r="AN261" i="6"/>
  <c r="V257" i="12"/>
  <c r="T257" i="12"/>
  <c r="U257" i="12"/>
  <c r="AQ261" i="6"/>
  <c r="AD261" i="6"/>
  <c r="BA261" i="6"/>
  <c r="AH261" i="6"/>
  <c r="AE261" i="6"/>
  <c r="AC261" i="6"/>
  <c r="BE261" i="6"/>
  <c r="N258" i="12"/>
  <c r="AK261" i="6"/>
  <c r="AM262" i="5"/>
  <c r="AU261" i="6"/>
  <c r="AG261" i="6"/>
  <c r="AV261" i="6"/>
  <c r="BD261" i="6"/>
  <c r="AT261" i="6"/>
  <c r="AB261" i="6"/>
  <c r="AY261" i="6"/>
  <c r="BG261" i="6"/>
  <c r="AI261" i="6"/>
  <c r="AM261" i="6"/>
  <c r="BF261" i="6"/>
  <c r="BB261" i="6"/>
  <c r="BC261" i="6"/>
  <c r="AX261" i="6"/>
  <c r="AJ261" i="6"/>
  <c r="AR261" i="6"/>
  <c r="AO261" i="6"/>
  <c r="AS261" i="6"/>
  <c r="K261" i="12"/>
  <c r="Y258" i="12"/>
  <c r="W258" i="12" s="1"/>
  <c r="J262" i="12"/>
  <c r="L262" i="12"/>
  <c r="G263" i="5"/>
  <c r="E263" i="5"/>
  <c r="B263" i="5"/>
  <c r="AE263" i="5"/>
  <c r="AD263" i="5"/>
  <c r="F263" i="5"/>
  <c r="W263" i="5"/>
  <c r="H263" i="12" s="1"/>
  <c r="B263" i="6"/>
  <c r="J263" i="5"/>
  <c r="H263" i="5"/>
  <c r="N263" i="5"/>
  <c r="D263" i="6" s="1"/>
  <c r="D263" i="5"/>
  <c r="B263" i="12" s="1"/>
  <c r="A263" i="12"/>
  <c r="C264" i="5"/>
  <c r="K263" i="5"/>
  <c r="O259" i="5"/>
  <c r="C259" i="6"/>
  <c r="AA259" i="5"/>
  <c r="AB259" i="5"/>
  <c r="A262" i="6"/>
  <c r="M262" i="6" s="1"/>
  <c r="L260" i="5"/>
  <c r="AM260" i="5"/>
  <c r="I260" i="12"/>
  <c r="Z260" i="5"/>
  <c r="C259" i="12"/>
  <c r="M259" i="12"/>
  <c r="AO259" i="12"/>
  <c r="O259" i="12"/>
  <c r="E258" i="6"/>
  <c r="D258" i="12"/>
  <c r="N261" i="12"/>
  <c r="AB262" i="5"/>
  <c r="AA262" i="5"/>
  <c r="E261" i="6"/>
  <c r="D261" i="12"/>
  <c r="G276" i="12"/>
  <c r="X261" i="12" l="1"/>
  <c r="W261" i="12"/>
  <c r="I262" i="12"/>
  <c r="M262" i="12" s="1"/>
  <c r="L262" i="5"/>
  <c r="AA261" i="5"/>
  <c r="AB261" i="5"/>
  <c r="N259" i="12"/>
  <c r="C262" i="12"/>
  <c r="K262" i="12"/>
  <c r="X258" i="12"/>
  <c r="Y259" i="12"/>
  <c r="H263" i="6"/>
  <c r="T263" i="5" s="1"/>
  <c r="X263" i="5" s="1"/>
  <c r="AB260" i="5"/>
  <c r="AA260" i="5"/>
  <c r="E259" i="6"/>
  <c r="D259" i="12"/>
  <c r="A263" i="6"/>
  <c r="M263" i="6" s="1"/>
  <c r="AZ263" i="6" s="1"/>
  <c r="M260" i="12"/>
  <c r="AO260" i="12"/>
  <c r="O260" i="12"/>
  <c r="C260" i="12"/>
  <c r="U258" i="12"/>
  <c r="T258" i="12"/>
  <c r="V258" i="12"/>
  <c r="N264" i="5"/>
  <c r="D264" i="6" s="1"/>
  <c r="AD264" i="5"/>
  <c r="B264" i="5"/>
  <c r="E264" i="5"/>
  <c r="G264" i="5"/>
  <c r="C265" i="5"/>
  <c r="D264" i="5"/>
  <c r="B264" i="12" s="1"/>
  <c r="H264" i="5"/>
  <c r="W264" i="5"/>
  <c r="H264" i="12" s="1"/>
  <c r="B264" i="6"/>
  <c r="A264" i="12"/>
  <c r="J264" i="5"/>
  <c r="AE264" i="5"/>
  <c r="F264" i="5"/>
  <c r="K264" i="5"/>
  <c r="O260" i="5"/>
  <c r="C260" i="6"/>
  <c r="L263" i="12"/>
  <c r="J263" i="12"/>
  <c r="AN262" i="6"/>
  <c r="AC262" i="6"/>
  <c r="AV262" i="6"/>
  <c r="BE262" i="6"/>
  <c r="AX262" i="6"/>
  <c r="AO262" i="6"/>
  <c r="BC262" i="6"/>
  <c r="AU262" i="6"/>
  <c r="AG262" i="6"/>
  <c r="AF262" i="6"/>
  <c r="AK262" i="6"/>
  <c r="AY262" i="6"/>
  <c r="AI262" i="6"/>
  <c r="BA262" i="6"/>
  <c r="AR262" i="6"/>
  <c r="BG262" i="6"/>
  <c r="AT262" i="6"/>
  <c r="AQ262" i="6"/>
  <c r="AZ262" i="6"/>
  <c r="BB262" i="6"/>
  <c r="AH262" i="6"/>
  <c r="AS262" i="6"/>
  <c r="AD262" i="6"/>
  <c r="AM262" i="6"/>
  <c r="AJ262" i="6"/>
  <c r="BF262" i="6"/>
  <c r="BD262" i="6"/>
  <c r="AB262" i="6"/>
  <c r="AP262" i="6"/>
  <c r="AE262" i="6"/>
  <c r="U261" i="12"/>
  <c r="V261" i="12"/>
  <c r="T261" i="12"/>
  <c r="G277" i="12"/>
  <c r="O262" i="12" l="1"/>
  <c r="AO262" i="12"/>
  <c r="C262" i="6"/>
  <c r="O262" i="5"/>
  <c r="Y262" i="12"/>
  <c r="W262" i="12" s="1"/>
  <c r="U262" i="12" s="1"/>
  <c r="N262" i="12"/>
  <c r="N260" i="12"/>
  <c r="X262" i="12"/>
  <c r="K263" i="12"/>
  <c r="A264" i="6"/>
  <c r="M264" i="6" s="1"/>
  <c r="AS264" i="6" s="1"/>
  <c r="AT263" i="6"/>
  <c r="BF263" i="6"/>
  <c r="AP263" i="6"/>
  <c r="AF263" i="6"/>
  <c r="AQ263" i="6"/>
  <c r="AN263" i="6"/>
  <c r="L264" i="12"/>
  <c r="J264" i="12"/>
  <c r="BC263" i="6"/>
  <c r="AE263" i="6"/>
  <c r="AR263" i="6"/>
  <c r="BE263" i="6"/>
  <c r="AO263" i="6"/>
  <c r="AU263" i="6"/>
  <c r="AB263" i="6"/>
  <c r="H264" i="6"/>
  <c r="Y260" i="12"/>
  <c r="AS263" i="6"/>
  <c r="AV263" i="6"/>
  <c r="AM263" i="6"/>
  <c r="BD263" i="6"/>
  <c r="D260" i="12"/>
  <c r="E260" i="6"/>
  <c r="AJ263" i="6"/>
  <c r="BA263" i="6"/>
  <c r="AD263" i="6"/>
  <c r="AX263" i="6"/>
  <c r="AH263" i="6"/>
  <c r="AG263" i="6"/>
  <c r="BB263" i="6"/>
  <c r="BG263" i="6"/>
  <c r="X259" i="12"/>
  <c r="W259" i="12"/>
  <c r="AI263" i="6"/>
  <c r="G265" i="5"/>
  <c r="E265" i="5"/>
  <c r="N265" i="5"/>
  <c r="D265" i="6" s="1"/>
  <c r="H265" i="6" s="1"/>
  <c r="T265" i="5" s="1"/>
  <c r="J265" i="5"/>
  <c r="B265" i="6"/>
  <c r="AE265" i="5"/>
  <c r="K265" i="5"/>
  <c r="C266" i="5"/>
  <c r="W265" i="5"/>
  <c r="H265" i="12" s="1"/>
  <c r="B265" i="5"/>
  <c r="AD265" i="5"/>
  <c r="D265" i="5"/>
  <c r="B265" i="12" s="1"/>
  <c r="F265" i="5"/>
  <c r="A265" i="12"/>
  <c r="H265" i="5"/>
  <c r="AY263" i="6"/>
  <c r="AM263" i="5"/>
  <c r="L263" i="5"/>
  <c r="I263" i="12"/>
  <c r="Z263" i="5"/>
  <c r="AK263" i="6"/>
  <c r="AC263" i="6"/>
  <c r="G278" i="12"/>
  <c r="E262" i="6" l="1"/>
  <c r="D262" i="12"/>
  <c r="V262" i="12"/>
  <c r="T262" i="12"/>
  <c r="X265" i="5"/>
  <c r="AM265" i="5" s="1"/>
  <c r="AR264" i="6"/>
  <c r="BE264" i="6"/>
  <c r="BF264" i="6"/>
  <c r="K264" i="12"/>
  <c r="AU264" i="6"/>
  <c r="AN264" i="6"/>
  <c r="AT264" i="6"/>
  <c r="AQ264" i="6"/>
  <c r="AM264" i="6"/>
  <c r="BA264" i="6"/>
  <c r="AY264" i="6"/>
  <c r="AP264" i="6"/>
  <c r="BG264" i="6"/>
  <c r="AV264" i="6"/>
  <c r="AX264" i="6"/>
  <c r="BD264" i="6"/>
  <c r="BB264" i="6"/>
  <c r="AO264" i="6"/>
  <c r="BC264" i="6"/>
  <c r="AZ264" i="6"/>
  <c r="G266" i="5"/>
  <c r="H266" i="5"/>
  <c r="J266" i="5"/>
  <c r="E266" i="5"/>
  <c r="F266" i="5"/>
  <c r="W266" i="5"/>
  <c r="H266" i="12" s="1"/>
  <c r="AD266" i="5"/>
  <c r="A266" i="12"/>
  <c r="B266" i="5"/>
  <c r="C267" i="5"/>
  <c r="B266" i="6"/>
  <c r="K266" i="5"/>
  <c r="AE266" i="5"/>
  <c r="N266" i="5"/>
  <c r="D266" i="6" s="1"/>
  <c r="H266" i="6" s="1"/>
  <c r="T266" i="5" s="1"/>
  <c r="X266" i="5" s="1"/>
  <c r="L266" i="5" s="1"/>
  <c r="D266" i="5"/>
  <c r="B266" i="12" s="1"/>
  <c r="U259" i="12"/>
  <c r="T259" i="12"/>
  <c r="V259" i="12"/>
  <c r="W260" i="12"/>
  <c r="X260" i="12"/>
  <c r="L265" i="12"/>
  <c r="J265" i="12"/>
  <c r="A265" i="6"/>
  <c r="M265" i="6" s="1"/>
  <c r="T264" i="5"/>
  <c r="X264" i="5" s="1"/>
  <c r="AG264" i="6"/>
  <c r="AC264" i="6"/>
  <c r="AJ264" i="6"/>
  <c r="AD264" i="6"/>
  <c r="AB264" i="6"/>
  <c r="AK264" i="6"/>
  <c r="AF264" i="6"/>
  <c r="AE264" i="6"/>
  <c r="Z265" i="5"/>
  <c r="AA265" i="5" s="1"/>
  <c r="L265" i="5"/>
  <c r="C265" i="6" s="1"/>
  <c r="AB263" i="5"/>
  <c r="AA263" i="5"/>
  <c r="AH264" i="6"/>
  <c r="AO263" i="12"/>
  <c r="C263" i="12"/>
  <c r="O263" i="12"/>
  <c r="M263" i="12"/>
  <c r="C263" i="6"/>
  <c r="O263" i="5"/>
  <c r="AI264" i="6"/>
  <c r="G279" i="12"/>
  <c r="I265" i="12" l="1"/>
  <c r="O265" i="5"/>
  <c r="AB265" i="5"/>
  <c r="AM266" i="5"/>
  <c r="I266" i="12"/>
  <c r="Z264" i="5"/>
  <c r="I264" i="12"/>
  <c r="AM264" i="5"/>
  <c r="L264" i="5"/>
  <c r="L266" i="12"/>
  <c r="J266" i="12"/>
  <c r="BD265" i="6"/>
  <c r="AP265" i="6"/>
  <c r="AB265" i="6"/>
  <c r="BG265" i="6"/>
  <c r="AQ265" i="6"/>
  <c r="AY265" i="6"/>
  <c r="AG265" i="6"/>
  <c r="AT265" i="6"/>
  <c r="AI265" i="6"/>
  <c r="AX265" i="6"/>
  <c r="AS265" i="6"/>
  <c r="AZ265" i="6"/>
  <c r="BC265" i="6"/>
  <c r="AN265" i="6"/>
  <c r="AK265" i="6"/>
  <c r="BE265" i="6"/>
  <c r="BB265" i="6"/>
  <c r="AO265" i="6"/>
  <c r="AV265" i="6"/>
  <c r="AU265" i="6"/>
  <c r="AF265" i="6"/>
  <c r="AR265" i="6"/>
  <c r="BA265" i="6"/>
  <c r="AM265" i="6"/>
  <c r="K265" i="12"/>
  <c r="BF265" i="6"/>
  <c r="AC265" i="6"/>
  <c r="AJ265" i="6"/>
  <c r="Z266" i="5"/>
  <c r="AA266" i="5" s="1"/>
  <c r="AH265" i="6"/>
  <c r="N263" i="12"/>
  <c r="AE265" i="6"/>
  <c r="V260" i="12"/>
  <c r="T260" i="12"/>
  <c r="U260" i="12"/>
  <c r="A266" i="6"/>
  <c r="M266" i="6" s="1"/>
  <c r="AD265" i="6"/>
  <c r="A267" i="12"/>
  <c r="J267" i="5"/>
  <c r="N267" i="5"/>
  <c r="D267" i="6" s="1"/>
  <c r="H267" i="6" s="1"/>
  <c r="T267" i="5" s="1"/>
  <c r="F267" i="5"/>
  <c r="W267" i="5"/>
  <c r="H267" i="12" s="1"/>
  <c r="E267" i="5"/>
  <c r="D267" i="5"/>
  <c r="B267" i="12" s="1"/>
  <c r="C268" i="5"/>
  <c r="K267" i="5"/>
  <c r="H267" i="5"/>
  <c r="G267" i="5"/>
  <c r="AD267" i="5"/>
  <c r="B267" i="6"/>
  <c r="B267" i="5"/>
  <c r="AE267" i="5"/>
  <c r="D263" i="12"/>
  <c r="E263" i="6"/>
  <c r="Y263" i="12"/>
  <c r="C266" i="6"/>
  <c r="O266" i="5"/>
  <c r="C266" i="12"/>
  <c r="M266" i="12"/>
  <c r="AO266" i="12"/>
  <c r="O266" i="12"/>
  <c r="D265" i="12"/>
  <c r="E265" i="6"/>
  <c r="G280" i="12"/>
  <c r="M265" i="12" l="1"/>
  <c r="AO265" i="12"/>
  <c r="O265" i="12"/>
  <c r="N265" i="12" s="1"/>
  <c r="C265" i="12"/>
  <c r="X267" i="5"/>
  <c r="I267" i="12" s="1"/>
  <c r="K266" i="12"/>
  <c r="A267" i="6"/>
  <c r="M267" i="6" s="1"/>
  <c r="AE267" i="6" s="1"/>
  <c r="AF266" i="6"/>
  <c r="AV266" i="6"/>
  <c r="BG266" i="6"/>
  <c r="AM266" i="6"/>
  <c r="AS266" i="6"/>
  <c r="AC266" i="6"/>
  <c r="BC266" i="6"/>
  <c r="AI266" i="6"/>
  <c r="AT266" i="6"/>
  <c r="BF266" i="6"/>
  <c r="AP266" i="6"/>
  <c r="AG266" i="6"/>
  <c r="BA266" i="6"/>
  <c r="BD266" i="6"/>
  <c r="AR266" i="6"/>
  <c r="AU266" i="6"/>
  <c r="BB266" i="6"/>
  <c r="AB266" i="6"/>
  <c r="AO266" i="6"/>
  <c r="AX266" i="6"/>
  <c r="AK266" i="6"/>
  <c r="AD266" i="6"/>
  <c r="BE266" i="6"/>
  <c r="AH266" i="6"/>
  <c r="AN266" i="6"/>
  <c r="O264" i="5"/>
  <c r="C264" i="6"/>
  <c r="AE266" i="6"/>
  <c r="AB266" i="5"/>
  <c r="N268" i="5"/>
  <c r="D268" i="6" s="1"/>
  <c r="H268" i="6" s="1"/>
  <c r="T268" i="5" s="1"/>
  <c r="D268" i="5"/>
  <c r="B268" i="12" s="1"/>
  <c r="H268" i="5"/>
  <c r="AE268" i="5"/>
  <c r="K268" i="5"/>
  <c r="A268" i="12"/>
  <c r="B268" i="5"/>
  <c r="AD268" i="5"/>
  <c r="G268" i="5"/>
  <c r="E268" i="5"/>
  <c r="C269" i="5"/>
  <c r="W268" i="5"/>
  <c r="H268" i="12" s="1"/>
  <c r="J268" i="5"/>
  <c r="B268" i="6"/>
  <c r="F268" i="5"/>
  <c r="AQ266" i="6"/>
  <c r="C264" i="12"/>
  <c r="O264" i="12"/>
  <c r="M264" i="12"/>
  <c r="AO264" i="12"/>
  <c r="X263" i="12"/>
  <c r="W263" i="12"/>
  <c r="AY266" i="6"/>
  <c r="AJ266" i="6"/>
  <c r="AA264" i="5"/>
  <c r="AB264" i="5"/>
  <c r="AZ266" i="6"/>
  <c r="L267" i="12"/>
  <c r="J267" i="12"/>
  <c r="N266" i="12"/>
  <c r="AO267" i="12"/>
  <c r="C267" i="12"/>
  <c r="O267" i="12"/>
  <c r="M267" i="12"/>
  <c r="Y266" i="12"/>
  <c r="E266" i="6"/>
  <c r="D266" i="12"/>
  <c r="G281" i="12"/>
  <c r="Y265" i="12" l="1"/>
  <c r="L267" i="5"/>
  <c r="AJ267" i="6"/>
  <c r="BE267" i="6"/>
  <c r="BA267" i="6"/>
  <c r="AU267" i="6"/>
  <c r="Z267" i="5"/>
  <c r="AN267" i="6"/>
  <c r="AM267" i="5"/>
  <c r="BC267" i="6"/>
  <c r="AO267" i="6"/>
  <c r="AK267" i="6"/>
  <c r="AQ267" i="6"/>
  <c r="AM267" i="6"/>
  <c r="AT267" i="6"/>
  <c r="AI267" i="6"/>
  <c r="BG267" i="6"/>
  <c r="BD267" i="6"/>
  <c r="AD267" i="6"/>
  <c r="AH267" i="6"/>
  <c r="AG267" i="6"/>
  <c r="AF267" i="6"/>
  <c r="AB267" i="6"/>
  <c r="AP267" i="6"/>
  <c r="AC267" i="6"/>
  <c r="AR267" i="6"/>
  <c r="BF267" i="6"/>
  <c r="AX267" i="6"/>
  <c r="AS267" i="6"/>
  <c r="AV267" i="6"/>
  <c r="K267" i="12"/>
  <c r="AY267" i="6"/>
  <c r="AZ267" i="6"/>
  <c r="BB267" i="6"/>
  <c r="X268" i="5"/>
  <c r="Z268" i="5" s="1"/>
  <c r="N264" i="12"/>
  <c r="D269" i="5"/>
  <c r="B269" i="12" s="1"/>
  <c r="K269" i="5"/>
  <c r="AD269" i="5"/>
  <c r="G269" i="5"/>
  <c r="A269" i="12"/>
  <c r="E269" i="5"/>
  <c r="F269" i="5"/>
  <c r="W269" i="5"/>
  <c r="H269" i="12" s="1"/>
  <c r="J269" i="5"/>
  <c r="B269" i="5"/>
  <c r="H269" i="5"/>
  <c r="B269" i="6"/>
  <c r="C270" i="5"/>
  <c r="AE269" i="5"/>
  <c r="N269" i="5"/>
  <c r="D269" i="6" s="1"/>
  <c r="E264" i="6"/>
  <c r="D264" i="12"/>
  <c r="V263" i="12"/>
  <c r="T263" i="12"/>
  <c r="U263" i="12"/>
  <c r="N267" i="12"/>
  <c r="A268" i="6"/>
  <c r="M268" i="6" s="1"/>
  <c r="AS268" i="6" s="1"/>
  <c r="L268" i="12"/>
  <c r="J268" i="12"/>
  <c r="Y264" i="12"/>
  <c r="W266" i="12"/>
  <c r="X266" i="12"/>
  <c r="Y267" i="12"/>
  <c r="G282" i="12"/>
  <c r="X265" i="12" l="1"/>
  <c r="W265" i="12"/>
  <c r="O267" i="5"/>
  <c r="C267" i="6"/>
  <c r="AA267" i="5"/>
  <c r="AB267" i="5"/>
  <c r="L268" i="5"/>
  <c r="C268" i="6" s="1"/>
  <c r="AB268" i="5"/>
  <c r="AA268" i="5"/>
  <c r="I268" i="12"/>
  <c r="AM268" i="5"/>
  <c r="K268" i="12"/>
  <c r="AK268" i="6"/>
  <c r="BG268" i="6"/>
  <c r="H269" i="6"/>
  <c r="T269" i="5" s="1"/>
  <c r="X269" i="5" s="1"/>
  <c r="AN268" i="6"/>
  <c r="AJ268" i="6"/>
  <c r="AI268" i="6"/>
  <c r="AZ268" i="6"/>
  <c r="AH268" i="6"/>
  <c r="E270" i="5"/>
  <c r="G270" i="5"/>
  <c r="F270" i="5"/>
  <c r="W270" i="5"/>
  <c r="H270" i="12" s="1"/>
  <c r="AD270" i="5"/>
  <c r="J270" i="5"/>
  <c r="AE270" i="5"/>
  <c r="H270" i="5"/>
  <c r="A270" i="12"/>
  <c r="D270" i="5"/>
  <c r="B270" i="12" s="1"/>
  <c r="C271" i="5"/>
  <c r="B270" i="5"/>
  <c r="N270" i="5"/>
  <c r="D270" i="6" s="1"/>
  <c r="H270" i="6" s="1"/>
  <c r="T270" i="5" s="1"/>
  <c r="B270" i="6"/>
  <c r="K270" i="5"/>
  <c r="L269" i="12"/>
  <c r="J269" i="12"/>
  <c r="AG268" i="6"/>
  <c r="BB268" i="6"/>
  <c r="A269" i="6"/>
  <c r="M269" i="6" s="1"/>
  <c r="AS269" i="6" s="1"/>
  <c r="W264" i="12"/>
  <c r="X264" i="12"/>
  <c r="BD268" i="6"/>
  <c r="AP268" i="6"/>
  <c r="AO268" i="6"/>
  <c r="AR268" i="6"/>
  <c r="BC268" i="6"/>
  <c r="AY268" i="6"/>
  <c r="BE268" i="6"/>
  <c r="BF268" i="6"/>
  <c r="AT268" i="6"/>
  <c r="AE268" i="6"/>
  <c r="AM268" i="6"/>
  <c r="AC268" i="6"/>
  <c r="AU268" i="6"/>
  <c r="AX268" i="6"/>
  <c r="AB268" i="6"/>
  <c r="BA268" i="6"/>
  <c r="AD268" i="6"/>
  <c r="AV268" i="6"/>
  <c r="AF268" i="6"/>
  <c r="AQ268" i="6"/>
  <c r="U266" i="12"/>
  <c r="T266" i="12"/>
  <c r="V266" i="12"/>
  <c r="X267" i="12"/>
  <c r="W267" i="12"/>
  <c r="G283" i="12"/>
  <c r="T265" i="12" l="1"/>
  <c r="U265" i="12"/>
  <c r="V265" i="12"/>
  <c r="D267" i="12"/>
  <c r="E267" i="6"/>
  <c r="O268" i="5"/>
  <c r="AO268" i="12"/>
  <c r="O268" i="12"/>
  <c r="C268" i="12"/>
  <c r="M268" i="12"/>
  <c r="K269" i="12"/>
  <c r="X270" i="5"/>
  <c r="Z270" i="5" s="1"/>
  <c r="AB270" i="5" s="1"/>
  <c r="A270" i="6"/>
  <c r="M270" i="6" s="1"/>
  <c r="BD270" i="6" s="1"/>
  <c r="AB269" i="6"/>
  <c r="AK269" i="6"/>
  <c r="L270" i="12"/>
  <c r="J270" i="12"/>
  <c r="AM269" i="6"/>
  <c r="AR269" i="6"/>
  <c r="BF269" i="6"/>
  <c r="AT269" i="6"/>
  <c r="AI269" i="6"/>
  <c r="AQ269" i="6"/>
  <c r="AD269" i="6"/>
  <c r="AJ269" i="6"/>
  <c r="BA269" i="6"/>
  <c r="AE269" i="6"/>
  <c r="AV269" i="6"/>
  <c r="AN269" i="6"/>
  <c r="AX269" i="6"/>
  <c r="I269" i="12"/>
  <c r="L269" i="5"/>
  <c r="AM269" i="5"/>
  <c r="Z269" i="5"/>
  <c r="AP269" i="6"/>
  <c r="AZ269" i="6"/>
  <c r="BB269" i="6"/>
  <c r="U264" i="12"/>
  <c r="V264" i="12"/>
  <c r="T264" i="12"/>
  <c r="AG269" i="6"/>
  <c r="BC269" i="6"/>
  <c r="BD269" i="6"/>
  <c r="AU269" i="6"/>
  <c r="BG269" i="6"/>
  <c r="AF269" i="6"/>
  <c r="BE269" i="6"/>
  <c r="AO269" i="6"/>
  <c r="G271" i="5"/>
  <c r="D271" i="5"/>
  <c r="B271" i="12" s="1"/>
  <c r="AE271" i="5"/>
  <c r="A271" i="12"/>
  <c r="B271" i="6"/>
  <c r="H271" i="5"/>
  <c r="W271" i="5"/>
  <c r="H271" i="12" s="1"/>
  <c r="AD271" i="5"/>
  <c r="F271" i="5"/>
  <c r="B271" i="5"/>
  <c r="E271" i="5"/>
  <c r="K271" i="5"/>
  <c r="C272" i="5"/>
  <c r="N271" i="5"/>
  <c r="D271" i="6" s="1"/>
  <c r="H271" i="6" s="1"/>
  <c r="T271" i="5" s="1"/>
  <c r="J271" i="5"/>
  <c r="AC269" i="6"/>
  <c r="AH269" i="6"/>
  <c r="AY269" i="6"/>
  <c r="U267" i="12"/>
  <c r="T267" i="12"/>
  <c r="V267" i="12"/>
  <c r="G284" i="12"/>
  <c r="E268" i="6" l="1"/>
  <c r="D268" i="12"/>
  <c r="AA270" i="5"/>
  <c r="N268" i="12"/>
  <c r="Y268" i="12"/>
  <c r="X271" i="5"/>
  <c r="Z271" i="5" s="1"/>
  <c r="AB271" i="5" s="1"/>
  <c r="I270" i="12"/>
  <c r="L270" i="5"/>
  <c r="AM270" i="5"/>
  <c r="AG270" i="6"/>
  <c r="AK270" i="6"/>
  <c r="BF270" i="6"/>
  <c r="AF270" i="6"/>
  <c r="AZ270" i="6"/>
  <c r="BE270" i="6"/>
  <c r="AE270" i="6"/>
  <c r="AB270" i="6"/>
  <c r="AM270" i="6"/>
  <c r="AJ270" i="6"/>
  <c r="AH270" i="6"/>
  <c r="AI270" i="6"/>
  <c r="AU270" i="6"/>
  <c r="AQ270" i="6"/>
  <c r="AV270" i="6"/>
  <c r="BC270" i="6"/>
  <c r="AC270" i="6"/>
  <c r="BA270" i="6"/>
  <c r="AN270" i="6"/>
  <c r="AO270" i="6"/>
  <c r="AY270" i="6"/>
  <c r="A271" i="6"/>
  <c r="M271" i="6" s="1"/>
  <c r="AF271" i="6" s="1"/>
  <c r="AT270" i="6"/>
  <c r="AS270" i="6"/>
  <c r="AX270" i="6"/>
  <c r="AP270" i="6"/>
  <c r="AD270" i="6"/>
  <c r="AR270" i="6"/>
  <c r="BG270" i="6"/>
  <c r="BB270" i="6"/>
  <c r="AO269" i="12"/>
  <c r="C269" i="12"/>
  <c r="M269" i="12"/>
  <c r="O269" i="12"/>
  <c r="K270" i="12"/>
  <c r="A272" i="12"/>
  <c r="C273" i="5"/>
  <c r="W272" i="5"/>
  <c r="H272" i="12" s="1"/>
  <c r="G272" i="5"/>
  <c r="H272" i="5"/>
  <c r="J272" i="5"/>
  <c r="B272" i="5"/>
  <c r="B272" i="6"/>
  <c r="AE272" i="5"/>
  <c r="F272" i="5"/>
  <c r="N272" i="5"/>
  <c r="D272" i="6" s="1"/>
  <c r="H272" i="6" s="1"/>
  <c r="T272" i="5" s="1"/>
  <c r="X272" i="5" s="1"/>
  <c r="AM272" i="5" s="1"/>
  <c r="E272" i="5"/>
  <c r="D272" i="5"/>
  <c r="B272" i="12" s="1"/>
  <c r="AD272" i="5"/>
  <c r="K272" i="5"/>
  <c r="J271" i="12"/>
  <c r="L271" i="12"/>
  <c r="I271" i="12"/>
  <c r="AO271" i="12" s="1"/>
  <c r="AB269" i="5"/>
  <c r="AA269" i="5"/>
  <c r="O269" i="5"/>
  <c r="C269" i="6"/>
  <c r="G285" i="12"/>
  <c r="AM271" i="5" l="1"/>
  <c r="AA271" i="5"/>
  <c r="M271" i="12"/>
  <c r="C271" i="12"/>
  <c r="O271" i="12"/>
  <c r="L271" i="5"/>
  <c r="W268" i="12"/>
  <c r="X268" i="12"/>
  <c r="K271" i="12"/>
  <c r="L272" i="5"/>
  <c r="O272" i="5" s="1"/>
  <c r="N269" i="12"/>
  <c r="O270" i="5"/>
  <c r="C270" i="6"/>
  <c r="M270" i="12"/>
  <c r="C270" i="12"/>
  <c r="O270" i="12"/>
  <c r="AO270" i="12"/>
  <c r="AH271" i="6"/>
  <c r="AY271" i="6"/>
  <c r="BC271" i="6"/>
  <c r="AX271" i="6"/>
  <c r="AU271" i="6"/>
  <c r="BF271" i="6"/>
  <c r="AI271" i="6"/>
  <c r="AE271" i="6"/>
  <c r="AS271" i="6"/>
  <c r="BB271" i="6"/>
  <c r="AB271" i="6"/>
  <c r="BA271" i="6"/>
  <c r="BE271" i="6"/>
  <c r="BG271" i="6"/>
  <c r="AD271" i="6"/>
  <c r="AR271" i="6"/>
  <c r="AG271" i="6"/>
  <c r="AK271" i="6"/>
  <c r="AT271" i="6"/>
  <c r="BD271" i="6"/>
  <c r="AO271" i="6"/>
  <c r="AP271" i="6"/>
  <c r="Z272" i="5"/>
  <c r="AB272" i="5" s="1"/>
  <c r="AC271" i="6"/>
  <c r="AV271" i="6"/>
  <c r="AZ271" i="6"/>
  <c r="AQ271" i="6"/>
  <c r="AN271" i="6"/>
  <c r="AM271" i="6"/>
  <c r="AJ271" i="6"/>
  <c r="F273" i="5"/>
  <c r="J273" i="5"/>
  <c r="B273" i="5"/>
  <c r="A273" i="12"/>
  <c r="D273" i="5"/>
  <c r="B273" i="12" s="1"/>
  <c r="B273" i="6"/>
  <c r="AE273" i="5"/>
  <c r="E273" i="5"/>
  <c r="K273" i="5"/>
  <c r="H273" i="5"/>
  <c r="C274" i="5"/>
  <c r="N273" i="5"/>
  <c r="D273" i="6" s="1"/>
  <c r="H273" i="6" s="1"/>
  <c r="T273" i="5" s="1"/>
  <c r="G273" i="5"/>
  <c r="AD273" i="5"/>
  <c r="W273" i="5"/>
  <c r="H273" i="12" s="1"/>
  <c r="E269" i="6"/>
  <c r="D269" i="12"/>
  <c r="J272" i="12"/>
  <c r="L272" i="12"/>
  <c r="A272" i="6"/>
  <c r="M272" i="6" s="1"/>
  <c r="BD272" i="6" s="1"/>
  <c r="Y271" i="12"/>
  <c r="W271" i="12" s="1"/>
  <c r="I272" i="12"/>
  <c r="C272" i="12" s="1"/>
  <c r="N271" i="12"/>
  <c r="Y269" i="12"/>
  <c r="AA272" i="5"/>
  <c r="G286" i="12"/>
  <c r="X273" i="5" l="1"/>
  <c r="AM273" i="5" s="1"/>
  <c r="X271" i="12"/>
  <c r="N270" i="12"/>
  <c r="C272" i="6"/>
  <c r="U268" i="12"/>
  <c r="V268" i="12"/>
  <c r="T268" i="12"/>
  <c r="O271" i="5"/>
  <c r="C271" i="6"/>
  <c r="Y270" i="12"/>
  <c r="X270" i="12" s="1"/>
  <c r="AO272" i="12"/>
  <c r="O272" i="12"/>
  <c r="M272" i="12"/>
  <c r="E270" i="6"/>
  <c r="D270" i="12"/>
  <c r="L273" i="5"/>
  <c r="C273" i="6" s="1"/>
  <c r="I273" i="12"/>
  <c r="AO273" i="12" s="1"/>
  <c r="K272" i="12"/>
  <c r="A273" i="6"/>
  <c r="M273" i="6" s="1"/>
  <c r="AI273" i="6" s="1"/>
  <c r="AK272" i="6"/>
  <c r="AG272" i="6"/>
  <c r="AU272" i="6"/>
  <c r="AP272" i="6"/>
  <c r="AV272" i="6"/>
  <c r="BF272" i="6"/>
  <c r="AI272" i="6"/>
  <c r="AN272" i="6"/>
  <c r="AE272" i="6"/>
  <c r="BA272" i="6"/>
  <c r="AX272" i="6"/>
  <c r="AF272" i="6"/>
  <c r="AC272" i="6"/>
  <c r="AR272" i="6"/>
  <c r="AH272" i="6"/>
  <c r="BE272" i="6"/>
  <c r="AY272" i="6"/>
  <c r="BB272" i="6"/>
  <c r="BC272" i="6"/>
  <c r="AZ272" i="6"/>
  <c r="AT272" i="6"/>
  <c r="AO272" i="6"/>
  <c r="AS272" i="6"/>
  <c r="BG272" i="6"/>
  <c r="AD272" i="6"/>
  <c r="AJ272" i="6"/>
  <c r="AM272" i="6"/>
  <c r="AQ272" i="6"/>
  <c r="AB272" i="6"/>
  <c r="L273" i="12"/>
  <c r="J273" i="12"/>
  <c r="E274" i="5"/>
  <c r="AE274" i="5"/>
  <c r="AD274" i="5"/>
  <c r="D274" i="5"/>
  <c r="B274" i="12" s="1"/>
  <c r="J274" i="5"/>
  <c r="A274" i="12"/>
  <c r="B274" i="5"/>
  <c r="K274" i="5"/>
  <c r="B274" i="6"/>
  <c r="C275" i="5"/>
  <c r="W274" i="5"/>
  <c r="H274" i="12" s="1"/>
  <c r="N274" i="5"/>
  <c r="D274" i="6" s="1"/>
  <c r="H274" i="6" s="1"/>
  <c r="T274" i="5" s="1"/>
  <c r="X274" i="5" s="1"/>
  <c r="Z274" i="5" s="1"/>
  <c r="F274" i="5"/>
  <c r="G274" i="5"/>
  <c r="H274" i="5"/>
  <c r="Z273" i="5"/>
  <c r="AB273" i="5" s="1"/>
  <c r="X269" i="12"/>
  <c r="W269" i="12"/>
  <c r="V271" i="12"/>
  <c r="U271" i="12"/>
  <c r="T271" i="12"/>
  <c r="D272" i="12"/>
  <c r="E272" i="6"/>
  <c r="C273" i="12"/>
  <c r="O273" i="12"/>
  <c r="K17" i="5"/>
  <c r="G287" i="12"/>
  <c r="O273" i="5" l="1"/>
  <c r="N272" i="12"/>
  <c r="M273" i="12"/>
  <c r="Y272" i="12"/>
  <c r="E271" i="6"/>
  <c r="D271" i="12"/>
  <c r="W270" i="12"/>
  <c r="V270" i="12" s="1"/>
  <c r="AA273" i="5"/>
  <c r="K273" i="12"/>
  <c r="Y273" i="12"/>
  <c r="W273" i="12" s="1"/>
  <c r="AM274" i="5"/>
  <c r="I274" i="12"/>
  <c r="M274" i="12" s="1"/>
  <c r="J274" i="12"/>
  <c r="L274" i="12"/>
  <c r="T269" i="12"/>
  <c r="U269" i="12"/>
  <c r="V269" i="12"/>
  <c r="C276" i="5"/>
  <c r="G275" i="5"/>
  <c r="H275" i="5"/>
  <c r="K275" i="5"/>
  <c r="E275" i="5"/>
  <c r="AE275" i="5"/>
  <c r="AD275" i="5"/>
  <c r="N275" i="5"/>
  <c r="D275" i="6" s="1"/>
  <c r="A275" i="12"/>
  <c r="B275" i="6"/>
  <c r="F275" i="5"/>
  <c r="D275" i="5"/>
  <c r="B275" i="12" s="1"/>
  <c r="B275" i="5"/>
  <c r="W275" i="5"/>
  <c r="H275" i="12" s="1"/>
  <c r="J275" i="5"/>
  <c r="A274" i="6"/>
  <c r="M274" i="6" s="1"/>
  <c r="AM274" i="6" s="1"/>
  <c r="AE273" i="6"/>
  <c r="BG273" i="6"/>
  <c r="L274" i="5"/>
  <c r="C274" i="6" s="1"/>
  <c r="AQ273" i="6"/>
  <c r="AZ273" i="6"/>
  <c r="AT273" i="6"/>
  <c r="BC273" i="6"/>
  <c r="AF273" i="6"/>
  <c r="AN273" i="6"/>
  <c r="AS273" i="6"/>
  <c r="AX273" i="6"/>
  <c r="BF273" i="6"/>
  <c r="AC273" i="6"/>
  <c r="BA273" i="6"/>
  <c r="AM273" i="6"/>
  <c r="AH273" i="6"/>
  <c r="AB273" i="6"/>
  <c r="AG273" i="6"/>
  <c r="AP273" i="6"/>
  <c r="AV273" i="6"/>
  <c r="BB273" i="6"/>
  <c r="BD273" i="6"/>
  <c r="BE273" i="6"/>
  <c r="AY273" i="6"/>
  <c r="AU273" i="6"/>
  <c r="AJ273" i="6"/>
  <c r="AK273" i="6"/>
  <c r="AD273" i="6"/>
  <c r="AO273" i="6"/>
  <c r="AR273" i="6"/>
  <c r="W272" i="12"/>
  <c r="X272" i="12"/>
  <c r="AB274" i="5"/>
  <c r="AA274" i="5"/>
  <c r="E273" i="6"/>
  <c r="D273" i="12"/>
  <c r="N273" i="12"/>
  <c r="C274" i="12"/>
  <c r="O274" i="12"/>
  <c r="X273" i="12"/>
  <c r="G288" i="12"/>
  <c r="T270" i="12" l="1"/>
  <c r="U270" i="12"/>
  <c r="AO274" i="12"/>
  <c r="Y274" i="12" s="1"/>
  <c r="N274" i="12"/>
  <c r="K274" i="12"/>
  <c r="AD274" i="6"/>
  <c r="AC274" i="6"/>
  <c r="AS274" i="6"/>
  <c r="BC274" i="6"/>
  <c r="AO274" i="6"/>
  <c r="BD274" i="6"/>
  <c r="AH274" i="6"/>
  <c r="AV274" i="6"/>
  <c r="AN274" i="6"/>
  <c r="BA274" i="6"/>
  <c r="AR274" i="6"/>
  <c r="BE274" i="6"/>
  <c r="AB274" i="6"/>
  <c r="AX274" i="6"/>
  <c r="AJ274" i="6"/>
  <c r="BB274" i="6"/>
  <c r="AQ274" i="6"/>
  <c r="AU274" i="6"/>
  <c r="A275" i="6"/>
  <c r="M275" i="6" s="1"/>
  <c r="AV275" i="6" s="1"/>
  <c r="AE274" i="6"/>
  <c r="AP274" i="6"/>
  <c r="AZ274" i="6"/>
  <c r="AI274" i="6"/>
  <c r="J275" i="12"/>
  <c r="L275" i="12"/>
  <c r="G276" i="5"/>
  <c r="AD276" i="5"/>
  <c r="B276" i="5"/>
  <c r="W276" i="5"/>
  <c r="H276" i="12" s="1"/>
  <c r="K276" i="5"/>
  <c r="E276" i="5"/>
  <c r="D276" i="5"/>
  <c r="B276" i="12" s="1"/>
  <c r="B276" i="6"/>
  <c r="N276" i="5"/>
  <c r="D276" i="6" s="1"/>
  <c r="F276" i="5"/>
  <c r="H276" i="5"/>
  <c r="A276" i="12"/>
  <c r="J276" i="5"/>
  <c r="AE276" i="5"/>
  <c r="C277" i="5"/>
  <c r="AF274" i="6"/>
  <c r="AY274" i="6"/>
  <c r="O274" i="5"/>
  <c r="E274" i="6" s="1"/>
  <c r="BG274" i="6"/>
  <c r="AT274" i="6"/>
  <c r="AK274" i="6"/>
  <c r="H275" i="6"/>
  <c r="BF274" i="6"/>
  <c r="AG274" i="6"/>
  <c r="U273" i="12"/>
  <c r="V273" i="12"/>
  <c r="T273" i="12"/>
  <c r="U272" i="12"/>
  <c r="V272" i="12"/>
  <c r="T272" i="12"/>
  <c r="K81" i="5"/>
  <c r="K69" i="5"/>
  <c r="J64" i="5"/>
  <c r="J42" i="5"/>
  <c r="K42" i="5"/>
  <c r="K41" i="5"/>
  <c r="K25" i="5"/>
  <c r="AH16" i="13"/>
  <c r="AG16" i="13"/>
  <c r="AF18" i="13"/>
  <c r="AF16" i="13"/>
  <c r="AC18" i="13"/>
  <c r="AG18" i="13"/>
  <c r="AH18" i="13"/>
  <c r="AD18" i="13"/>
  <c r="AG22" i="13"/>
  <c r="AC15" i="13"/>
  <c r="AG15" i="13"/>
  <c r="AH15" i="13"/>
  <c r="AD15" i="13"/>
  <c r="AH20" i="13"/>
  <c r="AG23" i="13"/>
  <c r="AF21" i="13"/>
  <c r="AH23" i="13"/>
  <c r="AC21" i="13"/>
  <c r="AH17" i="13"/>
  <c r="AH19" i="13"/>
  <c r="AD19" i="13"/>
  <c r="AG19" i="13"/>
  <c r="AE15" i="13"/>
  <c r="AC16" i="13"/>
  <c r="AE19" i="13"/>
  <c r="AD16" i="13"/>
  <c r="AF19" i="13"/>
  <c r="AD17" i="13"/>
  <c r="AC22" i="13"/>
  <c r="AC20" i="13"/>
  <c r="AC23" i="13"/>
  <c r="AC17" i="13"/>
  <c r="AH22" i="13"/>
  <c r="AH21" i="13"/>
  <c r="AE20" i="13"/>
  <c r="AD23" i="13"/>
  <c r="AE17" i="13"/>
  <c r="AD22" i="13"/>
  <c r="AE21" i="13"/>
  <c r="AF20" i="13"/>
  <c r="AF23" i="13"/>
  <c r="AF17" i="13"/>
  <c r="AE22" i="13"/>
  <c r="AG21" i="13"/>
  <c r="AG20" i="13"/>
  <c r="AC12" i="13"/>
  <c r="AH12" i="13"/>
  <c r="AG12" i="13"/>
  <c r="AE12" i="13"/>
  <c r="AF12" i="13"/>
  <c r="G289" i="12"/>
  <c r="A276" i="6" l="1"/>
  <c r="M276" i="6" s="1"/>
  <c r="AZ276" i="6" s="1"/>
  <c r="AH275" i="6"/>
  <c r="BD275" i="6"/>
  <c r="D274" i="12"/>
  <c r="BA275" i="6"/>
  <c r="BB275" i="6"/>
  <c r="AN275" i="6"/>
  <c r="A277" i="12"/>
  <c r="AD277" i="5"/>
  <c r="B277" i="5"/>
  <c r="N277" i="5"/>
  <c r="D277" i="6" s="1"/>
  <c r="G277" i="5"/>
  <c r="K277" i="5"/>
  <c r="J277" i="5"/>
  <c r="B277" i="6"/>
  <c r="E277" i="5"/>
  <c r="AE277" i="5"/>
  <c r="C278" i="5"/>
  <c r="W277" i="5"/>
  <c r="H277" i="12" s="1"/>
  <c r="F277" i="5"/>
  <c r="D277" i="5"/>
  <c r="B277" i="12" s="1"/>
  <c r="H277" i="5"/>
  <c r="AI275" i="6"/>
  <c r="AS275" i="6"/>
  <c r="BE275" i="6"/>
  <c r="AZ275" i="6"/>
  <c r="AQ275" i="6"/>
  <c r="AY275" i="6"/>
  <c r="AJ275" i="6"/>
  <c r="AU275" i="6"/>
  <c r="BC275" i="6"/>
  <c r="BF275" i="6"/>
  <c r="L276" i="12"/>
  <c r="J276" i="12"/>
  <c r="BG275" i="6"/>
  <c r="AP275" i="6"/>
  <c r="AM275" i="6"/>
  <c r="AX275" i="6"/>
  <c r="AR275" i="6"/>
  <c r="AT275" i="6"/>
  <c r="AO275" i="6"/>
  <c r="T275" i="5"/>
  <c r="X275" i="5" s="1"/>
  <c r="AB275" i="6"/>
  <c r="AK275" i="6"/>
  <c r="AF275" i="6"/>
  <c r="AE275" i="6"/>
  <c r="AC275" i="6"/>
  <c r="AD275" i="6"/>
  <c r="AG275" i="6"/>
  <c r="H276" i="6"/>
  <c r="K275" i="12"/>
  <c r="X274" i="12"/>
  <c r="W274" i="12"/>
  <c r="D42" i="5"/>
  <c r="B42" i="12" s="1"/>
  <c r="I64" i="5"/>
  <c r="I65" i="5" s="1"/>
  <c r="M12" i="6"/>
  <c r="AQ276" i="6" l="1"/>
  <c r="AP276" i="6"/>
  <c r="AV276" i="6"/>
  <c r="BB276" i="6"/>
  <c r="AR276" i="6"/>
  <c r="BE276" i="6"/>
  <c r="AO276" i="6"/>
  <c r="AY276" i="6"/>
  <c r="BG276" i="6"/>
  <c r="BD276" i="6"/>
  <c r="BF276" i="6"/>
  <c r="BC276" i="6"/>
  <c r="AT276" i="6"/>
  <c r="AX276" i="6"/>
  <c r="AU276" i="6"/>
  <c r="AI276" i="6"/>
  <c r="AS276" i="6"/>
  <c r="BA276" i="6"/>
  <c r="AN276" i="6"/>
  <c r="AM276" i="6"/>
  <c r="A277" i="6"/>
  <c r="M277" i="6" s="1"/>
  <c r="AY277" i="6" s="1"/>
  <c r="AG276" i="6"/>
  <c r="AJ276" i="6"/>
  <c r="AB276" i="6"/>
  <c r="I275" i="12"/>
  <c r="Z275" i="5"/>
  <c r="L275" i="5"/>
  <c r="AM275" i="5"/>
  <c r="N278" i="5"/>
  <c r="D278" i="6" s="1"/>
  <c r="H278" i="6" s="1"/>
  <c r="T278" i="5" s="1"/>
  <c r="X278" i="5" s="1"/>
  <c r="L278" i="5" s="1"/>
  <c r="J278" i="5"/>
  <c r="C279" i="5"/>
  <c r="B278" i="5"/>
  <c r="AE278" i="5"/>
  <c r="G278" i="5"/>
  <c r="A278" i="12"/>
  <c r="E278" i="5"/>
  <c r="D278" i="5"/>
  <c r="B278" i="12" s="1"/>
  <c r="F278" i="5"/>
  <c r="W278" i="5"/>
  <c r="H278" i="12" s="1"/>
  <c r="H278" i="5"/>
  <c r="K278" i="5"/>
  <c r="AD278" i="5"/>
  <c r="B278" i="6"/>
  <c r="T276" i="5"/>
  <c r="X276" i="5" s="1"/>
  <c r="AF276" i="6"/>
  <c r="AH276" i="6"/>
  <c r="K276" i="12"/>
  <c r="AC276" i="6"/>
  <c r="AD276" i="6"/>
  <c r="AE276" i="6"/>
  <c r="AK276" i="6"/>
  <c r="L277" i="12"/>
  <c r="J277" i="12"/>
  <c r="H277" i="6"/>
  <c r="V274" i="12"/>
  <c r="U274" i="12"/>
  <c r="T274" i="12"/>
  <c r="K114" i="5"/>
  <c r="K109" i="5"/>
  <c r="K104" i="5"/>
  <c r="K102" i="5"/>
  <c r="K94" i="5"/>
  <c r="K87" i="5"/>
  <c r="X42" i="5"/>
  <c r="AM42" i="5" s="1"/>
  <c r="I66" i="5"/>
  <c r="AG17" i="13"/>
  <c r="AD20" i="13"/>
  <c r="AD12" i="13"/>
  <c r="AC19" i="13"/>
  <c r="AE23" i="13"/>
  <c r="AE16" i="13"/>
  <c r="AF22" i="13"/>
  <c r="AD21" i="13"/>
  <c r="AH14" i="13"/>
  <c r="AE14" i="13"/>
  <c r="BB277" i="6" l="1"/>
  <c r="AO277" i="6"/>
  <c r="AS277" i="6"/>
  <c r="AT277" i="6"/>
  <c r="BE277" i="6"/>
  <c r="BD277" i="6"/>
  <c r="BF277" i="6"/>
  <c r="AU277" i="6"/>
  <c r="AQ277" i="6"/>
  <c r="BG277" i="6"/>
  <c r="BC277" i="6"/>
  <c r="AZ277" i="6"/>
  <c r="BA277" i="6"/>
  <c r="AN277" i="6"/>
  <c r="AV277" i="6"/>
  <c r="AM277" i="6"/>
  <c r="AX277" i="6"/>
  <c r="AP277" i="6"/>
  <c r="AR277" i="6"/>
  <c r="AM278" i="5"/>
  <c r="K277" i="12"/>
  <c r="Z276" i="5"/>
  <c r="AM276" i="5"/>
  <c r="I276" i="12"/>
  <c r="L276" i="5"/>
  <c r="A278" i="6"/>
  <c r="M278" i="6" s="1"/>
  <c r="J278" i="12"/>
  <c r="L278" i="12"/>
  <c r="C275" i="6"/>
  <c r="O275" i="5"/>
  <c r="T277" i="5"/>
  <c r="X277" i="5" s="1"/>
  <c r="AB277" i="6"/>
  <c r="AJ277" i="6"/>
  <c r="AG277" i="6"/>
  <c r="AI277" i="6"/>
  <c r="AH277" i="6"/>
  <c r="AC277" i="6"/>
  <c r="AE277" i="6"/>
  <c r="AF277" i="6"/>
  <c r="AB275" i="5"/>
  <c r="AA275" i="5"/>
  <c r="I278" i="12"/>
  <c r="M278" i="12" s="1"/>
  <c r="O275" i="12"/>
  <c r="M275" i="12"/>
  <c r="AO275" i="12"/>
  <c r="C275" i="12"/>
  <c r="AD277" i="6"/>
  <c r="Z278" i="5"/>
  <c r="AB278" i="5" s="1"/>
  <c r="D279" i="5"/>
  <c r="B279" i="12" s="1"/>
  <c r="H279" i="5"/>
  <c r="C280" i="5"/>
  <c r="B279" i="6"/>
  <c r="B279" i="5"/>
  <c r="AD279" i="5"/>
  <c r="N279" i="5"/>
  <c r="D279" i="6" s="1"/>
  <c r="H279" i="6" s="1"/>
  <c r="T279" i="5" s="1"/>
  <c r="W279" i="5"/>
  <c r="H279" i="12" s="1"/>
  <c r="G279" i="5"/>
  <c r="E279" i="5"/>
  <c r="J279" i="5"/>
  <c r="F279" i="5"/>
  <c r="AE279" i="5"/>
  <c r="A279" i="12"/>
  <c r="K279" i="5"/>
  <c r="AK277" i="6"/>
  <c r="O278" i="5"/>
  <c r="C278" i="6"/>
  <c r="L42" i="5"/>
  <c r="C42" i="6" s="1"/>
  <c r="I42" i="12"/>
  <c r="J42" i="12" s="1"/>
  <c r="I67" i="5"/>
  <c r="Z42" i="5"/>
  <c r="M42" i="12"/>
  <c r="AB42" i="5"/>
  <c r="AA278" i="5" l="1"/>
  <c r="O278" i="12"/>
  <c r="C278" i="12"/>
  <c r="Y275" i="12"/>
  <c r="W275" i="12" s="1"/>
  <c r="AO278" i="12"/>
  <c r="Y278" i="12" s="1"/>
  <c r="X278" i="12" s="1"/>
  <c r="K278" i="12"/>
  <c r="BA278" i="6"/>
  <c r="AV278" i="6"/>
  <c r="AT278" i="6"/>
  <c r="AJ278" i="6"/>
  <c r="AM278" i="6"/>
  <c r="AN278" i="6"/>
  <c r="X279" i="5"/>
  <c r="AQ278" i="6"/>
  <c r="AB278" i="6"/>
  <c r="AD278" i="6"/>
  <c r="L279" i="12"/>
  <c r="J279" i="12"/>
  <c r="AF278" i="6"/>
  <c r="N275" i="12"/>
  <c r="AM277" i="5"/>
  <c r="L277" i="5"/>
  <c r="I277" i="12"/>
  <c r="Z277" i="5"/>
  <c r="AU278" i="6"/>
  <c r="AK278" i="6"/>
  <c r="AG278" i="6"/>
  <c r="BD278" i="6"/>
  <c r="AY278" i="6"/>
  <c r="AP278" i="6"/>
  <c r="AH278" i="6"/>
  <c r="A279" i="6"/>
  <c r="M279" i="6" s="1"/>
  <c r="AP279" i="6" s="1"/>
  <c r="AE278" i="6"/>
  <c r="BE278" i="6"/>
  <c r="D275" i="12"/>
  <c r="E275" i="6"/>
  <c r="O276" i="5"/>
  <c r="C276" i="6"/>
  <c r="BF278" i="6"/>
  <c r="N278" i="12"/>
  <c r="AR278" i="6"/>
  <c r="B280" i="5"/>
  <c r="K280" i="5"/>
  <c r="D280" i="5"/>
  <c r="B280" i="12" s="1"/>
  <c r="W280" i="5"/>
  <c r="H280" i="12" s="1"/>
  <c r="E280" i="5"/>
  <c r="H280" i="5"/>
  <c r="N280" i="5"/>
  <c r="D280" i="6" s="1"/>
  <c r="AE280" i="5"/>
  <c r="J280" i="5"/>
  <c r="A280" i="12"/>
  <c r="G280" i="5"/>
  <c r="B280" i="6"/>
  <c r="F280" i="5"/>
  <c r="AD280" i="5"/>
  <c r="C281" i="5"/>
  <c r="AO278" i="6"/>
  <c r="AS278" i="6"/>
  <c r="M276" i="12"/>
  <c r="AO276" i="12"/>
  <c r="C276" i="12"/>
  <c r="O276" i="12"/>
  <c r="BB278" i="6"/>
  <c r="AZ278" i="6"/>
  <c r="BG278" i="6"/>
  <c r="AI278" i="6"/>
  <c r="AC278" i="6"/>
  <c r="BC278" i="6"/>
  <c r="AB276" i="5"/>
  <c r="AA276" i="5"/>
  <c r="AX278" i="6"/>
  <c r="W278" i="12"/>
  <c r="D278" i="12"/>
  <c r="E278" i="6"/>
  <c r="K156" i="5"/>
  <c r="K154" i="5"/>
  <c r="K150" i="5"/>
  <c r="K144" i="5"/>
  <c r="K140" i="5"/>
  <c r="K136" i="5"/>
  <c r="K134" i="5"/>
  <c r="K131" i="5"/>
  <c r="K124" i="5"/>
  <c r="K64" i="5"/>
  <c r="D64" i="5" s="1"/>
  <c r="K119" i="5"/>
  <c r="AE18" i="13"/>
  <c r="AF15" i="13"/>
  <c r="C42" i="12"/>
  <c r="I68" i="5"/>
  <c r="AD14" i="13"/>
  <c r="AG14" i="13"/>
  <c r="AF14" i="13"/>
  <c r="AC14" i="13"/>
  <c r="X275" i="12" l="1"/>
  <c r="N276" i="12"/>
  <c r="BE279" i="6"/>
  <c r="A280" i="6"/>
  <c r="M280" i="6" s="1"/>
  <c r="AO280" i="6" s="1"/>
  <c r="AN279" i="6"/>
  <c r="Y276" i="12"/>
  <c r="W276" i="12" s="1"/>
  <c r="AU279" i="6"/>
  <c r="BB279" i="6"/>
  <c r="E276" i="6"/>
  <c r="D276" i="12"/>
  <c r="AX279" i="6"/>
  <c r="K279" i="12"/>
  <c r="AM279" i="5"/>
  <c r="L279" i="5"/>
  <c r="I279" i="12"/>
  <c r="Z279" i="5"/>
  <c r="AO279" i="6"/>
  <c r="AS279" i="6"/>
  <c r="AB279" i="6"/>
  <c r="B281" i="5"/>
  <c r="C282" i="5"/>
  <c r="AE281" i="5"/>
  <c r="G281" i="5"/>
  <c r="N281" i="5"/>
  <c r="D281" i="6" s="1"/>
  <c r="H281" i="6" s="1"/>
  <c r="T281" i="5" s="1"/>
  <c r="H281" i="5"/>
  <c r="AD281" i="5"/>
  <c r="E281" i="5"/>
  <c r="A281" i="12"/>
  <c r="D281" i="5"/>
  <c r="B281" i="12" s="1"/>
  <c r="K281" i="5"/>
  <c r="F281" i="5"/>
  <c r="B281" i="6"/>
  <c r="J281" i="5"/>
  <c r="W281" i="5"/>
  <c r="H281" i="12" s="1"/>
  <c r="H280" i="6"/>
  <c r="AK279" i="6"/>
  <c r="AQ279" i="6"/>
  <c r="AA277" i="5"/>
  <c r="AB277" i="5"/>
  <c r="AH279" i="6"/>
  <c r="AE279" i="6"/>
  <c r="C277" i="12"/>
  <c r="AO277" i="12"/>
  <c r="O277" i="12"/>
  <c r="M277" i="12"/>
  <c r="AY279" i="6"/>
  <c r="BF279" i="6"/>
  <c r="C277" i="6"/>
  <c r="O277" i="5"/>
  <c r="V275" i="12"/>
  <c r="T275" i="12"/>
  <c r="U275" i="12"/>
  <c r="AV279" i="6"/>
  <c r="BC279" i="6"/>
  <c r="AC279" i="6"/>
  <c r="AR279" i="6"/>
  <c r="AD279" i="6"/>
  <c r="AG279" i="6"/>
  <c r="BG279" i="6"/>
  <c r="AF279" i="6"/>
  <c r="BD279" i="6"/>
  <c r="BA279" i="6"/>
  <c r="AZ279" i="6"/>
  <c r="AM279" i="6"/>
  <c r="AI279" i="6"/>
  <c r="AT279" i="6"/>
  <c r="L280" i="12"/>
  <c r="J280" i="12"/>
  <c r="AJ279" i="6"/>
  <c r="T278" i="12"/>
  <c r="U278" i="12"/>
  <c r="V278" i="12"/>
  <c r="B64" i="12"/>
  <c r="X64" i="5"/>
  <c r="AB64" i="5"/>
  <c r="O42" i="12"/>
  <c r="AO42" i="12"/>
  <c r="I69" i="5"/>
  <c r="I70" i="5" s="1"/>
  <c r="X276" i="12" l="1"/>
  <c r="A281" i="6"/>
  <c r="M281" i="6" s="1"/>
  <c r="AG281" i="6" s="1"/>
  <c r="X281" i="5"/>
  <c r="Z281" i="5" s="1"/>
  <c r="Y277" i="12"/>
  <c r="AG280" i="6"/>
  <c r="BG280" i="6"/>
  <c r="AU280" i="6"/>
  <c r="AS280" i="6"/>
  <c r="AN280" i="6"/>
  <c r="AM280" i="6"/>
  <c r="BB280" i="6"/>
  <c r="BF280" i="6"/>
  <c r="BC280" i="6"/>
  <c r="AX280" i="6"/>
  <c r="AT280" i="6"/>
  <c r="AQ280" i="6"/>
  <c r="AZ280" i="6"/>
  <c r="AY280" i="6"/>
  <c r="AR280" i="6"/>
  <c r="BD280" i="6"/>
  <c r="AP280" i="6"/>
  <c r="BA280" i="6"/>
  <c r="BE280" i="6"/>
  <c r="AV280" i="6"/>
  <c r="H282" i="5"/>
  <c r="N282" i="5"/>
  <c r="D282" i="6" s="1"/>
  <c r="H282" i="6" s="1"/>
  <c r="T282" i="5" s="1"/>
  <c r="X282" i="5" s="1"/>
  <c r="AM282" i="5" s="1"/>
  <c r="W282" i="5"/>
  <c r="H282" i="12" s="1"/>
  <c r="F282" i="5"/>
  <c r="B282" i="6"/>
  <c r="J282" i="5"/>
  <c r="A282" i="12"/>
  <c r="C283" i="5"/>
  <c r="D282" i="5"/>
  <c r="B282" i="12" s="1"/>
  <c r="K282" i="5"/>
  <c r="AE282" i="5"/>
  <c r="AD282" i="5"/>
  <c r="E282" i="5"/>
  <c r="G282" i="5"/>
  <c r="B282" i="5"/>
  <c r="J281" i="12"/>
  <c r="L281" i="12"/>
  <c r="AA279" i="5"/>
  <c r="AB279" i="5"/>
  <c r="T276" i="12"/>
  <c r="V276" i="12"/>
  <c r="U276" i="12"/>
  <c r="E277" i="6"/>
  <c r="D277" i="12"/>
  <c r="N277" i="12"/>
  <c r="T280" i="5"/>
  <c r="X280" i="5" s="1"/>
  <c r="AF280" i="6"/>
  <c r="AI280" i="6"/>
  <c r="AD280" i="6"/>
  <c r="AK280" i="6"/>
  <c r="AC280" i="6"/>
  <c r="AE280" i="6"/>
  <c r="AB280" i="6"/>
  <c r="AH280" i="6"/>
  <c r="AJ280" i="6"/>
  <c r="M279" i="12"/>
  <c r="AO279" i="12"/>
  <c r="O279" i="12"/>
  <c r="C279" i="12"/>
  <c r="W277" i="12"/>
  <c r="X277" i="12"/>
  <c r="O279" i="5"/>
  <c r="C279" i="6"/>
  <c r="K280" i="12"/>
  <c r="K192" i="5"/>
  <c r="J188" i="5"/>
  <c r="K177" i="5"/>
  <c r="J144" i="5"/>
  <c r="D144" i="5" s="1"/>
  <c r="B144" i="12" s="1"/>
  <c r="O144" i="12" s="1"/>
  <c r="J119" i="5"/>
  <c r="D119" i="5" s="1"/>
  <c r="AB119" i="5" s="1"/>
  <c r="J177" i="5"/>
  <c r="J156" i="5"/>
  <c r="D156" i="5" s="1"/>
  <c r="B156" i="12" s="1"/>
  <c r="M156" i="12" s="1"/>
  <c r="J140" i="5"/>
  <c r="D140" i="5" s="1"/>
  <c r="B140" i="12" s="1"/>
  <c r="M140" i="12" s="1"/>
  <c r="J131" i="5"/>
  <c r="D131" i="5" s="1"/>
  <c r="X131" i="5" s="1"/>
  <c r="J87" i="5"/>
  <c r="D87" i="5" s="1"/>
  <c r="J114" i="5"/>
  <c r="D114" i="5" s="1"/>
  <c r="J136" i="5"/>
  <c r="D136" i="5" s="1"/>
  <c r="B136" i="12" s="1"/>
  <c r="O136" i="12" s="1"/>
  <c r="J109" i="5"/>
  <c r="D109" i="5" s="1"/>
  <c r="J154" i="5"/>
  <c r="D154" i="5" s="1"/>
  <c r="B154" i="12" s="1"/>
  <c r="M154" i="12" s="1"/>
  <c r="J104" i="5"/>
  <c r="D104" i="5" s="1"/>
  <c r="J150" i="5"/>
  <c r="D150" i="5" s="1"/>
  <c r="B150" i="12" s="1"/>
  <c r="M150" i="12" s="1"/>
  <c r="J124" i="5"/>
  <c r="D124" i="5" s="1"/>
  <c r="X124" i="5" s="1"/>
  <c r="Z124" i="5" s="1"/>
  <c r="J102" i="5"/>
  <c r="D102" i="5" s="1"/>
  <c r="J134" i="5"/>
  <c r="D134" i="5" s="1"/>
  <c r="B134" i="12" s="1"/>
  <c r="M134" i="12" s="1"/>
  <c r="J94" i="5"/>
  <c r="D94" i="5" s="1"/>
  <c r="K86" i="5"/>
  <c r="I64" i="12"/>
  <c r="AM64" i="5"/>
  <c r="L64" i="5"/>
  <c r="Z64" i="5"/>
  <c r="M64" i="12"/>
  <c r="AO64" i="12"/>
  <c r="O64" i="12"/>
  <c r="Y42" i="12"/>
  <c r="W42" i="12" s="1"/>
  <c r="N42" i="12"/>
  <c r="L42" i="12"/>
  <c r="K42" i="12" s="1"/>
  <c r="I71" i="5"/>
  <c r="AC281" i="6" l="1"/>
  <c r="AQ281" i="6"/>
  <c r="AK281" i="6"/>
  <c r="BD281" i="6"/>
  <c r="BE281" i="6"/>
  <c r="AU281" i="6"/>
  <c r="AP281" i="6"/>
  <c r="AH281" i="6"/>
  <c r="AX281" i="6"/>
  <c r="AN281" i="6"/>
  <c r="AB281" i="6"/>
  <c r="BF281" i="6"/>
  <c r="AE281" i="6"/>
  <c r="AZ281" i="6"/>
  <c r="BC281" i="6"/>
  <c r="AS281" i="6"/>
  <c r="AR281" i="6"/>
  <c r="BG281" i="6"/>
  <c r="BB281" i="6"/>
  <c r="AM281" i="6"/>
  <c r="AT281" i="6"/>
  <c r="AI281" i="6"/>
  <c r="BA281" i="6"/>
  <c r="AD281" i="6"/>
  <c r="AV281" i="6"/>
  <c r="AO281" i="6"/>
  <c r="AY281" i="6"/>
  <c r="AF281" i="6"/>
  <c r="AJ281" i="6"/>
  <c r="I281" i="12"/>
  <c r="AA281" i="5"/>
  <c r="AB281" i="5"/>
  <c r="AM281" i="5"/>
  <c r="L281" i="5"/>
  <c r="I282" i="12"/>
  <c r="M282" i="12" s="1"/>
  <c r="Z282" i="5"/>
  <c r="AB282" i="5" s="1"/>
  <c r="K281" i="12"/>
  <c r="L282" i="5"/>
  <c r="C282" i="6" s="1"/>
  <c r="AM280" i="5"/>
  <c r="I280" i="12"/>
  <c r="L280" i="5"/>
  <c r="Z280" i="5"/>
  <c r="E279" i="6"/>
  <c r="D279" i="12"/>
  <c r="C284" i="5"/>
  <c r="B283" i="6"/>
  <c r="H283" i="5"/>
  <c r="K283" i="5"/>
  <c r="AD283" i="5"/>
  <c r="A283" i="12"/>
  <c r="AE283" i="5"/>
  <c r="E283" i="5"/>
  <c r="G283" i="5"/>
  <c r="W283" i="5"/>
  <c r="H283" i="12" s="1"/>
  <c r="B283" i="5"/>
  <c r="F283" i="5"/>
  <c r="N283" i="5"/>
  <c r="D283" i="6" s="1"/>
  <c r="J283" i="5"/>
  <c r="D283" i="5"/>
  <c r="B283" i="12" s="1"/>
  <c r="Y279" i="12"/>
  <c r="L282" i="12"/>
  <c r="J282" i="12"/>
  <c r="T277" i="12"/>
  <c r="V277" i="12"/>
  <c r="U277" i="12"/>
  <c r="N279" i="12"/>
  <c r="A282" i="6"/>
  <c r="M282" i="6" s="1"/>
  <c r="O282" i="12"/>
  <c r="AA282" i="5"/>
  <c r="AO134" i="12"/>
  <c r="O134" i="12"/>
  <c r="N134" i="12" s="1"/>
  <c r="X134" i="5"/>
  <c r="Z134" i="5" s="1"/>
  <c r="X119" i="5"/>
  <c r="B119" i="12"/>
  <c r="AO119" i="12" s="1"/>
  <c r="AO140" i="12"/>
  <c r="O140" i="12"/>
  <c r="N140" i="12" s="1"/>
  <c r="O150" i="12"/>
  <c r="N150" i="12" s="1"/>
  <c r="X140" i="5"/>
  <c r="L140" i="5" s="1"/>
  <c r="C140" i="6" s="1"/>
  <c r="AO150" i="12"/>
  <c r="X150" i="5"/>
  <c r="AM150" i="5" s="1"/>
  <c r="X144" i="5"/>
  <c r="I144" i="12" s="1"/>
  <c r="L144" i="12" s="1"/>
  <c r="X136" i="5"/>
  <c r="I136" i="12" s="1"/>
  <c r="L136" i="12" s="1"/>
  <c r="AO136" i="12"/>
  <c r="Y136" i="12" s="1"/>
  <c r="X136" i="12" s="1"/>
  <c r="AO144" i="12"/>
  <c r="Y144" i="12" s="1"/>
  <c r="W144" i="12" s="1"/>
  <c r="M136" i="12"/>
  <c r="N136" i="12" s="1"/>
  <c r="M144" i="12"/>
  <c r="N144" i="12" s="1"/>
  <c r="O154" i="12"/>
  <c r="N154" i="12" s="1"/>
  <c r="AO154" i="12"/>
  <c r="X154" i="5"/>
  <c r="Z154" i="5" s="1"/>
  <c r="D177" i="5"/>
  <c r="O156" i="12"/>
  <c r="N156" i="12" s="1"/>
  <c r="AO156" i="12"/>
  <c r="X156" i="5"/>
  <c r="I156" i="12" s="1"/>
  <c r="C156" i="12" s="1"/>
  <c r="AM124" i="5"/>
  <c r="B104" i="12"/>
  <c r="AB104" i="5"/>
  <c r="X104" i="5"/>
  <c r="I124" i="12"/>
  <c r="C124" i="12" s="1"/>
  <c r="I131" i="12"/>
  <c r="C131" i="12" s="1"/>
  <c r="X109" i="5"/>
  <c r="AB109" i="5"/>
  <c r="B109" i="12"/>
  <c r="Z131" i="5"/>
  <c r="X94" i="5"/>
  <c r="B94" i="12"/>
  <c r="L124" i="5"/>
  <c r="C124" i="6" s="1"/>
  <c r="AM131" i="5"/>
  <c r="B124" i="12"/>
  <c r="M124" i="12" s="1"/>
  <c r="B114" i="12"/>
  <c r="AB114" i="5"/>
  <c r="X114" i="5"/>
  <c r="L131" i="5"/>
  <c r="C131" i="6" s="1"/>
  <c r="B131" i="12"/>
  <c r="O131" i="12" s="1"/>
  <c r="B102" i="12"/>
  <c r="AB102" i="5"/>
  <c r="X102" i="5"/>
  <c r="B87" i="12"/>
  <c r="AB87" i="5"/>
  <c r="X87" i="5"/>
  <c r="AB154" i="5"/>
  <c r="AB156" i="5"/>
  <c r="AB144" i="5"/>
  <c r="AB150" i="5"/>
  <c r="AB136" i="5"/>
  <c r="AB140" i="5"/>
  <c r="AB131" i="5"/>
  <c r="AB134" i="5"/>
  <c r="N64" i="12"/>
  <c r="AB94" i="5"/>
  <c r="AB124" i="5"/>
  <c r="C64" i="6"/>
  <c r="J64" i="12"/>
  <c r="C64" i="12"/>
  <c r="L64" i="12"/>
  <c r="Y64" i="12"/>
  <c r="X42" i="12"/>
  <c r="T42" i="12"/>
  <c r="V42" i="12"/>
  <c r="U42" i="12"/>
  <c r="I72" i="5"/>
  <c r="AO282" i="12" l="1"/>
  <c r="C282" i="12"/>
  <c r="C281" i="12"/>
  <c r="O281" i="12"/>
  <c r="AO281" i="12"/>
  <c r="Y281" i="12" s="1"/>
  <c r="X281" i="12" s="1"/>
  <c r="M281" i="12"/>
  <c r="O282" i="5"/>
  <c r="E282" i="6" s="1"/>
  <c r="O281" i="5"/>
  <c r="C281" i="6"/>
  <c r="K282" i="12"/>
  <c r="W279" i="12"/>
  <c r="X279" i="12"/>
  <c r="BF282" i="6"/>
  <c r="AV282" i="6"/>
  <c r="AD282" i="6"/>
  <c r="AM282" i="6"/>
  <c r="AS282" i="6"/>
  <c r="AH282" i="6"/>
  <c r="AI282" i="6"/>
  <c r="AR282" i="6"/>
  <c r="AG282" i="6"/>
  <c r="AO282" i="6"/>
  <c r="AU282" i="6"/>
  <c r="AQ282" i="6"/>
  <c r="AT282" i="6"/>
  <c r="AE282" i="6"/>
  <c r="AN282" i="6"/>
  <c r="BG282" i="6"/>
  <c r="AB282" i="6"/>
  <c r="AZ282" i="6"/>
  <c r="AC282" i="6"/>
  <c r="AP282" i="6"/>
  <c r="BA282" i="6"/>
  <c r="AJ282" i="6"/>
  <c r="AF282" i="6"/>
  <c r="BD282" i="6"/>
  <c r="AY282" i="6"/>
  <c r="AX282" i="6"/>
  <c r="BB282" i="6"/>
  <c r="BE282" i="6"/>
  <c r="AK282" i="6"/>
  <c r="BC282" i="6"/>
  <c r="J283" i="12"/>
  <c r="L283" i="12"/>
  <c r="H283" i="6"/>
  <c r="AA280" i="5"/>
  <c r="AB280" i="5"/>
  <c r="O280" i="5"/>
  <c r="C280" i="6"/>
  <c r="A284" i="12"/>
  <c r="G284" i="5"/>
  <c r="W284" i="5"/>
  <c r="H284" i="12" s="1"/>
  <c r="AE284" i="5"/>
  <c r="N284" i="5"/>
  <c r="D284" i="6" s="1"/>
  <c r="B284" i="5"/>
  <c r="J284" i="5"/>
  <c r="AD284" i="5"/>
  <c r="C285" i="5"/>
  <c r="B284" i="6"/>
  <c r="E284" i="5"/>
  <c r="H284" i="5"/>
  <c r="F284" i="5"/>
  <c r="D284" i="5"/>
  <c r="B284" i="12" s="1"/>
  <c r="K284" i="5"/>
  <c r="C280" i="12"/>
  <c r="O280" i="12"/>
  <c r="M280" i="12"/>
  <c r="AO280" i="12"/>
  <c r="A283" i="6"/>
  <c r="M283" i="6" s="1"/>
  <c r="AN283" i="6" s="1"/>
  <c r="Y282" i="12"/>
  <c r="D282" i="12"/>
  <c r="N282" i="12"/>
  <c r="K237" i="5"/>
  <c r="K225" i="5"/>
  <c r="K212" i="5"/>
  <c r="K198" i="5"/>
  <c r="J124" i="12"/>
  <c r="C144" i="12"/>
  <c r="Z156" i="5"/>
  <c r="L156" i="12"/>
  <c r="AM156" i="5"/>
  <c r="J156" i="12"/>
  <c r="Z136" i="5"/>
  <c r="J136" i="12"/>
  <c r="K136" i="12" s="1"/>
  <c r="C136" i="12"/>
  <c r="AM136" i="5"/>
  <c r="L136" i="5"/>
  <c r="L156" i="5"/>
  <c r="C156" i="6" s="1"/>
  <c r="Y134" i="12"/>
  <c r="X134" i="12" s="1"/>
  <c r="Y150" i="12"/>
  <c r="W150" i="12" s="1"/>
  <c r="Z119" i="5"/>
  <c r="L119" i="5"/>
  <c r="C119" i="6" s="1"/>
  <c r="AM119" i="5"/>
  <c r="I119" i="12"/>
  <c r="J119" i="12" s="1"/>
  <c r="AM134" i="5"/>
  <c r="I134" i="12"/>
  <c r="L134" i="12" s="1"/>
  <c r="O119" i="12"/>
  <c r="Y119" i="12" s="1"/>
  <c r="X119" i="12" s="1"/>
  <c r="M119" i="12"/>
  <c r="Z150" i="5"/>
  <c r="L134" i="5"/>
  <c r="C134" i="6" s="1"/>
  <c r="AM140" i="5"/>
  <c r="Z140" i="5"/>
  <c r="I140" i="12"/>
  <c r="J140" i="12" s="1"/>
  <c r="Y140" i="12"/>
  <c r="W140" i="12" s="1"/>
  <c r="Z144" i="5"/>
  <c r="L144" i="5"/>
  <c r="C144" i="6" s="1"/>
  <c r="AM144" i="5"/>
  <c r="J144" i="12"/>
  <c r="K144" i="12" s="1"/>
  <c r="AO131" i="12"/>
  <c r="Y131" i="12" s="1"/>
  <c r="W131" i="12" s="1"/>
  <c r="AO124" i="12"/>
  <c r="O124" i="12"/>
  <c r="Y154" i="12"/>
  <c r="X154" i="12" s="1"/>
  <c r="AM154" i="5"/>
  <c r="I154" i="12"/>
  <c r="L154" i="12" s="1"/>
  <c r="L154" i="5"/>
  <c r="C154" i="6" s="1"/>
  <c r="I150" i="12"/>
  <c r="J150" i="12" s="1"/>
  <c r="L150" i="5"/>
  <c r="M131" i="12"/>
  <c r="N131" i="12" s="1"/>
  <c r="L131" i="12"/>
  <c r="Y156" i="12"/>
  <c r="W156" i="12" s="1"/>
  <c r="U156" i="12" s="1"/>
  <c r="X177" i="5"/>
  <c r="B177" i="12"/>
  <c r="J131" i="12"/>
  <c r="Z94" i="5"/>
  <c r="L94" i="5"/>
  <c r="AM94" i="5"/>
  <c r="I94" i="12"/>
  <c r="L102" i="5"/>
  <c r="AM102" i="5"/>
  <c r="Z102" i="5"/>
  <c r="I102" i="12"/>
  <c r="I109" i="12"/>
  <c r="L109" i="5"/>
  <c r="Z109" i="5"/>
  <c r="AM109" i="5"/>
  <c r="M104" i="12"/>
  <c r="O104" i="12"/>
  <c r="AO102" i="12"/>
  <c r="M102" i="12"/>
  <c r="O102" i="12"/>
  <c r="L87" i="5"/>
  <c r="AM87" i="5"/>
  <c r="I87" i="12"/>
  <c r="Z87" i="5"/>
  <c r="L114" i="5"/>
  <c r="I114" i="12"/>
  <c r="AM114" i="5"/>
  <c r="Z114" i="5"/>
  <c r="Z104" i="5"/>
  <c r="AM104" i="5"/>
  <c r="L104" i="5"/>
  <c r="I104" i="12"/>
  <c r="M87" i="12"/>
  <c r="O87" i="12"/>
  <c r="AO87" i="12"/>
  <c r="M94" i="12"/>
  <c r="AO94" i="12"/>
  <c r="O94" i="12"/>
  <c r="AO109" i="12"/>
  <c r="O109" i="12"/>
  <c r="M109" i="12"/>
  <c r="M114" i="12"/>
  <c r="AO114" i="12"/>
  <c r="O114" i="12"/>
  <c r="X144" i="12"/>
  <c r="T144" i="12"/>
  <c r="U144" i="12"/>
  <c r="V144" i="12"/>
  <c r="W136" i="12"/>
  <c r="V136" i="12" s="1"/>
  <c r="K64" i="12"/>
  <c r="X64" i="12"/>
  <c r="W64" i="12"/>
  <c r="I73" i="5"/>
  <c r="W281" i="12" l="1"/>
  <c r="T281" i="12" s="1"/>
  <c r="N281" i="12"/>
  <c r="K283" i="12"/>
  <c r="D281" i="12"/>
  <c r="E281" i="6"/>
  <c r="AQ283" i="6"/>
  <c r="N280" i="12"/>
  <c r="AE283" i="6"/>
  <c r="AY283" i="6"/>
  <c r="AC283" i="6"/>
  <c r="A284" i="6"/>
  <c r="M284" i="6" s="1"/>
  <c r="BC284" i="6" s="1"/>
  <c r="BD283" i="6"/>
  <c r="K285" i="5"/>
  <c r="N285" i="5"/>
  <c r="D285" i="6" s="1"/>
  <c r="AE285" i="5"/>
  <c r="B285" i="5"/>
  <c r="AD285" i="5"/>
  <c r="B285" i="6"/>
  <c r="C286" i="5"/>
  <c r="W285" i="5"/>
  <c r="H285" i="12" s="1"/>
  <c r="A285" i="12"/>
  <c r="D285" i="5"/>
  <c r="B285" i="12" s="1"/>
  <c r="F285" i="5"/>
  <c r="H285" i="5"/>
  <c r="E285" i="5"/>
  <c r="G285" i="5"/>
  <c r="J285" i="5"/>
  <c r="L284" i="12"/>
  <c r="J284" i="12"/>
  <c r="T283" i="5"/>
  <c r="X283" i="5" s="1"/>
  <c r="AB283" i="6"/>
  <c r="AG283" i="6"/>
  <c r="AJ283" i="6"/>
  <c r="AI283" i="6"/>
  <c r="AK283" i="6"/>
  <c r="AF283" i="6"/>
  <c r="AH283" i="6"/>
  <c r="AZ283" i="6"/>
  <c r="AU283" i="6"/>
  <c r="AR283" i="6"/>
  <c r="BG283" i="6"/>
  <c r="AX283" i="6"/>
  <c r="AV283" i="6"/>
  <c r="AP283" i="6"/>
  <c r="AM283" i="6"/>
  <c r="BE283" i="6"/>
  <c r="AO283" i="6"/>
  <c r="BB283" i="6"/>
  <c r="BC283" i="6"/>
  <c r="AT283" i="6"/>
  <c r="BF283" i="6"/>
  <c r="AD283" i="6"/>
  <c r="Y280" i="12"/>
  <c r="D280" i="12"/>
  <c r="E280" i="6"/>
  <c r="V279" i="12"/>
  <c r="T279" i="12"/>
  <c r="U279" i="12"/>
  <c r="BA283" i="6"/>
  <c r="H284" i="6"/>
  <c r="AS283" i="6"/>
  <c r="W282" i="12"/>
  <c r="X282" i="12"/>
  <c r="W134" i="12"/>
  <c r="T134" i="12" s="1"/>
  <c r="C136" i="6"/>
  <c r="N119" i="12"/>
  <c r="X131" i="12"/>
  <c r="K156" i="12"/>
  <c r="I177" i="12"/>
  <c r="C177" i="12" s="1"/>
  <c r="X150" i="12"/>
  <c r="N124" i="12"/>
  <c r="L124" i="12"/>
  <c r="K124" i="12" s="1"/>
  <c r="C150" i="6"/>
  <c r="C119" i="12"/>
  <c r="L119" i="12"/>
  <c r="K119" i="12" s="1"/>
  <c r="Y124" i="12"/>
  <c r="X124" i="12" s="1"/>
  <c r="L150" i="12"/>
  <c r="K150" i="12" s="1"/>
  <c r="W154" i="12"/>
  <c r="T154" i="12" s="1"/>
  <c r="J134" i="12"/>
  <c r="K134" i="12" s="1"/>
  <c r="C134" i="12"/>
  <c r="C140" i="12"/>
  <c r="L140" i="12"/>
  <c r="K140" i="12" s="1"/>
  <c r="C150" i="12"/>
  <c r="X140" i="12"/>
  <c r="C154" i="12"/>
  <c r="J154" i="12"/>
  <c r="K154" i="12" s="1"/>
  <c r="K131" i="12"/>
  <c r="O177" i="12"/>
  <c r="AO177" i="12"/>
  <c r="AM177" i="5"/>
  <c r="T156" i="12"/>
  <c r="X156" i="12"/>
  <c r="V156" i="12"/>
  <c r="Z177" i="5"/>
  <c r="L177" i="5"/>
  <c r="C177" i="6" s="1"/>
  <c r="Y94" i="12"/>
  <c r="Y114" i="12"/>
  <c r="N114" i="12"/>
  <c r="Y87" i="12"/>
  <c r="Y109" i="12"/>
  <c r="N109" i="12"/>
  <c r="AB177" i="5"/>
  <c r="C87" i="6"/>
  <c r="N104" i="12"/>
  <c r="C102" i="6"/>
  <c r="L104" i="12"/>
  <c r="C104" i="12"/>
  <c r="J104" i="12"/>
  <c r="M177" i="12"/>
  <c r="Y102" i="12"/>
  <c r="N102" i="12"/>
  <c r="AO104" i="12"/>
  <c r="Y104" i="12" s="1"/>
  <c r="C104" i="6"/>
  <c r="J94" i="12"/>
  <c r="L94" i="12"/>
  <c r="C94" i="12"/>
  <c r="C109" i="6"/>
  <c r="C94" i="6"/>
  <c r="N94" i="12"/>
  <c r="L114" i="12"/>
  <c r="J114" i="12"/>
  <c r="C114" i="12"/>
  <c r="J109" i="12"/>
  <c r="L109" i="12"/>
  <c r="C109" i="12"/>
  <c r="J102" i="12"/>
  <c r="C102" i="12"/>
  <c r="L102" i="12"/>
  <c r="N87" i="12"/>
  <c r="C114" i="6"/>
  <c r="C87" i="12"/>
  <c r="J87" i="12"/>
  <c r="L87" i="12"/>
  <c r="T150" i="12"/>
  <c r="V150" i="12"/>
  <c r="U150" i="12"/>
  <c r="T136" i="12"/>
  <c r="U136" i="12"/>
  <c r="V140" i="12"/>
  <c r="T140" i="12"/>
  <c r="U140" i="12"/>
  <c r="T131" i="12"/>
  <c r="V131" i="12"/>
  <c r="U131" i="12"/>
  <c r="W119" i="12"/>
  <c r="V119" i="12" s="1"/>
  <c r="U64" i="12"/>
  <c r="V64" i="12"/>
  <c r="T64" i="12"/>
  <c r="I74" i="5"/>
  <c r="U281" i="12" l="1"/>
  <c r="V281" i="12"/>
  <c r="AC284" i="6"/>
  <c r="K284" i="12"/>
  <c r="AE284" i="6"/>
  <c r="Z283" i="5"/>
  <c r="I283" i="12"/>
  <c r="L283" i="5"/>
  <c r="AM283" i="5"/>
  <c r="H285" i="6"/>
  <c r="X280" i="12"/>
  <c r="W280" i="12"/>
  <c r="L285" i="12"/>
  <c r="J285" i="12"/>
  <c r="T284" i="5"/>
  <c r="X284" i="5" s="1"/>
  <c r="AG284" i="6"/>
  <c r="AI284" i="6"/>
  <c r="AH284" i="6"/>
  <c r="AK284" i="6"/>
  <c r="AF284" i="6"/>
  <c r="AB284" i="6"/>
  <c r="AD284" i="6"/>
  <c r="AJ284" i="6"/>
  <c r="W286" i="5"/>
  <c r="H286" i="12" s="1"/>
  <c r="D286" i="5"/>
  <c r="B286" i="12" s="1"/>
  <c r="B286" i="5"/>
  <c r="F286" i="5"/>
  <c r="J286" i="5"/>
  <c r="AD286" i="5"/>
  <c r="A286" i="12"/>
  <c r="E286" i="5"/>
  <c r="H286" i="5"/>
  <c r="G286" i="5"/>
  <c r="B286" i="6"/>
  <c r="C287" i="5"/>
  <c r="N286" i="5"/>
  <c r="D286" i="6" s="1"/>
  <c r="H286" i="6" s="1"/>
  <c r="T286" i="5" s="1"/>
  <c r="AE286" i="5"/>
  <c r="K286" i="5"/>
  <c r="AP284" i="6"/>
  <c r="AR284" i="6"/>
  <c r="BA284" i="6"/>
  <c r="BD284" i="6"/>
  <c r="BB284" i="6"/>
  <c r="BF284" i="6"/>
  <c r="AN284" i="6"/>
  <c r="AV284" i="6"/>
  <c r="AM284" i="6"/>
  <c r="AS284" i="6"/>
  <c r="AO284" i="6"/>
  <c r="AQ284" i="6"/>
  <c r="AT284" i="6"/>
  <c r="AZ284" i="6"/>
  <c r="BE284" i="6"/>
  <c r="BG284" i="6"/>
  <c r="AU284" i="6"/>
  <c r="AY284" i="6"/>
  <c r="AX284" i="6"/>
  <c r="A285" i="6"/>
  <c r="M285" i="6" s="1"/>
  <c r="AP285" i="6" s="1"/>
  <c r="T282" i="12"/>
  <c r="V282" i="12"/>
  <c r="U282" i="12"/>
  <c r="V134" i="12"/>
  <c r="L177" i="12"/>
  <c r="J177" i="12"/>
  <c r="U134" i="12"/>
  <c r="U154" i="12"/>
  <c r="V154" i="12"/>
  <c r="W124" i="12"/>
  <c r="T124" i="12" s="1"/>
  <c r="Y177" i="12"/>
  <c r="X177" i="12" s="1"/>
  <c r="N177" i="12"/>
  <c r="K114" i="12"/>
  <c r="W94" i="12"/>
  <c r="X94" i="12"/>
  <c r="K109" i="12"/>
  <c r="K87" i="12"/>
  <c r="W114" i="12"/>
  <c r="X114" i="12"/>
  <c r="X87" i="12"/>
  <c r="W87" i="12"/>
  <c r="K104" i="12"/>
  <c r="X102" i="12"/>
  <c r="W102" i="12"/>
  <c r="K94" i="12"/>
  <c r="K102" i="12"/>
  <c r="X104" i="12"/>
  <c r="W104" i="12"/>
  <c r="X109" i="12"/>
  <c r="W109" i="12"/>
  <c r="T119" i="12"/>
  <c r="U119" i="12"/>
  <c r="I75" i="5"/>
  <c r="K285" i="12" l="1"/>
  <c r="X286" i="5"/>
  <c r="AM286" i="5" s="1"/>
  <c r="AD285" i="6"/>
  <c r="A286" i="6"/>
  <c r="M286" i="6" s="1"/>
  <c r="BA285" i="6"/>
  <c r="AH285" i="6"/>
  <c r="AU285" i="6"/>
  <c r="AZ285" i="6"/>
  <c r="BD285" i="6"/>
  <c r="AY285" i="6"/>
  <c r="BG285" i="6"/>
  <c r="AT285" i="6"/>
  <c r="AG285" i="6"/>
  <c r="AM284" i="5"/>
  <c r="I284" i="12"/>
  <c r="L284" i="5"/>
  <c r="Z284" i="5"/>
  <c r="AB285" i="6"/>
  <c r="AX285" i="6"/>
  <c r="AM285" i="6"/>
  <c r="AQ285" i="6"/>
  <c r="J286" i="12"/>
  <c r="L286" i="12"/>
  <c r="AN285" i="6"/>
  <c r="BE285" i="6"/>
  <c r="BC285" i="6"/>
  <c r="O283" i="5"/>
  <c r="C283" i="6"/>
  <c r="AR285" i="6"/>
  <c r="AS285" i="6"/>
  <c r="AO283" i="12"/>
  <c r="O283" i="12"/>
  <c r="M283" i="12"/>
  <c r="C283" i="12"/>
  <c r="AE285" i="6"/>
  <c r="T280" i="12"/>
  <c r="U280" i="12"/>
  <c r="V280" i="12"/>
  <c r="AO285" i="6"/>
  <c r="T285" i="5"/>
  <c r="X285" i="5" s="1"/>
  <c r="AK285" i="6"/>
  <c r="AJ285" i="6"/>
  <c r="AI285" i="6"/>
  <c r="AC285" i="6"/>
  <c r="AB283" i="5"/>
  <c r="AA283" i="5"/>
  <c r="AV285" i="6"/>
  <c r="H287" i="5"/>
  <c r="N287" i="5"/>
  <c r="D287" i="6" s="1"/>
  <c r="H287" i="6" s="1"/>
  <c r="T287" i="5" s="1"/>
  <c r="K287" i="5"/>
  <c r="A287" i="12"/>
  <c r="G287" i="5"/>
  <c r="AE287" i="5"/>
  <c r="W287" i="5"/>
  <c r="H287" i="12" s="1"/>
  <c r="C288" i="5"/>
  <c r="B287" i="6"/>
  <c r="D287" i="5"/>
  <c r="B287" i="12" s="1"/>
  <c r="J287" i="5"/>
  <c r="B287" i="5"/>
  <c r="E287" i="5"/>
  <c r="F287" i="5"/>
  <c r="AD287" i="5"/>
  <c r="BB285" i="6"/>
  <c r="BF285" i="6"/>
  <c r="AF285" i="6"/>
  <c r="K177" i="12"/>
  <c r="U124" i="12"/>
  <c r="V124" i="12"/>
  <c r="W177" i="12"/>
  <c r="U177" i="12" s="1"/>
  <c r="T94" i="12"/>
  <c r="U94" i="12"/>
  <c r="V94" i="12"/>
  <c r="T114" i="12"/>
  <c r="V114" i="12"/>
  <c r="U114" i="12"/>
  <c r="V87" i="12"/>
  <c r="T87" i="12"/>
  <c r="U87" i="12"/>
  <c r="T109" i="12"/>
  <c r="V109" i="12"/>
  <c r="U109" i="12"/>
  <c r="T102" i="12"/>
  <c r="V102" i="12"/>
  <c r="U102" i="12"/>
  <c r="V104" i="12"/>
  <c r="T104" i="12"/>
  <c r="U104" i="12"/>
  <c r="I76" i="5"/>
  <c r="K286" i="12" l="1"/>
  <c r="I286" i="12"/>
  <c r="C286" i="12" s="1"/>
  <c r="L286" i="5"/>
  <c r="Z286" i="5"/>
  <c r="O286" i="12"/>
  <c r="AO286" i="12"/>
  <c r="Y286" i="12" s="1"/>
  <c r="X286" i="12" s="1"/>
  <c r="M286" i="12"/>
  <c r="X287" i="5"/>
  <c r="L287" i="5" s="1"/>
  <c r="C287" i="6" s="1"/>
  <c r="A287" i="6"/>
  <c r="M287" i="6" s="1"/>
  <c r="AQ287" i="6" s="1"/>
  <c r="Y283" i="12"/>
  <c r="W283" i="12" s="1"/>
  <c r="L287" i="12"/>
  <c r="J287" i="12"/>
  <c r="E283" i="6"/>
  <c r="D283" i="12"/>
  <c r="AA284" i="5"/>
  <c r="AB284" i="5"/>
  <c r="Z285" i="5"/>
  <c r="AM285" i="5"/>
  <c r="L285" i="5"/>
  <c r="I285" i="12"/>
  <c r="N283" i="12"/>
  <c r="O284" i="5"/>
  <c r="C284" i="6"/>
  <c r="AE288" i="5"/>
  <c r="A288" i="12"/>
  <c r="B288" i="6"/>
  <c r="N288" i="5"/>
  <c r="D288" i="6" s="1"/>
  <c r="K288" i="5"/>
  <c r="J288" i="5"/>
  <c r="E288" i="5"/>
  <c r="AD288" i="5"/>
  <c r="D288" i="5"/>
  <c r="B288" i="12" s="1"/>
  <c r="H288" i="5"/>
  <c r="B288" i="5"/>
  <c r="W288" i="5"/>
  <c r="H288" i="12" s="1"/>
  <c r="F288" i="5"/>
  <c r="C289" i="5"/>
  <c r="G288" i="5"/>
  <c r="O284" i="12"/>
  <c r="M284" i="12"/>
  <c r="AO284" i="12"/>
  <c r="C284" i="12"/>
  <c r="N286" i="12"/>
  <c r="AV286" i="6"/>
  <c r="BG286" i="6"/>
  <c r="AE286" i="6"/>
  <c r="AI286" i="6"/>
  <c r="BE286" i="6"/>
  <c r="AZ286" i="6"/>
  <c r="AN286" i="6"/>
  <c r="AG286" i="6"/>
  <c r="AX286" i="6"/>
  <c r="AM286" i="6"/>
  <c r="BC286" i="6"/>
  <c r="AJ286" i="6"/>
  <c r="BB286" i="6"/>
  <c r="AU286" i="6"/>
  <c r="BD286" i="6"/>
  <c r="AH286" i="6"/>
  <c r="AQ286" i="6"/>
  <c r="AY286" i="6"/>
  <c r="AT286" i="6"/>
  <c r="AC286" i="6"/>
  <c r="AF286" i="6"/>
  <c r="AK286" i="6"/>
  <c r="AP286" i="6"/>
  <c r="AR286" i="6"/>
  <c r="BF286" i="6"/>
  <c r="AB286" i="6"/>
  <c r="BA286" i="6"/>
  <c r="AS286" i="6"/>
  <c r="AO286" i="6"/>
  <c r="AD286" i="6"/>
  <c r="T177" i="12"/>
  <c r="V177" i="12"/>
  <c r="I77" i="5"/>
  <c r="O287" i="5" l="1"/>
  <c r="Z287" i="5"/>
  <c r="AM287" i="5"/>
  <c r="I287" i="12"/>
  <c r="AB286" i="5"/>
  <c r="AA286" i="5"/>
  <c r="C286" i="6"/>
  <c r="O286" i="5"/>
  <c r="Y284" i="12"/>
  <c r="W284" i="12" s="1"/>
  <c r="AG287" i="6"/>
  <c r="AY287" i="6"/>
  <c r="BG287" i="6"/>
  <c r="AT287" i="6"/>
  <c r="AP287" i="6"/>
  <c r="AI287" i="6"/>
  <c r="AF287" i="6"/>
  <c r="AE287" i="6"/>
  <c r="AZ287" i="6"/>
  <c r="BD287" i="6"/>
  <c r="AJ287" i="6"/>
  <c r="AO287" i="6"/>
  <c r="AX287" i="6"/>
  <c r="AU287" i="6"/>
  <c r="BE287" i="6"/>
  <c r="AM287" i="6"/>
  <c r="BB287" i="6"/>
  <c r="AD287" i="6"/>
  <c r="AV287" i="6"/>
  <c r="BA287" i="6"/>
  <c r="AS287" i="6"/>
  <c r="AN287" i="6"/>
  <c r="BC287" i="6"/>
  <c r="BF287" i="6"/>
  <c r="AB287" i="6"/>
  <c r="AK287" i="6"/>
  <c r="AC287" i="6"/>
  <c r="AH287" i="6"/>
  <c r="AR287" i="6"/>
  <c r="K287" i="12"/>
  <c r="W286" i="12"/>
  <c r="T286" i="12" s="1"/>
  <c r="X283" i="12"/>
  <c r="E284" i="6"/>
  <c r="D284" i="12"/>
  <c r="V283" i="12"/>
  <c r="U283" i="12"/>
  <c r="T283" i="12"/>
  <c r="AO285" i="12"/>
  <c r="M285" i="12"/>
  <c r="C285" i="12"/>
  <c r="O285" i="12"/>
  <c r="J289" i="5"/>
  <c r="D289" i="5"/>
  <c r="B289" i="12" s="1"/>
  <c r="H289" i="5"/>
  <c r="AD289" i="5"/>
  <c r="E289" i="5"/>
  <c r="A15" i="13" s="1"/>
  <c r="A5" i="5"/>
  <c r="K289" i="5"/>
  <c r="AE289" i="5"/>
  <c r="G289" i="5"/>
  <c r="K188" i="5" s="1"/>
  <c r="D188" i="5" s="1"/>
  <c r="A289" i="12"/>
  <c r="B289" i="5"/>
  <c r="B289" i="6"/>
  <c r="F289" i="5"/>
  <c r="N289" i="5"/>
  <c r="D289" i="6" s="1"/>
  <c r="W289" i="5"/>
  <c r="H289" i="12" s="1"/>
  <c r="C285" i="6"/>
  <c r="O285" i="5"/>
  <c r="H288" i="6"/>
  <c r="AB285" i="5"/>
  <c r="AA285" i="5"/>
  <c r="A288" i="6"/>
  <c r="M288" i="6" s="1"/>
  <c r="AJ288" i="6" s="1"/>
  <c r="N284" i="12"/>
  <c r="L288" i="12"/>
  <c r="J288" i="12"/>
  <c r="D287" i="12"/>
  <c r="E287" i="6"/>
  <c r="I78" i="5"/>
  <c r="E101" i="8" l="1"/>
  <c r="E102" i="8" s="1"/>
  <c r="E113" i="8"/>
  <c r="E114" i="8" s="1"/>
  <c r="E92" i="8"/>
  <c r="E93" i="8" s="1"/>
  <c r="L92" i="8" s="1"/>
  <c r="R94" i="8" s="1"/>
  <c r="K288" i="12"/>
  <c r="V286" i="12"/>
  <c r="X284" i="12"/>
  <c r="O77" i="5"/>
  <c r="AB287" i="5"/>
  <c r="AA287" i="5"/>
  <c r="D286" i="12"/>
  <c r="E286" i="6"/>
  <c r="AO287" i="12"/>
  <c r="C287" i="12"/>
  <c r="M287" i="12"/>
  <c r="O287" i="12"/>
  <c r="U286" i="12"/>
  <c r="N285" i="12"/>
  <c r="E110" i="8"/>
  <c r="E111" i="8" s="1"/>
  <c r="L110" i="8" s="1"/>
  <c r="E104" i="8"/>
  <c r="E105" i="8" s="1"/>
  <c r="L104" i="8" s="1"/>
  <c r="P104" i="8" s="1"/>
  <c r="AQ288" i="6"/>
  <c r="AD288" i="6"/>
  <c r="AH288" i="6"/>
  <c r="Y285" i="12"/>
  <c r="W285" i="12" s="1"/>
  <c r="AK288" i="6"/>
  <c r="H289" i="6"/>
  <c r="T289" i="5" s="1"/>
  <c r="X289" i="5" s="1"/>
  <c r="O75" i="5"/>
  <c r="O43" i="5"/>
  <c r="O20" i="5"/>
  <c r="O31" i="5"/>
  <c r="O29" i="5"/>
  <c r="O34" i="5"/>
  <c r="O36" i="5"/>
  <c r="O62" i="5"/>
  <c r="O109" i="5"/>
  <c r="O177" i="5"/>
  <c r="O76" i="5"/>
  <c r="O65" i="5"/>
  <c r="O58" i="5"/>
  <c r="O35" i="5"/>
  <c r="O26" i="5"/>
  <c r="O33" i="5"/>
  <c r="O27" i="5"/>
  <c r="O57" i="5"/>
  <c r="O94" i="5"/>
  <c r="O74" i="5"/>
  <c r="O131" i="5"/>
  <c r="O28" i="5"/>
  <c r="O67" i="5"/>
  <c r="O63" i="5"/>
  <c r="O24" i="5"/>
  <c r="O42" i="5"/>
  <c r="O144" i="5"/>
  <c r="O156" i="5"/>
  <c r="O71" i="5"/>
  <c r="O72" i="5"/>
  <c r="O68" i="5"/>
  <c r="O66" i="5"/>
  <c r="O37" i="5"/>
  <c r="O61" i="5"/>
  <c r="O60" i="5"/>
  <c r="O154" i="5"/>
  <c r="O102" i="5"/>
  <c r="O49" i="5"/>
  <c r="O21" i="5"/>
  <c r="O47" i="5"/>
  <c r="O50" i="5"/>
  <c r="O54" i="5"/>
  <c r="O32" i="5"/>
  <c r="O30" i="5"/>
  <c r="O114" i="5"/>
  <c r="O134" i="5"/>
  <c r="O55" i="5"/>
  <c r="O45" i="5"/>
  <c r="O22" i="5"/>
  <c r="O40" i="5"/>
  <c r="O140" i="5"/>
  <c r="O124" i="5"/>
  <c r="O51" i="5"/>
  <c r="O136" i="5"/>
  <c r="O119" i="5"/>
  <c r="O48" i="5"/>
  <c r="O23" i="5"/>
  <c r="O46" i="5"/>
  <c r="O70" i="5"/>
  <c r="O64" i="5"/>
  <c r="O38" i="5"/>
  <c r="O53" i="5"/>
  <c r="O87" i="5"/>
  <c r="O150" i="5"/>
  <c r="O52" i="5"/>
  <c r="O39" i="5"/>
  <c r="O18" i="5"/>
  <c r="O56" i="5"/>
  <c r="O59" i="5"/>
  <c r="O44" i="5"/>
  <c r="O19" i="5"/>
  <c r="O104" i="5"/>
  <c r="O73" i="5"/>
  <c r="AL15" i="13"/>
  <c r="B15" i="13"/>
  <c r="AN15" i="13" s="1"/>
  <c r="AO15" i="13"/>
  <c r="I101" i="8"/>
  <c r="L101" i="8"/>
  <c r="R103" i="8" s="1"/>
  <c r="X285" i="12"/>
  <c r="AM288" i="6"/>
  <c r="A289" i="6"/>
  <c r="M289" i="6" s="1"/>
  <c r="C29" i="9" s="1"/>
  <c r="E74" i="8"/>
  <c r="E75" i="8" s="1"/>
  <c r="E107" i="8"/>
  <c r="E108" i="8" s="1"/>
  <c r="E32" i="8"/>
  <c r="E33" i="8" s="1"/>
  <c r="E68" i="8"/>
  <c r="E69" i="8" s="1"/>
  <c r="E14" i="8"/>
  <c r="E15" i="8" s="1"/>
  <c r="E47" i="8"/>
  <c r="E48" i="8" s="1"/>
  <c r="E26" i="8"/>
  <c r="E27" i="8" s="1"/>
  <c r="E86" i="8"/>
  <c r="E87" i="8" s="1"/>
  <c r="E50" i="8"/>
  <c r="E51" i="8" s="1"/>
  <c r="E65" i="8"/>
  <c r="E66" i="8" s="1"/>
  <c r="E71" i="8"/>
  <c r="E72" i="8" s="1"/>
  <c r="E53" i="8"/>
  <c r="E54" i="8" s="1"/>
  <c r="E38" i="8"/>
  <c r="E39" i="8" s="1"/>
  <c r="E59" i="8"/>
  <c r="E60" i="8" s="1"/>
  <c r="E29" i="8"/>
  <c r="E30" i="8" s="1"/>
  <c r="E56" i="8"/>
  <c r="E57" i="8" s="1"/>
  <c r="E20" i="8"/>
  <c r="E21" i="8" s="1"/>
  <c r="E98" i="8"/>
  <c r="E99" i="8" s="1"/>
  <c r="E44" i="8"/>
  <c r="E45" i="8" s="1"/>
  <c r="E41" i="8"/>
  <c r="E42" i="8" s="1"/>
  <c r="E17" i="8"/>
  <c r="E18" i="8" s="1"/>
  <c r="E95" i="8"/>
  <c r="E96" i="8" s="1"/>
  <c r="E80" i="8"/>
  <c r="E81" i="8" s="1"/>
  <c r="B22" i="11"/>
  <c r="E62" i="8"/>
  <c r="E63" i="8" s="1"/>
  <c r="E23" i="8"/>
  <c r="E24" i="8" s="1"/>
  <c r="J248" i="5"/>
  <c r="J245" i="5"/>
  <c r="K245" i="5"/>
  <c r="J81" i="5"/>
  <c r="D81" i="5" s="1"/>
  <c r="J237" i="5"/>
  <c r="D237" i="5" s="1"/>
  <c r="K248" i="5"/>
  <c r="J212" i="5"/>
  <c r="D212" i="5" s="1"/>
  <c r="J69" i="5"/>
  <c r="D69" i="5" s="1"/>
  <c r="J25" i="5"/>
  <c r="D25" i="5" s="1"/>
  <c r="J198" i="5"/>
  <c r="D198" i="5" s="1"/>
  <c r="J17" i="5"/>
  <c r="D17" i="5" s="1"/>
  <c r="J86" i="5"/>
  <c r="D86" i="5" s="1"/>
  <c r="J192" i="5"/>
  <c r="D192" i="5" s="1"/>
  <c r="J225" i="5"/>
  <c r="D225" i="5" s="1"/>
  <c r="V284" i="12"/>
  <c r="T284" i="12"/>
  <c r="U284" i="12"/>
  <c r="E35" i="8"/>
  <c r="E36" i="8" s="1"/>
  <c r="B19" i="11"/>
  <c r="A21" i="13"/>
  <c r="A19" i="13"/>
  <c r="J16" i="5"/>
  <c r="B12" i="11"/>
  <c r="A17" i="13"/>
  <c r="B20" i="11"/>
  <c r="A16" i="13"/>
  <c r="B16" i="11"/>
  <c r="B18" i="11"/>
  <c r="A18" i="13"/>
  <c r="B15" i="11"/>
  <c r="K16" i="5"/>
  <c r="B21" i="11"/>
  <c r="A23" i="13"/>
  <c r="A12" i="13"/>
  <c r="T288" i="5"/>
  <c r="X288" i="5" s="1"/>
  <c r="AF288" i="6"/>
  <c r="AC288" i="6"/>
  <c r="AE288" i="6"/>
  <c r="AB288" i="6"/>
  <c r="AI288" i="6"/>
  <c r="AG288" i="6"/>
  <c r="J41" i="5"/>
  <c r="D41" i="5" s="1"/>
  <c r="J289" i="12"/>
  <c r="L289" i="12"/>
  <c r="A20" i="13"/>
  <c r="E83" i="8"/>
  <c r="E84" i="8" s="1"/>
  <c r="E285" i="6"/>
  <c r="D285" i="12"/>
  <c r="B188" i="12"/>
  <c r="X188" i="5"/>
  <c r="AB188" i="5"/>
  <c r="A22" i="13"/>
  <c r="E77" i="8"/>
  <c r="E78" i="8" s="1"/>
  <c r="BC288" i="6"/>
  <c r="AZ288" i="6"/>
  <c r="AV288" i="6"/>
  <c r="AO288" i="6"/>
  <c r="BF288" i="6"/>
  <c r="BD288" i="6"/>
  <c r="BA288" i="6"/>
  <c r="AN288" i="6"/>
  <c r="BB288" i="6"/>
  <c r="AS288" i="6"/>
  <c r="AP288" i="6"/>
  <c r="BG288" i="6"/>
  <c r="BE288" i="6"/>
  <c r="AT288" i="6"/>
  <c r="AX288" i="6"/>
  <c r="AR288" i="6"/>
  <c r="AY288" i="6"/>
  <c r="B17" i="11"/>
  <c r="E1" i="8"/>
  <c r="E2" i="8" s="1"/>
  <c r="AU288" i="6"/>
  <c r="B23" i="11"/>
  <c r="E89" i="8"/>
  <c r="E90" i="8" s="1"/>
  <c r="I79" i="5"/>
  <c r="O78" i="5"/>
  <c r="D77" i="12"/>
  <c r="E77" i="6"/>
  <c r="L113" i="8" l="1"/>
  <c r="I113" i="8"/>
  <c r="C58" i="10"/>
  <c r="C56" i="10"/>
  <c r="A38" i="10"/>
  <c r="C43" i="9"/>
  <c r="C45" i="10"/>
  <c r="C1" i="9"/>
  <c r="C38" i="10"/>
  <c r="C63" i="9"/>
  <c r="A26" i="9"/>
  <c r="C47" i="9"/>
  <c r="A33" i="10"/>
  <c r="C47" i="10"/>
  <c r="A17" i="10"/>
  <c r="A21" i="9"/>
  <c r="A32" i="10"/>
  <c r="A27" i="9"/>
  <c r="C57" i="10"/>
  <c r="A49" i="10"/>
  <c r="C37" i="9"/>
  <c r="C48" i="10"/>
  <c r="C60" i="10"/>
  <c r="A62" i="9"/>
  <c r="C59" i="10"/>
  <c r="A35" i="10"/>
  <c r="I92" i="8"/>
  <c r="I104" i="8"/>
  <c r="N287" i="12"/>
  <c r="D248" i="5"/>
  <c r="X248" i="5" s="1"/>
  <c r="R113" i="8" s="1"/>
  <c r="Y287" i="12"/>
  <c r="AJ15" i="13"/>
  <c r="K289" i="12"/>
  <c r="AK15" i="13"/>
  <c r="A28" i="10"/>
  <c r="C54" i="10"/>
  <c r="A57" i="9"/>
  <c r="C36" i="9"/>
  <c r="C39" i="10"/>
  <c r="A47" i="10"/>
  <c r="A52" i="10"/>
  <c r="A32" i="9"/>
  <c r="A1" i="10"/>
  <c r="A44" i="9"/>
  <c r="A18" i="10"/>
  <c r="A30" i="10"/>
  <c r="A20" i="9"/>
  <c r="A52" i="9"/>
  <c r="A38" i="9"/>
  <c r="C41" i="10"/>
  <c r="C50" i="10"/>
  <c r="C44" i="9"/>
  <c r="C54" i="9"/>
  <c r="A53" i="10"/>
  <c r="C63" i="10"/>
  <c r="A27" i="10"/>
  <c r="A22" i="9"/>
  <c r="C44" i="10"/>
  <c r="M110" i="8"/>
  <c r="C62" i="10"/>
  <c r="C40" i="9"/>
  <c r="A58" i="9"/>
  <c r="A37" i="9"/>
  <c r="A37" i="10"/>
  <c r="C35" i="9"/>
  <c r="C33" i="9"/>
  <c r="A57" i="10"/>
  <c r="A55" i="9"/>
  <c r="C30" i="10"/>
  <c r="A42" i="10"/>
  <c r="A39" i="10"/>
  <c r="A41" i="10"/>
  <c r="C34" i="9"/>
  <c r="A46" i="9"/>
  <c r="A24" i="10"/>
  <c r="A55" i="10"/>
  <c r="A33" i="9"/>
  <c r="A24" i="9"/>
  <c r="C49" i="9"/>
  <c r="C16" i="10"/>
  <c r="C40" i="10"/>
  <c r="P110" i="8"/>
  <c r="A25" i="9"/>
  <c r="C61" i="9"/>
  <c r="C62" i="9"/>
  <c r="A45" i="10"/>
  <c r="C42" i="9"/>
  <c r="A28" i="9"/>
  <c r="A36" i="9"/>
  <c r="A53" i="9"/>
  <c r="A43" i="9"/>
  <c r="A29" i="9"/>
  <c r="C46" i="9"/>
  <c r="A23" i="9"/>
  <c r="C53" i="10"/>
  <c r="C37" i="10"/>
  <c r="A30" i="9"/>
  <c r="C51" i="10"/>
  <c r="A34" i="10"/>
  <c r="C16" i="9"/>
  <c r="A25" i="10"/>
  <c r="C50" i="9"/>
  <c r="A50" i="10"/>
  <c r="A31" i="9"/>
  <c r="C59" i="9"/>
  <c r="A58" i="10"/>
  <c r="N110" i="8"/>
  <c r="Q110" i="8" s="1"/>
  <c r="A29" i="10"/>
  <c r="C34" i="10"/>
  <c r="A19" i="9"/>
  <c r="A35" i="9"/>
  <c r="A19" i="10"/>
  <c r="C38" i="9"/>
  <c r="A54" i="10"/>
  <c r="A51" i="10"/>
  <c r="C64" i="9"/>
  <c r="C31" i="10"/>
  <c r="A56" i="10"/>
  <c r="C32" i="9"/>
  <c r="C55" i="9"/>
  <c r="A41" i="9"/>
  <c r="C55" i="10"/>
  <c r="A17" i="9"/>
  <c r="A44" i="10"/>
  <c r="C36" i="10"/>
  <c r="A48" i="9"/>
  <c r="C41" i="9"/>
  <c r="A40" i="10"/>
  <c r="I110" i="8"/>
  <c r="A18" i="9"/>
  <c r="C39" i="9"/>
  <c r="C29" i="10"/>
  <c r="A16" i="10"/>
  <c r="C1" i="10"/>
  <c r="A21" i="10"/>
  <c r="A60" i="10"/>
  <c r="A56" i="9"/>
  <c r="A62" i="10"/>
  <c r="A45" i="9"/>
  <c r="C45" i="9"/>
  <c r="A1" i="9"/>
  <c r="C52" i="10"/>
  <c r="A34" i="9"/>
  <c r="A31" i="10"/>
  <c r="A36" i="10"/>
  <c r="A22" i="10"/>
  <c r="C56" i="9"/>
  <c r="C52" i="9"/>
  <c r="A23" i="10"/>
  <c r="A39" i="9"/>
  <c r="C61" i="10"/>
  <c r="A26" i="10"/>
  <c r="A54" i="9"/>
  <c r="A63" i="9"/>
  <c r="C49" i="10"/>
  <c r="C35" i="10"/>
  <c r="C58" i="9"/>
  <c r="C53" i="9"/>
  <c r="A60" i="9"/>
  <c r="A61" i="9"/>
  <c r="C30" i="9"/>
  <c r="C33" i="10"/>
  <c r="N101" i="8"/>
  <c r="P92" i="8"/>
  <c r="C64" i="10"/>
  <c r="C32" i="10"/>
  <c r="A59" i="10"/>
  <c r="A20" i="10"/>
  <c r="A63" i="10"/>
  <c r="C31" i="9"/>
  <c r="A64" i="9"/>
  <c r="A46" i="10"/>
  <c r="C60" i="9"/>
  <c r="C57" i="9"/>
  <c r="C42" i="10"/>
  <c r="C46" i="10"/>
  <c r="A59" i="9"/>
  <c r="A61" i="10"/>
  <c r="A64" i="10"/>
  <c r="A47" i="9"/>
  <c r="A40" i="9"/>
  <c r="C48" i="9"/>
  <c r="A51" i="9"/>
  <c r="A16" i="9"/>
  <c r="A48" i="10"/>
  <c r="C43" i="10"/>
  <c r="A42" i="9"/>
  <c r="C51" i="9"/>
  <c r="A43" i="10"/>
  <c r="A49" i="9"/>
  <c r="A50" i="9"/>
  <c r="O101" i="8"/>
  <c r="K23" i="11"/>
  <c r="J23" i="13" s="1"/>
  <c r="C23" i="13"/>
  <c r="AB23" i="11"/>
  <c r="N23" i="11" s="1"/>
  <c r="AA23" i="11"/>
  <c r="O23" i="11"/>
  <c r="G23" i="11"/>
  <c r="F23" i="13" s="1"/>
  <c r="AM288" i="5"/>
  <c r="I288" i="12"/>
  <c r="Z288" i="5"/>
  <c r="L288" i="5"/>
  <c r="X15" i="5"/>
  <c r="K16" i="11"/>
  <c r="J16" i="13" s="1"/>
  <c r="G16" i="11"/>
  <c r="F16" i="13" s="1"/>
  <c r="AA16" i="11"/>
  <c r="O16" i="11"/>
  <c r="AB16" i="11"/>
  <c r="N16" i="11" s="1"/>
  <c r="C16" i="13"/>
  <c r="AB19" i="11"/>
  <c r="N19" i="11" s="1"/>
  <c r="C19" i="13"/>
  <c r="G19" i="11"/>
  <c r="F19" i="13" s="1"/>
  <c r="AA19" i="11"/>
  <c r="O19" i="11"/>
  <c r="K19" i="11"/>
  <c r="J19" i="13" s="1"/>
  <c r="AB17" i="5"/>
  <c r="X17" i="5"/>
  <c r="R17" i="8" s="1"/>
  <c r="B17" i="12"/>
  <c r="D245" i="5"/>
  <c r="I17" i="8"/>
  <c r="L17" i="8"/>
  <c r="I38" i="8"/>
  <c r="L38" i="8"/>
  <c r="L14" i="8"/>
  <c r="P14" i="8" s="1"/>
  <c r="I14" i="8"/>
  <c r="E104" i="6"/>
  <c r="D104" i="12"/>
  <c r="D150" i="12"/>
  <c r="E150" i="6"/>
  <c r="E48" i="6"/>
  <c r="D48" i="12"/>
  <c r="D45" i="12"/>
  <c r="E45" i="6"/>
  <c r="D47" i="12"/>
  <c r="E47" i="6"/>
  <c r="D66" i="12"/>
  <c r="E66" i="6"/>
  <c r="E63" i="6"/>
  <c r="D63" i="12"/>
  <c r="E33" i="6"/>
  <c r="D33" i="12"/>
  <c r="D62" i="12"/>
  <c r="E62" i="6"/>
  <c r="AB289" i="6"/>
  <c r="AB15" i="6" s="1"/>
  <c r="Q15" i="6" s="1"/>
  <c r="AJ289" i="6"/>
  <c r="AJ15" i="6" s="1"/>
  <c r="Y15" i="6" s="1"/>
  <c r="AI289" i="6"/>
  <c r="AI15" i="6" s="1"/>
  <c r="X15" i="6" s="1"/>
  <c r="AS289" i="6"/>
  <c r="I188" i="12"/>
  <c r="Z188" i="5"/>
  <c r="AM188" i="5"/>
  <c r="L188" i="5"/>
  <c r="R92" i="8"/>
  <c r="X41" i="5"/>
  <c r="B41" i="12"/>
  <c r="AB41" i="5"/>
  <c r="AL12" i="13"/>
  <c r="AO12" i="13"/>
  <c r="B12" i="13"/>
  <c r="AL16" i="13"/>
  <c r="B16" i="13"/>
  <c r="AK16" i="13" s="1"/>
  <c r="AO16" i="13"/>
  <c r="L35" i="8"/>
  <c r="I35" i="8"/>
  <c r="B198" i="12"/>
  <c r="X198" i="5"/>
  <c r="AB198" i="5"/>
  <c r="R41" i="8"/>
  <c r="F41" i="8" s="1"/>
  <c r="L41" i="8"/>
  <c r="I41" i="8"/>
  <c r="H41" i="8"/>
  <c r="H53" i="8"/>
  <c r="R53" i="8"/>
  <c r="F53" i="8" s="1"/>
  <c r="I53" i="8"/>
  <c r="L53" i="8"/>
  <c r="R68" i="8"/>
  <c r="F68" i="8" s="1"/>
  <c r="L68" i="8"/>
  <c r="I68" i="8"/>
  <c r="H68" i="8"/>
  <c r="E19" i="6"/>
  <c r="D19" i="12"/>
  <c r="D87" i="12"/>
  <c r="E87" i="6"/>
  <c r="D119" i="12"/>
  <c r="E119" i="6"/>
  <c r="D55" i="12"/>
  <c r="E55" i="6"/>
  <c r="E21" i="6"/>
  <c r="D21" i="12"/>
  <c r="D68" i="12"/>
  <c r="E68" i="6"/>
  <c r="D67" i="12"/>
  <c r="E67" i="6"/>
  <c r="E26" i="6"/>
  <c r="D26" i="12"/>
  <c r="E36" i="6"/>
  <c r="D36" i="12"/>
  <c r="AG289" i="6"/>
  <c r="AG15" i="6" s="1"/>
  <c r="V15" i="6" s="1"/>
  <c r="BB289" i="6"/>
  <c r="BC289" i="6"/>
  <c r="AZ289" i="6"/>
  <c r="O1" i="8"/>
  <c r="N1" i="8"/>
  <c r="H1" i="8"/>
  <c r="L1" i="8"/>
  <c r="P1" i="8"/>
  <c r="M1" i="8"/>
  <c r="I1" i="8"/>
  <c r="R1" i="8"/>
  <c r="F1" i="8" s="1"/>
  <c r="O188" i="12"/>
  <c r="AO188" i="12"/>
  <c r="M188" i="12"/>
  <c r="AO23" i="13"/>
  <c r="B23" i="13"/>
  <c r="AJ23" i="13" s="1"/>
  <c r="AL23" i="13"/>
  <c r="AA20" i="11"/>
  <c r="K20" i="11"/>
  <c r="J20" i="13" s="1"/>
  <c r="G20" i="11"/>
  <c r="F20" i="13" s="1"/>
  <c r="C20" i="13"/>
  <c r="O20" i="11"/>
  <c r="AB20" i="11"/>
  <c r="N20" i="11" s="1"/>
  <c r="X25" i="5"/>
  <c r="R20" i="8" s="1"/>
  <c r="F20" i="8" s="1"/>
  <c r="B25" i="12"/>
  <c r="AB25" i="5"/>
  <c r="H44" i="8"/>
  <c r="R44" i="8"/>
  <c r="L44" i="8"/>
  <c r="I44" i="8"/>
  <c r="H71" i="8"/>
  <c r="R71" i="8"/>
  <c r="F71" i="8" s="1"/>
  <c r="L71" i="8"/>
  <c r="I71" i="8"/>
  <c r="L32" i="8"/>
  <c r="P32" i="8" s="1"/>
  <c r="I32" i="8"/>
  <c r="D44" i="12"/>
  <c r="E44" i="6"/>
  <c r="D53" i="12"/>
  <c r="E53" i="6"/>
  <c r="D136" i="12"/>
  <c r="E136" i="6"/>
  <c r="E134" i="6"/>
  <c r="D134" i="12"/>
  <c r="E49" i="6"/>
  <c r="D49" i="12"/>
  <c r="D72" i="12"/>
  <c r="E72" i="6"/>
  <c r="E28" i="6"/>
  <c r="D28" i="12"/>
  <c r="E35" i="6"/>
  <c r="D35" i="12"/>
  <c r="E34" i="6"/>
  <c r="D34" i="12"/>
  <c r="BD289" i="6"/>
  <c r="AP289" i="6"/>
  <c r="AE289" i="6"/>
  <c r="AE15" i="6" s="1"/>
  <c r="T15" i="6" s="1"/>
  <c r="AV289" i="6"/>
  <c r="AA17" i="11"/>
  <c r="O17" i="11"/>
  <c r="C17" i="13"/>
  <c r="K17" i="11"/>
  <c r="J17" i="13" s="1"/>
  <c r="AB17" i="11"/>
  <c r="N17" i="11" s="1"/>
  <c r="G17" i="11"/>
  <c r="F17" i="13" s="1"/>
  <c r="O21" i="11"/>
  <c r="C21" i="13"/>
  <c r="AB21" i="11"/>
  <c r="N21" i="11" s="1"/>
  <c r="AA21" i="11"/>
  <c r="G21" i="11"/>
  <c r="F21" i="13" s="1"/>
  <c r="K21" i="11"/>
  <c r="J21" i="13" s="1"/>
  <c r="AO17" i="13"/>
  <c r="AL17" i="13"/>
  <c r="B17" i="13"/>
  <c r="AK17" i="13" s="1"/>
  <c r="X69" i="5"/>
  <c r="B69" i="12"/>
  <c r="AB69" i="5"/>
  <c r="R23" i="8"/>
  <c r="F24" i="8" s="1"/>
  <c r="L23" i="8"/>
  <c r="O23" i="8" s="1"/>
  <c r="L98" i="8"/>
  <c r="I98" i="8"/>
  <c r="H65" i="8"/>
  <c r="L65" i="8"/>
  <c r="P65" i="8" s="1"/>
  <c r="R65" i="8"/>
  <c r="F65" i="8" s="1"/>
  <c r="I107" i="8"/>
  <c r="L107" i="8"/>
  <c r="M107" i="8" s="1"/>
  <c r="R106" i="8"/>
  <c r="O104" i="8"/>
  <c r="D59" i="12"/>
  <c r="E59" i="6"/>
  <c r="E38" i="6"/>
  <c r="D38" i="12"/>
  <c r="E51" i="6"/>
  <c r="D51" i="12"/>
  <c r="E114" i="6"/>
  <c r="D114" i="12"/>
  <c r="D102" i="12"/>
  <c r="E102" i="6"/>
  <c r="D71" i="12"/>
  <c r="E71" i="6"/>
  <c r="E131" i="6"/>
  <c r="D131" i="12"/>
  <c r="E58" i="6"/>
  <c r="D58" i="12"/>
  <c r="E29" i="6"/>
  <c r="D29" i="12"/>
  <c r="Z289" i="5"/>
  <c r="AM289" i="5"/>
  <c r="I289" i="12"/>
  <c r="L289" i="5"/>
  <c r="BE289" i="6"/>
  <c r="BF289" i="6"/>
  <c r="AD289" i="6"/>
  <c r="AD15" i="6" s="1"/>
  <c r="S15" i="6" s="1"/>
  <c r="D16" i="5"/>
  <c r="G12" i="11"/>
  <c r="F12" i="13" s="1"/>
  <c r="AA12" i="11"/>
  <c r="K12" i="11"/>
  <c r="J12" i="13" s="1"/>
  <c r="C12" i="13"/>
  <c r="AB12" i="11"/>
  <c r="N12" i="11" s="1"/>
  <c r="O12" i="11"/>
  <c r="X212" i="5"/>
  <c r="B212" i="12"/>
  <c r="O212" i="12" s="1"/>
  <c r="AB212" i="5"/>
  <c r="I62" i="8"/>
  <c r="R62" i="8"/>
  <c r="F63" i="8" s="1"/>
  <c r="L62" i="8"/>
  <c r="H62" i="8"/>
  <c r="L20" i="8"/>
  <c r="P20" i="8" s="1"/>
  <c r="L50" i="8"/>
  <c r="P50" i="8" s="1"/>
  <c r="I50" i="8"/>
  <c r="H50" i="8"/>
  <c r="R50" i="8"/>
  <c r="F51" i="8" s="1"/>
  <c r="L74" i="8"/>
  <c r="R74" i="8"/>
  <c r="F74" i="8" s="1"/>
  <c r="I74" i="8"/>
  <c r="H74" i="8"/>
  <c r="E56" i="6"/>
  <c r="D56" i="12"/>
  <c r="E64" i="6"/>
  <c r="D64" i="12"/>
  <c r="D124" i="12"/>
  <c r="E124" i="6"/>
  <c r="E30" i="6"/>
  <c r="D30" i="12"/>
  <c r="E154" i="6"/>
  <c r="D154" i="12"/>
  <c r="D156" i="12"/>
  <c r="E156" i="6"/>
  <c r="E74" i="6"/>
  <c r="D74" i="12"/>
  <c r="E65" i="6"/>
  <c r="D65" i="12"/>
  <c r="D31" i="12"/>
  <c r="E31" i="6"/>
  <c r="AK289" i="6"/>
  <c r="AK15" i="6" s="1"/>
  <c r="Z15" i="6" s="1"/>
  <c r="AX289" i="6"/>
  <c r="AM289" i="6"/>
  <c r="AO289" i="6"/>
  <c r="R112" i="8"/>
  <c r="L83" i="8"/>
  <c r="P83" i="8" s="1"/>
  <c r="I83" i="8"/>
  <c r="H83" i="8"/>
  <c r="R83" i="8"/>
  <c r="F83" i="8" s="1"/>
  <c r="AB15" i="11"/>
  <c r="N15" i="11" s="1"/>
  <c r="AA15" i="11"/>
  <c r="K15" i="11"/>
  <c r="J15" i="13" s="1"/>
  <c r="C15" i="13"/>
  <c r="O15" i="11"/>
  <c r="G15" i="11"/>
  <c r="F15" i="13" s="1"/>
  <c r="X225" i="5"/>
  <c r="B225" i="12"/>
  <c r="AB225" i="5"/>
  <c r="B248" i="12"/>
  <c r="G22" i="11"/>
  <c r="F22" i="13" s="1"/>
  <c r="AA22" i="11"/>
  <c r="AB22" i="11"/>
  <c r="N22" i="11" s="1"/>
  <c r="C22" i="13"/>
  <c r="K22" i="11"/>
  <c r="J22" i="13" s="1"/>
  <c r="O22" i="11"/>
  <c r="I56" i="8"/>
  <c r="L56" i="8"/>
  <c r="H56" i="8"/>
  <c r="R56" i="8"/>
  <c r="F57" i="8" s="1"/>
  <c r="L86" i="8"/>
  <c r="I86" i="8"/>
  <c r="H86" i="8"/>
  <c r="R86" i="8"/>
  <c r="F86" i="8" s="1"/>
  <c r="D18" i="12"/>
  <c r="E18" i="6"/>
  <c r="E70" i="6"/>
  <c r="D70" i="12"/>
  <c r="E140" i="6"/>
  <c r="D140" i="12"/>
  <c r="D32" i="12"/>
  <c r="E32" i="6"/>
  <c r="D60" i="12"/>
  <c r="E60" i="6"/>
  <c r="D144" i="12"/>
  <c r="E144" i="6"/>
  <c r="E94" i="6"/>
  <c r="D94" i="12"/>
  <c r="D76" i="12"/>
  <c r="E76" i="6"/>
  <c r="D20" i="12"/>
  <c r="E20" i="6"/>
  <c r="AU289" i="6"/>
  <c r="AC289" i="6"/>
  <c r="AC15" i="6" s="1"/>
  <c r="R15" i="6" s="1"/>
  <c r="BA289" i="6"/>
  <c r="AN289" i="6"/>
  <c r="I77" i="8"/>
  <c r="H77" i="8"/>
  <c r="R77" i="8"/>
  <c r="F77" i="8" s="1"/>
  <c r="L77" i="8"/>
  <c r="B20" i="13"/>
  <c r="AN20" i="13" s="1"/>
  <c r="AO20" i="13"/>
  <c r="AL20" i="13"/>
  <c r="AO18" i="13"/>
  <c r="B18" i="13"/>
  <c r="AN18" i="13" s="1"/>
  <c r="AL18" i="13"/>
  <c r="AL19" i="13"/>
  <c r="B19" i="13"/>
  <c r="AK19" i="13" s="1"/>
  <c r="AO19" i="13"/>
  <c r="B192" i="12"/>
  <c r="AB192" i="5"/>
  <c r="X192" i="5"/>
  <c r="R95" i="8" s="1"/>
  <c r="F96" i="8" s="1"/>
  <c r="B237" i="12"/>
  <c r="X237" i="5"/>
  <c r="I80" i="8"/>
  <c r="R80" i="8"/>
  <c r="F80" i="8" s="1"/>
  <c r="L80" i="8"/>
  <c r="H80" i="8"/>
  <c r="L29" i="8"/>
  <c r="H29" i="8"/>
  <c r="R29" i="8"/>
  <c r="F30" i="8" s="1"/>
  <c r="R26" i="8"/>
  <c r="F27" i="8" s="1"/>
  <c r="H26" i="8"/>
  <c r="L26" i="8"/>
  <c r="P26" i="8" s="1"/>
  <c r="AM15" i="13"/>
  <c r="D39" i="12"/>
  <c r="E39" i="6"/>
  <c r="D46" i="12"/>
  <c r="E46" i="6"/>
  <c r="D40" i="12"/>
  <c r="E40" i="6"/>
  <c r="E54" i="6"/>
  <c r="D54" i="12"/>
  <c r="D61" i="12"/>
  <c r="E61" i="6"/>
  <c r="D42" i="12"/>
  <c r="E42" i="6"/>
  <c r="D57" i="12"/>
  <c r="E57" i="6"/>
  <c r="E177" i="6"/>
  <c r="D177" i="12"/>
  <c r="E43" i="6"/>
  <c r="D43" i="12"/>
  <c r="AH289" i="6"/>
  <c r="AH15" i="6" s="1"/>
  <c r="W15" i="6" s="1"/>
  <c r="AY289" i="6"/>
  <c r="AR289" i="6"/>
  <c r="AT289" i="6"/>
  <c r="R89" i="8"/>
  <c r="F89" i="8" s="1"/>
  <c r="L89" i="8"/>
  <c r="P89" i="8" s="1"/>
  <c r="I89" i="8"/>
  <c r="H89" i="8"/>
  <c r="AO22" i="13"/>
  <c r="AL22" i="13"/>
  <c r="B22" i="13"/>
  <c r="AN22" i="13" s="1"/>
  <c r="AB18" i="11"/>
  <c r="N18" i="11" s="1"/>
  <c r="K18" i="11"/>
  <c r="J18" i="13" s="1"/>
  <c r="C18" i="13"/>
  <c r="AA18" i="11"/>
  <c r="G18" i="11"/>
  <c r="F18" i="13" s="1"/>
  <c r="O18" i="11"/>
  <c r="AO21" i="13"/>
  <c r="B21" i="13"/>
  <c r="AL21" i="13"/>
  <c r="B86" i="12"/>
  <c r="X86" i="5"/>
  <c r="AB86" i="5"/>
  <c r="X81" i="5"/>
  <c r="AB81" i="5"/>
  <c r="B81" i="12"/>
  <c r="L95" i="8"/>
  <c r="I95" i="8"/>
  <c r="H59" i="8"/>
  <c r="R59" i="8"/>
  <c r="F59" i="8" s="1"/>
  <c r="L59" i="8"/>
  <c r="I59" i="8"/>
  <c r="I47" i="8"/>
  <c r="L47" i="8"/>
  <c r="H47" i="8"/>
  <c r="R47" i="8"/>
  <c r="F47" i="8" s="1"/>
  <c r="T285" i="12"/>
  <c r="V285" i="12"/>
  <c r="U285" i="12"/>
  <c r="P101" i="8"/>
  <c r="D73" i="12"/>
  <c r="E73" i="6"/>
  <c r="D52" i="12"/>
  <c r="E52" i="6"/>
  <c r="E23" i="6"/>
  <c r="D23" i="12"/>
  <c r="D22" i="12"/>
  <c r="E22" i="6"/>
  <c r="D50" i="12"/>
  <c r="E50" i="6"/>
  <c r="E37" i="6"/>
  <c r="D37" i="12"/>
  <c r="D24" i="12"/>
  <c r="E24" i="6"/>
  <c r="D27" i="12"/>
  <c r="E27" i="6"/>
  <c r="D109" i="12"/>
  <c r="E109" i="6"/>
  <c r="D75" i="12"/>
  <c r="E75" i="6"/>
  <c r="AQ289" i="6"/>
  <c r="BG289" i="6"/>
  <c r="AF289" i="6"/>
  <c r="AF15" i="6" s="1"/>
  <c r="U15" i="6" s="1"/>
  <c r="O110" i="8"/>
  <c r="AB237" i="5"/>
  <c r="I80" i="5"/>
  <c r="O79" i="5"/>
  <c r="D78" i="12"/>
  <c r="E78" i="6"/>
  <c r="F114" i="8" l="1"/>
  <c r="F113" i="8"/>
  <c r="R115" i="8"/>
  <c r="M113" i="8"/>
  <c r="N113" i="8"/>
  <c r="O113" i="8"/>
  <c r="P113" i="8"/>
  <c r="M95" i="8"/>
  <c r="O59" i="8"/>
  <c r="M98" i="8"/>
  <c r="O98" i="8"/>
  <c r="N107" i="8"/>
  <c r="F48" i="8"/>
  <c r="W287" i="12"/>
  <c r="X287" i="12"/>
  <c r="AJ20" i="13"/>
  <c r="AJ22" i="13"/>
  <c r="F26" i="8"/>
  <c r="O80" i="8"/>
  <c r="P23" i="8"/>
  <c r="F23" i="8"/>
  <c r="AK22" i="13"/>
  <c r="F60" i="8"/>
  <c r="P59" i="8"/>
  <c r="AK20" i="13"/>
  <c r="O14" i="8"/>
  <c r="AM22" i="13"/>
  <c r="F75" i="8"/>
  <c r="Y188" i="12"/>
  <c r="F2" i="8"/>
  <c r="M59" i="8"/>
  <c r="AJ17" i="13"/>
  <c r="AO212" i="12"/>
  <c r="Y212" i="12" s="1"/>
  <c r="F87" i="8"/>
  <c r="N41" i="8"/>
  <c r="N38" i="8"/>
  <c r="AM20" i="13"/>
  <c r="AN23" i="13"/>
  <c r="O77" i="8"/>
  <c r="F18" i="8"/>
  <c r="F17" i="8"/>
  <c r="M86" i="12"/>
  <c r="O86" i="12"/>
  <c r="AO86" i="12"/>
  <c r="O89" i="8"/>
  <c r="R91" i="8"/>
  <c r="F29" i="8"/>
  <c r="N80" i="8"/>
  <c r="AJ18" i="13"/>
  <c r="F78" i="8"/>
  <c r="P56" i="8"/>
  <c r="R58" i="8"/>
  <c r="M56" i="8"/>
  <c r="N56" i="8"/>
  <c r="O56" i="8"/>
  <c r="R85" i="8"/>
  <c r="M83" i="8"/>
  <c r="O83" i="8"/>
  <c r="N83" i="8"/>
  <c r="B16" i="12"/>
  <c r="D15" i="5"/>
  <c r="B14" i="13"/>
  <c r="X16" i="5"/>
  <c r="F66" i="8"/>
  <c r="AM17" i="13"/>
  <c r="F72" i="8"/>
  <c r="O41" i="8"/>
  <c r="R46" i="8"/>
  <c r="N44" i="8"/>
  <c r="C20" i="11"/>
  <c r="Z20" i="11"/>
  <c r="W20" i="11"/>
  <c r="L20" i="13"/>
  <c r="D20" i="13" s="1"/>
  <c r="F69" i="8"/>
  <c r="F54" i="8"/>
  <c r="F42" i="8"/>
  <c r="J188" i="12"/>
  <c r="L188" i="12"/>
  <c r="C188" i="12"/>
  <c r="C288" i="12"/>
  <c r="M288" i="12"/>
  <c r="O288" i="12"/>
  <c r="AO288" i="12"/>
  <c r="K18" i="13"/>
  <c r="R18" i="13"/>
  <c r="U18" i="13"/>
  <c r="T18" i="13"/>
  <c r="M18" i="13"/>
  <c r="S18" i="13"/>
  <c r="O18" i="13"/>
  <c r="M80" i="8"/>
  <c r="O192" i="12"/>
  <c r="AO192" i="12"/>
  <c r="M192" i="12"/>
  <c r="AM248" i="5"/>
  <c r="I248" i="12"/>
  <c r="L248" i="5"/>
  <c r="Z248" i="5"/>
  <c r="X110" i="8"/>
  <c r="W110" i="8"/>
  <c r="AA110" i="8"/>
  <c r="U110" i="8"/>
  <c r="D110" i="8"/>
  <c r="Z110" i="8"/>
  <c r="AE110" i="8"/>
  <c r="AB110" i="8"/>
  <c r="E112" i="8"/>
  <c r="Y110" i="8"/>
  <c r="AC110" i="8"/>
  <c r="T110" i="8"/>
  <c r="V110" i="8"/>
  <c r="AD110" i="8"/>
  <c r="F62" i="8"/>
  <c r="I212" i="12"/>
  <c r="AM212" i="5"/>
  <c r="L212" i="5"/>
  <c r="R101" i="8"/>
  <c r="Z212" i="5"/>
  <c r="P98" i="8"/>
  <c r="R100" i="8"/>
  <c r="AO69" i="12"/>
  <c r="M69" i="12"/>
  <c r="O69" i="12"/>
  <c r="F45" i="8"/>
  <c r="F44" i="8"/>
  <c r="T20" i="13"/>
  <c r="O20" i="13"/>
  <c r="M20" i="13"/>
  <c r="R20" i="13"/>
  <c r="S20" i="13"/>
  <c r="U20" i="13"/>
  <c r="K20" i="13"/>
  <c r="R37" i="8"/>
  <c r="M35" i="8"/>
  <c r="W16" i="11"/>
  <c r="C16" i="11"/>
  <c r="Z16" i="11"/>
  <c r="L16" i="13"/>
  <c r="D16" i="13" s="1"/>
  <c r="R49" i="8"/>
  <c r="M47" i="8"/>
  <c r="N47" i="8"/>
  <c r="P47" i="8"/>
  <c r="O47" i="8"/>
  <c r="O95" i="8"/>
  <c r="N92" i="8"/>
  <c r="R97" i="8"/>
  <c r="O92" i="8"/>
  <c r="P95" i="8"/>
  <c r="M92" i="8"/>
  <c r="N95" i="8"/>
  <c r="AM21" i="13"/>
  <c r="AJ21" i="13"/>
  <c r="M89" i="8"/>
  <c r="AJ19" i="13"/>
  <c r="AK18" i="13"/>
  <c r="AM18" i="13"/>
  <c r="C22" i="11"/>
  <c r="L22" i="13"/>
  <c r="D22" i="13" s="1"/>
  <c r="W22" i="11"/>
  <c r="Z22" i="11"/>
  <c r="C12" i="11"/>
  <c r="W12" i="11"/>
  <c r="Z12" i="11"/>
  <c r="L12" i="13"/>
  <c r="I69" i="12"/>
  <c r="Z69" i="5"/>
  <c r="AM69" i="5"/>
  <c r="R32" i="8"/>
  <c r="L69" i="5"/>
  <c r="P71" i="8"/>
  <c r="O71" i="8"/>
  <c r="N71" i="8"/>
  <c r="R73" i="8"/>
  <c r="M44" i="8"/>
  <c r="R3" i="8"/>
  <c r="Q1" i="8"/>
  <c r="M68" i="8"/>
  <c r="R70" i="8"/>
  <c r="AO41" i="12"/>
  <c r="O41" i="12"/>
  <c r="M41" i="12"/>
  <c r="R16" i="8"/>
  <c r="N14" i="8"/>
  <c r="M14" i="8"/>
  <c r="Q14" i="8" s="1"/>
  <c r="C19" i="11"/>
  <c r="L19" i="13"/>
  <c r="D19" i="13" s="1"/>
  <c r="W19" i="11"/>
  <c r="Z19" i="11"/>
  <c r="O81" i="12"/>
  <c r="M81" i="12"/>
  <c r="AO81" i="12"/>
  <c r="AN21" i="13"/>
  <c r="N89" i="8"/>
  <c r="R31" i="8"/>
  <c r="M29" i="8"/>
  <c r="P29" i="8"/>
  <c r="P86" i="8"/>
  <c r="M86" i="8"/>
  <c r="N86" i="8"/>
  <c r="R88" i="8"/>
  <c r="O86" i="8"/>
  <c r="M225" i="12"/>
  <c r="AO225" i="12"/>
  <c r="O225" i="12"/>
  <c r="F50" i="8"/>
  <c r="R64" i="8"/>
  <c r="O62" i="8"/>
  <c r="N62" i="8"/>
  <c r="M62" i="8"/>
  <c r="O65" i="8"/>
  <c r="N65" i="8"/>
  <c r="R67" i="8"/>
  <c r="M65" i="8"/>
  <c r="M17" i="13"/>
  <c r="R17" i="13"/>
  <c r="S17" i="13"/>
  <c r="T17" i="13"/>
  <c r="O17" i="13"/>
  <c r="K17" i="13"/>
  <c r="U17" i="13"/>
  <c r="AN16" i="13"/>
  <c r="AJ16" i="13"/>
  <c r="AM16" i="13"/>
  <c r="L41" i="5"/>
  <c r="I41" i="12"/>
  <c r="Z41" i="5"/>
  <c r="AM41" i="5"/>
  <c r="R19" i="8"/>
  <c r="P17" i="8"/>
  <c r="O17" i="8"/>
  <c r="M17" i="8"/>
  <c r="C23" i="11"/>
  <c r="L23" i="13"/>
  <c r="D23" i="13" s="1"/>
  <c r="Z23" i="11"/>
  <c r="W23" i="11"/>
  <c r="AK21" i="13"/>
  <c r="O74" i="8"/>
  <c r="R79" i="8"/>
  <c r="N77" i="8"/>
  <c r="M77" i="8"/>
  <c r="K22" i="13"/>
  <c r="S22" i="13"/>
  <c r="O22" i="13"/>
  <c r="M22" i="13"/>
  <c r="R22" i="13"/>
  <c r="U22" i="13"/>
  <c r="T22" i="13"/>
  <c r="Z225" i="5"/>
  <c r="AM225" i="5"/>
  <c r="R104" i="8"/>
  <c r="I225" i="12"/>
  <c r="L225" i="5"/>
  <c r="M50" i="8"/>
  <c r="R52" i="8"/>
  <c r="O50" i="8"/>
  <c r="N50" i="8"/>
  <c r="P62" i="8"/>
  <c r="M12" i="13"/>
  <c r="T12" i="13"/>
  <c r="R12" i="13"/>
  <c r="S12" i="13"/>
  <c r="O12" i="13"/>
  <c r="U12" i="13"/>
  <c r="K12" i="13"/>
  <c r="C289" i="6"/>
  <c r="O289" i="5"/>
  <c r="W17" i="11"/>
  <c r="C17" i="11"/>
  <c r="Z17" i="11"/>
  <c r="L17" i="13"/>
  <c r="D17" i="13" s="1"/>
  <c r="N188" i="12"/>
  <c r="N68" i="8"/>
  <c r="R98" i="8"/>
  <c r="AM198" i="5"/>
  <c r="Z198" i="5"/>
  <c r="I198" i="12"/>
  <c r="L198" i="5"/>
  <c r="F93" i="8"/>
  <c r="F92" i="8"/>
  <c r="O38" i="8"/>
  <c r="R40" i="8"/>
  <c r="L81" i="5"/>
  <c r="I81" i="12"/>
  <c r="Z81" i="5"/>
  <c r="AM81" i="5"/>
  <c r="R35" i="8"/>
  <c r="R28" i="8"/>
  <c r="O26" i="8"/>
  <c r="M26" i="8"/>
  <c r="M71" i="8"/>
  <c r="R82" i="8"/>
  <c r="AM237" i="5"/>
  <c r="Z237" i="5"/>
  <c r="L237" i="5"/>
  <c r="I237" i="12"/>
  <c r="R107" i="8"/>
  <c r="AN19" i="13"/>
  <c r="AM19" i="13"/>
  <c r="AA73" i="10"/>
  <c r="O73" i="10"/>
  <c r="AE73" i="10"/>
  <c r="K73" i="10"/>
  <c r="U73" i="10"/>
  <c r="W73" i="10"/>
  <c r="Y73" i="10"/>
  <c r="AC73" i="10"/>
  <c r="S73" i="10"/>
  <c r="I73" i="10"/>
  <c r="M73" i="10"/>
  <c r="Q73" i="10"/>
  <c r="P74" i="8"/>
  <c r="R76" i="8"/>
  <c r="N74" i="8"/>
  <c r="M74" i="8"/>
  <c r="R22" i="8"/>
  <c r="M20" i="8"/>
  <c r="O20" i="8"/>
  <c r="C289" i="12"/>
  <c r="AO289" i="12"/>
  <c r="M289" i="12"/>
  <c r="M212" i="12" s="1"/>
  <c r="N212" i="12" s="1"/>
  <c r="O289" i="12"/>
  <c r="O44" i="8"/>
  <c r="O25" i="12"/>
  <c r="AO25" i="12"/>
  <c r="M25" i="12"/>
  <c r="AO198" i="12"/>
  <c r="O198" i="12"/>
  <c r="M198" i="12"/>
  <c r="O188" i="5"/>
  <c r="C188" i="6"/>
  <c r="B245" i="12"/>
  <c r="X245" i="5"/>
  <c r="AB245" i="5"/>
  <c r="U19" i="13"/>
  <c r="T19" i="13"/>
  <c r="R19" i="13"/>
  <c r="K19" i="13"/>
  <c r="O19" i="13"/>
  <c r="S19" i="13"/>
  <c r="M19" i="13"/>
  <c r="Z15" i="5"/>
  <c r="AM15" i="5"/>
  <c r="M53" i="8"/>
  <c r="R61" i="8"/>
  <c r="Z18" i="11"/>
  <c r="L18" i="13"/>
  <c r="D18" i="13" s="1"/>
  <c r="C18" i="11"/>
  <c r="W18" i="11"/>
  <c r="F90" i="8"/>
  <c r="P80" i="8"/>
  <c r="O237" i="12"/>
  <c r="AO237" i="12"/>
  <c r="M237" i="12"/>
  <c r="Z15" i="11"/>
  <c r="L15" i="13"/>
  <c r="D15" i="13" s="1"/>
  <c r="W15" i="11"/>
  <c r="C15" i="11"/>
  <c r="F84" i="8"/>
  <c r="F21" i="8"/>
  <c r="O107" i="8"/>
  <c r="P107" i="8"/>
  <c r="M101" i="8"/>
  <c r="Q101" i="8" s="1"/>
  <c r="N104" i="8"/>
  <c r="R109" i="8"/>
  <c r="Q107" i="8"/>
  <c r="M104" i="8"/>
  <c r="N98" i="8"/>
  <c r="Q98" i="8" s="1"/>
  <c r="R25" i="8"/>
  <c r="M23" i="8"/>
  <c r="AN17" i="13"/>
  <c r="O21" i="13"/>
  <c r="K21" i="13"/>
  <c r="R21" i="13"/>
  <c r="U21" i="13"/>
  <c r="T21" i="13"/>
  <c r="S21" i="13"/>
  <c r="M21" i="13"/>
  <c r="O32" i="8"/>
  <c r="M32" i="8"/>
  <c r="N32" i="8"/>
  <c r="R34" i="8"/>
  <c r="P44" i="8"/>
  <c r="L25" i="5"/>
  <c r="I25" i="12"/>
  <c r="AM25" i="5"/>
  <c r="Z25" i="5"/>
  <c r="AK23" i="13"/>
  <c r="AM23" i="13"/>
  <c r="G1" i="8"/>
  <c r="I2" i="8" s="1"/>
  <c r="G2" i="8"/>
  <c r="O68" i="8"/>
  <c r="O35" i="8"/>
  <c r="AK12" i="13"/>
  <c r="AM12" i="13"/>
  <c r="AN12" i="13"/>
  <c r="AJ12" i="13"/>
  <c r="P38" i="8"/>
  <c r="O17" i="12"/>
  <c r="AO17" i="12"/>
  <c r="M17" i="12"/>
  <c r="C288" i="6"/>
  <c r="O288" i="5"/>
  <c r="T23" i="13"/>
  <c r="O23" i="13"/>
  <c r="K23" i="13"/>
  <c r="U23" i="13"/>
  <c r="R23" i="13"/>
  <c r="M23" i="13"/>
  <c r="S23" i="13"/>
  <c r="N59" i="8"/>
  <c r="F95" i="8"/>
  <c r="I86" i="12"/>
  <c r="L86" i="5"/>
  <c r="Z86" i="5"/>
  <c r="R38" i="8"/>
  <c r="AM86" i="5"/>
  <c r="F81" i="8"/>
  <c r="L192" i="5"/>
  <c r="AM192" i="5"/>
  <c r="I192" i="12"/>
  <c r="Z192" i="5"/>
  <c r="P77" i="8"/>
  <c r="F56" i="8"/>
  <c r="O15" i="13"/>
  <c r="S15" i="13"/>
  <c r="K15" i="13"/>
  <c r="M15" i="13"/>
  <c r="U15" i="13"/>
  <c r="R15" i="13"/>
  <c r="T15" i="13"/>
  <c r="AA289" i="5"/>
  <c r="AB289" i="5"/>
  <c r="W21" i="11"/>
  <c r="C21" i="11"/>
  <c r="Z21" i="11"/>
  <c r="L21" i="13"/>
  <c r="D21" i="13" s="1"/>
  <c r="P68" i="8"/>
  <c r="R55" i="8"/>
  <c r="P53" i="8"/>
  <c r="O53" i="8"/>
  <c r="N53" i="8"/>
  <c r="P41" i="8"/>
  <c r="M41" i="8"/>
  <c r="Q41" i="8" s="1"/>
  <c r="R43" i="8"/>
  <c r="P35" i="8"/>
  <c r="M38" i="8"/>
  <c r="Q38" i="8" s="1"/>
  <c r="L17" i="5"/>
  <c r="I17" i="12"/>
  <c r="AM17" i="5"/>
  <c r="Z17" i="5"/>
  <c r="T16" i="13"/>
  <c r="O16" i="13"/>
  <c r="S16" i="13"/>
  <c r="K16" i="13"/>
  <c r="R16" i="13"/>
  <c r="M16" i="13"/>
  <c r="U16" i="13"/>
  <c r="AB288" i="5"/>
  <c r="AA288" i="5"/>
  <c r="I81" i="5"/>
  <c r="I82" i="5" s="1"/>
  <c r="I83" i="5" s="1"/>
  <c r="O80" i="5"/>
  <c r="E79" i="6"/>
  <c r="D79" i="12"/>
  <c r="Q113" i="8" l="1"/>
  <c r="Y25" i="12"/>
  <c r="Q95" i="8"/>
  <c r="G96" i="8" s="1"/>
  <c r="AE115" i="8"/>
  <c r="W115" i="8"/>
  <c r="Z113" i="8"/>
  <c r="AD115" i="8"/>
  <c r="V115" i="8"/>
  <c r="Y113" i="8"/>
  <c r="AC115" i="8"/>
  <c r="U115" i="8"/>
  <c r="X113" i="8"/>
  <c r="AB115" i="8"/>
  <c r="T115" i="8"/>
  <c r="AE113" i="8"/>
  <c r="W113" i="8"/>
  <c r="D113" i="8"/>
  <c r="AA115" i="8"/>
  <c r="AD113" i="8"/>
  <c r="V113" i="8"/>
  <c r="Z115" i="8"/>
  <c r="E115" i="8"/>
  <c r="AC113" i="8"/>
  <c r="U113" i="8"/>
  <c r="Y115" i="8"/>
  <c r="D115" i="8"/>
  <c r="AB113" i="8"/>
  <c r="T113" i="8"/>
  <c r="X115" i="8"/>
  <c r="AA113" i="8"/>
  <c r="G114" i="8"/>
  <c r="Q59" i="8"/>
  <c r="C59" i="8" s="1"/>
  <c r="Q80" i="8"/>
  <c r="G81" i="8" s="1"/>
  <c r="Y198" i="12"/>
  <c r="W198" i="12" s="1"/>
  <c r="Q53" i="8"/>
  <c r="N288" i="12"/>
  <c r="Y225" i="12"/>
  <c r="Y41" i="12"/>
  <c r="W41" i="12" s="1"/>
  <c r="N289" i="12"/>
  <c r="Q71" i="8"/>
  <c r="AB73" i="8" s="1"/>
  <c r="Y17" i="12"/>
  <c r="V287" i="12"/>
  <c r="U287" i="12"/>
  <c r="T287" i="12"/>
  <c r="N81" i="12"/>
  <c r="N192" i="12"/>
  <c r="N237" i="12"/>
  <c r="W188" i="12"/>
  <c r="X188" i="12"/>
  <c r="N41" i="12"/>
  <c r="Q47" i="8"/>
  <c r="W212" i="12"/>
  <c r="T212" i="12" s="1"/>
  <c r="X212" i="12"/>
  <c r="Y86" i="12"/>
  <c r="N86" i="12"/>
  <c r="Q62" i="8"/>
  <c r="Y69" i="12"/>
  <c r="Q83" i="8"/>
  <c r="N17" i="12"/>
  <c r="Q50" i="8"/>
  <c r="W50" i="8" s="1"/>
  <c r="Q77" i="8"/>
  <c r="Y81" i="12"/>
  <c r="Q44" i="8"/>
  <c r="AB46" i="8" s="1"/>
  <c r="K188" i="12"/>
  <c r="E40" i="8"/>
  <c r="B38" i="8"/>
  <c r="C38" i="8"/>
  <c r="C98" i="8"/>
  <c r="X100" i="8"/>
  <c r="Y100" i="8"/>
  <c r="AB98" i="8"/>
  <c r="AC100" i="8"/>
  <c r="AA98" i="8"/>
  <c r="AA100" i="8"/>
  <c r="V98" i="8"/>
  <c r="X98" i="8"/>
  <c r="D100" i="8"/>
  <c r="T98" i="8"/>
  <c r="U98" i="8"/>
  <c r="W100" i="8"/>
  <c r="Y98" i="8"/>
  <c r="AD100" i="8"/>
  <c r="AE98" i="8"/>
  <c r="Z100" i="8"/>
  <c r="E100" i="8"/>
  <c r="AB100" i="8"/>
  <c r="AD98" i="8"/>
  <c r="V100" i="8"/>
  <c r="W98" i="8"/>
  <c r="AE100" i="8"/>
  <c r="D98" i="8"/>
  <c r="U100" i="8"/>
  <c r="AC98" i="8"/>
  <c r="T100" i="8"/>
  <c r="Z98" i="8"/>
  <c r="E288" i="6"/>
  <c r="D288" i="12"/>
  <c r="W17" i="12"/>
  <c r="X17" i="12"/>
  <c r="C25" i="6"/>
  <c r="O25" i="5"/>
  <c r="H92" i="8"/>
  <c r="D188" i="12"/>
  <c r="E188" i="6"/>
  <c r="Z41" i="8"/>
  <c r="T43" i="8"/>
  <c r="AD41" i="8"/>
  <c r="W43" i="8"/>
  <c r="AA43" i="8"/>
  <c r="U43" i="8"/>
  <c r="W41" i="8"/>
  <c r="U41" i="8"/>
  <c r="C41" i="8"/>
  <c r="AE41" i="8"/>
  <c r="AC43" i="8"/>
  <c r="D43" i="8"/>
  <c r="Y41" i="8"/>
  <c r="Z43" i="8"/>
  <c r="V41" i="8"/>
  <c r="AD43" i="8"/>
  <c r="D41" i="8"/>
  <c r="AC41" i="8"/>
  <c r="AA41" i="8"/>
  <c r="Y43" i="8"/>
  <c r="E43" i="8"/>
  <c r="V43" i="8"/>
  <c r="AE43" i="8"/>
  <c r="X41" i="8"/>
  <c r="T41" i="8"/>
  <c r="AB43" i="8"/>
  <c r="X43" i="8"/>
  <c r="G42" i="8"/>
  <c r="AB41" i="8"/>
  <c r="J192" i="12"/>
  <c r="C192" i="12"/>
  <c r="L192" i="12"/>
  <c r="C86" i="6"/>
  <c r="O86" i="5"/>
  <c r="Q104" i="8"/>
  <c r="G105" i="8" s="1"/>
  <c r="W72" i="10"/>
  <c r="W71" i="10"/>
  <c r="W70" i="10" s="1"/>
  <c r="F107" i="8"/>
  <c r="G108" i="8"/>
  <c r="F108" i="8"/>
  <c r="E289" i="6"/>
  <c r="D289" i="12"/>
  <c r="F105" i="8"/>
  <c r="F104" i="8"/>
  <c r="D12" i="13"/>
  <c r="V12" i="13"/>
  <c r="Y47" i="8"/>
  <c r="D49" i="8"/>
  <c r="Z47" i="8"/>
  <c r="X47" i="8"/>
  <c r="C47" i="8"/>
  <c r="X49" i="8"/>
  <c r="AE49" i="8"/>
  <c r="W47" i="8"/>
  <c r="AD47" i="8"/>
  <c r="AB49" i="8"/>
  <c r="AB47" i="8"/>
  <c r="G48" i="8"/>
  <c r="Z49" i="8"/>
  <c r="D47" i="8"/>
  <c r="V49" i="8"/>
  <c r="U49" i="8"/>
  <c r="Y49" i="8"/>
  <c r="E49" i="8"/>
  <c r="W49" i="8"/>
  <c r="V47" i="8"/>
  <c r="AC47" i="8"/>
  <c r="T47" i="8"/>
  <c r="AE47" i="8"/>
  <c r="U47" i="8"/>
  <c r="T49" i="8"/>
  <c r="AA47" i="8"/>
  <c r="AC49" i="8"/>
  <c r="AD49" i="8"/>
  <c r="AA49" i="8"/>
  <c r="G102" i="8"/>
  <c r="F102" i="8"/>
  <c r="F101" i="8"/>
  <c r="AB16" i="5"/>
  <c r="AB14" i="11" s="1"/>
  <c r="AB15" i="5"/>
  <c r="AB248" i="5"/>
  <c r="C113" i="8" s="1"/>
  <c r="J86" i="12"/>
  <c r="C86" i="12"/>
  <c r="L86" i="12"/>
  <c r="U107" i="8"/>
  <c r="AC109" i="8"/>
  <c r="D109" i="8"/>
  <c r="U109" i="8"/>
  <c r="X107" i="8"/>
  <c r="D107" i="8"/>
  <c r="AA109" i="8"/>
  <c r="C107" i="8"/>
  <c r="E109" i="8"/>
  <c r="Z107" i="8"/>
  <c r="AE109" i="8"/>
  <c r="T107" i="8"/>
  <c r="AB107" i="8"/>
  <c r="AB109" i="8"/>
  <c r="AC107" i="8"/>
  <c r="AD107" i="8"/>
  <c r="X109" i="8"/>
  <c r="AE107" i="8"/>
  <c r="AD109" i="8"/>
  <c r="W109" i="8"/>
  <c r="Y109" i="8"/>
  <c r="W107" i="8"/>
  <c r="T109" i="8"/>
  <c r="Z109" i="8"/>
  <c r="V107" i="8"/>
  <c r="V109" i="8"/>
  <c r="Y107" i="8"/>
  <c r="AA107" i="8"/>
  <c r="N198" i="12"/>
  <c r="Y289" i="12"/>
  <c r="U72" i="10"/>
  <c r="U71" i="10"/>
  <c r="U70" i="10" s="1"/>
  <c r="L237" i="12"/>
  <c r="J237" i="12"/>
  <c r="C237" i="12"/>
  <c r="F98" i="8"/>
  <c r="G99" i="8"/>
  <c r="F99" i="8"/>
  <c r="C41" i="12"/>
  <c r="L41" i="12"/>
  <c r="J41" i="12"/>
  <c r="P17" i="13"/>
  <c r="N17" i="13"/>
  <c r="N69" i="12"/>
  <c r="C212" i="6"/>
  <c r="O212" i="5"/>
  <c r="Y192" i="12"/>
  <c r="Q71" i="10"/>
  <c r="Q70" i="10" s="1"/>
  <c r="Q72" i="10"/>
  <c r="K71" i="10"/>
  <c r="K70" i="10" s="1"/>
  <c r="K72" i="10"/>
  <c r="C237" i="6"/>
  <c r="O237" i="5"/>
  <c r="AA50" i="8"/>
  <c r="Z50" i="8"/>
  <c r="O41" i="5"/>
  <c r="C41" i="6"/>
  <c r="Q68" i="8"/>
  <c r="R14" i="8"/>
  <c r="L16" i="5"/>
  <c r="O14" i="11"/>
  <c r="AM16" i="5"/>
  <c r="I16" i="12"/>
  <c r="Z16" i="5"/>
  <c r="M248" i="12"/>
  <c r="Q32" i="8"/>
  <c r="G33" i="8" s="1"/>
  <c r="N21" i="13"/>
  <c r="P21" i="13"/>
  <c r="M71" i="10"/>
  <c r="M70" i="10" s="1"/>
  <c r="M72" i="10"/>
  <c r="AE72" i="10"/>
  <c r="AE71" i="10"/>
  <c r="AE70" i="10" s="1"/>
  <c r="F36" i="8"/>
  <c r="F35" i="8"/>
  <c r="E16" i="8"/>
  <c r="B14" i="8"/>
  <c r="C14" i="8"/>
  <c r="Y1" i="8"/>
  <c r="U1" i="8"/>
  <c r="AD1" i="8"/>
  <c r="AE3" i="8"/>
  <c r="Y3" i="8"/>
  <c r="D1" i="8"/>
  <c r="Z3" i="8"/>
  <c r="W1" i="8"/>
  <c r="AB3" i="8"/>
  <c r="AE1" i="8"/>
  <c r="U3" i="8"/>
  <c r="W3" i="8"/>
  <c r="V3" i="8"/>
  <c r="AD3" i="8"/>
  <c r="C1" i="8"/>
  <c r="D3" i="8"/>
  <c r="AA1" i="8"/>
  <c r="V1" i="8"/>
  <c r="X3" i="8"/>
  <c r="AC1" i="8"/>
  <c r="X1" i="8"/>
  <c r="AB1" i="8"/>
  <c r="T3" i="8"/>
  <c r="T1" i="8"/>
  <c r="AC3" i="8"/>
  <c r="AA3" i="8"/>
  <c r="Z1" i="8"/>
  <c r="E3" i="8"/>
  <c r="B1" i="8"/>
  <c r="O69" i="5"/>
  <c r="C69" i="6"/>
  <c r="Q89" i="8"/>
  <c r="L212" i="12"/>
  <c r="J212" i="12"/>
  <c r="C212" i="12"/>
  <c r="O248" i="12"/>
  <c r="L248" i="12" s="1"/>
  <c r="AC103" i="8"/>
  <c r="E103" i="8"/>
  <c r="Z103" i="8"/>
  <c r="AB101" i="8"/>
  <c r="AA101" i="8"/>
  <c r="W101" i="8"/>
  <c r="AA103" i="8"/>
  <c r="AD103" i="8"/>
  <c r="AB103" i="8"/>
  <c r="T103" i="8"/>
  <c r="W103" i="8"/>
  <c r="X101" i="8"/>
  <c r="Y101" i="8"/>
  <c r="C101" i="8"/>
  <c r="AC101" i="8"/>
  <c r="U101" i="8"/>
  <c r="X103" i="8"/>
  <c r="U103" i="8"/>
  <c r="V101" i="8"/>
  <c r="AE103" i="8"/>
  <c r="T101" i="8"/>
  <c r="D103" i="8"/>
  <c r="D101" i="8"/>
  <c r="AE101" i="8"/>
  <c r="Z101" i="8"/>
  <c r="Y103" i="8"/>
  <c r="V103" i="8"/>
  <c r="AD101" i="8"/>
  <c r="L245" i="5"/>
  <c r="I245" i="12"/>
  <c r="AM245" i="5"/>
  <c r="Z245" i="5"/>
  <c r="AC245" i="5"/>
  <c r="R110" i="8"/>
  <c r="W25" i="12"/>
  <c r="X25" i="12"/>
  <c r="I71" i="10"/>
  <c r="I70" i="10" s="1"/>
  <c r="Y9" i="10" s="1"/>
  <c r="I72" i="10"/>
  <c r="AE9" i="10" s="1"/>
  <c r="O71" i="10"/>
  <c r="O70" i="10" s="1"/>
  <c r="O72" i="10"/>
  <c r="N12" i="13"/>
  <c r="P12" i="13"/>
  <c r="Q86" i="8"/>
  <c r="F32" i="8"/>
  <c r="F33" i="8"/>
  <c r="AO248" i="12"/>
  <c r="O192" i="5"/>
  <c r="C192" i="6"/>
  <c r="N23" i="13"/>
  <c r="P23" i="13"/>
  <c r="S71" i="10"/>
  <c r="S70" i="10" s="1"/>
  <c r="S72" i="10"/>
  <c r="AA72" i="10"/>
  <c r="AA71" i="10"/>
  <c r="AA70" i="10" s="1"/>
  <c r="AB80" i="8"/>
  <c r="Y80" i="8"/>
  <c r="AE82" i="8"/>
  <c r="V80" i="8"/>
  <c r="Z80" i="8"/>
  <c r="AB82" i="8"/>
  <c r="W82" i="8"/>
  <c r="Y82" i="8"/>
  <c r="E82" i="8"/>
  <c r="U80" i="8"/>
  <c r="T80" i="8"/>
  <c r="D82" i="8"/>
  <c r="AD82" i="8"/>
  <c r="V82" i="8"/>
  <c r="X80" i="8"/>
  <c r="W80" i="8"/>
  <c r="D80" i="8"/>
  <c r="T82" i="8"/>
  <c r="U82" i="8"/>
  <c r="AD80" i="8"/>
  <c r="AA82" i="8"/>
  <c r="AA80" i="8"/>
  <c r="C80" i="8"/>
  <c r="AE80" i="8"/>
  <c r="Z82" i="8"/>
  <c r="X82" i="8"/>
  <c r="AC82" i="8"/>
  <c r="AC80" i="8"/>
  <c r="O198" i="5"/>
  <c r="C198" i="6"/>
  <c r="N20" i="13"/>
  <c r="P20" i="13"/>
  <c r="O248" i="5"/>
  <c r="H113" i="8" s="1"/>
  <c r="C248" i="6"/>
  <c r="Y288" i="12"/>
  <c r="O16" i="12"/>
  <c r="M16" i="12"/>
  <c r="AO16" i="12"/>
  <c r="J17" i="12"/>
  <c r="L17" i="12"/>
  <c r="C17" i="12"/>
  <c r="C17" i="6"/>
  <c r="O17" i="5"/>
  <c r="N15" i="13"/>
  <c r="P15" i="13"/>
  <c r="P19" i="13"/>
  <c r="N19" i="13"/>
  <c r="AO245" i="12"/>
  <c r="M245" i="12"/>
  <c r="O245" i="12"/>
  <c r="N25" i="12"/>
  <c r="G38" i="8"/>
  <c r="I39" i="8" s="1"/>
  <c r="F39" i="8"/>
  <c r="G39" i="8"/>
  <c r="F38" i="8"/>
  <c r="L25" i="12"/>
  <c r="C25" i="12"/>
  <c r="J25" i="12"/>
  <c r="Y237" i="12"/>
  <c r="Q74" i="8"/>
  <c r="AC71" i="10"/>
  <c r="AC70" i="10" s="1"/>
  <c r="AC72" i="10"/>
  <c r="L81" i="12"/>
  <c r="C81" i="12"/>
  <c r="J81" i="12"/>
  <c r="C198" i="12"/>
  <c r="J198" i="12"/>
  <c r="L198" i="12"/>
  <c r="C225" i="6"/>
  <c r="O225" i="5"/>
  <c r="Q65" i="8"/>
  <c r="Z97" i="8"/>
  <c r="AC95" i="8"/>
  <c r="Z95" i="8"/>
  <c r="D97" i="8"/>
  <c r="AC97" i="8"/>
  <c r="AA95" i="8"/>
  <c r="T97" i="8"/>
  <c r="W95" i="8"/>
  <c r="Y97" i="8"/>
  <c r="T95" i="8"/>
  <c r="AB95" i="8"/>
  <c r="V97" i="8"/>
  <c r="U97" i="8"/>
  <c r="W97" i="8"/>
  <c r="E97" i="8"/>
  <c r="X97" i="8"/>
  <c r="X95" i="8"/>
  <c r="AA97" i="8"/>
  <c r="V95" i="8"/>
  <c r="AE95" i="8"/>
  <c r="AE97" i="8"/>
  <c r="AD97" i="8"/>
  <c r="Y95" i="8"/>
  <c r="AB97" i="8"/>
  <c r="D95" i="8"/>
  <c r="AD95" i="8"/>
  <c r="C95" i="8"/>
  <c r="U95" i="8"/>
  <c r="J248" i="12"/>
  <c r="C248" i="12"/>
  <c r="P18" i="13"/>
  <c r="N18" i="13"/>
  <c r="E55" i="8"/>
  <c r="V53" i="8"/>
  <c r="T55" i="8"/>
  <c r="V55" i="8"/>
  <c r="AC55" i="8"/>
  <c r="Y53" i="8"/>
  <c r="T53" i="8"/>
  <c r="W55" i="8"/>
  <c r="X55" i="8"/>
  <c r="AD55" i="8"/>
  <c r="AD53" i="8"/>
  <c r="AB55" i="8"/>
  <c r="AC53" i="8"/>
  <c r="X53" i="8"/>
  <c r="AA55" i="8"/>
  <c r="AB53" i="8"/>
  <c r="Z53" i="8"/>
  <c r="U53" i="8"/>
  <c r="AE53" i="8"/>
  <c r="D55" i="8"/>
  <c r="U55" i="8"/>
  <c r="AE55" i="8"/>
  <c r="G54" i="8"/>
  <c r="Y55" i="8"/>
  <c r="C53" i="8"/>
  <c r="D53" i="8"/>
  <c r="W53" i="8"/>
  <c r="AA53" i="8"/>
  <c r="Z55" i="8"/>
  <c r="P16" i="13"/>
  <c r="N16" i="13"/>
  <c r="Y71" i="10"/>
  <c r="Y70" i="10" s="1"/>
  <c r="Y72" i="10"/>
  <c r="O81" i="5"/>
  <c r="C81" i="6"/>
  <c r="C225" i="12"/>
  <c r="J225" i="12"/>
  <c r="L225" i="12"/>
  <c r="N22" i="13"/>
  <c r="P22" i="13"/>
  <c r="N225" i="12"/>
  <c r="L69" i="12"/>
  <c r="J69" i="12"/>
  <c r="C69" i="12"/>
  <c r="Q92" i="8"/>
  <c r="Q56" i="8"/>
  <c r="I84" i="5"/>
  <c r="O84" i="5" s="1"/>
  <c r="O83" i="5"/>
  <c r="O82" i="5"/>
  <c r="E80" i="6"/>
  <c r="D80" i="12"/>
  <c r="V61" i="8" l="1"/>
  <c r="Z61" i="8"/>
  <c r="AE61" i="8"/>
  <c r="U61" i="8"/>
  <c r="V59" i="8"/>
  <c r="W59" i="8"/>
  <c r="T59" i="8"/>
  <c r="Z59" i="8"/>
  <c r="D61" i="8"/>
  <c r="G113" i="8"/>
  <c r="I114" i="8" s="1"/>
  <c r="AA61" i="8"/>
  <c r="AE59" i="8"/>
  <c r="AD61" i="8"/>
  <c r="AC59" i="8"/>
  <c r="AB61" i="8"/>
  <c r="X59" i="8"/>
  <c r="W61" i="8"/>
  <c r="E61" i="8"/>
  <c r="AC61" i="8"/>
  <c r="G60" i="8"/>
  <c r="D59" i="8"/>
  <c r="AA59" i="8"/>
  <c r="X61" i="8"/>
  <c r="AB59" i="8"/>
  <c r="Y59" i="8"/>
  <c r="U59" i="8"/>
  <c r="T61" i="8"/>
  <c r="X198" i="12"/>
  <c r="AD59" i="8"/>
  <c r="Y61" i="8"/>
  <c r="G45" i="8"/>
  <c r="X41" i="12"/>
  <c r="Y44" i="8"/>
  <c r="V46" i="8"/>
  <c r="Z46" i="8"/>
  <c r="X44" i="8"/>
  <c r="T46" i="8"/>
  <c r="U46" i="8"/>
  <c r="AD44" i="8"/>
  <c r="AA46" i="8"/>
  <c r="AC46" i="8"/>
  <c r="T44" i="8"/>
  <c r="X46" i="8"/>
  <c r="E46" i="8"/>
  <c r="V44" i="8"/>
  <c r="W44" i="8"/>
  <c r="U44" i="8"/>
  <c r="D44" i="8"/>
  <c r="AE46" i="8"/>
  <c r="C44" i="8"/>
  <c r="D46" i="8"/>
  <c r="AE44" i="8"/>
  <c r="Z44" i="8"/>
  <c r="AC44" i="8"/>
  <c r="W46" i="8"/>
  <c r="AD46" i="8"/>
  <c r="Y46" i="8"/>
  <c r="AA44" i="8"/>
  <c r="AB44" i="8"/>
  <c r="W71" i="8"/>
  <c r="Y73" i="8"/>
  <c r="V71" i="8"/>
  <c r="Y71" i="8"/>
  <c r="AD73" i="8"/>
  <c r="D73" i="8"/>
  <c r="W73" i="8"/>
  <c r="T71" i="8"/>
  <c r="AE73" i="8"/>
  <c r="G72" i="8"/>
  <c r="C71" i="8"/>
  <c r="X71" i="8"/>
  <c r="AA71" i="8"/>
  <c r="Z71" i="8"/>
  <c r="E73" i="8"/>
  <c r="AC73" i="8"/>
  <c r="T73" i="8"/>
  <c r="V73" i="8"/>
  <c r="U73" i="8"/>
  <c r="AA73" i="8"/>
  <c r="U71" i="8"/>
  <c r="Z73" i="8"/>
  <c r="AB71" i="8"/>
  <c r="X73" i="8"/>
  <c r="AE71" i="8"/>
  <c r="AC71" i="8"/>
  <c r="AD71" i="8"/>
  <c r="D71" i="8"/>
  <c r="K225" i="12"/>
  <c r="AE52" i="8"/>
  <c r="C50" i="8"/>
  <c r="AB50" i="8"/>
  <c r="D52" i="8"/>
  <c r="T50" i="8"/>
  <c r="AD50" i="8"/>
  <c r="V50" i="8"/>
  <c r="Y50" i="8"/>
  <c r="AA52" i="8"/>
  <c r="AC50" i="8"/>
  <c r="U52" i="8"/>
  <c r="G51" i="8"/>
  <c r="AC52" i="8"/>
  <c r="E52" i="8"/>
  <c r="Y52" i="8"/>
  <c r="U212" i="12"/>
  <c r="D50" i="8"/>
  <c r="U50" i="8"/>
  <c r="AE50" i="8"/>
  <c r="V52" i="8"/>
  <c r="V212" i="12"/>
  <c r="AB52" i="8"/>
  <c r="T52" i="8"/>
  <c r="X50" i="8"/>
  <c r="AD52" i="8"/>
  <c r="Z52" i="8"/>
  <c r="X52" i="8"/>
  <c r="W52" i="8"/>
  <c r="X225" i="12"/>
  <c r="W225" i="12"/>
  <c r="K86" i="12"/>
  <c r="V188" i="12"/>
  <c r="U188" i="12"/>
  <c r="T188" i="12"/>
  <c r="K212" i="12"/>
  <c r="AE83" i="8"/>
  <c r="AD83" i="8"/>
  <c r="V83" i="8"/>
  <c r="W85" i="8"/>
  <c r="D83" i="8"/>
  <c r="G84" i="8"/>
  <c r="W83" i="8"/>
  <c r="U85" i="8"/>
  <c r="V85" i="8"/>
  <c r="AD85" i="8"/>
  <c r="AE85" i="8"/>
  <c r="AC85" i="8"/>
  <c r="E85" i="8"/>
  <c r="AA85" i="8"/>
  <c r="Y83" i="8"/>
  <c r="D85" i="8"/>
  <c r="Y85" i="8"/>
  <c r="C83" i="8"/>
  <c r="U83" i="8"/>
  <c r="AA83" i="8"/>
  <c r="Z83" i="8"/>
  <c r="T83" i="8"/>
  <c r="AB85" i="8"/>
  <c r="X85" i="8"/>
  <c r="X83" i="8"/>
  <c r="AC83" i="8"/>
  <c r="T85" i="8"/>
  <c r="AB83" i="8"/>
  <c r="Z85" i="8"/>
  <c r="W69" i="12"/>
  <c r="X69" i="12"/>
  <c r="K248" i="12"/>
  <c r="K69" i="12"/>
  <c r="K237" i="12"/>
  <c r="X62" i="8"/>
  <c r="W62" i="8"/>
  <c r="D64" i="8"/>
  <c r="T62" i="8"/>
  <c r="X64" i="8"/>
  <c r="V64" i="8"/>
  <c r="Y62" i="8"/>
  <c r="AB64" i="8"/>
  <c r="AA64" i="8"/>
  <c r="AD64" i="8"/>
  <c r="U64" i="8"/>
  <c r="T64" i="8"/>
  <c r="G63" i="8"/>
  <c r="AE64" i="8"/>
  <c r="AA62" i="8"/>
  <c r="Z62" i="8"/>
  <c r="AC62" i="8"/>
  <c r="AE62" i="8"/>
  <c r="E64" i="8"/>
  <c r="C62" i="8"/>
  <c r="V62" i="8"/>
  <c r="Z64" i="8"/>
  <c r="W64" i="8"/>
  <c r="AC64" i="8"/>
  <c r="Y64" i="8"/>
  <c r="AB62" i="8"/>
  <c r="D62" i="8"/>
  <c r="U62" i="8"/>
  <c r="AD62" i="8"/>
  <c r="K41" i="12"/>
  <c r="K192" i="12"/>
  <c r="G95" i="8"/>
  <c r="I96" i="8" s="1"/>
  <c r="K25" i="12"/>
  <c r="X81" i="12"/>
  <c r="W81" i="12"/>
  <c r="X86" i="12"/>
  <c r="W86" i="12"/>
  <c r="N248" i="12"/>
  <c r="U79" i="8"/>
  <c r="C77" i="8"/>
  <c r="W77" i="8"/>
  <c r="V77" i="8"/>
  <c r="AB77" i="8"/>
  <c r="V79" i="8"/>
  <c r="X79" i="8"/>
  <c r="Y79" i="8"/>
  <c r="G78" i="8"/>
  <c r="Z79" i="8"/>
  <c r="AD77" i="8"/>
  <c r="AC77" i="8"/>
  <c r="Y77" i="8"/>
  <c r="X77" i="8"/>
  <c r="AC79" i="8"/>
  <c r="D79" i="8"/>
  <c r="T79" i="8"/>
  <c r="AE77" i="8"/>
  <c r="U77" i="8"/>
  <c r="AA79" i="8"/>
  <c r="E79" i="8"/>
  <c r="T77" i="8"/>
  <c r="D77" i="8"/>
  <c r="AD79" i="8"/>
  <c r="AE79" i="8"/>
  <c r="AA77" i="8"/>
  <c r="W79" i="8"/>
  <c r="AB79" i="8"/>
  <c r="Z77" i="8"/>
  <c r="L16" i="12"/>
  <c r="AO14" i="13"/>
  <c r="O14" i="13" s="1"/>
  <c r="N16" i="12"/>
  <c r="AN14" i="13"/>
  <c r="U14" i="13" s="1"/>
  <c r="AD4" i="13" s="1"/>
  <c r="J245" i="12"/>
  <c r="L245" i="12"/>
  <c r="C245" i="12"/>
  <c r="W14" i="11"/>
  <c r="L14" i="13"/>
  <c r="O24" i="11"/>
  <c r="C14" i="11"/>
  <c r="G53" i="8"/>
  <c r="I54" i="8" s="1"/>
  <c r="AD67" i="8"/>
  <c r="V65" i="8"/>
  <c r="AE67" i="8"/>
  <c r="W67" i="8"/>
  <c r="X67" i="8"/>
  <c r="U67" i="8"/>
  <c r="D67" i="8"/>
  <c r="T67" i="8"/>
  <c r="E67" i="8"/>
  <c r="AB65" i="8"/>
  <c r="V67" i="8"/>
  <c r="Z67" i="8"/>
  <c r="C65" i="8"/>
  <c r="AB67" i="8"/>
  <c r="AA67" i="8"/>
  <c r="X65" i="8"/>
  <c r="AC67" i="8"/>
  <c r="AE65" i="8"/>
  <c r="AC65" i="8"/>
  <c r="AD65" i="8"/>
  <c r="AA65" i="8"/>
  <c r="W65" i="8"/>
  <c r="G66" i="8"/>
  <c r="Y67" i="8"/>
  <c r="D65" i="8"/>
  <c r="T65" i="8"/>
  <c r="Z65" i="8"/>
  <c r="U65" i="8"/>
  <c r="Y65" i="8"/>
  <c r="H104" i="8"/>
  <c r="E225" i="6"/>
  <c r="D225" i="12"/>
  <c r="Y245" i="12"/>
  <c r="W288" i="12"/>
  <c r="X288" i="12"/>
  <c r="G80" i="8"/>
  <c r="I81" i="8" s="1"/>
  <c r="C245" i="6"/>
  <c r="O245" i="5"/>
  <c r="G101" i="8"/>
  <c r="I102" i="8" s="1"/>
  <c r="O16" i="5"/>
  <c r="C16" i="6"/>
  <c r="X192" i="12"/>
  <c r="W192" i="12"/>
  <c r="G47" i="8"/>
  <c r="I48" i="8" s="1"/>
  <c r="K81" i="12"/>
  <c r="AB56" i="8"/>
  <c r="V58" i="8"/>
  <c r="AA56" i="8"/>
  <c r="AE56" i="8"/>
  <c r="V56" i="8"/>
  <c r="Y56" i="8"/>
  <c r="AB58" i="8"/>
  <c r="G57" i="8"/>
  <c r="Z56" i="8"/>
  <c r="AE58" i="8"/>
  <c r="Z58" i="8"/>
  <c r="U58" i="8"/>
  <c r="U56" i="8"/>
  <c r="AD56" i="8"/>
  <c r="AD58" i="8"/>
  <c r="Y58" i="8"/>
  <c r="X58" i="8"/>
  <c r="D58" i="8"/>
  <c r="AC58" i="8"/>
  <c r="E58" i="8"/>
  <c r="C56" i="8"/>
  <c r="W56" i="8"/>
  <c r="X56" i="8"/>
  <c r="W58" i="8"/>
  <c r="AA58" i="8"/>
  <c r="D56" i="8"/>
  <c r="T58" i="8"/>
  <c r="AC56" i="8"/>
  <c r="T56" i="8"/>
  <c r="T92" i="8"/>
  <c r="AE94" i="8"/>
  <c r="Y92" i="8"/>
  <c r="D94" i="8"/>
  <c r="V92" i="8"/>
  <c r="Z92" i="8"/>
  <c r="D92" i="8"/>
  <c r="AD94" i="8"/>
  <c r="T94" i="8"/>
  <c r="AD92" i="8"/>
  <c r="U92" i="8"/>
  <c r="AA94" i="8"/>
  <c r="U94" i="8"/>
  <c r="AC92" i="8"/>
  <c r="G93" i="8"/>
  <c r="W94" i="8"/>
  <c r="AE92" i="8"/>
  <c r="E94" i="8"/>
  <c r="Z94" i="8"/>
  <c r="C92" i="8"/>
  <c r="W92" i="8"/>
  <c r="AA92" i="8"/>
  <c r="V94" i="8"/>
  <c r="AB94" i="8"/>
  <c r="AC94" i="8"/>
  <c r="Y94" i="8"/>
  <c r="X92" i="8"/>
  <c r="X94" i="8"/>
  <c r="AB92" i="8"/>
  <c r="U198" i="12"/>
  <c r="V198" i="12"/>
  <c r="T198" i="12"/>
  <c r="F15" i="8"/>
  <c r="F14" i="8"/>
  <c r="G14" i="8"/>
  <c r="I15" i="8" s="1"/>
  <c r="G15" i="8"/>
  <c r="H101" i="8"/>
  <c r="E212" i="6"/>
  <c r="D212" i="12"/>
  <c r="W289" i="12"/>
  <c r="X289" i="12"/>
  <c r="T41" i="12"/>
  <c r="V41" i="12"/>
  <c r="U41" i="12"/>
  <c r="K198" i="12"/>
  <c r="AA76" i="8"/>
  <c r="AE74" i="8"/>
  <c r="U74" i="8"/>
  <c r="T74" i="8"/>
  <c r="U76" i="8"/>
  <c r="W76" i="8"/>
  <c r="Z74" i="8"/>
  <c r="Y74" i="8"/>
  <c r="T76" i="8"/>
  <c r="AD76" i="8"/>
  <c r="Y76" i="8"/>
  <c r="AA74" i="8"/>
  <c r="X74" i="8"/>
  <c r="Z76" i="8"/>
  <c r="V76" i="8"/>
  <c r="AB74" i="8"/>
  <c r="E76" i="8"/>
  <c r="AB76" i="8"/>
  <c r="W74" i="8"/>
  <c r="AC76" i="8"/>
  <c r="AD74" i="8"/>
  <c r="D74" i="8"/>
  <c r="AC74" i="8"/>
  <c r="AE76" i="8"/>
  <c r="G75" i="8"/>
  <c r="V74" i="8"/>
  <c r="C74" i="8"/>
  <c r="D76" i="8"/>
  <c r="X76" i="8"/>
  <c r="K17" i="12"/>
  <c r="E248" i="6"/>
  <c r="D248" i="12"/>
  <c r="AB86" i="8"/>
  <c r="AC88" i="8"/>
  <c r="V86" i="8"/>
  <c r="G87" i="8"/>
  <c r="T88" i="8"/>
  <c r="AB88" i="8"/>
  <c r="T86" i="8"/>
  <c r="AA86" i="8"/>
  <c r="AC86" i="8"/>
  <c r="U86" i="8"/>
  <c r="W86" i="8"/>
  <c r="AD86" i="8"/>
  <c r="W88" i="8"/>
  <c r="AE88" i="8"/>
  <c r="Y88" i="8"/>
  <c r="V88" i="8"/>
  <c r="Z86" i="8"/>
  <c r="X88" i="8"/>
  <c r="X86" i="8"/>
  <c r="Y86" i="8"/>
  <c r="E88" i="8"/>
  <c r="AD88" i="8"/>
  <c r="D86" i="8"/>
  <c r="AE86" i="8"/>
  <c r="C86" i="8"/>
  <c r="AA88" i="8"/>
  <c r="Z88" i="8"/>
  <c r="U88" i="8"/>
  <c r="D88" i="8"/>
  <c r="U25" i="12"/>
  <c r="T25" i="12"/>
  <c r="V25" i="12"/>
  <c r="Y68" i="8"/>
  <c r="D70" i="8"/>
  <c r="AA68" i="8"/>
  <c r="U68" i="8"/>
  <c r="E70" i="8"/>
  <c r="T70" i="8"/>
  <c r="AB70" i="8"/>
  <c r="V70" i="8"/>
  <c r="W68" i="8"/>
  <c r="AD68" i="8"/>
  <c r="V68" i="8"/>
  <c r="AB68" i="8"/>
  <c r="T68" i="8"/>
  <c r="U70" i="8"/>
  <c r="Z70" i="8"/>
  <c r="AC70" i="8"/>
  <c r="W70" i="8"/>
  <c r="X68" i="8"/>
  <c r="G69" i="8"/>
  <c r="Z68" i="8"/>
  <c r="AD70" i="8"/>
  <c r="Y70" i="8"/>
  <c r="D68" i="8"/>
  <c r="AA70" i="8"/>
  <c r="X70" i="8"/>
  <c r="AE70" i="8"/>
  <c r="C68" i="8"/>
  <c r="AE68" i="8"/>
  <c r="AC68" i="8"/>
  <c r="D237" i="12"/>
  <c r="H107" i="8"/>
  <c r="E237" i="6"/>
  <c r="C110" i="8"/>
  <c r="E25" i="6"/>
  <c r="D25" i="12"/>
  <c r="H20" i="8"/>
  <c r="X237" i="12"/>
  <c r="W237" i="12"/>
  <c r="AB112" i="8"/>
  <c r="T112" i="8"/>
  <c r="V112" i="8"/>
  <c r="AA112" i="8"/>
  <c r="F111" i="8"/>
  <c r="AD112" i="8"/>
  <c r="Z112" i="8"/>
  <c r="G110" i="8"/>
  <c r="I111" i="8" s="1"/>
  <c r="X112" i="8"/>
  <c r="AE112" i="8"/>
  <c r="D112" i="8"/>
  <c r="W112" i="8"/>
  <c r="AC112" i="8"/>
  <c r="G111" i="8"/>
  <c r="Y112" i="8"/>
  <c r="F110" i="8"/>
  <c r="U112" i="8"/>
  <c r="AE89" i="8"/>
  <c r="E91" i="8"/>
  <c r="AD89" i="8"/>
  <c r="T91" i="8"/>
  <c r="V91" i="8"/>
  <c r="AA89" i="8"/>
  <c r="AB91" i="8"/>
  <c r="D89" i="8"/>
  <c r="AA91" i="8"/>
  <c r="Y91" i="8"/>
  <c r="D91" i="8"/>
  <c r="C89" i="8"/>
  <c r="V89" i="8"/>
  <c r="AE91" i="8"/>
  <c r="T89" i="8"/>
  <c r="AC91" i="8"/>
  <c r="X89" i="8"/>
  <c r="W91" i="8"/>
  <c r="X91" i="8"/>
  <c r="U91" i="8"/>
  <c r="Y89" i="8"/>
  <c r="Z89" i="8"/>
  <c r="AD91" i="8"/>
  <c r="U89" i="8"/>
  <c r="W89" i="8"/>
  <c r="AC89" i="8"/>
  <c r="Z91" i="8"/>
  <c r="AB89" i="8"/>
  <c r="G90" i="8"/>
  <c r="G107" i="8"/>
  <c r="I108" i="8" s="1"/>
  <c r="G98" i="8"/>
  <c r="I99" i="8" s="1"/>
  <c r="E81" i="6"/>
  <c r="H35" i="8"/>
  <c r="D81" i="12"/>
  <c r="E41" i="6"/>
  <c r="H23" i="8"/>
  <c r="D41" i="12"/>
  <c r="AB24" i="11"/>
  <c r="N14" i="11"/>
  <c r="N24" i="11" s="1"/>
  <c r="C104" i="8"/>
  <c r="U104" i="8"/>
  <c r="AE104" i="8"/>
  <c r="Z104" i="8"/>
  <c r="V106" i="8"/>
  <c r="AA104" i="8"/>
  <c r="Y104" i="8"/>
  <c r="E106" i="8"/>
  <c r="AC106" i="8"/>
  <c r="X104" i="8"/>
  <c r="T104" i="8"/>
  <c r="AD106" i="8"/>
  <c r="U106" i="8"/>
  <c r="AE106" i="8"/>
  <c r="AA106" i="8"/>
  <c r="V104" i="8"/>
  <c r="AB106" i="8"/>
  <c r="W104" i="8"/>
  <c r="Y106" i="8"/>
  <c r="AB104" i="8"/>
  <c r="W106" i="8"/>
  <c r="T106" i="8"/>
  <c r="D104" i="8"/>
  <c r="AD104" i="8"/>
  <c r="X106" i="8"/>
  <c r="D106" i="8"/>
  <c r="Z106" i="8"/>
  <c r="AC104" i="8"/>
  <c r="Y16" i="12"/>
  <c r="H95" i="8"/>
  <c r="D192" i="12"/>
  <c r="E192" i="6"/>
  <c r="H32" i="8"/>
  <c r="D69" i="12"/>
  <c r="E69" i="6"/>
  <c r="C16" i="12"/>
  <c r="J16" i="12"/>
  <c r="H38" i="8"/>
  <c r="D86" i="12"/>
  <c r="E86" i="6"/>
  <c r="U17" i="12"/>
  <c r="T17" i="12"/>
  <c r="V17" i="12"/>
  <c r="N245" i="12"/>
  <c r="E17" i="6"/>
  <c r="D17" i="12"/>
  <c r="H17" i="8"/>
  <c r="AL14" i="13"/>
  <c r="M14" i="13" s="1"/>
  <c r="M28" i="13" s="1"/>
  <c r="AK14" i="13"/>
  <c r="S14" i="13" s="1"/>
  <c r="M27" i="13" s="1"/>
  <c r="H98" i="8"/>
  <c r="D198" i="12"/>
  <c r="E198" i="6"/>
  <c r="Y248" i="12"/>
  <c r="Z34" i="8"/>
  <c r="Z32" i="8" s="1"/>
  <c r="E34" i="8"/>
  <c r="AD34" i="8"/>
  <c r="AD32" i="8" s="1"/>
  <c r="AE34" i="8"/>
  <c r="AE32" i="8" s="1"/>
  <c r="AB34" i="8"/>
  <c r="AB32" i="8" s="1"/>
  <c r="Y34" i="8"/>
  <c r="Y32" i="8" s="1"/>
  <c r="AA34" i="8"/>
  <c r="AA32" i="8" s="1"/>
  <c r="C32" i="8"/>
  <c r="X34" i="8"/>
  <c r="X32" i="8" s="1"/>
  <c r="V34" i="8"/>
  <c r="V32" i="8" s="1"/>
  <c r="U34" i="8"/>
  <c r="U32" i="8" s="1"/>
  <c r="D34" i="8"/>
  <c r="D32" i="8" s="1"/>
  <c r="AC34" i="8"/>
  <c r="AC32" i="8" s="1"/>
  <c r="W34" i="8"/>
  <c r="W32" i="8" s="1"/>
  <c r="T34" i="8"/>
  <c r="T32" i="8" s="1"/>
  <c r="G41" i="8"/>
  <c r="I42" i="8" s="1"/>
  <c r="G59" i="8"/>
  <c r="I60" i="8" s="1"/>
  <c r="I85" i="5"/>
  <c r="O85" i="5" s="1"/>
  <c r="I86" i="5"/>
  <c r="D84" i="12"/>
  <c r="E84" i="6"/>
  <c r="D83" i="12"/>
  <c r="E83" i="6"/>
  <c r="D82" i="12"/>
  <c r="E82" i="6"/>
  <c r="G44" i="8" l="1"/>
  <c r="I45" i="8" s="1"/>
  <c r="G71" i="8"/>
  <c r="I72" i="8" s="1"/>
  <c r="G50" i="8"/>
  <c r="I51" i="8" s="1"/>
  <c r="V225" i="12"/>
  <c r="U225" i="12"/>
  <c r="T225" i="12"/>
  <c r="G32" i="8"/>
  <c r="I33" i="8" s="1"/>
  <c r="AA40" i="8"/>
  <c r="AA38" i="8" s="1"/>
  <c r="X40" i="8"/>
  <c r="X38" i="8" s="1"/>
  <c r="G77" i="8"/>
  <c r="I78" i="8" s="1"/>
  <c r="AB40" i="8"/>
  <c r="AB38" i="8" s="1"/>
  <c r="AD40" i="8"/>
  <c r="AD38" i="8" s="1"/>
  <c r="G62" i="8"/>
  <c r="I63" i="8" s="1"/>
  <c r="T69" i="12"/>
  <c r="U69" i="12"/>
  <c r="V69" i="12"/>
  <c r="G83" i="8"/>
  <c r="I84" i="8" s="1"/>
  <c r="T81" i="12"/>
  <c r="U81" i="12"/>
  <c r="V81" i="12"/>
  <c r="U86" i="12"/>
  <c r="V86" i="12"/>
  <c r="T86" i="12"/>
  <c r="U40" i="8"/>
  <c r="U38" i="8" s="1"/>
  <c r="T40" i="8"/>
  <c r="T38" i="8" s="1"/>
  <c r="Z40" i="8"/>
  <c r="Z38" i="8" s="1"/>
  <c r="D40" i="8"/>
  <c r="D38" i="8" s="1"/>
  <c r="AE40" i="8"/>
  <c r="AE38" i="8" s="1"/>
  <c r="V40" i="8"/>
  <c r="V38" i="8" s="1"/>
  <c r="AB7" i="11"/>
  <c r="G89" i="8"/>
  <c r="I90" i="8" s="1"/>
  <c r="W40" i="8"/>
  <c r="W38" i="8" s="1"/>
  <c r="L27" i="13"/>
  <c r="D32" i="14" s="1"/>
  <c r="N25" i="11"/>
  <c r="H14" i="8"/>
  <c r="D16" i="12"/>
  <c r="E16" i="6"/>
  <c r="V237" i="12"/>
  <c r="T237" i="12"/>
  <c r="U237" i="12"/>
  <c r="Y40" i="8"/>
  <c r="Y38" i="8" s="1"/>
  <c r="E245" i="6"/>
  <c r="D245" i="12"/>
  <c r="H110" i="8"/>
  <c r="W248" i="12"/>
  <c r="X248" i="12"/>
  <c r="X16" i="12"/>
  <c r="W16" i="12"/>
  <c r="AA7" i="11"/>
  <c r="Z3" i="11" s="1"/>
  <c r="AA3" i="11" s="1"/>
  <c r="O25" i="11"/>
  <c r="P14" i="13"/>
  <c r="O28" i="13"/>
  <c r="N14" i="13"/>
  <c r="G74" i="8"/>
  <c r="I75" i="8" s="1"/>
  <c r="G92" i="8"/>
  <c r="I93" i="8" s="1"/>
  <c r="G65" i="8"/>
  <c r="I66" i="8" s="1"/>
  <c r="V14" i="13"/>
  <c r="D14" i="13"/>
  <c r="L28" i="13"/>
  <c r="M24" i="13" s="1"/>
  <c r="K16" i="12"/>
  <c r="G104" i="8"/>
  <c r="I105" i="8" s="1"/>
  <c r="G86" i="8"/>
  <c r="I87" i="8" s="1"/>
  <c r="V289" i="12"/>
  <c r="T289" i="12"/>
  <c r="U289" i="12"/>
  <c r="G56" i="8"/>
  <c r="I57" i="8" s="1"/>
  <c r="T192" i="12"/>
  <c r="V192" i="12"/>
  <c r="U192" i="12"/>
  <c r="V288" i="12"/>
  <c r="U288" i="12"/>
  <c r="T288" i="12"/>
  <c r="G68" i="8"/>
  <c r="I69" i="8" s="1"/>
  <c r="AC40" i="8"/>
  <c r="AC38" i="8" s="1"/>
  <c r="W245" i="12"/>
  <c r="X245" i="12"/>
  <c r="K245" i="12"/>
  <c r="I87" i="5"/>
  <c r="I88" i="5" s="1"/>
  <c r="D85" i="12"/>
  <c r="E85" i="6"/>
  <c r="AA246" i="5" l="1"/>
  <c r="AA247" i="5"/>
  <c r="V248" i="12"/>
  <c r="U248" i="12"/>
  <c r="T248" i="12"/>
  <c r="P24" i="13"/>
  <c r="F34" i="14" s="1"/>
  <c r="AD6" i="13"/>
  <c r="AE6" i="13" s="1"/>
  <c r="N28" i="13"/>
  <c r="F33" i="14"/>
  <c r="AD27" i="13"/>
  <c r="AC27" i="13"/>
  <c r="O24" i="13"/>
  <c r="V245" i="12"/>
  <c r="U245" i="12"/>
  <c r="T245" i="12"/>
  <c r="L24" i="13"/>
  <c r="D33" i="14"/>
  <c r="AA241" i="5"/>
  <c r="AA74" i="5"/>
  <c r="AA158" i="5"/>
  <c r="AA125" i="5"/>
  <c r="AA207" i="5"/>
  <c r="AA97" i="5"/>
  <c r="AA56" i="5"/>
  <c r="AA173" i="5"/>
  <c r="AA148" i="5"/>
  <c r="AA217" i="5"/>
  <c r="AA130" i="5"/>
  <c r="AA209" i="5"/>
  <c r="AA205" i="5"/>
  <c r="AA121" i="5"/>
  <c r="AA95" i="5"/>
  <c r="AA67" i="5"/>
  <c r="AA215" i="5"/>
  <c r="AA190" i="5"/>
  <c r="AA19" i="5"/>
  <c r="AA220" i="5"/>
  <c r="AA92" i="5"/>
  <c r="AA82" i="5"/>
  <c r="AA230" i="5"/>
  <c r="AA29" i="5"/>
  <c r="AA170" i="5"/>
  <c r="AA48" i="5"/>
  <c r="AA111" i="5"/>
  <c r="AA112" i="5"/>
  <c r="AA163" i="5"/>
  <c r="AA39" i="5"/>
  <c r="AA139" i="5"/>
  <c r="AA72" i="5"/>
  <c r="AA187" i="5"/>
  <c r="AA101" i="5"/>
  <c r="AD14" i="11"/>
  <c r="AD19" i="11"/>
  <c r="AA184" i="5"/>
  <c r="AA60" i="5"/>
  <c r="AA146" i="5"/>
  <c r="AA193" i="5"/>
  <c r="AA49" i="5"/>
  <c r="AD20" i="11"/>
  <c r="AA143" i="5"/>
  <c r="AA199" i="5"/>
  <c r="AA142" i="5"/>
  <c r="AA169" i="5"/>
  <c r="AA45" i="5"/>
  <c r="AA227" i="5"/>
  <c r="AA208" i="5"/>
  <c r="AA186" i="5"/>
  <c r="AA123" i="5"/>
  <c r="AA244" i="5"/>
  <c r="AA76" i="5"/>
  <c r="AA126" i="5"/>
  <c r="AA116" i="5"/>
  <c r="AA206" i="5"/>
  <c r="AA36" i="5"/>
  <c r="AA127" i="5"/>
  <c r="AA211" i="5"/>
  <c r="AA181" i="5"/>
  <c r="AA58" i="5"/>
  <c r="AA213" i="5"/>
  <c r="AA141" i="5"/>
  <c r="AA153" i="5"/>
  <c r="AA68" i="5"/>
  <c r="AA61" i="5"/>
  <c r="AA66" i="5"/>
  <c r="AA31" i="5"/>
  <c r="AA73" i="5"/>
  <c r="AA159" i="5"/>
  <c r="AD21" i="11"/>
  <c r="AA162" i="5"/>
  <c r="AA30" i="5"/>
  <c r="AA117" i="5"/>
  <c r="AA85" i="5"/>
  <c r="AA24" i="5"/>
  <c r="AA201" i="5"/>
  <c r="AA43" i="5"/>
  <c r="AA132" i="5"/>
  <c r="AA106" i="5"/>
  <c r="AA40" i="5"/>
  <c r="AA239" i="5"/>
  <c r="AA100" i="5"/>
  <c r="AA147" i="5"/>
  <c r="AA38" i="5"/>
  <c r="AA21" i="5"/>
  <c r="AA200" i="5"/>
  <c r="AA113" i="5"/>
  <c r="AA91" i="5"/>
  <c r="AA164" i="5"/>
  <c r="AA176" i="5"/>
  <c r="AA105" i="5"/>
  <c r="AA71" i="5"/>
  <c r="AA249" i="5"/>
  <c r="AA248" i="5" s="1"/>
  <c r="B113" i="8" s="1"/>
  <c r="AA103" i="5"/>
  <c r="AA102" i="5" s="1"/>
  <c r="B47" i="8" s="1"/>
  <c r="AA174" i="5"/>
  <c r="AA203" i="5"/>
  <c r="AD17" i="11"/>
  <c r="AA185" i="5"/>
  <c r="AA204" i="5"/>
  <c r="AA99" i="5"/>
  <c r="AD23" i="11"/>
  <c r="AA18" i="5"/>
  <c r="AA33" i="5"/>
  <c r="AA84" i="5"/>
  <c r="AA75" i="5"/>
  <c r="AA26" i="5"/>
  <c r="AA165" i="5"/>
  <c r="AD22" i="11"/>
  <c r="AA65" i="5"/>
  <c r="AA110" i="5"/>
  <c r="AA133" i="5"/>
  <c r="AA96" i="5"/>
  <c r="AA27" i="5"/>
  <c r="AA223" i="5"/>
  <c r="AA194" i="5"/>
  <c r="AA236" i="5"/>
  <c r="AA50" i="5"/>
  <c r="AA23" i="5"/>
  <c r="AA167" i="5"/>
  <c r="AA59" i="5"/>
  <c r="AA183" i="5"/>
  <c r="AA196" i="5"/>
  <c r="AA57" i="5"/>
  <c r="AA62" i="5"/>
  <c r="AA70" i="5"/>
  <c r="AA240" i="5"/>
  <c r="AA118" i="5"/>
  <c r="AA149" i="5"/>
  <c r="AA28" i="5"/>
  <c r="AA34" i="5"/>
  <c r="AA80" i="5"/>
  <c r="AA115" i="5"/>
  <c r="AA155" i="5"/>
  <c r="AA154" i="5" s="1"/>
  <c r="B83" i="8" s="1"/>
  <c r="AA171" i="5"/>
  <c r="AA98" i="5"/>
  <c r="AA242" i="5"/>
  <c r="AA44" i="5"/>
  <c r="AA89" i="5"/>
  <c r="AA22" i="5"/>
  <c r="AA160" i="5"/>
  <c r="AA46" i="5"/>
  <c r="AA238" i="5"/>
  <c r="AA221" i="5"/>
  <c r="AA219" i="5"/>
  <c r="AA88" i="5"/>
  <c r="AD18" i="11"/>
  <c r="AA231" i="5"/>
  <c r="AA161" i="5"/>
  <c r="AA243" i="5"/>
  <c r="AA52" i="5"/>
  <c r="AA128" i="5"/>
  <c r="AA78" i="5"/>
  <c r="AA229" i="5"/>
  <c r="AA135" i="5"/>
  <c r="AA134" i="5" s="1"/>
  <c r="B68" i="8" s="1"/>
  <c r="AA228" i="5"/>
  <c r="AA189" i="5"/>
  <c r="AD15" i="11"/>
  <c r="AA63" i="5"/>
  <c r="AA32" i="5"/>
  <c r="AA108" i="5"/>
  <c r="AA122" i="5"/>
  <c r="AA107" i="5"/>
  <c r="AA197" i="5"/>
  <c r="AA179" i="5"/>
  <c r="AA172" i="5"/>
  <c r="AA129" i="5"/>
  <c r="AA175" i="5"/>
  <c r="AA138" i="5"/>
  <c r="AA145" i="5"/>
  <c r="AA233" i="5"/>
  <c r="AA53" i="5"/>
  <c r="AA182" i="5"/>
  <c r="AA191" i="5"/>
  <c r="AA166" i="5"/>
  <c r="AA151" i="5"/>
  <c r="AA47" i="5"/>
  <c r="AA79" i="5"/>
  <c r="AA83" i="5"/>
  <c r="AA37" i="5"/>
  <c r="AA235" i="5"/>
  <c r="AA152" i="5"/>
  <c r="AA216" i="5"/>
  <c r="AA226" i="5"/>
  <c r="AA178" i="5"/>
  <c r="AA168" i="5"/>
  <c r="AA210" i="5"/>
  <c r="AA93" i="5"/>
  <c r="AA77" i="5"/>
  <c r="AA218" i="5"/>
  <c r="AA224" i="5"/>
  <c r="AA180" i="5"/>
  <c r="AA35" i="5"/>
  <c r="AA90" i="5"/>
  <c r="AA137" i="5"/>
  <c r="AA234" i="5"/>
  <c r="AA20" i="5"/>
  <c r="AD12" i="11"/>
  <c r="AA222" i="5"/>
  <c r="AA54" i="5"/>
  <c r="AD16" i="11"/>
  <c r="AA51" i="5"/>
  <c r="AA232" i="5"/>
  <c r="AA157" i="5"/>
  <c r="AA120" i="5"/>
  <c r="AA202" i="5"/>
  <c r="AA55" i="5"/>
  <c r="AA214" i="5"/>
  <c r="AA195" i="5"/>
  <c r="V15" i="13"/>
  <c r="V16" i="13" s="1"/>
  <c r="V17" i="13" s="1"/>
  <c r="V18" i="13" s="1"/>
  <c r="V19" i="13" s="1"/>
  <c r="V20" i="13" s="1"/>
  <c r="V21" i="13" s="1"/>
  <c r="V22" i="13" s="1"/>
  <c r="V23" i="13" s="1"/>
  <c r="I7" i="14" s="1"/>
  <c r="J7" i="14" s="1"/>
  <c r="K7" i="14" s="1"/>
  <c r="L7" i="14" s="1"/>
  <c r="T16" i="12"/>
  <c r="V16" i="12"/>
  <c r="U16" i="12"/>
  <c r="O29" i="13"/>
  <c r="I89" i="5"/>
  <c r="O88" i="5"/>
  <c r="I114" i="5"/>
  <c r="I115" i="5" s="1"/>
  <c r="O29" i="8"/>
  <c r="N35" i="8"/>
  <c r="Q35" i="8" s="1"/>
  <c r="N26" i="8"/>
  <c r="Q26" i="8" s="1"/>
  <c r="G27" i="8" s="1"/>
  <c r="N29" i="8"/>
  <c r="N20" i="8"/>
  <c r="Q20" i="8" s="1"/>
  <c r="G21" i="8" s="1"/>
  <c r="N23" i="8"/>
  <c r="Q23" i="8" s="1"/>
  <c r="N17" i="8"/>
  <c r="Q17" i="8" s="1"/>
  <c r="Q117" i="8"/>
  <c r="H117" i="8" s="1"/>
  <c r="AA140" i="5" l="1"/>
  <c r="B74" i="8" s="1"/>
  <c r="AA245" i="5"/>
  <c r="B110" i="8" s="1"/>
  <c r="AA64" i="5"/>
  <c r="I18" i="14"/>
  <c r="J18" i="14" s="1"/>
  <c r="K18" i="14" s="1"/>
  <c r="L18" i="14" s="1"/>
  <c r="I34" i="14"/>
  <c r="J34" i="14" s="1"/>
  <c r="K34" i="14" s="1"/>
  <c r="L34" i="14" s="1"/>
  <c r="I6" i="14"/>
  <c r="J6" i="14" s="1"/>
  <c r="K6" i="14" s="1"/>
  <c r="L6" i="14" s="1"/>
  <c r="I13" i="14"/>
  <c r="J13" i="14" s="1"/>
  <c r="K13" i="14" s="1"/>
  <c r="L13" i="14" s="1"/>
  <c r="I33" i="14"/>
  <c r="J33" i="14" s="1"/>
  <c r="K33" i="14" s="1"/>
  <c r="L33" i="14" s="1"/>
  <c r="I29" i="14"/>
  <c r="J29" i="14" s="1"/>
  <c r="K29" i="14" s="1"/>
  <c r="L29" i="14" s="1"/>
  <c r="I25" i="14"/>
  <c r="J25" i="14" s="1"/>
  <c r="K25" i="14" s="1"/>
  <c r="L25" i="14" s="1"/>
  <c r="I38" i="14"/>
  <c r="J38" i="14" s="1"/>
  <c r="K38" i="14" s="1"/>
  <c r="L38" i="14" s="1"/>
  <c r="AA225" i="5"/>
  <c r="B104" i="8" s="1"/>
  <c r="AA192" i="5"/>
  <c r="B95" i="8" s="1"/>
  <c r="I26" i="14"/>
  <c r="J26" i="14" s="1"/>
  <c r="K26" i="14" s="1"/>
  <c r="L26" i="14" s="1"/>
  <c r="I24" i="14"/>
  <c r="J24" i="14" s="1"/>
  <c r="K24" i="14" s="1"/>
  <c r="L24" i="14" s="1"/>
  <c r="I36" i="14"/>
  <c r="J36" i="14" s="1"/>
  <c r="K36" i="14" s="1"/>
  <c r="L36" i="14" s="1"/>
  <c r="AA69" i="5"/>
  <c r="B32" i="8" s="1"/>
  <c r="I9" i="14"/>
  <c r="J9" i="14" s="1"/>
  <c r="K9" i="14" s="1"/>
  <c r="L9" i="14" s="1"/>
  <c r="I11" i="14"/>
  <c r="J11" i="14" s="1"/>
  <c r="K11" i="14" s="1"/>
  <c r="L11" i="14" s="1"/>
  <c r="I37" i="14"/>
  <c r="J37" i="14" s="1"/>
  <c r="K37" i="14" s="1"/>
  <c r="L37" i="14" s="1"/>
  <c r="AA81" i="5"/>
  <c r="I22" i="14"/>
  <c r="J22" i="14" s="1"/>
  <c r="K22" i="14" s="1"/>
  <c r="L22" i="14" s="1"/>
  <c r="I10" i="14"/>
  <c r="J10" i="14" s="1"/>
  <c r="K10" i="14" s="1"/>
  <c r="L10" i="14" s="1"/>
  <c r="I8" i="14"/>
  <c r="J8" i="14" s="1"/>
  <c r="K8" i="14" s="1"/>
  <c r="L8" i="14" s="1"/>
  <c r="AA136" i="5"/>
  <c r="B71" i="8" s="1"/>
  <c r="AE14" i="11"/>
  <c r="I42" i="14"/>
  <c r="J42" i="14" s="1"/>
  <c r="K42" i="14" s="1"/>
  <c r="L42" i="14" s="1"/>
  <c r="I35" i="14"/>
  <c r="J35" i="14" s="1"/>
  <c r="K35" i="14" s="1"/>
  <c r="L35" i="14" s="1"/>
  <c r="I19" i="14"/>
  <c r="J19" i="14" s="1"/>
  <c r="K19" i="14" s="1"/>
  <c r="L19" i="14" s="1"/>
  <c r="I15" i="14"/>
  <c r="J15" i="14" s="1"/>
  <c r="K15" i="14" s="1"/>
  <c r="L15" i="14" s="1"/>
  <c r="I23" i="14"/>
  <c r="J23" i="14" s="1"/>
  <c r="K23" i="14" s="1"/>
  <c r="L23" i="14" s="1"/>
  <c r="AA150" i="5"/>
  <c r="B80" i="8" s="1"/>
  <c r="I45" i="14"/>
  <c r="J45" i="14" s="1"/>
  <c r="K45" i="14" s="1"/>
  <c r="L45" i="14" s="1"/>
  <c r="I31" i="14"/>
  <c r="J31" i="14" s="1"/>
  <c r="K31" i="14" s="1"/>
  <c r="L31" i="14" s="1"/>
  <c r="AA237" i="5"/>
  <c r="B107" i="8" s="1"/>
  <c r="AA109" i="5"/>
  <c r="B53" i="8" s="1"/>
  <c r="AA15" i="5"/>
  <c r="AA16" i="5"/>
  <c r="AA17" i="5"/>
  <c r="AA131" i="5"/>
  <c r="B65" i="8" s="1"/>
  <c r="AE20" i="11"/>
  <c r="M20" i="11" s="1"/>
  <c r="L20" i="11" s="1"/>
  <c r="AA94" i="5"/>
  <c r="B44" i="8" s="1"/>
  <c r="AE23" i="11"/>
  <c r="M23" i="11" s="1"/>
  <c r="L23" i="11" s="1"/>
  <c r="AE22" i="11"/>
  <c r="M22" i="11" s="1"/>
  <c r="L22" i="11" s="1"/>
  <c r="AA119" i="5"/>
  <c r="B59" i="8" s="1"/>
  <c r="AA188" i="5"/>
  <c r="B92" i="8" s="1"/>
  <c r="AA114" i="5"/>
  <c r="B56" i="8" s="1"/>
  <c r="AE21" i="11"/>
  <c r="M21" i="11" s="1"/>
  <c r="L21" i="11" s="1"/>
  <c r="I28" i="14"/>
  <c r="J28" i="14" s="1"/>
  <c r="K28" i="14" s="1"/>
  <c r="L28" i="14" s="1"/>
  <c r="I39" i="14"/>
  <c r="J39" i="14" s="1"/>
  <c r="K39" i="14" s="1"/>
  <c r="L39" i="14" s="1"/>
  <c r="I32" i="14"/>
  <c r="J32" i="14" s="1"/>
  <c r="K32" i="14" s="1"/>
  <c r="L32" i="14" s="1"/>
  <c r="I27" i="14"/>
  <c r="J27" i="14" s="1"/>
  <c r="K27" i="14" s="1"/>
  <c r="L27" i="14" s="1"/>
  <c r="I43" i="14"/>
  <c r="J43" i="14" s="1"/>
  <c r="K43" i="14" s="1"/>
  <c r="L43" i="14" s="1"/>
  <c r="AA156" i="5"/>
  <c r="B86" i="8" s="1"/>
  <c r="AA104" i="5"/>
  <c r="B50" i="8" s="1"/>
  <c r="AA198" i="5"/>
  <c r="B98" i="8" s="1"/>
  <c r="AE18" i="11"/>
  <c r="M18" i="11" s="1"/>
  <c r="L18" i="11" s="1"/>
  <c r="AA124" i="5"/>
  <c r="B62" i="8" s="1"/>
  <c r="AA42" i="5"/>
  <c r="AA41" i="5"/>
  <c r="I46" i="14"/>
  <c r="J46" i="14" s="1"/>
  <c r="K46" i="14" s="1"/>
  <c r="L46" i="14" s="1"/>
  <c r="I21" i="14"/>
  <c r="J21" i="14" s="1"/>
  <c r="K21" i="14" s="1"/>
  <c r="L21" i="14" s="1"/>
  <c r="I16" i="14"/>
  <c r="J16" i="14" s="1"/>
  <c r="K16" i="14" s="1"/>
  <c r="L16" i="14" s="1"/>
  <c r="I44" i="14"/>
  <c r="J44" i="14" s="1"/>
  <c r="K44" i="14" s="1"/>
  <c r="L44" i="14" s="1"/>
  <c r="I12" i="14"/>
  <c r="J12" i="14" s="1"/>
  <c r="K12" i="14" s="1"/>
  <c r="L12" i="14" s="1"/>
  <c r="AE17" i="11"/>
  <c r="M17" i="11" s="1"/>
  <c r="L17" i="11" s="1"/>
  <c r="AA25" i="5"/>
  <c r="B20" i="8" s="1"/>
  <c r="AE12" i="11"/>
  <c r="M12" i="11" s="1"/>
  <c r="L12" i="11" s="1"/>
  <c r="E34" i="14"/>
  <c r="N24" i="13"/>
  <c r="E33" i="14"/>
  <c r="I40" i="14"/>
  <c r="J40" i="14" s="1"/>
  <c r="K40" i="14" s="1"/>
  <c r="L40" i="14" s="1"/>
  <c r="AA144" i="5"/>
  <c r="B77" i="8" s="1"/>
  <c r="AA86" i="5"/>
  <c r="AA87" i="5"/>
  <c r="B41" i="8" s="1"/>
  <c r="AE16" i="11"/>
  <c r="M16" i="11" s="1"/>
  <c r="L16" i="11" s="1"/>
  <c r="AE19" i="11"/>
  <c r="M19" i="11" s="1"/>
  <c r="L19" i="11" s="1"/>
  <c r="AE4" i="13"/>
  <c r="O27" i="13" s="1"/>
  <c r="AA212" i="5"/>
  <c r="B101" i="8" s="1"/>
  <c r="I20" i="14"/>
  <c r="J20" i="14" s="1"/>
  <c r="K20" i="14" s="1"/>
  <c r="L20" i="14" s="1"/>
  <c r="I17" i="14"/>
  <c r="J17" i="14" s="1"/>
  <c r="K17" i="14" s="1"/>
  <c r="L17" i="14" s="1"/>
  <c r="I30" i="14"/>
  <c r="J30" i="14" s="1"/>
  <c r="K30" i="14" s="1"/>
  <c r="L30" i="14" s="1"/>
  <c r="I14" i="14"/>
  <c r="J14" i="14" s="1"/>
  <c r="K14" i="14" s="1"/>
  <c r="L14" i="14" s="1"/>
  <c r="I41" i="14"/>
  <c r="J41" i="14" s="1"/>
  <c r="K41" i="14" s="1"/>
  <c r="L41" i="14" s="1"/>
  <c r="AE15" i="11"/>
  <c r="M15" i="11" s="1"/>
  <c r="L15" i="11" s="1"/>
  <c r="AA177" i="5"/>
  <c r="B89" i="8" s="1"/>
  <c r="I116" i="5"/>
  <c r="O115" i="5"/>
  <c r="I90" i="5"/>
  <c r="O89" i="5"/>
  <c r="E88" i="6"/>
  <c r="D88" i="12"/>
  <c r="I140" i="5"/>
  <c r="I141" i="5" s="1"/>
  <c r="Q29" i="8"/>
  <c r="G30" i="8" s="1"/>
  <c r="G36" i="8"/>
  <c r="D37" i="8"/>
  <c r="D35" i="8" s="1"/>
  <c r="Z37" i="8"/>
  <c r="Z35" i="8" s="1"/>
  <c r="AA37" i="8"/>
  <c r="AA35" i="8" s="1"/>
  <c r="Y37" i="8"/>
  <c r="Y35" i="8" s="1"/>
  <c r="AC37" i="8"/>
  <c r="AC35" i="8" s="1"/>
  <c r="AE37" i="8"/>
  <c r="AE35" i="8" s="1"/>
  <c r="X37" i="8"/>
  <c r="X35" i="8" s="1"/>
  <c r="W37" i="8"/>
  <c r="W35" i="8" s="1"/>
  <c r="C35" i="8"/>
  <c r="V37" i="8"/>
  <c r="V35" i="8" s="1"/>
  <c r="AD37" i="8"/>
  <c r="AD35" i="8" s="1"/>
  <c r="U37" i="8"/>
  <c r="U35" i="8" s="1"/>
  <c r="B35" i="8"/>
  <c r="E37" i="8"/>
  <c r="T37" i="8"/>
  <c r="T35" i="8" s="1"/>
  <c r="AB37" i="8"/>
  <c r="AB35" i="8" s="1"/>
  <c r="W28" i="8"/>
  <c r="W26" i="8" s="1"/>
  <c r="AC28" i="8"/>
  <c r="AC26" i="8" s="1"/>
  <c r="V28" i="8"/>
  <c r="V26" i="8" s="1"/>
  <c r="C26" i="8"/>
  <c r="E28" i="8"/>
  <c r="Z28" i="8"/>
  <c r="Z26" i="8" s="1"/>
  <c r="AE28" i="8"/>
  <c r="AE26" i="8" s="1"/>
  <c r="AA28" i="8"/>
  <c r="AA26" i="8" s="1"/>
  <c r="X28" i="8"/>
  <c r="X26" i="8" s="1"/>
  <c r="T28" i="8"/>
  <c r="T26" i="8" s="1"/>
  <c r="Y28" i="8"/>
  <c r="Y26" i="8" s="1"/>
  <c r="AB28" i="8"/>
  <c r="AB26" i="8" s="1"/>
  <c r="D28" i="8"/>
  <c r="D26" i="8" s="1"/>
  <c r="U28" i="8"/>
  <c r="U26" i="8" s="1"/>
  <c r="AD28" i="8"/>
  <c r="AD26" i="8" s="1"/>
  <c r="B26" i="8"/>
  <c r="G18" i="8"/>
  <c r="G24" i="8"/>
  <c r="C20" i="8"/>
  <c r="U22" i="8"/>
  <c r="U20" i="8" s="1"/>
  <c r="AC22" i="8"/>
  <c r="AC20" i="8" s="1"/>
  <c r="Y22" i="8"/>
  <c r="Y20" i="8" s="1"/>
  <c r="AE22" i="8"/>
  <c r="AE20" i="8" s="1"/>
  <c r="Z22" i="8"/>
  <c r="Z20" i="8" s="1"/>
  <c r="W22" i="8"/>
  <c r="W20" i="8" s="1"/>
  <c r="D22" i="8"/>
  <c r="D20" i="8" s="1"/>
  <c r="T22" i="8"/>
  <c r="T20" i="8" s="1"/>
  <c r="V22" i="8"/>
  <c r="V20" i="8" s="1"/>
  <c r="AA22" i="8"/>
  <c r="AA20" i="8" s="1"/>
  <c r="X22" i="8"/>
  <c r="X20" i="8" s="1"/>
  <c r="E22" i="8"/>
  <c r="AB22" i="8"/>
  <c r="AB20" i="8" s="1"/>
  <c r="AD22" i="8"/>
  <c r="AD20" i="8" s="1"/>
  <c r="E25" i="8"/>
  <c r="B23" i="8"/>
  <c r="C23" i="8"/>
  <c r="C17" i="8"/>
  <c r="B17" i="8"/>
  <c r="Y19" i="8"/>
  <c r="X19" i="8"/>
  <c r="W19" i="8"/>
  <c r="V19" i="8"/>
  <c r="U19" i="8"/>
  <c r="T19" i="8"/>
  <c r="E19" i="8"/>
  <c r="AD19" i="8" s="1"/>
  <c r="D19" i="8"/>
  <c r="AE19" i="8"/>
  <c r="AB19" i="8"/>
  <c r="N27" i="13" l="1"/>
  <c r="E32" i="14" s="1"/>
  <c r="F32" i="14"/>
  <c r="AA14" i="11"/>
  <c r="AM14" i="13"/>
  <c r="T14" i="13" s="1"/>
  <c r="AD3" i="13" s="1"/>
  <c r="AD2" i="13" s="1"/>
  <c r="AJ14" i="13"/>
  <c r="R14" i="13" s="1"/>
  <c r="M26" i="13" s="1"/>
  <c r="I142" i="5"/>
  <c r="O141" i="5"/>
  <c r="I117" i="5"/>
  <c r="O116" i="5"/>
  <c r="D115" i="12"/>
  <c r="E115" i="6"/>
  <c r="I91" i="5"/>
  <c r="O90" i="5"/>
  <c r="D89" i="12"/>
  <c r="E89" i="6"/>
  <c r="V31" i="8"/>
  <c r="V29" i="8" s="1"/>
  <c r="AB31" i="8"/>
  <c r="AB29" i="8" s="1"/>
  <c r="Y31" i="8"/>
  <c r="Y29" i="8" s="1"/>
  <c r="AE31" i="8"/>
  <c r="AE29" i="8" s="1"/>
  <c r="C29" i="8"/>
  <c r="Z31" i="8"/>
  <c r="Z29" i="8" s="1"/>
  <c r="W31" i="8"/>
  <c r="W29" i="8" s="1"/>
  <c r="AA31" i="8"/>
  <c r="X31" i="8"/>
  <c r="X29" i="8" s="1"/>
  <c r="E31" i="8"/>
  <c r="AD31" i="8"/>
  <c r="AD29" i="8" s="1"/>
  <c r="T31" i="8"/>
  <c r="D31" i="8"/>
  <c r="D29" i="8" s="1"/>
  <c r="B29" i="8"/>
  <c r="U31" i="8"/>
  <c r="U29" i="8" s="1"/>
  <c r="AC31" i="8"/>
  <c r="G35" i="8"/>
  <c r="I36" i="8" s="1"/>
  <c r="G26" i="8"/>
  <c r="I27" i="8" s="1"/>
  <c r="G23" i="8"/>
  <c r="I24" i="8" s="1"/>
  <c r="G20" i="8"/>
  <c r="I21" i="8" s="1"/>
  <c r="Z19" i="8"/>
  <c r="AA19" i="8"/>
  <c r="AC19" i="8"/>
  <c r="AB17" i="8"/>
  <c r="X17" i="8"/>
  <c r="W17" i="8"/>
  <c r="AD17" i="8"/>
  <c r="Y17" i="8"/>
  <c r="AE17" i="8"/>
  <c r="D17" i="8"/>
  <c r="T17" i="8"/>
  <c r="U17" i="8"/>
  <c r="V17" i="8"/>
  <c r="M25" i="13" l="1"/>
  <c r="AE3" i="13"/>
  <c r="Z14" i="11"/>
  <c r="Z24" i="11" s="1"/>
  <c r="AA24" i="11"/>
  <c r="M14" i="11"/>
  <c r="I143" i="5"/>
  <c r="O142" i="5"/>
  <c r="E141" i="6"/>
  <c r="D141" i="12"/>
  <c r="I118" i="5"/>
  <c r="O117" i="5"/>
  <c r="E116" i="6"/>
  <c r="D116" i="12"/>
  <c r="I92" i="5"/>
  <c r="I93" i="5" s="1"/>
  <c r="O91" i="5"/>
  <c r="D90" i="12"/>
  <c r="E90" i="6"/>
  <c r="D25" i="8"/>
  <c r="D23" i="8" s="1"/>
  <c r="AE25" i="8"/>
  <c r="AE23" i="8" s="1"/>
  <c r="Z25" i="8"/>
  <c r="Z23" i="8" s="1"/>
  <c r="AD25" i="8"/>
  <c r="AD23" i="8" s="1"/>
  <c r="W25" i="8"/>
  <c r="W23" i="8" s="1"/>
  <c r="V25" i="8"/>
  <c r="V23" i="8" s="1"/>
  <c r="AB25" i="8"/>
  <c r="AB23" i="8" s="1"/>
  <c r="U25" i="8"/>
  <c r="X25" i="8"/>
  <c r="X23" i="8" s="1"/>
  <c r="Y25" i="8"/>
  <c r="AC29" i="8"/>
  <c r="AC25" i="8"/>
  <c r="AC23" i="8" s="1"/>
  <c r="AA29" i="8"/>
  <c r="AA25" i="8"/>
  <c r="AA23" i="8" s="1"/>
  <c r="T29" i="8"/>
  <c r="T25" i="8"/>
  <c r="Z17" i="8"/>
  <c r="AA17" i="8"/>
  <c r="AC17" i="8"/>
  <c r="L14" i="11" l="1"/>
  <c r="L24" i="11" s="1"/>
  <c r="M24" i="11"/>
  <c r="O26" i="13"/>
  <c r="AE2" i="13"/>
  <c r="I144" i="5"/>
  <c r="I145" i="5" s="1"/>
  <c r="O143" i="5"/>
  <c r="D142" i="12"/>
  <c r="E142" i="6"/>
  <c r="I119" i="5"/>
  <c r="I120" i="5" s="1"/>
  <c r="O118" i="5"/>
  <c r="E117" i="6"/>
  <c r="D117" i="12"/>
  <c r="O92" i="5"/>
  <c r="E92" i="6" s="1"/>
  <c r="I94" i="5"/>
  <c r="I95" i="5" s="1"/>
  <c r="O93" i="5"/>
  <c r="D91" i="12"/>
  <c r="E91" i="6"/>
  <c r="Z16" i="8"/>
  <c r="Z14" i="8" s="1"/>
  <c r="D16" i="8"/>
  <c r="D126" i="8" s="1"/>
  <c r="D121" i="8" s="1"/>
  <c r="D117" i="8" s="1"/>
  <c r="AE16" i="8"/>
  <c r="AE14" i="8" s="1"/>
  <c r="AD16" i="8"/>
  <c r="AD14" i="8" s="1"/>
  <c r="W16" i="8"/>
  <c r="W14" i="8" s="1"/>
  <c r="AB16" i="8"/>
  <c r="AB14" i="8" s="1"/>
  <c r="X16" i="8"/>
  <c r="X14" i="8" s="1"/>
  <c r="G29" i="8"/>
  <c r="I30" i="8" s="1"/>
  <c r="V16" i="8"/>
  <c r="V14" i="8" s="1"/>
  <c r="U23" i="8"/>
  <c r="U16" i="8"/>
  <c r="U14" i="8" s="1"/>
  <c r="Y23" i="8"/>
  <c r="Y16" i="8"/>
  <c r="Y14" i="8" s="1"/>
  <c r="AC16" i="8"/>
  <c r="AC14" i="8" s="1"/>
  <c r="AA16" i="8"/>
  <c r="AA14" i="8" s="1"/>
  <c r="T23" i="8"/>
  <c r="T16" i="8"/>
  <c r="G17" i="8"/>
  <c r="I18" i="8" s="1"/>
  <c r="O25" i="13" l="1"/>
  <c r="N26" i="13"/>
  <c r="E31" i="14" s="1"/>
  <c r="F31" i="14"/>
  <c r="M10" i="11"/>
  <c r="N10" i="13" s="1"/>
  <c r="L26" i="13"/>
  <c r="M25" i="11"/>
  <c r="G9" i="11" s="1"/>
  <c r="L10" i="11"/>
  <c r="M10" i="13" s="1"/>
  <c r="L25" i="11"/>
  <c r="L25" i="13"/>
  <c r="D30" i="14" s="1"/>
  <c r="I146" i="5"/>
  <c r="O145" i="5"/>
  <c r="D143" i="12"/>
  <c r="E143" i="6"/>
  <c r="I121" i="5"/>
  <c r="O120" i="5"/>
  <c r="D92" i="12"/>
  <c r="E118" i="6"/>
  <c r="D118" i="12"/>
  <c r="I96" i="5"/>
  <c r="O95" i="5"/>
  <c r="D93" i="12"/>
  <c r="E93" i="6"/>
  <c r="I177" i="5"/>
  <c r="I178" i="5" s="1"/>
  <c r="D122" i="8"/>
  <c r="D14" i="8"/>
  <c r="D125" i="8" a="1"/>
  <c r="D125" i="8" s="1"/>
  <c r="D120" i="8" s="1"/>
  <c r="D124" i="8" a="1"/>
  <c r="D124" i="8" s="1"/>
  <c r="D119" i="8" s="1"/>
  <c r="T14" i="8"/>
  <c r="T126" i="8"/>
  <c r="T124" i="8" a="1"/>
  <c r="T124" i="8" s="1"/>
  <c r="D31" i="14" l="1"/>
  <c r="AD26" i="13"/>
  <c r="AC26" i="13"/>
  <c r="N25" i="13"/>
  <c r="E30" i="14" s="1"/>
  <c r="F30" i="14"/>
  <c r="I179" i="5"/>
  <c r="O178" i="5"/>
  <c r="I147" i="5"/>
  <c r="O146" i="5"/>
  <c r="E145" i="6"/>
  <c r="D145" i="12"/>
  <c r="I122" i="5"/>
  <c r="O121" i="5"/>
  <c r="D120" i="12"/>
  <c r="E120" i="6"/>
  <c r="I97" i="5"/>
  <c r="O96" i="5"/>
  <c r="D95" i="12"/>
  <c r="E95" i="6"/>
  <c r="D123" i="8"/>
  <c r="D118" i="8" s="1"/>
  <c r="T119" i="8"/>
  <c r="U124" i="8" a="1"/>
  <c r="U124" i="8" s="1"/>
  <c r="T121" i="8"/>
  <c r="T117" i="8" s="1"/>
  <c r="T125" i="8" s="1" a="1"/>
  <c r="T125" i="8" s="1"/>
  <c r="T120" i="8" s="1"/>
  <c r="T122" i="8"/>
  <c r="U126" i="8"/>
  <c r="D178" i="12" l="1"/>
  <c r="E178" i="6"/>
  <c r="I180" i="5"/>
  <c r="O179" i="5"/>
  <c r="I148" i="5"/>
  <c r="O147" i="5"/>
  <c r="D146" i="12"/>
  <c r="E146" i="6"/>
  <c r="I123" i="5"/>
  <c r="O122" i="5"/>
  <c r="E121" i="6"/>
  <c r="D121" i="12"/>
  <c r="I98" i="5"/>
  <c r="O97" i="5"/>
  <c r="D96" i="12"/>
  <c r="E96" i="6"/>
  <c r="T123" i="8"/>
  <c r="T118" i="8" s="1"/>
  <c r="U122" i="8"/>
  <c r="U121" i="8"/>
  <c r="U117" i="8" s="1"/>
  <c r="U125" i="8" s="1" a="1"/>
  <c r="U125" i="8" s="1"/>
  <c r="V126" i="8"/>
  <c r="U119" i="8"/>
  <c r="V124" i="8" a="1"/>
  <c r="V124" i="8" s="1"/>
  <c r="I181" i="5" l="1"/>
  <c r="O180" i="5"/>
  <c r="D179" i="12"/>
  <c r="E179" i="6"/>
  <c r="I149" i="5"/>
  <c r="O148" i="5"/>
  <c r="E147" i="6"/>
  <c r="D147" i="12"/>
  <c r="I124" i="5"/>
  <c r="I125" i="5" s="1"/>
  <c r="O123" i="5"/>
  <c r="D122" i="12"/>
  <c r="E122" i="6"/>
  <c r="I99" i="5"/>
  <c r="O98" i="5"/>
  <c r="E97" i="6"/>
  <c r="D97" i="12"/>
  <c r="V119" i="8"/>
  <c r="W124" i="8" a="1"/>
  <c r="W124" i="8" s="1"/>
  <c r="W126" i="8"/>
  <c r="V121" i="8"/>
  <c r="V117" i="8" s="1"/>
  <c r="V125" i="8" s="1" a="1"/>
  <c r="V125" i="8" s="1"/>
  <c r="V122" i="8"/>
  <c r="U120" i="8"/>
  <c r="U123" i="8"/>
  <c r="U118" i="8" s="1"/>
  <c r="I182" i="5" l="1"/>
  <c r="O181" i="5"/>
  <c r="E180" i="6"/>
  <c r="D180" i="12"/>
  <c r="I150" i="5"/>
  <c r="I151" i="5" s="1"/>
  <c r="O149" i="5"/>
  <c r="E148" i="6"/>
  <c r="D148" i="12"/>
  <c r="I126" i="5"/>
  <c r="O125" i="5"/>
  <c r="D123" i="12"/>
  <c r="E123" i="6"/>
  <c r="I100" i="5"/>
  <c r="O99" i="5"/>
  <c r="D98" i="12"/>
  <c r="E98" i="6"/>
  <c r="V120" i="8"/>
  <c r="W125" i="8" a="1"/>
  <c r="W125" i="8" s="1"/>
  <c r="V123" i="8"/>
  <c r="V118" i="8" s="1"/>
  <c r="X126" i="8"/>
  <c r="W122" i="8"/>
  <c r="W121" i="8"/>
  <c r="W117" i="8" s="1"/>
  <c r="X124" i="8" a="1"/>
  <c r="X124" i="8" s="1"/>
  <c r="W119" i="8"/>
  <c r="I183" i="5" l="1"/>
  <c r="O182" i="5"/>
  <c r="D181" i="12"/>
  <c r="E181" i="6"/>
  <c r="I152" i="5"/>
  <c r="O151" i="5"/>
  <c r="E149" i="6"/>
  <c r="D149" i="12"/>
  <c r="I127" i="5"/>
  <c r="O126" i="5"/>
  <c r="D125" i="12"/>
  <c r="E125" i="6"/>
  <c r="I101" i="5"/>
  <c r="O100" i="5"/>
  <c r="E99" i="6"/>
  <c r="D99" i="12"/>
  <c r="X119" i="8"/>
  <c r="Y124" i="8" a="1"/>
  <c r="Y124" i="8" s="1"/>
  <c r="X122" i="8"/>
  <c r="Y126" i="8"/>
  <c r="X121" i="8"/>
  <c r="X117" i="8" s="1"/>
  <c r="W120" i="8"/>
  <c r="X125" i="8" a="1"/>
  <c r="X125" i="8" s="1"/>
  <c r="W123" i="8"/>
  <c r="W118" i="8" s="1"/>
  <c r="I184" i="5" l="1"/>
  <c r="O183" i="5"/>
  <c r="E182" i="6"/>
  <c r="D182" i="12"/>
  <c r="I153" i="5"/>
  <c r="O152" i="5"/>
  <c r="D151" i="12"/>
  <c r="E151" i="6"/>
  <c r="I128" i="5"/>
  <c r="O127" i="5"/>
  <c r="I131" i="5"/>
  <c r="I132" i="5" s="1"/>
  <c r="E126" i="6"/>
  <c r="D126" i="12"/>
  <c r="I102" i="5"/>
  <c r="I103" i="5" s="1"/>
  <c r="O101" i="5"/>
  <c r="D100" i="12"/>
  <c r="E100" i="6"/>
  <c r="X120" i="8"/>
  <c r="Y125" i="8" a="1"/>
  <c r="Y125" i="8" s="1"/>
  <c r="X123" i="8"/>
  <c r="X118" i="8" s="1"/>
  <c r="Z126" i="8"/>
  <c r="Y121" i="8"/>
  <c r="Y117" i="8" s="1"/>
  <c r="Y122" i="8"/>
  <c r="Z124" i="8" a="1"/>
  <c r="Z124" i="8" s="1"/>
  <c r="Y119" i="8"/>
  <c r="I185" i="5" l="1"/>
  <c r="O184" i="5"/>
  <c r="E183" i="6"/>
  <c r="D183" i="12"/>
  <c r="I154" i="5"/>
  <c r="I155" i="5" s="1"/>
  <c r="O153" i="5"/>
  <c r="D152" i="12"/>
  <c r="E152" i="6"/>
  <c r="I133" i="5"/>
  <c r="O132" i="5"/>
  <c r="I129" i="5"/>
  <c r="O128" i="5"/>
  <c r="D127" i="12"/>
  <c r="E127" i="6"/>
  <c r="I104" i="5"/>
  <c r="I105" i="5" s="1"/>
  <c r="O103" i="5"/>
  <c r="E101" i="6"/>
  <c r="D101" i="12"/>
  <c r="AA124" i="8" a="1"/>
  <c r="AA124" i="8" s="1"/>
  <c r="Z119" i="8"/>
  <c r="AA126" i="8"/>
  <c r="Z121" i="8"/>
  <c r="Z117" i="8" s="1"/>
  <c r="Z122" i="8"/>
  <c r="J10" i="13" s="1"/>
  <c r="G10" i="13" s="1"/>
  <c r="Y120" i="8"/>
  <c r="Z125" i="8" a="1"/>
  <c r="Z125" i="8" s="1"/>
  <c r="Y123" i="8"/>
  <c r="Y118" i="8" s="1"/>
  <c r="I186" i="5" l="1"/>
  <c r="O185" i="5"/>
  <c r="E184" i="6"/>
  <c r="D184" i="12"/>
  <c r="I156" i="5"/>
  <c r="I157" i="5" s="1"/>
  <c r="O155" i="5"/>
  <c r="D153" i="12"/>
  <c r="E153" i="6"/>
  <c r="I134" i="5"/>
  <c r="I135" i="5" s="1"/>
  <c r="O133" i="5"/>
  <c r="D132" i="12"/>
  <c r="E132" i="6"/>
  <c r="I130" i="5"/>
  <c r="O130" i="5" s="1"/>
  <c r="O129" i="5"/>
  <c r="D128" i="12"/>
  <c r="E128" i="6"/>
  <c r="I106" i="5"/>
  <c r="O105" i="5"/>
  <c r="D103" i="12"/>
  <c r="E103" i="6"/>
  <c r="AB126" i="8"/>
  <c r="AA121" i="8"/>
  <c r="AA117" i="8" s="1"/>
  <c r="AA122" i="8"/>
  <c r="Z120" i="8"/>
  <c r="Z123" i="8"/>
  <c r="Z118" i="8" s="1"/>
  <c r="AA125" i="8" a="1"/>
  <c r="AA125" i="8" s="1"/>
  <c r="AB124" i="8" a="1"/>
  <c r="AB124" i="8" s="1"/>
  <c r="AA119" i="8"/>
  <c r="I187" i="5" l="1"/>
  <c r="O186" i="5"/>
  <c r="E185" i="6"/>
  <c r="D185" i="12"/>
  <c r="I158" i="5"/>
  <c r="O157" i="5"/>
  <c r="E155" i="6"/>
  <c r="D155" i="12"/>
  <c r="I136" i="5"/>
  <c r="I137" i="5" s="1"/>
  <c r="O135" i="5"/>
  <c r="D133" i="12"/>
  <c r="E133" i="6"/>
  <c r="E130" i="6"/>
  <c r="D130" i="12"/>
  <c r="D129" i="12"/>
  <c r="E129" i="6"/>
  <c r="I107" i="5"/>
  <c r="O106" i="5"/>
  <c r="E105" i="6"/>
  <c r="D105" i="12"/>
  <c r="AC124" i="8" a="1"/>
  <c r="AC124" i="8" s="1"/>
  <c r="AB119" i="8"/>
  <c r="AA120" i="8"/>
  <c r="AB125" i="8" a="1"/>
  <c r="AB125" i="8" s="1"/>
  <c r="AA123" i="8"/>
  <c r="AA118" i="8" s="1"/>
  <c r="AC126" i="8"/>
  <c r="AB122" i="8"/>
  <c r="AB121" i="8"/>
  <c r="AB117" i="8" s="1"/>
  <c r="B9" i="9"/>
  <c r="I188" i="5" l="1"/>
  <c r="I189" i="5" s="1"/>
  <c r="O187" i="5"/>
  <c r="D186" i="12"/>
  <c r="E186" i="6"/>
  <c r="I159" i="5"/>
  <c r="O158" i="5"/>
  <c r="E157" i="6"/>
  <c r="D157" i="12"/>
  <c r="I138" i="5"/>
  <c r="O137" i="5"/>
  <c r="D135" i="12"/>
  <c r="E135" i="6"/>
  <c r="I108" i="5"/>
  <c r="O107" i="5"/>
  <c r="D106" i="12"/>
  <c r="E106" i="6"/>
  <c r="AB120" i="8"/>
  <c r="AB123" i="8"/>
  <c r="AB118" i="8" s="1"/>
  <c r="AC125" i="8" a="1"/>
  <c r="AC125" i="8" s="1"/>
  <c r="AC122" i="8"/>
  <c r="AC121" i="8"/>
  <c r="AC117" i="8" s="1"/>
  <c r="AD126" i="8"/>
  <c r="AD124" i="8" a="1"/>
  <c r="AD124" i="8" s="1"/>
  <c r="AC119" i="8"/>
  <c r="I190" i="5" l="1"/>
  <c r="O189" i="5"/>
  <c r="D187" i="12"/>
  <c r="E187" i="6"/>
  <c r="I160" i="5"/>
  <c r="O159" i="5"/>
  <c r="E158" i="6"/>
  <c r="D158" i="12"/>
  <c r="I139" i="5"/>
  <c r="O139" i="5" s="1"/>
  <c r="O138" i="5"/>
  <c r="E137" i="6"/>
  <c r="D137" i="12"/>
  <c r="I109" i="5"/>
  <c r="I110" i="5" s="1"/>
  <c r="O108" i="5"/>
  <c r="E107" i="6"/>
  <c r="D107" i="12"/>
  <c r="AC120" i="8"/>
  <c r="AD125" i="8" a="1"/>
  <c r="AD125" i="8" s="1"/>
  <c r="AD119" i="8"/>
  <c r="AE124" i="8" a="1"/>
  <c r="AE124" i="8" s="1"/>
  <c r="AD122" i="8"/>
  <c r="AE126" i="8"/>
  <c r="J10" i="8" s="1"/>
  <c r="AD121" i="8"/>
  <c r="AD117" i="8" s="1"/>
  <c r="AC123" i="8"/>
  <c r="AC118" i="8" s="1"/>
  <c r="I191" i="5" l="1"/>
  <c r="O190" i="5"/>
  <c r="E189" i="6"/>
  <c r="D189" i="12"/>
  <c r="I161" i="5"/>
  <c r="O160" i="5"/>
  <c r="D159" i="12"/>
  <c r="E159" i="6"/>
  <c r="D139" i="12"/>
  <c r="E139" i="6"/>
  <c r="E138" i="6"/>
  <c r="D138" i="12"/>
  <c r="I111" i="5"/>
  <c r="O110" i="5"/>
  <c r="D108" i="12"/>
  <c r="E108" i="6"/>
  <c r="AE122" i="8"/>
  <c r="AF126" i="8"/>
  <c r="AE121" i="8"/>
  <c r="AE117" i="8" s="1"/>
  <c r="AE119" i="8"/>
  <c r="AF124" i="8"/>
  <c r="AD120" i="8"/>
  <c r="AD123" i="8"/>
  <c r="AD118" i="8" s="1"/>
  <c r="AE125" i="8" a="1"/>
  <c r="AE125" i="8" s="1"/>
  <c r="F41" i="12"/>
  <c r="F135" i="12"/>
  <c r="F252" i="12"/>
  <c r="F120" i="12"/>
  <c r="F164" i="12"/>
  <c r="F76" i="12"/>
  <c r="F146" i="12"/>
  <c r="F263" i="12"/>
  <c r="F287" i="12"/>
  <c r="F178" i="12"/>
  <c r="F248" i="12"/>
  <c r="F288" i="12"/>
  <c r="F63" i="12"/>
  <c r="F104" i="12"/>
  <c r="F203" i="12"/>
  <c r="F273" i="12"/>
  <c r="F231" i="12"/>
  <c r="F258" i="12"/>
  <c r="F274" i="12"/>
  <c r="F56" i="12"/>
  <c r="F80" i="12"/>
  <c r="F98" i="12"/>
  <c r="F170" i="12"/>
  <c r="F267" i="12"/>
  <c r="F65" i="12"/>
  <c r="F91" i="12"/>
  <c r="F161" i="12"/>
  <c r="F190" i="12"/>
  <c r="F210" i="12"/>
  <c r="F233" i="12"/>
  <c r="F276" i="12"/>
  <c r="F50" i="12"/>
  <c r="F191" i="12"/>
  <c r="F234" i="12"/>
  <c r="F285" i="12"/>
  <c r="F75" i="12"/>
  <c r="F101" i="12"/>
  <c r="F145" i="12"/>
  <c r="F192" i="12"/>
  <c r="F220" i="12"/>
  <c r="F243" i="12"/>
  <c r="F262" i="12"/>
  <c r="F286" i="12"/>
  <c r="F60" i="12"/>
  <c r="F102" i="12"/>
  <c r="F177" i="12"/>
  <c r="F201" i="12"/>
  <c r="F244" i="12"/>
  <c r="F131" i="12"/>
  <c r="F229" i="12"/>
  <c r="F272" i="12"/>
  <c r="F132" i="12"/>
  <c r="F157" i="12"/>
  <c r="F230" i="12"/>
  <c r="F47" i="12"/>
  <c r="F71" i="12"/>
  <c r="F116" i="12"/>
  <c r="F159" i="12"/>
  <c r="F188" i="12"/>
  <c r="F125" i="12"/>
  <c r="F151" i="12"/>
  <c r="F181" i="12"/>
  <c r="F197" i="12"/>
  <c r="F118" i="12"/>
  <c r="F143" i="12"/>
  <c r="F218" i="12"/>
  <c r="F260" i="12"/>
  <c r="F74" i="12"/>
  <c r="F100" i="12"/>
  <c r="F119" i="12"/>
  <c r="F144" i="12"/>
  <c r="F219" i="12"/>
  <c r="F261" i="12"/>
  <c r="F200" i="12"/>
  <c r="F129" i="12"/>
  <c r="F155" i="12"/>
  <c r="F271" i="12"/>
  <c r="F46" i="12"/>
  <c r="F62" i="12"/>
  <c r="F186" i="12"/>
  <c r="F202" i="12"/>
  <c r="F256" i="12"/>
  <c r="F88" i="12"/>
  <c r="F215" i="12"/>
  <c r="F257" i="12"/>
  <c r="F281" i="12"/>
  <c r="F97" i="12"/>
  <c r="F141" i="12"/>
  <c r="F169" i="12"/>
  <c r="F282" i="12"/>
  <c r="F106" i="12"/>
  <c r="F134" i="12"/>
  <c r="F205" i="12"/>
  <c r="F224" i="12"/>
  <c r="F251" i="12"/>
  <c r="F49" i="12"/>
  <c r="F73" i="12"/>
  <c r="F99" i="12"/>
  <c r="F171" i="12"/>
  <c r="F241" i="12"/>
  <c r="F58" i="12"/>
  <c r="F127" i="12"/>
  <c r="F172" i="12"/>
  <c r="F242" i="12"/>
  <c r="F59" i="12"/>
  <c r="F128" i="12"/>
  <c r="F173" i="12"/>
  <c r="F270" i="12"/>
  <c r="F228" i="12"/>
  <c r="F69" i="12"/>
  <c r="F114" i="12"/>
  <c r="F156" i="12"/>
  <c r="F214" i="12"/>
  <c r="F70" i="12"/>
  <c r="F96" i="12"/>
  <c r="F115" i="12"/>
  <c r="F140" i="12"/>
  <c r="F187" i="12"/>
  <c r="F124" i="12"/>
  <c r="F196" i="12"/>
  <c r="F216" i="12"/>
  <c r="F160" i="12"/>
  <c r="F232" i="12"/>
  <c r="F57" i="12"/>
  <c r="F198" i="12"/>
  <c r="F284" i="12"/>
  <c r="F82" i="12"/>
  <c r="F153" i="12"/>
  <c r="F199" i="12"/>
  <c r="F85" i="12"/>
  <c r="F154" i="12"/>
  <c r="F227" i="12"/>
  <c r="F254" i="12"/>
  <c r="F45" i="12"/>
  <c r="F68" i="12"/>
  <c r="F86" i="12"/>
  <c r="F110" i="12"/>
  <c r="F138" i="12"/>
  <c r="F185" i="12"/>
  <c r="F95" i="12"/>
  <c r="F166" i="12"/>
  <c r="F280" i="12"/>
  <c r="F168" i="12"/>
  <c r="F195" i="12"/>
  <c r="F265" i="12"/>
  <c r="F79" i="12"/>
  <c r="F239" i="12"/>
  <c r="F266" i="12"/>
  <c r="F64" i="12"/>
  <c r="F90" i="12"/>
  <c r="F117" i="12"/>
  <c r="F275" i="12"/>
  <c r="F126" i="12"/>
  <c r="F268" i="12"/>
  <c r="F43" i="12"/>
  <c r="F183" i="12"/>
  <c r="F269" i="12"/>
  <c r="F44" i="12"/>
  <c r="F109" i="12"/>
  <c r="F278" i="12"/>
  <c r="F94" i="12"/>
  <c r="F165" i="12"/>
  <c r="F213" i="12"/>
  <c r="F255" i="12"/>
  <c r="F279" i="12"/>
  <c r="F139" i="12"/>
  <c r="F236" i="12"/>
  <c r="F54" i="12"/>
  <c r="F78" i="12"/>
  <c r="F123" i="12"/>
  <c r="F237" i="12"/>
  <c r="F55" i="12"/>
  <c r="F180" i="12"/>
  <c r="F223" i="12"/>
  <c r="F48" i="12"/>
  <c r="F142" i="12"/>
  <c r="F217" i="12"/>
  <c r="F259" i="12"/>
  <c r="F107" i="12"/>
  <c r="F108" i="12"/>
  <c r="F211" i="12"/>
  <c r="F226" i="12"/>
  <c r="F277" i="12"/>
  <c r="F67" i="12"/>
  <c r="F137" i="12"/>
  <c r="F184" i="12"/>
  <c r="F121" i="12"/>
  <c r="F193" i="12"/>
  <c r="F235" i="12"/>
  <c r="F53" i="12"/>
  <c r="F147" i="12"/>
  <c r="F194" i="12"/>
  <c r="F264" i="12"/>
  <c r="F105" i="12"/>
  <c r="F133" i="12"/>
  <c r="F150" i="12"/>
  <c r="F250" i="12"/>
  <c r="F189" i="12"/>
  <c r="F240" i="12"/>
  <c r="F283" i="12"/>
  <c r="F81" i="12"/>
  <c r="F152" i="12"/>
  <c r="F182" i="12"/>
  <c r="F225" i="12"/>
  <c r="F66" i="12"/>
  <c r="F92" i="12"/>
  <c r="F136" i="12"/>
  <c r="F162" i="12"/>
  <c r="F253" i="12"/>
  <c r="F51" i="12"/>
  <c r="F93" i="12"/>
  <c r="F212" i="12"/>
  <c r="F52" i="12"/>
  <c r="F221" i="12"/>
  <c r="F77" i="12"/>
  <c r="F103" i="12"/>
  <c r="F122" i="12"/>
  <c r="F149" i="12"/>
  <c r="F179" i="12"/>
  <c r="F222" i="12"/>
  <c r="F249" i="12"/>
  <c r="F289" i="12"/>
  <c r="F89" i="12"/>
  <c r="F204" i="12"/>
  <c r="F72" i="12"/>
  <c r="I192" i="5" l="1"/>
  <c r="I193" i="5" s="1"/>
  <c r="O191" i="5"/>
  <c r="D190" i="12"/>
  <c r="E190" i="6"/>
  <c r="I162" i="5"/>
  <c r="O161" i="5"/>
  <c r="D160" i="12"/>
  <c r="E160" i="6"/>
  <c r="I112" i="5"/>
  <c r="O111" i="5"/>
  <c r="E110" i="6"/>
  <c r="D110" i="12"/>
  <c r="AE120" i="8"/>
  <c r="AE123" i="8"/>
  <c r="I20" i="8"/>
  <c r="I194" i="5" l="1"/>
  <c r="O193" i="5"/>
  <c r="D191" i="12"/>
  <c r="E191" i="6"/>
  <c r="I163" i="5"/>
  <c r="O162" i="5"/>
  <c r="D161" i="12"/>
  <c r="E161" i="6"/>
  <c r="I113" i="5"/>
  <c r="O113" i="5" s="1"/>
  <c r="O112" i="5"/>
  <c r="E111" i="6"/>
  <c r="D111" i="12"/>
  <c r="AF123" i="8"/>
  <c r="AF125" i="8" s="1"/>
  <c r="AE118" i="8"/>
  <c r="F26" i="12"/>
  <c r="E25" i="12"/>
  <c r="F25" i="6"/>
  <c r="F25" i="12"/>
  <c r="G25" i="6"/>
  <c r="I195" i="5" l="1"/>
  <c r="O194" i="5"/>
  <c r="D193" i="12"/>
  <c r="E193" i="6"/>
  <c r="I164" i="5"/>
  <c r="O163" i="5"/>
  <c r="E162" i="6"/>
  <c r="D162" i="12"/>
  <c r="E113" i="6"/>
  <c r="D113" i="12"/>
  <c r="D112" i="12"/>
  <c r="E112" i="6"/>
  <c r="N35" i="6"/>
  <c r="N36" i="6"/>
  <c r="F40" i="12"/>
  <c r="N26" i="6"/>
  <c r="N27" i="6"/>
  <c r="N28" i="6"/>
  <c r="N29" i="6"/>
  <c r="N30" i="6"/>
  <c r="N31" i="6"/>
  <c r="N32" i="6"/>
  <c r="N33" i="6"/>
  <c r="N34" i="6"/>
  <c r="N37" i="6"/>
  <c r="N38" i="6"/>
  <c r="N39" i="6"/>
  <c r="N40" i="6"/>
  <c r="N41" i="6"/>
  <c r="F32" i="12"/>
  <c r="F20" i="12"/>
  <c r="F31" i="12"/>
  <c r="F27" i="12"/>
  <c r="F16" i="12"/>
  <c r="F22" i="12"/>
  <c r="F33" i="12"/>
  <c r="F19" i="12"/>
  <c r="F30" i="12"/>
  <c r="F18" i="12"/>
  <c r="F34" i="12"/>
  <c r="F38" i="12"/>
  <c r="F37" i="12"/>
  <c r="F17" i="12"/>
  <c r="F39" i="12"/>
  <c r="F29" i="12"/>
  <c r="F28" i="12"/>
  <c r="F14" i="12"/>
  <c r="I196" i="5" l="1"/>
  <c r="O195" i="5"/>
  <c r="D194" i="12"/>
  <c r="E194" i="6"/>
  <c r="I165" i="5"/>
  <c r="O164" i="5"/>
  <c r="E163" i="6"/>
  <c r="D163" i="12"/>
  <c r="C17" i="10"/>
  <c r="C17" i="9"/>
  <c r="I197" i="5" l="1"/>
  <c r="O196" i="5"/>
  <c r="D195" i="12"/>
  <c r="E195" i="6"/>
  <c r="I166" i="5"/>
  <c r="O165" i="5"/>
  <c r="E164" i="6"/>
  <c r="D164" i="12"/>
  <c r="I23" i="8"/>
  <c r="I198" i="5" l="1"/>
  <c r="I199" i="5" s="1"/>
  <c r="O197" i="5"/>
  <c r="E196" i="6"/>
  <c r="D196" i="12"/>
  <c r="I167" i="5"/>
  <c r="O166" i="5"/>
  <c r="E165" i="6"/>
  <c r="D165" i="12"/>
  <c r="E41" i="12"/>
  <c r="F41" i="6"/>
  <c r="I200" i="5" l="1"/>
  <c r="O199" i="5"/>
  <c r="E197" i="6"/>
  <c r="D197" i="12"/>
  <c r="I168" i="5"/>
  <c r="O167" i="5"/>
  <c r="D166" i="12"/>
  <c r="E166" i="6"/>
  <c r="N61" i="6"/>
  <c r="N42" i="6"/>
  <c r="N44" i="6"/>
  <c r="N51" i="6"/>
  <c r="N59" i="6"/>
  <c r="N43" i="6"/>
  <c r="N45" i="6"/>
  <c r="N52" i="6"/>
  <c r="N60" i="6"/>
  <c r="N46" i="6"/>
  <c r="N53" i="6"/>
  <c r="N62" i="6"/>
  <c r="N58" i="6"/>
  <c r="N54" i="6"/>
  <c r="N63" i="6"/>
  <c r="N47" i="6"/>
  <c r="N55" i="6"/>
  <c r="N50" i="6"/>
  <c r="N48" i="6"/>
  <c r="N56" i="6"/>
  <c r="N49" i="6"/>
  <c r="N57" i="6"/>
  <c r="I201" i="5" l="1"/>
  <c r="O200" i="5"/>
  <c r="E199" i="6"/>
  <c r="D199" i="12"/>
  <c r="I169" i="5"/>
  <c r="O168" i="5"/>
  <c r="E167" i="6"/>
  <c r="D167" i="12"/>
  <c r="C18" i="9"/>
  <c r="C18" i="10"/>
  <c r="I202" i="5" l="1"/>
  <c r="O201" i="5"/>
  <c r="D200" i="12"/>
  <c r="E200" i="6"/>
  <c r="I170" i="5"/>
  <c r="O169" i="5"/>
  <c r="E168" i="6"/>
  <c r="D168" i="12"/>
  <c r="G41" i="6"/>
  <c r="I203" i="5" l="1"/>
  <c r="O202" i="5"/>
  <c r="E201" i="6"/>
  <c r="D201" i="12"/>
  <c r="I171" i="5"/>
  <c r="O170" i="5"/>
  <c r="E169" i="6"/>
  <c r="D169" i="12"/>
  <c r="F64" i="6"/>
  <c r="E64" i="12"/>
  <c r="I204" i="5" l="1"/>
  <c r="O203" i="5"/>
  <c r="E202" i="6"/>
  <c r="D202" i="12"/>
  <c r="I172" i="5"/>
  <c r="O171" i="5"/>
  <c r="E170" i="6"/>
  <c r="D170" i="12"/>
  <c r="N66" i="6"/>
  <c r="N64" i="6"/>
  <c r="N68" i="6"/>
  <c r="N67" i="6"/>
  <c r="N69" i="6"/>
  <c r="N65" i="6"/>
  <c r="I205" i="5" l="1"/>
  <c r="O204" i="5"/>
  <c r="E203" i="6"/>
  <c r="D203" i="12"/>
  <c r="I173" i="5"/>
  <c r="O172" i="5"/>
  <c r="D171" i="12"/>
  <c r="E171" i="6"/>
  <c r="G64" i="6"/>
  <c r="I206" i="5" l="1"/>
  <c r="O205" i="5"/>
  <c r="D204" i="12"/>
  <c r="E204" i="6"/>
  <c r="I174" i="5"/>
  <c r="O173" i="5"/>
  <c r="D172" i="12"/>
  <c r="E172" i="6"/>
  <c r="F42" i="6"/>
  <c r="E42" i="12"/>
  <c r="I207" i="5" l="1"/>
  <c r="O206" i="5"/>
  <c r="D205" i="12"/>
  <c r="E205" i="6"/>
  <c r="I175" i="5"/>
  <c r="O174" i="5"/>
  <c r="D173" i="12"/>
  <c r="E173" i="6"/>
  <c r="G42" i="6"/>
  <c r="I208" i="5" l="1"/>
  <c r="O207" i="5"/>
  <c r="E206" i="6"/>
  <c r="D206" i="12"/>
  <c r="I248" i="5"/>
  <c r="I249" i="5" s="1"/>
  <c r="I176" i="5"/>
  <c r="O176" i="5" s="1"/>
  <c r="O175" i="5"/>
  <c r="E174" i="6"/>
  <c r="D174" i="12"/>
  <c r="I26" i="8"/>
  <c r="I209" i="5" l="1"/>
  <c r="O208" i="5"/>
  <c r="D207" i="12"/>
  <c r="E207" i="6"/>
  <c r="I250" i="5"/>
  <c r="I251" i="5" s="1"/>
  <c r="I252" i="5" s="1"/>
  <c r="I253" i="5" s="1"/>
  <c r="I254" i="5" s="1"/>
  <c r="I255" i="5" s="1"/>
  <c r="I256" i="5" s="1"/>
  <c r="I257" i="5" s="1"/>
  <c r="I258" i="5" s="1"/>
  <c r="I259" i="5" s="1"/>
  <c r="I260" i="5" s="1"/>
  <c r="I261" i="5" s="1"/>
  <c r="I262" i="5" s="1"/>
  <c r="I263" i="5" s="1"/>
  <c r="I264" i="5" s="1"/>
  <c r="I265" i="5" s="1"/>
  <c r="I266" i="5" s="1"/>
  <c r="I267" i="5" s="1"/>
  <c r="I268" i="5" s="1"/>
  <c r="I269" i="5" s="1"/>
  <c r="I270" i="5" s="1"/>
  <c r="I271" i="5" s="1"/>
  <c r="I272" i="5" s="1"/>
  <c r="I273" i="5" s="1"/>
  <c r="I274" i="5" s="1"/>
  <c r="I275" i="5" s="1"/>
  <c r="I276" i="5" s="1"/>
  <c r="I277" i="5" s="1"/>
  <c r="I278" i="5" s="1"/>
  <c r="I279" i="5" s="1"/>
  <c r="I280" i="5" s="1"/>
  <c r="I281" i="5" s="1"/>
  <c r="I282" i="5" s="1"/>
  <c r="I283" i="5" s="1"/>
  <c r="I284" i="5" s="1"/>
  <c r="I285" i="5" s="1"/>
  <c r="I286" i="5" s="1"/>
  <c r="I287" i="5" s="1"/>
  <c r="I288" i="5" s="1"/>
  <c r="I289" i="5" s="1"/>
  <c r="O249" i="5"/>
  <c r="E176" i="6"/>
  <c r="D176" i="12"/>
  <c r="D175" i="12"/>
  <c r="E175" i="6"/>
  <c r="F69" i="6"/>
  <c r="E69" i="12"/>
  <c r="I210" i="5" l="1"/>
  <c r="O209" i="5"/>
  <c r="D208" i="12"/>
  <c r="E208" i="6"/>
  <c r="D249" i="12"/>
  <c r="E249" i="6"/>
  <c r="N73" i="6"/>
  <c r="N78" i="6"/>
  <c r="N72" i="6"/>
  <c r="N75" i="6"/>
  <c r="N71" i="6"/>
  <c r="N79" i="6"/>
  <c r="N77" i="6"/>
  <c r="N80" i="6"/>
  <c r="N76" i="6"/>
  <c r="N74" i="6"/>
  <c r="N70" i="6"/>
  <c r="N81" i="6"/>
  <c r="I211" i="5" l="1"/>
  <c r="O210" i="5"/>
  <c r="D209" i="12"/>
  <c r="E209" i="6"/>
  <c r="C19" i="10"/>
  <c r="C19" i="9"/>
  <c r="I212" i="5" l="1"/>
  <c r="I213" i="5" s="1"/>
  <c r="O211" i="5"/>
  <c r="E210" i="6"/>
  <c r="D210" i="12"/>
  <c r="G69" i="6"/>
  <c r="I214" i="5" l="1"/>
  <c r="O213" i="5"/>
  <c r="D211" i="12"/>
  <c r="E211" i="6"/>
  <c r="I29" i="8"/>
  <c r="I215" i="5" l="1"/>
  <c r="O214" i="5"/>
  <c r="D213" i="12"/>
  <c r="E213" i="6"/>
  <c r="E86" i="12"/>
  <c r="F86" i="6"/>
  <c r="E94" i="12"/>
  <c r="F94" i="6"/>
  <c r="E102" i="12"/>
  <c r="F102" i="6"/>
  <c r="E81" i="12"/>
  <c r="F81" i="6"/>
  <c r="I216" i="5" l="1"/>
  <c r="O215" i="5"/>
  <c r="D214" i="12"/>
  <c r="E214" i="6"/>
  <c r="N176" i="6"/>
  <c r="N130" i="6"/>
  <c r="N163" i="6"/>
  <c r="N174" i="6"/>
  <c r="N175" i="6"/>
  <c r="N158" i="6"/>
  <c r="N167" i="6"/>
  <c r="N148" i="6"/>
  <c r="N87" i="6"/>
  <c r="N111" i="6"/>
  <c r="N112" i="6"/>
  <c r="N113" i="6"/>
  <c r="N83" i="6"/>
  <c r="N84" i="6"/>
  <c r="N109" i="6"/>
  <c r="N160" i="6"/>
  <c r="N185" i="6"/>
  <c r="N166" i="6"/>
  <c r="N183" i="6"/>
  <c r="N141" i="6"/>
  <c r="N101" i="6"/>
  <c r="N139" i="6"/>
  <c r="N177" i="6"/>
  <c r="N192" i="6"/>
  <c r="N187" i="6"/>
  <c r="N93" i="6"/>
  <c r="N181" i="6"/>
  <c r="N116" i="6"/>
  <c r="N126" i="6"/>
  <c r="N127" i="6"/>
  <c r="N152" i="6"/>
  <c r="N95" i="6"/>
  <c r="N94" i="6"/>
  <c r="N149" i="6"/>
  <c r="N133" i="6"/>
  <c r="N168" i="6"/>
  <c r="N172" i="6"/>
  <c r="N179" i="6"/>
  <c r="N85" i="6"/>
  <c r="N140" i="6"/>
  <c r="N120" i="6"/>
  <c r="N162" i="6"/>
  <c r="N151" i="6"/>
  <c r="N119" i="6"/>
  <c r="N115" i="6"/>
  <c r="N171" i="6"/>
  <c r="N90" i="6"/>
  <c r="N137" i="6"/>
  <c r="N100" i="6"/>
  <c r="N134" i="6"/>
  <c r="N103" i="6"/>
  <c r="N164" i="6"/>
  <c r="N188" i="6"/>
  <c r="N86" i="6"/>
  <c r="N143" i="6"/>
  <c r="N191" i="6"/>
  <c r="N142" i="6"/>
  <c r="N97" i="6"/>
  <c r="N91" i="6"/>
  <c r="N122" i="6"/>
  <c r="N161" i="6"/>
  <c r="N89" i="6"/>
  <c r="N189" i="6"/>
  <c r="N110" i="6"/>
  <c r="N138" i="6"/>
  <c r="N180" i="6"/>
  <c r="N92" i="6"/>
  <c r="N173" i="6"/>
  <c r="N146" i="6"/>
  <c r="N178" i="6"/>
  <c r="N129" i="6"/>
  <c r="N123" i="6"/>
  <c r="N106" i="6"/>
  <c r="N155" i="6"/>
  <c r="N186" i="6"/>
  <c r="N147" i="6"/>
  <c r="N114" i="6"/>
  <c r="N124" i="6"/>
  <c r="N128" i="6"/>
  <c r="N190" i="6"/>
  <c r="N145" i="6"/>
  <c r="N96" i="6"/>
  <c r="N144" i="6"/>
  <c r="N104" i="6"/>
  <c r="N169" i="6"/>
  <c r="N135" i="6"/>
  <c r="N170" i="6"/>
  <c r="N99" i="6"/>
  <c r="N182" i="6"/>
  <c r="N153" i="6"/>
  <c r="N98" i="6"/>
  <c r="N165" i="6"/>
  <c r="N105" i="6"/>
  <c r="N132" i="6"/>
  <c r="N156" i="6"/>
  <c r="N157" i="6"/>
  <c r="N118" i="6"/>
  <c r="N136" i="6"/>
  <c r="N102" i="6"/>
  <c r="N159" i="6"/>
  <c r="N184" i="6"/>
  <c r="N131" i="6"/>
  <c r="N154" i="6"/>
  <c r="N108" i="6"/>
  <c r="N121" i="6"/>
  <c r="N107" i="6"/>
  <c r="N82" i="6"/>
  <c r="N88" i="6"/>
  <c r="N125" i="6"/>
  <c r="N150" i="6"/>
  <c r="N117" i="6"/>
  <c r="I217" i="5" l="1"/>
  <c r="O216" i="5"/>
  <c r="D215" i="12"/>
  <c r="E215" i="6"/>
  <c r="C21" i="10"/>
  <c r="C21" i="9"/>
  <c r="C20" i="9"/>
  <c r="C20" i="10"/>
  <c r="I218" i="5" l="1"/>
  <c r="O217" i="5"/>
  <c r="E216" i="6"/>
  <c r="D216" i="12"/>
  <c r="I65" i="8"/>
  <c r="I219" i="5" l="1"/>
  <c r="O218" i="5"/>
  <c r="D217" i="12"/>
  <c r="E217" i="6"/>
  <c r="F131" i="6"/>
  <c r="E131" i="12"/>
  <c r="G81" i="6"/>
  <c r="E114" i="12"/>
  <c r="F114" i="6"/>
  <c r="E104" i="12"/>
  <c r="F104" i="6"/>
  <c r="G86" i="6"/>
  <c r="F124" i="6"/>
  <c r="E124" i="12"/>
  <c r="E134" i="12"/>
  <c r="F134" i="6"/>
  <c r="F119" i="6"/>
  <c r="E119" i="12"/>
  <c r="F109" i="6"/>
  <c r="E109" i="12"/>
  <c r="G94" i="6"/>
  <c r="G102" i="6"/>
  <c r="I220" i="5" l="1"/>
  <c r="O219" i="5"/>
  <c r="D218" i="12"/>
  <c r="E218" i="6"/>
  <c r="G119" i="6"/>
  <c r="G114" i="6"/>
  <c r="G124" i="6"/>
  <c r="G134" i="6"/>
  <c r="G131" i="6"/>
  <c r="G109" i="6"/>
  <c r="I221" i="5" l="1"/>
  <c r="O220" i="5"/>
  <c r="D219" i="12"/>
  <c r="E219" i="6"/>
  <c r="G104" i="6"/>
  <c r="I222" i="5" l="1"/>
  <c r="O221" i="5"/>
  <c r="E220" i="6"/>
  <c r="D220" i="12"/>
  <c r="F136" i="6"/>
  <c r="E136" i="12"/>
  <c r="I223" i="5" l="1"/>
  <c r="O222" i="5"/>
  <c r="E221" i="6"/>
  <c r="D221" i="12"/>
  <c r="G136" i="6"/>
  <c r="I224" i="5" l="1"/>
  <c r="O223" i="5"/>
  <c r="D222" i="12"/>
  <c r="E222" i="6"/>
  <c r="E140" i="12"/>
  <c r="F140" i="6"/>
  <c r="E144" i="12"/>
  <c r="F144" i="6"/>
  <c r="E150" i="12"/>
  <c r="F150" i="6"/>
  <c r="I225" i="5" l="1"/>
  <c r="I226" i="5" s="1"/>
  <c r="O224" i="5"/>
  <c r="D223" i="12"/>
  <c r="E223" i="6"/>
  <c r="G140" i="6"/>
  <c r="G144" i="6"/>
  <c r="G150" i="6"/>
  <c r="I227" i="5" l="1"/>
  <c r="O226" i="5"/>
  <c r="E224" i="6"/>
  <c r="D224" i="12"/>
  <c r="E154" i="12"/>
  <c r="F154" i="6"/>
  <c r="I228" i="5" l="1"/>
  <c r="O227" i="5"/>
  <c r="D226" i="12"/>
  <c r="E226" i="6"/>
  <c r="G154" i="6"/>
  <c r="F156" i="6"/>
  <c r="E156" i="12"/>
  <c r="I229" i="5" l="1"/>
  <c r="O228" i="5"/>
  <c r="E227" i="6"/>
  <c r="D227" i="12"/>
  <c r="G156" i="6"/>
  <c r="I230" i="5" l="1"/>
  <c r="O229" i="5"/>
  <c r="D228" i="12"/>
  <c r="E228" i="6"/>
  <c r="F177" i="6"/>
  <c r="E177" i="12"/>
  <c r="I231" i="5" l="1"/>
  <c r="O230" i="5"/>
  <c r="E229" i="6"/>
  <c r="D229" i="12"/>
  <c r="G177" i="6"/>
  <c r="I232" i="5" l="1"/>
  <c r="O231" i="5"/>
  <c r="D230" i="12"/>
  <c r="E230" i="6"/>
  <c r="E188" i="12"/>
  <c r="F188" i="6"/>
  <c r="I233" i="5" l="1"/>
  <c r="O232" i="5"/>
  <c r="D231" i="12"/>
  <c r="E231" i="6"/>
  <c r="G188" i="6"/>
  <c r="I234" i="5" l="1"/>
  <c r="O233" i="5"/>
  <c r="D232" i="12"/>
  <c r="E232" i="6"/>
  <c r="E192" i="12"/>
  <c r="F192" i="6"/>
  <c r="I235" i="5" l="1"/>
  <c r="O234" i="5"/>
  <c r="E233" i="6"/>
  <c r="D233" i="12"/>
  <c r="N196" i="6"/>
  <c r="N198" i="6"/>
  <c r="N193" i="6"/>
  <c r="N197" i="6"/>
  <c r="N194" i="6"/>
  <c r="N195" i="6"/>
  <c r="I236" i="5" l="1"/>
  <c r="O235" i="5"/>
  <c r="D234" i="12"/>
  <c r="E234" i="6"/>
  <c r="F198" i="6"/>
  <c r="E198" i="12"/>
  <c r="G192" i="6"/>
  <c r="C22" i="9"/>
  <c r="C22" i="10"/>
  <c r="I237" i="5" l="1"/>
  <c r="I238" i="5" s="1"/>
  <c r="O236" i="5"/>
  <c r="D235" i="12"/>
  <c r="E235" i="6"/>
  <c r="N208" i="6"/>
  <c r="N209" i="6"/>
  <c r="N206" i="6"/>
  <c r="N207" i="6"/>
  <c r="N199" i="6"/>
  <c r="N212" i="6"/>
  <c r="N211" i="6"/>
  <c r="N200" i="6"/>
  <c r="N201" i="6"/>
  <c r="N210" i="6"/>
  <c r="N204" i="6"/>
  <c r="N202" i="6"/>
  <c r="N205" i="6"/>
  <c r="N203" i="6"/>
  <c r="E236" i="6" l="1"/>
  <c r="D236" i="12"/>
  <c r="O238" i="5"/>
  <c r="I239" i="5"/>
  <c r="C23" i="10"/>
  <c r="C23" i="9"/>
  <c r="O239" i="5" l="1"/>
  <c r="I240" i="5"/>
  <c r="D238" i="12"/>
  <c r="E238" i="6"/>
  <c r="F237" i="6"/>
  <c r="E237" i="12"/>
  <c r="E248" i="12"/>
  <c r="F248" i="6"/>
  <c r="G198" i="6"/>
  <c r="E225" i="12"/>
  <c r="F225" i="6"/>
  <c r="F212" i="6"/>
  <c r="E212" i="12"/>
  <c r="AF266" i="5"/>
  <c r="AF275" i="5"/>
  <c r="AF225" i="5"/>
  <c r="AF269" i="5"/>
  <c r="AF131" i="5"/>
  <c r="AF237" i="5"/>
  <c r="AF134" i="5"/>
  <c r="AF262" i="5"/>
  <c r="AF177" i="5"/>
  <c r="AF253" i="5"/>
  <c r="AF284" i="5"/>
  <c r="AF276" i="5"/>
  <c r="AF188" i="5"/>
  <c r="AF272" i="5"/>
  <c r="AF287" i="5"/>
  <c r="AF150" i="5"/>
  <c r="AF254" i="5"/>
  <c r="AF259" i="5"/>
  <c r="AF257" i="5"/>
  <c r="AF154" i="5"/>
  <c r="AF124" i="5"/>
  <c r="AF286" i="5"/>
  <c r="AF260" i="5"/>
  <c r="AF288" i="5"/>
  <c r="AF251" i="5"/>
  <c r="AF136" i="5"/>
  <c r="AF281" i="5"/>
  <c r="AF255" i="5"/>
  <c r="AF144" i="5"/>
  <c r="AF268" i="5"/>
  <c r="AF285" i="5"/>
  <c r="AF278" i="5"/>
  <c r="AF156" i="5"/>
  <c r="AF280" i="5"/>
  <c r="AF119" i="5"/>
  <c r="AF271" i="5"/>
  <c r="AF273" i="5"/>
  <c r="AF282" i="5"/>
  <c r="AF250" i="5"/>
  <c r="AF212" i="5"/>
  <c r="AF289" i="5"/>
  <c r="AF267" i="5"/>
  <c r="AF192" i="5"/>
  <c r="AF277" i="5"/>
  <c r="AF274" i="5"/>
  <c r="AF109" i="5"/>
  <c r="AF198" i="5"/>
  <c r="AF256" i="5"/>
  <c r="AF258" i="5"/>
  <c r="AF261" i="5"/>
  <c r="AF265" i="5"/>
  <c r="AF264" i="5"/>
  <c r="AF283" i="5"/>
  <c r="AF252" i="5"/>
  <c r="AF248" i="5"/>
  <c r="AF140" i="5"/>
  <c r="AF114" i="5"/>
  <c r="AF270" i="5"/>
  <c r="AF279" i="5"/>
  <c r="AF263" i="5"/>
  <c r="N238" i="6" l="1"/>
  <c r="N245" i="6"/>
  <c r="N247" i="6"/>
  <c r="N246" i="6"/>
  <c r="O240" i="5"/>
  <c r="I241" i="5"/>
  <c r="D239" i="12"/>
  <c r="E239" i="6"/>
  <c r="AG109" i="5"/>
  <c r="S109" i="5"/>
  <c r="S114" i="5"/>
  <c r="AG114" i="5"/>
  <c r="AG278" i="5"/>
  <c r="S278" i="5"/>
  <c r="G278" i="6" s="1"/>
  <c r="R278" i="5"/>
  <c r="S285" i="5"/>
  <c r="G285" i="6" s="1"/>
  <c r="R285" i="5"/>
  <c r="AG285" i="5"/>
  <c r="AG268" i="5"/>
  <c r="S268" i="5"/>
  <c r="G268" i="6" s="1"/>
  <c r="R268" i="5"/>
  <c r="AG154" i="5"/>
  <c r="S154" i="5"/>
  <c r="S124" i="5"/>
  <c r="AG124" i="5"/>
  <c r="S270" i="5"/>
  <c r="G270" i="6" s="1"/>
  <c r="R270" i="5"/>
  <c r="AG270" i="5"/>
  <c r="AG277" i="5"/>
  <c r="S277" i="5"/>
  <c r="G277" i="6" s="1"/>
  <c r="R277" i="5"/>
  <c r="AG260" i="5"/>
  <c r="S260" i="5"/>
  <c r="G260" i="6" s="1"/>
  <c r="R260" i="5"/>
  <c r="R251" i="5"/>
  <c r="S251" i="5"/>
  <c r="G251" i="6" s="1"/>
  <c r="AG251" i="5"/>
  <c r="S286" i="5"/>
  <c r="G286" i="6" s="1"/>
  <c r="R286" i="5"/>
  <c r="AG286" i="5"/>
  <c r="S140" i="5"/>
  <c r="AG140" i="5"/>
  <c r="AG274" i="5"/>
  <c r="R274" i="5"/>
  <c r="S274" i="5"/>
  <c r="G274" i="6" s="1"/>
  <c r="R289" i="5"/>
  <c r="S289" i="5"/>
  <c r="G289" i="6" s="1"/>
  <c r="AG289" i="5"/>
  <c r="R280" i="5"/>
  <c r="AG280" i="5"/>
  <c r="S280" i="5"/>
  <c r="G280" i="6" s="1"/>
  <c r="S279" i="5"/>
  <c r="G279" i="6" s="1"/>
  <c r="AG279" i="5"/>
  <c r="R279" i="5"/>
  <c r="AG262" i="5"/>
  <c r="S262" i="5"/>
  <c r="G262" i="6" s="1"/>
  <c r="R262" i="5"/>
  <c r="R269" i="5"/>
  <c r="S269" i="5"/>
  <c r="G269" i="6" s="1"/>
  <c r="AG269" i="5"/>
  <c r="R252" i="5"/>
  <c r="S252" i="5"/>
  <c r="G252" i="6" s="1"/>
  <c r="AG252" i="5"/>
  <c r="R276" i="5"/>
  <c r="AG276" i="5"/>
  <c r="S276" i="5"/>
  <c r="G276" i="6" s="1"/>
  <c r="S282" i="5"/>
  <c r="G282" i="6" s="1"/>
  <c r="R282" i="5"/>
  <c r="AG282" i="5"/>
  <c r="AG283" i="5"/>
  <c r="R283" i="5"/>
  <c r="S283" i="5"/>
  <c r="G283" i="6" s="1"/>
  <c r="R266" i="5"/>
  <c r="AG266" i="5"/>
  <c r="S266" i="5"/>
  <c r="G266" i="6" s="1"/>
  <c r="R281" i="5"/>
  <c r="AG281" i="5"/>
  <c r="S281" i="5"/>
  <c r="G281" i="6" s="1"/>
  <c r="S272" i="5"/>
  <c r="G272" i="6" s="1"/>
  <c r="R272" i="5"/>
  <c r="AG272" i="5"/>
  <c r="R271" i="5"/>
  <c r="S271" i="5"/>
  <c r="G271" i="6" s="1"/>
  <c r="AG271" i="5"/>
  <c r="S254" i="5"/>
  <c r="G254" i="6" s="1"/>
  <c r="R254" i="5"/>
  <c r="AG254" i="5"/>
  <c r="R261" i="5"/>
  <c r="S261" i="5"/>
  <c r="G261" i="6" s="1"/>
  <c r="AG261" i="5"/>
  <c r="AG225" i="5"/>
  <c r="S225" i="5"/>
  <c r="S237" i="5"/>
  <c r="AG237" i="5"/>
  <c r="AG287" i="5"/>
  <c r="S287" i="5"/>
  <c r="G287" i="6" s="1"/>
  <c r="R287" i="5"/>
  <c r="AG275" i="5"/>
  <c r="S275" i="5"/>
  <c r="G275" i="6" s="1"/>
  <c r="R275" i="5"/>
  <c r="AG258" i="5"/>
  <c r="S258" i="5"/>
  <c r="G258" i="6" s="1"/>
  <c r="R258" i="5"/>
  <c r="AG273" i="5"/>
  <c r="S273" i="5"/>
  <c r="G273" i="6" s="1"/>
  <c r="R273" i="5"/>
  <c r="R264" i="5"/>
  <c r="S264" i="5"/>
  <c r="G264" i="6" s="1"/>
  <c r="AG264" i="5"/>
  <c r="S263" i="5"/>
  <c r="G263" i="6" s="1"/>
  <c r="AG263" i="5"/>
  <c r="R263" i="5"/>
  <c r="S212" i="5"/>
  <c r="AG212" i="5"/>
  <c r="S253" i="5"/>
  <c r="G253" i="6" s="1"/>
  <c r="R253" i="5"/>
  <c r="AG253" i="5"/>
  <c r="AG198" i="5"/>
  <c r="S198" i="5"/>
  <c r="AG136" i="5"/>
  <c r="S136" i="5"/>
  <c r="AG288" i="5"/>
  <c r="S288" i="5"/>
  <c r="G288" i="6" s="1"/>
  <c r="R288" i="5"/>
  <c r="R267" i="5"/>
  <c r="AG267" i="5"/>
  <c r="S267" i="5"/>
  <c r="G267" i="6" s="1"/>
  <c r="R250" i="5"/>
  <c r="S250" i="5"/>
  <c r="G250" i="6" s="1"/>
  <c r="AG250" i="5"/>
  <c r="S265" i="5"/>
  <c r="G265" i="6" s="1"/>
  <c r="R265" i="5"/>
  <c r="AG265" i="5"/>
  <c r="S256" i="5"/>
  <c r="G256" i="6" s="1"/>
  <c r="R256" i="5"/>
  <c r="AG256" i="5"/>
  <c r="S255" i="5"/>
  <c r="G255" i="6" s="1"/>
  <c r="R255" i="5"/>
  <c r="AG255" i="5"/>
  <c r="AG192" i="5"/>
  <c r="S192" i="5"/>
  <c r="AG119" i="5"/>
  <c r="S119" i="5"/>
  <c r="S150" i="5"/>
  <c r="AG150" i="5"/>
  <c r="AG156" i="5"/>
  <c r="S156" i="5"/>
  <c r="S131" i="5"/>
  <c r="AG131" i="5"/>
  <c r="S259" i="5"/>
  <c r="G259" i="6" s="1"/>
  <c r="R259" i="5"/>
  <c r="AG259" i="5"/>
  <c r="AG188" i="5"/>
  <c r="S188" i="5"/>
  <c r="S257" i="5"/>
  <c r="G257" i="6" s="1"/>
  <c r="AG257" i="5"/>
  <c r="R257" i="5"/>
  <c r="AG248" i="5"/>
  <c r="S248" i="5"/>
  <c r="AG177" i="5"/>
  <c r="S177" i="5"/>
  <c r="S144" i="5"/>
  <c r="AG144" i="5"/>
  <c r="R284" i="5"/>
  <c r="AG284" i="5"/>
  <c r="S284" i="5"/>
  <c r="G284" i="6" s="1"/>
  <c r="S134" i="5"/>
  <c r="AG134" i="5"/>
  <c r="N254" i="6"/>
  <c r="N277" i="6"/>
  <c r="N274" i="6"/>
  <c r="N218" i="6"/>
  <c r="N257" i="6"/>
  <c r="N264" i="6"/>
  <c r="N249" i="6"/>
  <c r="N288" i="6"/>
  <c r="N262" i="6"/>
  <c r="N231" i="6"/>
  <c r="N228" i="6"/>
  <c r="N230" i="6"/>
  <c r="N217" i="6"/>
  <c r="N240" i="6"/>
  <c r="N232" i="6"/>
  <c r="N235" i="6"/>
  <c r="N252" i="6"/>
  <c r="N214" i="6"/>
  <c r="N261" i="6"/>
  <c r="N213" i="6"/>
  <c r="N255" i="6"/>
  <c r="N216" i="6"/>
  <c r="N268" i="6"/>
  <c r="N256" i="6"/>
  <c r="N226" i="6"/>
  <c r="N243" i="6"/>
  <c r="N289" i="6"/>
  <c r="N225" i="6"/>
  <c r="N269" i="6"/>
  <c r="N278" i="6"/>
  <c r="N273" i="6"/>
  <c r="N237" i="6"/>
  <c r="N236" i="6"/>
  <c r="N272" i="6"/>
  <c r="N220" i="6"/>
  <c r="N250" i="6"/>
  <c r="N223" i="6"/>
  <c r="N266" i="6"/>
  <c r="N258" i="6"/>
  <c r="N265" i="6"/>
  <c r="N253" i="6"/>
  <c r="N263" i="6"/>
  <c r="N229" i="6"/>
  <c r="N275" i="6"/>
  <c r="N283" i="6"/>
  <c r="N233" i="6"/>
  <c r="N244" i="6"/>
  <c r="N234" i="6"/>
  <c r="N276" i="6"/>
  <c r="N280" i="6"/>
  <c r="N242" i="6"/>
  <c r="N271" i="6"/>
  <c r="N227" i="6"/>
  <c r="N284" i="6"/>
  <c r="N270" i="6"/>
  <c r="N241" i="6"/>
  <c r="N282" i="6"/>
  <c r="N285" i="6"/>
  <c r="N248" i="6"/>
  <c r="N219" i="6"/>
  <c r="N221" i="6"/>
  <c r="N287" i="6"/>
  <c r="N286" i="6"/>
  <c r="N239" i="6"/>
  <c r="N222" i="6"/>
  <c r="N281" i="6"/>
  <c r="N259" i="6"/>
  <c r="N279" i="6"/>
  <c r="N215" i="6"/>
  <c r="N224" i="6"/>
  <c r="N267" i="6"/>
  <c r="N251" i="6"/>
  <c r="N260" i="6"/>
  <c r="C28" i="9" l="1"/>
  <c r="C28" i="10"/>
  <c r="I242" i="5"/>
  <c r="O241" i="5"/>
  <c r="D240" i="12"/>
  <c r="E240" i="6"/>
  <c r="AC124" i="5"/>
  <c r="AC156" i="5"/>
  <c r="AC150" i="5"/>
  <c r="AC188" i="5"/>
  <c r="AC109" i="5"/>
  <c r="AC192" i="5"/>
  <c r="E276" i="12"/>
  <c r="F276" i="6"/>
  <c r="AC276" i="5"/>
  <c r="AC134" i="5"/>
  <c r="G248" i="6"/>
  <c r="AC248" i="5"/>
  <c r="F259" i="6"/>
  <c r="E259" i="12"/>
  <c r="AC259" i="5"/>
  <c r="AC119" i="5"/>
  <c r="E256" i="12"/>
  <c r="F256" i="6"/>
  <c r="AC256" i="5"/>
  <c r="AC198" i="5"/>
  <c r="AC258" i="5"/>
  <c r="E258" i="12"/>
  <c r="F258" i="6"/>
  <c r="F283" i="6"/>
  <c r="AC283" i="5"/>
  <c r="E283" i="12"/>
  <c r="F286" i="6"/>
  <c r="E286" i="12"/>
  <c r="AC286" i="5"/>
  <c r="E277" i="12"/>
  <c r="F277" i="6"/>
  <c r="AC277" i="5"/>
  <c r="AC154" i="5"/>
  <c r="F278" i="6"/>
  <c r="E278" i="12"/>
  <c r="AC278" i="5"/>
  <c r="AC250" i="5"/>
  <c r="F250" i="6"/>
  <c r="E250" i="12"/>
  <c r="F263" i="6"/>
  <c r="AC263" i="5"/>
  <c r="E263" i="12"/>
  <c r="E272" i="12"/>
  <c r="F272" i="6"/>
  <c r="AC272" i="5"/>
  <c r="E254" i="12"/>
  <c r="F254" i="6"/>
  <c r="AC254" i="5"/>
  <c r="AC279" i="5"/>
  <c r="F279" i="6"/>
  <c r="E279" i="12"/>
  <c r="F289" i="6"/>
  <c r="E289" i="12"/>
  <c r="AC289" i="5"/>
  <c r="E257" i="12"/>
  <c r="F257" i="6"/>
  <c r="AC257" i="5"/>
  <c r="F267" i="6"/>
  <c r="AC267" i="5"/>
  <c r="E267" i="12"/>
  <c r="G237" i="6"/>
  <c r="AC237" i="5"/>
  <c r="F252" i="6"/>
  <c r="AC252" i="5"/>
  <c r="E252" i="12"/>
  <c r="AC268" i="5"/>
  <c r="F268" i="6"/>
  <c r="E268" i="12"/>
  <c r="F284" i="6"/>
  <c r="AC284" i="5"/>
  <c r="E284" i="12"/>
  <c r="AC131" i="5"/>
  <c r="E265" i="12"/>
  <c r="F265" i="6"/>
  <c r="AC265" i="5"/>
  <c r="AC288" i="5"/>
  <c r="E288" i="12"/>
  <c r="F288" i="6"/>
  <c r="F253" i="6"/>
  <c r="E253" i="12"/>
  <c r="AC253" i="5"/>
  <c r="E275" i="12"/>
  <c r="F275" i="6"/>
  <c r="AC275" i="5"/>
  <c r="G225" i="6"/>
  <c r="AC225" i="5"/>
  <c r="E281" i="12"/>
  <c r="AC281" i="5"/>
  <c r="F281" i="6"/>
  <c r="E282" i="12"/>
  <c r="F282" i="6"/>
  <c r="AC282" i="5"/>
  <c r="F274" i="6"/>
  <c r="E274" i="12"/>
  <c r="AC274" i="5"/>
  <c r="E264" i="12"/>
  <c r="F264" i="6"/>
  <c r="AC264" i="5"/>
  <c r="AC251" i="5"/>
  <c r="E251" i="12"/>
  <c r="F251" i="6"/>
  <c r="F270" i="6"/>
  <c r="AC270" i="5"/>
  <c r="E270" i="12"/>
  <c r="AC114" i="5"/>
  <c r="AC261" i="5"/>
  <c r="F261" i="6"/>
  <c r="E261" i="12"/>
  <c r="AC144" i="5"/>
  <c r="E255" i="12"/>
  <c r="AC255" i="5"/>
  <c r="F255" i="6"/>
  <c r="F273" i="6"/>
  <c r="AC273" i="5"/>
  <c r="E273" i="12"/>
  <c r="E271" i="12"/>
  <c r="AC271" i="5"/>
  <c r="F271" i="6"/>
  <c r="F269" i="6"/>
  <c r="E269" i="12"/>
  <c r="AC269" i="5"/>
  <c r="E260" i="12"/>
  <c r="F260" i="6"/>
  <c r="AC260" i="5"/>
  <c r="AC177" i="5"/>
  <c r="AC136" i="5"/>
  <c r="G212" i="6"/>
  <c r="AC212" i="5"/>
  <c r="F287" i="6"/>
  <c r="AC287" i="5"/>
  <c r="E287" i="12"/>
  <c r="F266" i="6"/>
  <c r="AC266" i="5"/>
  <c r="E266" i="12"/>
  <c r="AC262" i="5"/>
  <c r="F262" i="6"/>
  <c r="E262" i="12"/>
  <c r="F280" i="6"/>
  <c r="AC280" i="5"/>
  <c r="E280" i="12"/>
  <c r="AC140" i="5"/>
  <c r="E285" i="12"/>
  <c r="F285" i="6"/>
  <c r="AC285" i="5"/>
  <c r="C27" i="10"/>
  <c r="C27" i="9"/>
  <c r="C26" i="10"/>
  <c r="C26" i="9"/>
  <c r="C25" i="9"/>
  <c r="C25" i="10"/>
  <c r="C24" i="9"/>
  <c r="C24" i="10"/>
  <c r="D241" i="12" l="1"/>
  <c r="E241" i="6"/>
  <c r="O242" i="5"/>
  <c r="I243" i="5"/>
  <c r="O243" i="5" l="1"/>
  <c r="I244" i="5"/>
  <c r="D242" i="12"/>
  <c r="E242" i="6"/>
  <c r="O244" i="5" l="1"/>
  <c r="D244" i="12" s="1"/>
  <c r="I245" i="5"/>
  <c r="I246" i="5" s="1"/>
  <c r="E243" i="6"/>
  <c r="D243" i="12"/>
  <c r="I247" i="5" l="1"/>
  <c r="O246" i="5"/>
  <c r="E244" i="6"/>
  <c r="O247" i="5" l="1"/>
  <c r="D246" i="12"/>
  <c r="E246" i="6"/>
  <c r="E247" i="6" l="1"/>
  <c r="D247" i="12"/>
  <c r="AF94" i="5"/>
  <c r="AF62" i="5"/>
  <c r="AF39" i="5"/>
  <c r="AF222" i="5"/>
  <c r="AF223" i="5"/>
  <c r="AF187" i="5"/>
  <c r="AF244" i="5"/>
  <c r="AF190" i="5"/>
  <c r="AF182" i="5"/>
  <c r="AF148" i="5"/>
  <c r="AF236" i="5"/>
  <c r="AF185" i="5"/>
  <c r="AF162" i="5"/>
  <c r="AF128" i="5"/>
  <c r="AF205" i="5"/>
  <c r="AF143" i="5"/>
  <c r="AF146" i="5"/>
  <c r="AF235" i="5"/>
  <c r="AF126" i="5"/>
  <c r="AF73" i="5"/>
  <c r="AF21" i="5"/>
  <c r="AF87" i="5"/>
  <c r="AF65" i="5"/>
  <c r="AF31" i="5"/>
  <c r="AF104" i="5"/>
  <c r="AF72" i="5"/>
  <c r="AF56" i="5"/>
  <c r="AF47" i="5"/>
  <c r="AF34" i="5"/>
  <c r="AF132" i="5"/>
  <c r="AF152" i="5"/>
  <c r="AF166" i="5"/>
  <c r="AF67" i="5"/>
  <c r="AF74" i="5"/>
  <c r="AF77" i="5"/>
  <c r="AF174" i="5"/>
  <c r="AF215" i="5"/>
  <c r="AF242" i="5"/>
  <c r="AF130" i="5"/>
  <c r="AF125" i="5"/>
  <c r="AF194" i="5"/>
  <c r="AF108" i="5"/>
  <c r="AF181" i="5"/>
  <c r="AF107" i="5"/>
  <c r="AF232" i="5"/>
  <c r="AF121" i="5"/>
  <c r="AF111" i="5"/>
  <c r="AF149" i="5"/>
  <c r="AF229" i="5"/>
  <c r="AF191" i="5"/>
  <c r="AF142" i="5"/>
  <c r="AF76" i="5"/>
  <c r="AF30" i="5"/>
  <c r="AF78" i="5"/>
  <c r="AF105" i="5"/>
  <c r="AF52" i="5"/>
  <c r="AF22" i="5"/>
  <c r="AF97" i="5"/>
  <c r="AF53" i="5"/>
  <c r="AF59" i="5"/>
  <c r="AF100" i="5"/>
  <c r="AF217" i="5"/>
  <c r="AF208" i="5"/>
  <c r="AF98" i="5"/>
  <c r="AF16" i="5"/>
  <c r="AF80" i="5"/>
  <c r="AF63" i="5"/>
  <c r="AF153" i="5"/>
  <c r="AF176" i="5"/>
  <c r="AF171" i="5"/>
  <c r="AF173" i="5"/>
  <c r="AF113" i="5"/>
  <c r="AF117" i="5"/>
  <c r="AF239" i="5"/>
  <c r="AF213" i="5"/>
  <c r="AF230" i="5"/>
  <c r="AF170" i="5"/>
  <c r="AF210" i="5"/>
  <c r="AF120" i="5"/>
  <c r="AF151" i="5"/>
  <c r="AF193" i="5"/>
  <c r="AF137" i="5"/>
  <c r="AF14" i="5"/>
  <c r="AF102" i="5"/>
  <c r="AF45" i="5"/>
  <c r="AF95" i="5"/>
  <c r="AF68" i="5"/>
  <c r="AF44" i="5"/>
  <c r="AF33" i="5"/>
  <c r="AF92" i="5"/>
  <c r="AF58" i="5"/>
  <c r="AF96" i="5"/>
  <c r="AF89" i="5"/>
  <c r="AF184" i="5"/>
  <c r="AF189" i="5"/>
  <c r="AF163" i="5"/>
  <c r="AF197" i="5"/>
  <c r="AF19" i="5"/>
  <c r="AF18" i="5"/>
  <c r="AF17" i="5"/>
  <c r="AF101" i="5"/>
  <c r="AF161" i="5"/>
  <c r="AF196" i="5"/>
  <c r="AF216" i="5"/>
  <c r="AF138" i="5"/>
  <c r="AF157" i="5"/>
  <c r="AF201" i="5"/>
  <c r="AF165" i="5"/>
  <c r="AF186" i="5"/>
  <c r="AF110" i="5"/>
  <c r="AF159" i="5"/>
  <c r="AF206" i="5"/>
  <c r="AF246" i="5"/>
  <c r="AF226" i="5"/>
  <c r="AF233" i="5"/>
  <c r="AF224" i="5"/>
  <c r="AF25" i="5"/>
  <c r="AF83" i="5"/>
  <c r="AF40" i="5"/>
  <c r="AF20" i="5"/>
  <c r="AF88" i="5"/>
  <c r="AF60" i="5"/>
  <c r="AF35" i="5"/>
  <c r="AF103" i="5"/>
  <c r="AF75" i="5"/>
  <c r="AF71" i="5"/>
  <c r="AF51" i="5"/>
  <c r="AF48" i="5"/>
  <c r="AF36" i="5"/>
  <c r="AF23" i="5"/>
  <c r="AF82" i="5"/>
  <c r="AF106" i="5"/>
  <c r="AF249" i="5"/>
  <c r="AF183" i="5"/>
  <c r="AF243" i="5"/>
  <c r="AF209" i="5"/>
  <c r="AF200" i="5"/>
  <c r="AF231" i="5"/>
  <c r="AF116" i="5"/>
  <c r="AF141" i="5"/>
  <c r="AF195" i="5"/>
  <c r="AF139" i="5"/>
  <c r="AF214" i="5"/>
  <c r="AF178" i="5"/>
  <c r="AF164" i="5"/>
  <c r="AF169" i="5"/>
  <c r="AF32" i="5"/>
  <c r="AF91" i="5"/>
  <c r="AF46" i="5"/>
  <c r="AF26" i="5"/>
  <c r="AF79" i="5"/>
  <c r="AF70" i="5"/>
  <c r="AF57" i="5"/>
  <c r="AF203" i="5"/>
  <c r="AF199" i="5"/>
  <c r="AF81" i="5"/>
  <c r="AF41" i="5"/>
  <c r="AF28" i="5"/>
  <c r="AF85" i="5"/>
  <c r="AF123" i="5"/>
  <c r="AF175" i="5"/>
  <c r="AF167" i="5"/>
  <c r="AF204" i="5"/>
  <c r="AF234" i="5"/>
  <c r="AF211" i="5"/>
  <c r="AF228" i="5"/>
  <c r="AF122" i="5"/>
  <c r="AF129" i="5"/>
  <c r="AF145" i="5"/>
  <c r="AF155" i="5"/>
  <c r="AF172" i="5"/>
  <c r="AF112" i="5"/>
  <c r="AF180" i="5"/>
  <c r="AF179" i="5"/>
  <c r="AF42" i="5"/>
  <c r="AF99" i="5"/>
  <c r="AF66" i="5"/>
  <c r="AF37" i="5"/>
  <c r="AF90" i="5"/>
  <c r="AF61" i="5"/>
  <c r="AF38" i="5"/>
  <c r="AF27" i="5"/>
  <c r="AF84" i="5"/>
  <c r="AF55" i="5"/>
  <c r="AF207" i="5"/>
  <c r="AF247" i="5"/>
  <c r="AF29" i="5"/>
  <c r="AF49" i="5"/>
  <c r="AF43" i="5"/>
  <c r="AF93" i="5"/>
  <c r="AF218" i="5"/>
  <c r="AF240" i="5"/>
  <c r="AF241" i="5"/>
  <c r="AF118" i="5"/>
  <c r="AF127" i="5"/>
  <c r="AF135" i="5"/>
  <c r="AF115" i="5"/>
  <c r="AF221" i="5"/>
  <c r="AF158" i="5"/>
  <c r="AF168" i="5"/>
  <c r="AF147" i="5"/>
  <c r="AF238" i="5"/>
  <c r="AF219" i="5"/>
  <c r="AF160" i="5"/>
  <c r="AF133" i="5"/>
  <c r="AF50" i="5"/>
  <c r="AF86" i="5"/>
  <c r="AF69" i="5"/>
  <c r="AF24" i="5"/>
  <c r="AF202" i="5"/>
  <c r="AF227" i="5"/>
  <c r="AF220" i="5"/>
  <c r="AF54" i="5"/>
  <c r="AF64" i="5"/>
  <c r="S64" i="5" l="1"/>
  <c r="AC64" i="5" s="1"/>
  <c r="AG64" i="5"/>
  <c r="R54" i="5"/>
  <c r="S54" i="5"/>
  <c r="G54" i="6" s="1"/>
  <c r="AG54" i="5"/>
  <c r="S220" i="5"/>
  <c r="G220" i="6" s="1"/>
  <c r="R220" i="5"/>
  <c r="AG220" i="5"/>
  <c r="R227" i="5"/>
  <c r="S227" i="5"/>
  <c r="G227" i="6" s="1"/>
  <c r="AG227" i="5"/>
  <c r="S202" i="5"/>
  <c r="G202" i="6" s="1"/>
  <c r="R202" i="5"/>
  <c r="AG202" i="5"/>
  <c r="R24" i="5"/>
  <c r="S24" i="5"/>
  <c r="G24" i="6" s="1"/>
  <c r="AG24" i="5"/>
  <c r="S69" i="5"/>
  <c r="AC69" i="5" s="1"/>
  <c r="AG69" i="5"/>
  <c r="S86" i="5"/>
  <c r="AG86" i="5"/>
  <c r="R50" i="5"/>
  <c r="S50" i="5"/>
  <c r="G50" i="6" s="1"/>
  <c r="AG50" i="5"/>
  <c r="R133" i="5"/>
  <c r="S133" i="5"/>
  <c r="G133" i="6" s="1"/>
  <c r="AG133" i="5"/>
  <c r="R160" i="5"/>
  <c r="S160" i="5"/>
  <c r="G160" i="6" s="1"/>
  <c r="AG160" i="5"/>
  <c r="R219" i="5"/>
  <c r="S219" i="5"/>
  <c r="G219" i="6" s="1"/>
  <c r="AG219" i="5"/>
  <c r="R238" i="5"/>
  <c r="S238" i="5"/>
  <c r="G238" i="6" s="1"/>
  <c r="AG238" i="5"/>
  <c r="R147" i="5"/>
  <c r="S147" i="5"/>
  <c r="G147" i="6" s="1"/>
  <c r="AG147" i="5"/>
  <c r="R168" i="5"/>
  <c r="S168" i="5"/>
  <c r="G168" i="6" s="1"/>
  <c r="AG168" i="5"/>
  <c r="S158" i="5"/>
  <c r="G158" i="6" s="1"/>
  <c r="AG158" i="5"/>
  <c r="R158" i="5"/>
  <c r="R221" i="5"/>
  <c r="S221" i="5"/>
  <c r="G221" i="6" s="1"/>
  <c r="AG221" i="5"/>
  <c r="S115" i="5"/>
  <c r="G115" i="6" s="1"/>
  <c r="R115" i="5"/>
  <c r="AG115" i="5"/>
  <c r="S135" i="5"/>
  <c r="G135" i="6" s="1"/>
  <c r="R135" i="5"/>
  <c r="AG135" i="5"/>
  <c r="R127" i="5"/>
  <c r="S127" i="5"/>
  <c r="G127" i="6" s="1"/>
  <c r="AG127" i="5"/>
  <c r="R118" i="5"/>
  <c r="S118" i="5"/>
  <c r="G118" i="6" s="1"/>
  <c r="AG118" i="5"/>
  <c r="R241" i="5"/>
  <c r="AG241" i="5"/>
  <c r="S241" i="5"/>
  <c r="G241" i="6" s="1"/>
  <c r="AG240" i="5"/>
  <c r="R240" i="5"/>
  <c r="S240" i="5"/>
  <c r="G240" i="6" s="1"/>
  <c r="S218" i="5"/>
  <c r="G218" i="6" s="1"/>
  <c r="R218" i="5"/>
  <c r="AG218" i="5"/>
  <c r="R93" i="5"/>
  <c r="S93" i="5"/>
  <c r="G93" i="6" s="1"/>
  <c r="AG93" i="5"/>
  <c r="S43" i="5"/>
  <c r="G43" i="6" s="1"/>
  <c r="R43" i="5"/>
  <c r="AG43" i="5"/>
  <c r="S49" i="5"/>
  <c r="G49" i="6" s="1"/>
  <c r="R49" i="5"/>
  <c r="AG49" i="5"/>
  <c r="AG29" i="5"/>
  <c r="R29" i="5"/>
  <c r="S29" i="5"/>
  <c r="G29" i="6" s="1"/>
  <c r="R247" i="5"/>
  <c r="S247" i="5"/>
  <c r="G247" i="6" s="1"/>
  <c r="AG247" i="5"/>
  <c r="R207" i="5"/>
  <c r="S207" i="5"/>
  <c r="G207" i="6" s="1"/>
  <c r="AG207" i="5"/>
  <c r="S55" i="5"/>
  <c r="G55" i="6" s="1"/>
  <c r="R55" i="5"/>
  <c r="AG55" i="5"/>
  <c r="R84" i="5"/>
  <c r="S84" i="5"/>
  <c r="G84" i="6" s="1"/>
  <c r="AG84" i="5"/>
  <c r="R27" i="5"/>
  <c r="S27" i="5"/>
  <c r="G27" i="6" s="1"/>
  <c r="AG27" i="5"/>
  <c r="S38" i="5"/>
  <c r="G38" i="6" s="1"/>
  <c r="R38" i="5"/>
  <c r="AG38" i="5"/>
  <c r="S61" i="5"/>
  <c r="G61" i="6" s="1"/>
  <c r="R61" i="5"/>
  <c r="AG61" i="5"/>
  <c r="R90" i="5"/>
  <c r="S90" i="5"/>
  <c r="G90" i="6" s="1"/>
  <c r="AG90" i="5"/>
  <c r="S37" i="5"/>
  <c r="G37" i="6" s="1"/>
  <c r="R37" i="5"/>
  <c r="AG37" i="5"/>
  <c r="AG66" i="5"/>
  <c r="S66" i="5"/>
  <c r="G66" i="6" s="1"/>
  <c r="R66" i="5"/>
  <c r="S99" i="5"/>
  <c r="G99" i="6" s="1"/>
  <c r="R99" i="5"/>
  <c r="AG99" i="5"/>
  <c r="AG42" i="5"/>
  <c r="S42" i="5"/>
  <c r="S179" i="5"/>
  <c r="G179" i="6" s="1"/>
  <c r="R179" i="5"/>
  <c r="AG179" i="5"/>
  <c r="R180" i="5"/>
  <c r="S180" i="5"/>
  <c r="G180" i="6" s="1"/>
  <c r="AG180" i="5"/>
  <c r="S112" i="5"/>
  <c r="G112" i="6" s="1"/>
  <c r="R112" i="5"/>
  <c r="AG112" i="5"/>
  <c r="S172" i="5"/>
  <c r="G172" i="6" s="1"/>
  <c r="R172" i="5"/>
  <c r="AG172" i="5"/>
  <c r="S155" i="5"/>
  <c r="G155" i="6" s="1"/>
  <c r="R155" i="5"/>
  <c r="AG155" i="5"/>
  <c r="S145" i="5"/>
  <c r="G145" i="6" s="1"/>
  <c r="AG145" i="5"/>
  <c r="R145" i="5"/>
  <c r="R129" i="5"/>
  <c r="S129" i="5"/>
  <c r="G129" i="6" s="1"/>
  <c r="AG129" i="5"/>
  <c r="R122" i="5"/>
  <c r="S122" i="5"/>
  <c r="G122" i="6" s="1"/>
  <c r="AG122" i="5"/>
  <c r="R228" i="5"/>
  <c r="S228" i="5"/>
  <c r="G228" i="6" s="1"/>
  <c r="AG228" i="5"/>
  <c r="R211" i="5"/>
  <c r="S211" i="5"/>
  <c r="G211" i="6" s="1"/>
  <c r="AG211" i="5"/>
  <c r="S234" i="5"/>
  <c r="G234" i="6" s="1"/>
  <c r="R234" i="5"/>
  <c r="AG234" i="5"/>
  <c r="R204" i="5"/>
  <c r="S204" i="5"/>
  <c r="G204" i="6" s="1"/>
  <c r="AG204" i="5"/>
  <c r="R167" i="5"/>
  <c r="AG167" i="5"/>
  <c r="S167" i="5"/>
  <c r="G167" i="6" s="1"/>
  <c r="R175" i="5"/>
  <c r="S175" i="5"/>
  <c r="G175" i="6" s="1"/>
  <c r="AG175" i="5"/>
  <c r="R123" i="5"/>
  <c r="S123" i="5"/>
  <c r="G123" i="6" s="1"/>
  <c r="AG123" i="5"/>
  <c r="R85" i="5"/>
  <c r="S85" i="5"/>
  <c r="G85" i="6" s="1"/>
  <c r="AG85" i="5"/>
  <c r="AG28" i="5"/>
  <c r="R28" i="5"/>
  <c r="S28" i="5"/>
  <c r="G28" i="6" s="1"/>
  <c r="S41" i="5"/>
  <c r="AG41" i="5"/>
  <c r="AG81" i="5"/>
  <c r="S81" i="5"/>
  <c r="S199" i="5"/>
  <c r="G199" i="6" s="1"/>
  <c r="R199" i="5"/>
  <c r="AG199" i="5"/>
  <c r="R203" i="5"/>
  <c r="S203" i="5"/>
  <c r="G203" i="6" s="1"/>
  <c r="AG203" i="5"/>
  <c r="S57" i="5"/>
  <c r="G57" i="6" s="1"/>
  <c r="R57" i="5"/>
  <c r="AG57" i="5"/>
  <c r="R70" i="5"/>
  <c r="S70" i="5"/>
  <c r="G70" i="6" s="1"/>
  <c r="AG70" i="5"/>
  <c r="S79" i="5"/>
  <c r="G79" i="6" s="1"/>
  <c r="R79" i="5"/>
  <c r="AG79" i="5"/>
  <c r="S26" i="5"/>
  <c r="G26" i="6" s="1"/>
  <c r="R26" i="5"/>
  <c r="AG26" i="5"/>
  <c r="R46" i="5"/>
  <c r="S46" i="5"/>
  <c r="G46" i="6" s="1"/>
  <c r="AG46" i="5"/>
  <c r="S91" i="5"/>
  <c r="G91" i="6" s="1"/>
  <c r="R91" i="5"/>
  <c r="AG91" i="5"/>
  <c r="R32" i="5"/>
  <c r="S32" i="5"/>
  <c r="G32" i="6" s="1"/>
  <c r="AG32" i="5"/>
  <c r="AG169" i="5"/>
  <c r="R169" i="5"/>
  <c r="S169" i="5"/>
  <c r="G169" i="6" s="1"/>
  <c r="S164" i="5"/>
  <c r="G164" i="6" s="1"/>
  <c r="R164" i="5"/>
  <c r="AG164" i="5"/>
  <c r="S178" i="5"/>
  <c r="G178" i="6" s="1"/>
  <c r="R178" i="5"/>
  <c r="AG178" i="5"/>
  <c r="R214" i="5"/>
  <c r="S214" i="5"/>
  <c r="G214" i="6" s="1"/>
  <c r="AG214" i="5"/>
  <c r="R139" i="5"/>
  <c r="S139" i="5"/>
  <c r="G139" i="6" s="1"/>
  <c r="AG139" i="5"/>
  <c r="R195" i="5"/>
  <c r="S195" i="5"/>
  <c r="G195" i="6" s="1"/>
  <c r="AG195" i="5"/>
  <c r="S141" i="5"/>
  <c r="G141" i="6" s="1"/>
  <c r="R141" i="5"/>
  <c r="AG141" i="5"/>
  <c r="R116" i="5"/>
  <c r="S116" i="5"/>
  <c r="G116" i="6" s="1"/>
  <c r="AG116" i="5"/>
  <c r="R231" i="5"/>
  <c r="S231" i="5"/>
  <c r="G231" i="6" s="1"/>
  <c r="AG231" i="5"/>
  <c r="S200" i="5"/>
  <c r="G200" i="6" s="1"/>
  <c r="R200" i="5"/>
  <c r="AG200" i="5"/>
  <c r="S209" i="5"/>
  <c r="G209" i="6" s="1"/>
  <c r="R209" i="5"/>
  <c r="AG209" i="5"/>
  <c r="S243" i="5"/>
  <c r="G243" i="6" s="1"/>
  <c r="R243" i="5"/>
  <c r="AG243" i="5"/>
  <c r="R183" i="5"/>
  <c r="AG183" i="5"/>
  <c r="S183" i="5"/>
  <c r="G183" i="6" s="1"/>
  <c r="S249" i="5"/>
  <c r="G249" i="6" s="1"/>
  <c r="R249" i="5"/>
  <c r="AG249" i="5"/>
  <c r="R106" i="5"/>
  <c r="S106" i="5"/>
  <c r="G106" i="6" s="1"/>
  <c r="AG106" i="5"/>
  <c r="R82" i="5"/>
  <c r="S82" i="5"/>
  <c r="G82" i="6" s="1"/>
  <c r="AG82" i="5"/>
  <c r="R23" i="5"/>
  <c r="S23" i="5"/>
  <c r="G23" i="6" s="1"/>
  <c r="AG23" i="5"/>
  <c r="R36" i="5"/>
  <c r="S36" i="5"/>
  <c r="G36" i="6" s="1"/>
  <c r="AG36" i="5"/>
  <c r="R48" i="5"/>
  <c r="S48" i="5"/>
  <c r="G48" i="6" s="1"/>
  <c r="AG48" i="5"/>
  <c r="R51" i="5"/>
  <c r="AG51" i="5"/>
  <c r="S51" i="5"/>
  <c r="G51" i="6" s="1"/>
  <c r="S71" i="5"/>
  <c r="G71" i="6" s="1"/>
  <c r="R71" i="5"/>
  <c r="AG71" i="5"/>
  <c r="R75" i="5"/>
  <c r="AG75" i="5"/>
  <c r="S75" i="5"/>
  <c r="G75" i="6" s="1"/>
  <c r="R103" i="5"/>
  <c r="S103" i="5"/>
  <c r="G103" i="6" s="1"/>
  <c r="AG103" i="5"/>
  <c r="AG35" i="5"/>
  <c r="R35" i="5"/>
  <c r="S35" i="5"/>
  <c r="G35" i="6" s="1"/>
  <c r="R60" i="5"/>
  <c r="S60" i="5"/>
  <c r="G60" i="6" s="1"/>
  <c r="AG60" i="5"/>
  <c r="R88" i="5"/>
  <c r="AG88" i="5"/>
  <c r="S88" i="5"/>
  <c r="G88" i="6" s="1"/>
  <c r="AG20" i="5"/>
  <c r="S20" i="5"/>
  <c r="G20" i="6" s="1"/>
  <c r="R20" i="5"/>
  <c r="R40" i="5"/>
  <c r="S40" i="5"/>
  <c r="G40" i="6" s="1"/>
  <c r="AG40" i="5"/>
  <c r="S83" i="5"/>
  <c r="G83" i="6" s="1"/>
  <c r="R83" i="5"/>
  <c r="AG83" i="5"/>
  <c r="AG25" i="5"/>
  <c r="S25" i="5"/>
  <c r="R224" i="5"/>
  <c r="S224" i="5"/>
  <c r="G224" i="6" s="1"/>
  <c r="AG224" i="5"/>
  <c r="R233" i="5"/>
  <c r="S233" i="5"/>
  <c r="G233" i="6" s="1"/>
  <c r="AG233" i="5"/>
  <c r="AG226" i="5"/>
  <c r="S226" i="5"/>
  <c r="G226" i="6" s="1"/>
  <c r="R226" i="5"/>
  <c r="S246" i="5"/>
  <c r="G246" i="6" s="1"/>
  <c r="R246" i="5"/>
  <c r="AG246" i="5"/>
  <c r="R206" i="5"/>
  <c r="S206" i="5"/>
  <c r="G206" i="6" s="1"/>
  <c r="AG206" i="5"/>
  <c r="AG159" i="5"/>
  <c r="R159" i="5"/>
  <c r="S159" i="5"/>
  <c r="G159" i="6" s="1"/>
  <c r="R110" i="5"/>
  <c r="S110" i="5"/>
  <c r="G110" i="6" s="1"/>
  <c r="AG110" i="5"/>
  <c r="AG186" i="5"/>
  <c r="R186" i="5"/>
  <c r="S186" i="5"/>
  <c r="G186" i="6" s="1"/>
  <c r="S165" i="5"/>
  <c r="G165" i="6" s="1"/>
  <c r="R165" i="5"/>
  <c r="AG165" i="5"/>
  <c r="R201" i="5"/>
  <c r="S201" i="5"/>
  <c r="G201" i="6" s="1"/>
  <c r="AG201" i="5"/>
  <c r="AG157" i="5"/>
  <c r="S157" i="5"/>
  <c r="G157" i="6" s="1"/>
  <c r="R157" i="5"/>
  <c r="S138" i="5"/>
  <c r="G138" i="6" s="1"/>
  <c r="R138" i="5"/>
  <c r="AG138" i="5"/>
  <c r="R216" i="5"/>
  <c r="S216" i="5"/>
  <c r="G216" i="6" s="1"/>
  <c r="AG216" i="5"/>
  <c r="S196" i="5"/>
  <c r="G196" i="6" s="1"/>
  <c r="R196" i="5"/>
  <c r="AG196" i="5"/>
  <c r="S161" i="5"/>
  <c r="G161" i="6" s="1"/>
  <c r="R161" i="5"/>
  <c r="AG161" i="5"/>
  <c r="S101" i="5"/>
  <c r="G101" i="6" s="1"/>
  <c r="R101" i="5"/>
  <c r="AG101" i="5"/>
  <c r="S17" i="5"/>
  <c r="AG17" i="5"/>
  <c r="AG18" i="5"/>
  <c r="R18" i="5"/>
  <c r="S18" i="5"/>
  <c r="G18" i="6" s="1"/>
  <c r="S19" i="5"/>
  <c r="G19" i="6" s="1"/>
  <c r="R19" i="5"/>
  <c r="AG19" i="5"/>
  <c r="R197" i="5"/>
  <c r="S197" i="5"/>
  <c r="G197" i="6" s="1"/>
  <c r="AG197" i="5"/>
  <c r="S163" i="5"/>
  <c r="G163" i="6" s="1"/>
  <c r="AG163" i="5"/>
  <c r="R163" i="5"/>
  <c r="S189" i="5"/>
  <c r="G189" i="6" s="1"/>
  <c r="R189" i="5"/>
  <c r="AG189" i="5"/>
  <c r="S184" i="5"/>
  <c r="G184" i="6" s="1"/>
  <c r="AG184" i="5"/>
  <c r="R184" i="5"/>
  <c r="S89" i="5"/>
  <c r="G89" i="6" s="1"/>
  <c r="R89" i="5"/>
  <c r="AG89" i="5"/>
  <c r="S96" i="5"/>
  <c r="G96" i="6" s="1"/>
  <c r="R96" i="5"/>
  <c r="AG96" i="5"/>
  <c r="AG58" i="5"/>
  <c r="R58" i="5"/>
  <c r="S58" i="5"/>
  <c r="G58" i="6" s="1"/>
  <c r="R92" i="5"/>
  <c r="S92" i="5"/>
  <c r="G92" i="6" s="1"/>
  <c r="AG92" i="5"/>
  <c r="S33" i="5"/>
  <c r="G33" i="6" s="1"/>
  <c r="R33" i="5"/>
  <c r="AG33" i="5"/>
  <c r="S44" i="5"/>
  <c r="G44" i="6" s="1"/>
  <c r="R44" i="5"/>
  <c r="AG44" i="5"/>
  <c r="S68" i="5"/>
  <c r="G68" i="6" s="1"/>
  <c r="R68" i="5"/>
  <c r="AG68" i="5"/>
  <c r="AG95" i="5"/>
  <c r="S95" i="5"/>
  <c r="G95" i="6" s="1"/>
  <c r="R95" i="5"/>
  <c r="R45" i="5"/>
  <c r="S45" i="5"/>
  <c r="G45" i="6" s="1"/>
  <c r="AG45" i="5"/>
  <c r="AG102" i="5"/>
  <c r="S102" i="5"/>
  <c r="R14" i="5"/>
  <c r="AG14" i="5"/>
  <c r="S14" i="5"/>
  <c r="G14" i="6" s="1"/>
  <c r="S137" i="5"/>
  <c r="G137" i="6" s="1"/>
  <c r="R137" i="5"/>
  <c r="AG137" i="5"/>
  <c r="R193" i="5"/>
  <c r="S193" i="5"/>
  <c r="G193" i="6" s="1"/>
  <c r="AG193" i="5"/>
  <c r="S151" i="5"/>
  <c r="G151" i="6" s="1"/>
  <c r="R151" i="5"/>
  <c r="AG151" i="5"/>
  <c r="R120" i="5"/>
  <c r="S120" i="5"/>
  <c r="G120" i="6" s="1"/>
  <c r="AG120" i="5"/>
  <c r="R210" i="5"/>
  <c r="S210" i="5"/>
  <c r="G210" i="6" s="1"/>
  <c r="AG210" i="5"/>
  <c r="R170" i="5"/>
  <c r="AG170" i="5"/>
  <c r="S170" i="5"/>
  <c r="G170" i="6" s="1"/>
  <c r="R230" i="5"/>
  <c r="S230" i="5"/>
  <c r="G230" i="6" s="1"/>
  <c r="AG230" i="5"/>
  <c r="R213" i="5"/>
  <c r="S213" i="5"/>
  <c r="G213" i="6" s="1"/>
  <c r="AG213" i="5"/>
  <c r="R239" i="5"/>
  <c r="S239" i="5"/>
  <c r="G239" i="6" s="1"/>
  <c r="AG239" i="5"/>
  <c r="S117" i="5"/>
  <c r="G117" i="6" s="1"/>
  <c r="R117" i="5"/>
  <c r="AG117" i="5"/>
  <c r="AG113" i="5"/>
  <c r="R113" i="5"/>
  <c r="S113" i="5"/>
  <c r="G113" i="6" s="1"/>
  <c r="S173" i="5"/>
  <c r="G173" i="6" s="1"/>
  <c r="R173" i="5"/>
  <c r="AG173" i="5"/>
  <c r="AG171" i="5"/>
  <c r="S171" i="5"/>
  <c r="G171" i="6" s="1"/>
  <c r="R171" i="5"/>
  <c r="S176" i="5"/>
  <c r="G176" i="6" s="1"/>
  <c r="R176" i="5"/>
  <c r="AG176" i="5"/>
  <c r="S153" i="5"/>
  <c r="G153" i="6" s="1"/>
  <c r="R153" i="5"/>
  <c r="AG153" i="5"/>
  <c r="S63" i="5"/>
  <c r="G63" i="6" s="1"/>
  <c r="R63" i="5"/>
  <c r="AG63" i="5"/>
  <c r="S80" i="5"/>
  <c r="G80" i="6" s="1"/>
  <c r="R80" i="5"/>
  <c r="AG80" i="5"/>
  <c r="AG16" i="5"/>
  <c r="S16" i="5"/>
  <c r="R98" i="5"/>
  <c r="S98" i="5"/>
  <c r="G98" i="6" s="1"/>
  <c r="AG98" i="5"/>
  <c r="R208" i="5"/>
  <c r="S208" i="5"/>
  <c r="G208" i="6" s="1"/>
  <c r="AG208" i="5"/>
  <c r="R217" i="5"/>
  <c r="S217" i="5"/>
  <c r="G217" i="6" s="1"/>
  <c r="AG217" i="5"/>
  <c r="R100" i="5"/>
  <c r="S100" i="5"/>
  <c r="G100" i="6" s="1"/>
  <c r="AG100" i="5"/>
  <c r="S59" i="5"/>
  <c r="G59" i="6" s="1"/>
  <c r="R59" i="5"/>
  <c r="AG59" i="5"/>
  <c r="S53" i="5"/>
  <c r="G53" i="6" s="1"/>
  <c r="R53" i="5"/>
  <c r="AG53" i="5"/>
  <c r="S97" i="5"/>
  <c r="G97" i="6" s="1"/>
  <c r="R97" i="5"/>
  <c r="AG97" i="5"/>
  <c r="R22" i="5"/>
  <c r="S22" i="5"/>
  <c r="G22" i="6" s="1"/>
  <c r="AG22" i="5"/>
  <c r="R52" i="5"/>
  <c r="S52" i="5"/>
  <c r="G52" i="6" s="1"/>
  <c r="AG52" i="5"/>
  <c r="R105" i="5"/>
  <c r="S105" i="5"/>
  <c r="G105" i="6" s="1"/>
  <c r="AG105" i="5"/>
  <c r="S78" i="5"/>
  <c r="G78" i="6" s="1"/>
  <c r="R78" i="5"/>
  <c r="AG78" i="5"/>
  <c r="S30" i="5"/>
  <c r="G30" i="6" s="1"/>
  <c r="R30" i="5"/>
  <c r="AG30" i="5"/>
  <c r="S76" i="5"/>
  <c r="G76" i="6" s="1"/>
  <c r="R76" i="5"/>
  <c r="AG76" i="5"/>
  <c r="R142" i="5"/>
  <c r="S142" i="5"/>
  <c r="G142" i="6" s="1"/>
  <c r="AG142" i="5"/>
  <c r="S191" i="5"/>
  <c r="G191" i="6" s="1"/>
  <c r="R191" i="5"/>
  <c r="AG191" i="5"/>
  <c r="R229" i="5"/>
  <c r="S229" i="5"/>
  <c r="G229" i="6" s="1"/>
  <c r="AG229" i="5"/>
  <c r="R149" i="5"/>
  <c r="S149" i="5"/>
  <c r="G149" i="6" s="1"/>
  <c r="AG149" i="5"/>
  <c r="S111" i="5"/>
  <c r="G111" i="6" s="1"/>
  <c r="AG111" i="5"/>
  <c r="R111" i="5"/>
  <c r="S121" i="5"/>
  <c r="G121" i="6" s="1"/>
  <c r="R121" i="5"/>
  <c r="AG121" i="5"/>
  <c r="R232" i="5"/>
  <c r="S232" i="5"/>
  <c r="G232" i="6" s="1"/>
  <c r="AG232" i="5"/>
  <c r="R107" i="5"/>
  <c r="S107" i="5"/>
  <c r="G107" i="6" s="1"/>
  <c r="AG107" i="5"/>
  <c r="S181" i="5"/>
  <c r="G181" i="6" s="1"/>
  <c r="AG181" i="5"/>
  <c r="R181" i="5"/>
  <c r="S108" i="5"/>
  <c r="G108" i="6" s="1"/>
  <c r="R108" i="5"/>
  <c r="AG108" i="5"/>
  <c r="R194" i="5"/>
  <c r="S194" i="5"/>
  <c r="G194" i="6" s="1"/>
  <c r="AG194" i="5"/>
  <c r="R125" i="5"/>
  <c r="S125" i="5"/>
  <c r="G125" i="6" s="1"/>
  <c r="AG125" i="5"/>
  <c r="S130" i="5"/>
  <c r="G130" i="6" s="1"/>
  <c r="R130" i="5"/>
  <c r="AG130" i="5"/>
  <c r="S242" i="5"/>
  <c r="G242" i="6" s="1"/>
  <c r="AG242" i="5"/>
  <c r="R242" i="5"/>
  <c r="R215" i="5"/>
  <c r="S215" i="5"/>
  <c r="G215" i="6" s="1"/>
  <c r="AG215" i="5"/>
  <c r="S174" i="5"/>
  <c r="G174" i="6" s="1"/>
  <c r="R174" i="5"/>
  <c r="AG174" i="5"/>
  <c r="R77" i="5"/>
  <c r="S77" i="5"/>
  <c r="G77" i="6" s="1"/>
  <c r="AG77" i="5"/>
  <c r="R74" i="5"/>
  <c r="S74" i="5"/>
  <c r="G74" i="6" s="1"/>
  <c r="AG74" i="5"/>
  <c r="R67" i="5"/>
  <c r="S67" i="5"/>
  <c r="G67" i="6" s="1"/>
  <c r="AG67" i="5"/>
  <c r="R166" i="5"/>
  <c r="S166" i="5"/>
  <c r="G166" i="6" s="1"/>
  <c r="AG166" i="5"/>
  <c r="R152" i="5"/>
  <c r="S152" i="5"/>
  <c r="G152" i="6" s="1"/>
  <c r="AG152" i="5"/>
  <c r="S132" i="5"/>
  <c r="G132" i="6" s="1"/>
  <c r="R132" i="5"/>
  <c r="AG132" i="5"/>
  <c r="S34" i="5"/>
  <c r="G34" i="6" s="1"/>
  <c r="R34" i="5"/>
  <c r="AG34" i="5"/>
  <c r="R47" i="5"/>
  <c r="S47" i="5"/>
  <c r="G47" i="6" s="1"/>
  <c r="AG47" i="5"/>
  <c r="R56" i="5"/>
  <c r="S56" i="5"/>
  <c r="G56" i="6" s="1"/>
  <c r="AG56" i="5"/>
  <c r="S72" i="5"/>
  <c r="G72" i="6" s="1"/>
  <c r="R72" i="5"/>
  <c r="AG72" i="5"/>
  <c r="S104" i="5"/>
  <c r="AG104" i="5"/>
  <c r="S31" i="5"/>
  <c r="G31" i="6" s="1"/>
  <c r="R31" i="5"/>
  <c r="AG31" i="5"/>
  <c r="AG65" i="5"/>
  <c r="S65" i="5"/>
  <c r="G65" i="6" s="1"/>
  <c r="R65" i="5"/>
  <c r="AG87" i="5"/>
  <c r="S87" i="5"/>
  <c r="R21" i="5"/>
  <c r="AG21" i="5"/>
  <c r="S21" i="5"/>
  <c r="G21" i="6" s="1"/>
  <c r="S73" i="5"/>
  <c r="G73" i="6" s="1"/>
  <c r="R73" i="5"/>
  <c r="AG73" i="5"/>
  <c r="R126" i="5"/>
  <c r="S126" i="5"/>
  <c r="G126" i="6" s="1"/>
  <c r="AG126" i="5"/>
  <c r="S235" i="5"/>
  <c r="G235" i="6" s="1"/>
  <c r="R235" i="5"/>
  <c r="AG235" i="5"/>
  <c r="S146" i="5"/>
  <c r="G146" i="6" s="1"/>
  <c r="R146" i="5"/>
  <c r="AG146" i="5"/>
  <c r="R143" i="5"/>
  <c r="S143" i="5"/>
  <c r="G143" i="6" s="1"/>
  <c r="AG143" i="5"/>
  <c r="R205" i="5"/>
  <c r="S205" i="5"/>
  <c r="G205" i="6" s="1"/>
  <c r="AG205" i="5"/>
  <c r="S128" i="5"/>
  <c r="G128" i="6" s="1"/>
  <c r="R128" i="5"/>
  <c r="AG128" i="5"/>
  <c r="S162" i="5"/>
  <c r="G162" i="6" s="1"/>
  <c r="R162" i="5"/>
  <c r="AG162" i="5"/>
  <c r="S185" i="5"/>
  <c r="G185" i="6" s="1"/>
  <c r="AG185" i="5"/>
  <c r="R185" i="5"/>
  <c r="S236" i="5"/>
  <c r="G236" i="6" s="1"/>
  <c r="R236" i="5"/>
  <c r="AG236" i="5"/>
  <c r="R148" i="5"/>
  <c r="S148" i="5"/>
  <c r="G148" i="6" s="1"/>
  <c r="AG148" i="5"/>
  <c r="S182" i="5"/>
  <c r="G182" i="6" s="1"/>
  <c r="AG182" i="5"/>
  <c r="R182" i="5"/>
  <c r="R190" i="5"/>
  <c r="S190" i="5"/>
  <c r="G190" i="6" s="1"/>
  <c r="AG190" i="5"/>
  <c r="S244" i="5"/>
  <c r="G244" i="6" s="1"/>
  <c r="R244" i="5"/>
  <c r="AG244" i="5"/>
  <c r="R187" i="5"/>
  <c r="AG187" i="5"/>
  <c r="S187" i="5"/>
  <c r="G187" i="6" s="1"/>
  <c r="R223" i="5"/>
  <c r="S223" i="5"/>
  <c r="G223" i="6" s="1"/>
  <c r="AG223" i="5"/>
  <c r="R222" i="5"/>
  <c r="S222" i="5"/>
  <c r="G222" i="6" s="1"/>
  <c r="AG222" i="5"/>
  <c r="S39" i="5"/>
  <c r="G39" i="6" s="1"/>
  <c r="R39" i="5"/>
  <c r="AG39" i="5"/>
  <c r="S62" i="5"/>
  <c r="G62" i="6" s="1"/>
  <c r="R62" i="5"/>
  <c r="AG62" i="5"/>
  <c r="S94" i="5"/>
  <c r="AG94" i="5"/>
  <c r="AC86" i="5" l="1"/>
  <c r="AC16" i="5"/>
  <c r="AC102" i="5"/>
  <c r="AC17" i="5"/>
  <c r="AC41" i="5"/>
  <c r="AC104" i="5"/>
  <c r="AC94" i="5"/>
  <c r="AC42" i="5"/>
  <c r="F56" i="6"/>
  <c r="E56" i="12"/>
  <c r="AC56" i="5"/>
  <c r="E197" i="12"/>
  <c r="F197" i="6"/>
  <c r="AC197" i="5"/>
  <c r="AC159" i="5"/>
  <c r="F159" i="6"/>
  <c r="E159" i="12"/>
  <c r="F180" i="6"/>
  <c r="E180" i="12"/>
  <c r="AC180" i="5"/>
  <c r="F168" i="6"/>
  <c r="E168" i="12"/>
  <c r="AC168" i="5"/>
  <c r="E39" i="12"/>
  <c r="F39" i="6"/>
  <c r="AC39" i="5"/>
  <c r="F190" i="6"/>
  <c r="E190" i="12"/>
  <c r="AC190" i="5"/>
  <c r="F236" i="6"/>
  <c r="E236" i="12"/>
  <c r="AC236" i="5"/>
  <c r="F143" i="6"/>
  <c r="E143" i="12"/>
  <c r="AC143" i="5"/>
  <c r="AC87" i="5"/>
  <c r="F217" i="6"/>
  <c r="E217" i="12"/>
  <c r="AC217" i="5"/>
  <c r="E153" i="12"/>
  <c r="F153" i="6"/>
  <c r="AC153" i="5"/>
  <c r="F193" i="6"/>
  <c r="E193" i="12"/>
  <c r="AC193" i="5"/>
  <c r="E68" i="12"/>
  <c r="F68" i="6"/>
  <c r="AC68" i="5"/>
  <c r="F189" i="6"/>
  <c r="E189" i="12"/>
  <c r="AC189" i="5"/>
  <c r="AC25" i="5"/>
  <c r="F20" i="6"/>
  <c r="AC20" i="5"/>
  <c r="E20" i="12"/>
  <c r="F60" i="6"/>
  <c r="E60" i="12"/>
  <c r="AC60" i="5"/>
  <c r="F23" i="6"/>
  <c r="E23" i="12"/>
  <c r="AC23" i="5"/>
  <c r="E249" i="12"/>
  <c r="F249" i="6"/>
  <c r="AC249" i="5"/>
  <c r="F231" i="6"/>
  <c r="E231" i="12"/>
  <c r="AC231" i="5"/>
  <c r="F203" i="6"/>
  <c r="E203" i="12"/>
  <c r="AC203" i="5"/>
  <c r="F123" i="6"/>
  <c r="E123" i="12"/>
  <c r="AC123" i="5"/>
  <c r="E129" i="12"/>
  <c r="F129" i="6"/>
  <c r="AC129" i="5"/>
  <c r="E172" i="12"/>
  <c r="F172" i="6"/>
  <c r="AC172" i="5"/>
  <c r="F66" i="6"/>
  <c r="AC66" i="5"/>
  <c r="E66" i="12"/>
  <c r="AC90" i="5"/>
  <c r="F90" i="6"/>
  <c r="E90" i="12"/>
  <c r="F127" i="6"/>
  <c r="E127" i="12"/>
  <c r="AC127" i="5"/>
  <c r="E219" i="12"/>
  <c r="F219" i="6"/>
  <c r="AC219" i="5"/>
  <c r="F24" i="6"/>
  <c r="E24" i="12"/>
  <c r="AC24" i="5"/>
  <c r="E220" i="12"/>
  <c r="F220" i="6"/>
  <c r="AC220" i="5"/>
  <c r="F77" i="6"/>
  <c r="E77" i="12"/>
  <c r="AC77" i="5"/>
  <c r="F226" i="6"/>
  <c r="E226" i="12"/>
  <c r="AC226" i="5"/>
  <c r="F182" i="6"/>
  <c r="E182" i="12"/>
  <c r="AC182" i="5"/>
  <c r="F67" i="6"/>
  <c r="E67" i="12"/>
  <c r="AC67" i="5"/>
  <c r="F174" i="6"/>
  <c r="E174" i="12"/>
  <c r="AC174" i="5"/>
  <c r="F194" i="6"/>
  <c r="E194" i="12"/>
  <c r="AC194" i="5"/>
  <c r="AC111" i="5"/>
  <c r="F111" i="6"/>
  <c r="E111" i="12"/>
  <c r="E229" i="12"/>
  <c r="F229" i="6"/>
  <c r="AC229" i="5"/>
  <c r="F76" i="6"/>
  <c r="E76" i="12"/>
  <c r="AC76" i="5"/>
  <c r="E22" i="12"/>
  <c r="F22" i="6"/>
  <c r="AC22" i="5"/>
  <c r="F59" i="6"/>
  <c r="E59" i="12"/>
  <c r="AC59" i="5"/>
  <c r="E173" i="12"/>
  <c r="F173" i="6"/>
  <c r="AC173" i="5"/>
  <c r="E230" i="12"/>
  <c r="F230" i="6"/>
  <c r="AC230" i="5"/>
  <c r="E19" i="12"/>
  <c r="F19" i="6"/>
  <c r="AC19" i="5"/>
  <c r="E101" i="12"/>
  <c r="F101" i="6"/>
  <c r="AC101" i="5"/>
  <c r="E186" i="12"/>
  <c r="F186" i="6"/>
  <c r="AC186" i="5"/>
  <c r="AC75" i="5"/>
  <c r="F75" i="6"/>
  <c r="E75" i="12"/>
  <c r="F209" i="6"/>
  <c r="E209" i="12"/>
  <c r="AC209" i="5"/>
  <c r="E195" i="12"/>
  <c r="F195" i="6"/>
  <c r="AC195" i="5"/>
  <c r="F178" i="6"/>
  <c r="E178" i="12"/>
  <c r="AC178" i="5"/>
  <c r="E46" i="12"/>
  <c r="F46" i="6"/>
  <c r="AC46" i="5"/>
  <c r="E28" i="12"/>
  <c r="F28" i="6"/>
  <c r="AC28" i="5"/>
  <c r="E204" i="12"/>
  <c r="F204" i="6"/>
  <c r="AC204" i="5"/>
  <c r="E145" i="12"/>
  <c r="AC145" i="5"/>
  <c r="F145" i="6"/>
  <c r="E179" i="12"/>
  <c r="F179" i="6"/>
  <c r="AC179" i="5"/>
  <c r="E27" i="12"/>
  <c r="F27" i="6"/>
  <c r="AC27" i="5"/>
  <c r="E93" i="12"/>
  <c r="F93" i="6"/>
  <c r="AC93" i="5"/>
  <c r="F221" i="6"/>
  <c r="E221" i="12"/>
  <c r="AC221" i="5"/>
  <c r="F50" i="6"/>
  <c r="E50" i="12"/>
  <c r="AC50" i="5"/>
  <c r="F223" i="6"/>
  <c r="E223" i="12"/>
  <c r="AC223" i="5"/>
  <c r="F142" i="6"/>
  <c r="E142" i="12"/>
  <c r="AC142" i="5"/>
  <c r="E29" i="12"/>
  <c r="F29" i="6"/>
  <c r="AC29" i="5"/>
  <c r="E128" i="12"/>
  <c r="F128" i="6"/>
  <c r="AC128" i="5"/>
  <c r="E126" i="12"/>
  <c r="F126" i="6"/>
  <c r="AC126" i="5"/>
  <c r="F187" i="6"/>
  <c r="E187" i="12"/>
  <c r="AC187" i="5"/>
  <c r="AC185" i="5"/>
  <c r="F185" i="6"/>
  <c r="E185" i="12"/>
  <c r="F146" i="6"/>
  <c r="E146" i="12"/>
  <c r="AC146" i="5"/>
  <c r="E65" i="12"/>
  <c r="AC65" i="5"/>
  <c r="F65" i="6"/>
  <c r="F47" i="6"/>
  <c r="E47" i="12"/>
  <c r="AC47" i="5"/>
  <c r="E130" i="12"/>
  <c r="F130" i="6"/>
  <c r="AC130" i="5"/>
  <c r="F107" i="6"/>
  <c r="E107" i="12"/>
  <c r="AC107" i="5"/>
  <c r="F80" i="6"/>
  <c r="E80" i="12"/>
  <c r="AC80" i="5"/>
  <c r="E120" i="12"/>
  <c r="F120" i="6"/>
  <c r="AC120" i="5"/>
  <c r="F137" i="6"/>
  <c r="E137" i="12"/>
  <c r="AC137" i="5"/>
  <c r="F92" i="6"/>
  <c r="E92" i="12"/>
  <c r="AC92" i="5"/>
  <c r="E89" i="12"/>
  <c r="F89" i="6"/>
  <c r="AC89" i="5"/>
  <c r="F163" i="6"/>
  <c r="AC163" i="5"/>
  <c r="E163" i="12"/>
  <c r="AC35" i="5"/>
  <c r="E35" i="12"/>
  <c r="F35" i="6"/>
  <c r="E48" i="12"/>
  <c r="F48" i="6"/>
  <c r="AC48" i="5"/>
  <c r="F70" i="6"/>
  <c r="E70" i="12"/>
  <c r="AC70" i="5"/>
  <c r="E199" i="12"/>
  <c r="F199" i="6"/>
  <c r="AC199" i="5"/>
  <c r="E228" i="12"/>
  <c r="F228" i="6"/>
  <c r="AC228" i="5"/>
  <c r="E61" i="12"/>
  <c r="F61" i="6"/>
  <c r="AC61" i="5"/>
  <c r="E207" i="12"/>
  <c r="F207" i="6"/>
  <c r="AC207" i="5"/>
  <c r="E49" i="12"/>
  <c r="F49" i="6"/>
  <c r="AC49" i="5"/>
  <c r="AC241" i="5"/>
  <c r="E241" i="12"/>
  <c r="F241" i="6"/>
  <c r="E135" i="12"/>
  <c r="F135" i="6"/>
  <c r="AC135" i="5"/>
  <c r="AC158" i="5"/>
  <c r="F158" i="6"/>
  <c r="E158" i="12"/>
  <c r="E147" i="12"/>
  <c r="F147" i="6"/>
  <c r="AC147" i="5"/>
  <c r="E202" i="12"/>
  <c r="F202" i="6"/>
  <c r="AC202" i="5"/>
  <c r="F132" i="6"/>
  <c r="E132" i="12"/>
  <c r="AC132" i="5"/>
  <c r="AC169" i="5"/>
  <c r="F169" i="6"/>
  <c r="E169" i="12"/>
  <c r="E105" i="12"/>
  <c r="F105" i="6"/>
  <c r="AC105" i="5"/>
  <c r="F208" i="6"/>
  <c r="E208" i="12"/>
  <c r="AC208" i="5"/>
  <c r="F176" i="6"/>
  <c r="E176" i="12"/>
  <c r="AC176" i="5"/>
  <c r="AC45" i="5"/>
  <c r="F45" i="6"/>
  <c r="E45" i="12"/>
  <c r="E216" i="12"/>
  <c r="F216" i="6"/>
  <c r="AC216" i="5"/>
  <c r="F206" i="6"/>
  <c r="E206" i="12"/>
  <c r="AC206" i="5"/>
  <c r="E83" i="12"/>
  <c r="F83" i="6"/>
  <c r="AC83" i="5"/>
  <c r="E71" i="12"/>
  <c r="F71" i="6"/>
  <c r="AC71" i="5"/>
  <c r="AC82" i="5"/>
  <c r="E82" i="12"/>
  <c r="F82" i="6"/>
  <c r="F116" i="6"/>
  <c r="E116" i="12"/>
  <c r="AC116" i="5"/>
  <c r="E32" i="12"/>
  <c r="F32" i="6"/>
  <c r="AC32" i="5"/>
  <c r="F26" i="6"/>
  <c r="E26" i="12"/>
  <c r="AC26" i="5"/>
  <c r="E175" i="12"/>
  <c r="F175" i="6"/>
  <c r="AC175" i="5"/>
  <c r="F234" i="6"/>
  <c r="E234" i="12"/>
  <c r="AC234" i="5"/>
  <c r="E112" i="12"/>
  <c r="AC112" i="5"/>
  <c r="F112" i="6"/>
  <c r="E218" i="12"/>
  <c r="F218" i="6"/>
  <c r="AC218" i="5"/>
  <c r="F160" i="6"/>
  <c r="E160" i="12"/>
  <c r="AC160" i="5"/>
  <c r="F78" i="6"/>
  <c r="E78" i="12"/>
  <c r="AC78" i="5"/>
  <c r="F73" i="6"/>
  <c r="E73" i="12"/>
  <c r="AC73" i="5"/>
  <c r="F44" i="6"/>
  <c r="E44" i="12"/>
  <c r="AC44" i="5"/>
  <c r="F222" i="6"/>
  <c r="E222" i="12"/>
  <c r="AC222" i="5"/>
  <c r="E244" i="12"/>
  <c r="F244" i="6"/>
  <c r="AC244" i="5"/>
  <c r="E34" i="12"/>
  <c r="F34" i="6"/>
  <c r="AC34" i="5"/>
  <c r="F74" i="6"/>
  <c r="E74" i="12"/>
  <c r="AC74" i="5"/>
  <c r="E30" i="12"/>
  <c r="AC30" i="5"/>
  <c r="F30" i="6"/>
  <c r="E113" i="12"/>
  <c r="AC113" i="5"/>
  <c r="F113" i="6"/>
  <c r="E170" i="12"/>
  <c r="F170" i="6"/>
  <c r="AC170" i="5"/>
  <c r="E151" i="12"/>
  <c r="F151" i="6"/>
  <c r="AC151" i="5"/>
  <c r="AC95" i="5"/>
  <c r="E95" i="12"/>
  <c r="F95" i="6"/>
  <c r="E58" i="12"/>
  <c r="F58" i="6"/>
  <c r="AC58" i="5"/>
  <c r="E184" i="12"/>
  <c r="F184" i="6"/>
  <c r="AC184" i="5"/>
  <c r="E18" i="12"/>
  <c r="F18" i="6"/>
  <c r="AC18" i="5"/>
  <c r="F161" i="6"/>
  <c r="E161" i="12"/>
  <c r="AC161" i="5"/>
  <c r="F201" i="6"/>
  <c r="E201" i="12"/>
  <c r="AC201" i="5"/>
  <c r="F233" i="6"/>
  <c r="E233" i="12"/>
  <c r="AC233" i="5"/>
  <c r="AC183" i="5"/>
  <c r="F183" i="6"/>
  <c r="E183" i="12"/>
  <c r="F200" i="6"/>
  <c r="E200" i="12"/>
  <c r="AC200" i="5"/>
  <c r="E139" i="12"/>
  <c r="F139" i="6"/>
  <c r="AC139" i="5"/>
  <c r="E164" i="12"/>
  <c r="F164" i="6"/>
  <c r="AC164" i="5"/>
  <c r="AC57" i="5"/>
  <c r="E57" i="12"/>
  <c r="F57" i="6"/>
  <c r="AC81" i="5"/>
  <c r="F37" i="6"/>
  <c r="E37" i="12"/>
  <c r="AC37" i="5"/>
  <c r="F84" i="6"/>
  <c r="E84" i="12"/>
  <c r="AC84" i="5"/>
  <c r="F54" i="6"/>
  <c r="E54" i="12"/>
  <c r="AC54" i="5"/>
  <c r="F21" i="6"/>
  <c r="E21" i="12"/>
  <c r="AC21" i="5"/>
  <c r="F210" i="6"/>
  <c r="E210" i="12"/>
  <c r="AC210" i="5"/>
  <c r="E96" i="12"/>
  <c r="F96" i="6"/>
  <c r="AC96" i="5"/>
  <c r="AC157" i="5"/>
  <c r="F157" i="6"/>
  <c r="E157" i="12"/>
  <c r="E40" i="12"/>
  <c r="F40" i="6"/>
  <c r="AC40" i="5"/>
  <c r="E211" i="12"/>
  <c r="F211" i="6"/>
  <c r="AC211" i="5"/>
  <c r="F152" i="6"/>
  <c r="E152" i="12"/>
  <c r="AC152" i="5"/>
  <c r="E108" i="12"/>
  <c r="F108" i="6"/>
  <c r="AC108" i="5"/>
  <c r="E191" i="12"/>
  <c r="F191" i="6"/>
  <c r="AC191" i="5"/>
  <c r="E97" i="12"/>
  <c r="AC97" i="5"/>
  <c r="F97" i="6"/>
  <c r="F62" i="6"/>
  <c r="E62" i="12"/>
  <c r="AC62" i="5"/>
  <c r="E205" i="12"/>
  <c r="F205" i="6"/>
  <c r="AC205" i="5"/>
  <c r="E235" i="12"/>
  <c r="F235" i="6"/>
  <c r="AC235" i="5"/>
  <c r="F215" i="6"/>
  <c r="E215" i="12"/>
  <c r="AC215" i="5"/>
  <c r="AC181" i="5"/>
  <c r="F181" i="6"/>
  <c r="E181" i="12"/>
  <c r="E232" i="12"/>
  <c r="F232" i="6"/>
  <c r="AC232" i="5"/>
  <c r="F100" i="6"/>
  <c r="E100" i="12"/>
  <c r="AC100" i="5"/>
  <c r="E63" i="12"/>
  <c r="F63" i="6"/>
  <c r="AC63" i="5"/>
  <c r="E171" i="12"/>
  <c r="AC171" i="5"/>
  <c r="F171" i="6"/>
  <c r="F138" i="6"/>
  <c r="E138" i="12"/>
  <c r="AC138" i="5"/>
  <c r="AC110" i="5"/>
  <c r="F110" i="6"/>
  <c r="E110" i="12"/>
  <c r="F246" i="6"/>
  <c r="E246" i="12"/>
  <c r="AC246" i="5"/>
  <c r="AC88" i="5"/>
  <c r="E88" i="12"/>
  <c r="F88" i="6"/>
  <c r="F36" i="6"/>
  <c r="E36" i="12"/>
  <c r="AC36" i="5"/>
  <c r="F141" i="6"/>
  <c r="E141" i="12"/>
  <c r="AC141" i="5"/>
  <c r="F91" i="6"/>
  <c r="E91" i="12"/>
  <c r="AC91" i="5"/>
  <c r="E85" i="12"/>
  <c r="F85" i="6"/>
  <c r="AC85" i="5"/>
  <c r="E122" i="12"/>
  <c r="F122" i="6"/>
  <c r="AC122" i="5"/>
  <c r="E155" i="12"/>
  <c r="F155" i="6"/>
  <c r="AC155" i="5"/>
  <c r="F38" i="6"/>
  <c r="E38" i="12"/>
  <c r="AC38" i="5"/>
  <c r="E247" i="12"/>
  <c r="F247" i="6"/>
  <c r="AC247" i="5"/>
  <c r="AC43" i="5"/>
  <c r="E43" i="12"/>
  <c r="F43" i="6"/>
  <c r="E118" i="12"/>
  <c r="F118" i="6"/>
  <c r="AC118" i="5"/>
  <c r="E115" i="12"/>
  <c r="F115" i="6"/>
  <c r="AC115" i="5"/>
  <c r="E238" i="12"/>
  <c r="AC238" i="5"/>
  <c r="F238" i="6"/>
  <c r="E121" i="12"/>
  <c r="F121" i="6"/>
  <c r="AC121" i="5"/>
  <c r="E117" i="12"/>
  <c r="F117" i="6"/>
  <c r="AC117" i="5"/>
  <c r="F196" i="6"/>
  <c r="E196" i="12"/>
  <c r="AC196" i="5"/>
  <c r="F224" i="6"/>
  <c r="E224" i="12"/>
  <c r="AC224" i="5"/>
  <c r="AC51" i="5"/>
  <c r="E51" i="12"/>
  <c r="F51" i="6"/>
  <c r="E214" i="12"/>
  <c r="F214" i="6"/>
  <c r="AC214" i="5"/>
  <c r="E72" i="12"/>
  <c r="F72" i="6"/>
  <c r="AC72" i="5"/>
  <c r="AC239" i="5"/>
  <c r="E239" i="12"/>
  <c r="F239" i="6"/>
  <c r="E148" i="12"/>
  <c r="F148" i="6"/>
  <c r="AC148" i="5"/>
  <c r="E162" i="12"/>
  <c r="F162" i="6"/>
  <c r="AC162" i="5"/>
  <c r="E31" i="12"/>
  <c r="F31" i="6"/>
  <c r="AC31" i="5"/>
  <c r="F166" i="6"/>
  <c r="E166" i="12"/>
  <c r="AC166" i="5"/>
  <c r="AC242" i="5"/>
  <c r="F242" i="6"/>
  <c r="E242" i="12"/>
  <c r="F125" i="6"/>
  <c r="E125" i="12"/>
  <c r="AC125" i="5"/>
  <c r="E149" i="12"/>
  <c r="F149" i="6"/>
  <c r="AC149" i="5"/>
  <c r="F52" i="6"/>
  <c r="E52" i="12"/>
  <c r="AC52" i="5"/>
  <c r="F53" i="6"/>
  <c r="E53" i="12"/>
  <c r="AC53" i="5"/>
  <c r="F98" i="6"/>
  <c r="E98" i="12"/>
  <c r="AC98" i="5"/>
  <c r="AC213" i="5"/>
  <c r="F213" i="6"/>
  <c r="E213" i="12"/>
  <c r="AC14" i="5"/>
  <c r="F14" i="6"/>
  <c r="E14" i="12"/>
  <c r="E33" i="12"/>
  <c r="F33" i="6"/>
  <c r="AC33" i="5"/>
  <c r="E165" i="12"/>
  <c r="AC165" i="5"/>
  <c r="F165" i="6"/>
  <c r="E103" i="12"/>
  <c r="F103" i="6"/>
  <c r="AC103" i="5"/>
  <c r="F106" i="6"/>
  <c r="E106" i="12"/>
  <c r="AC106" i="5"/>
  <c r="E243" i="12"/>
  <c r="F243" i="6"/>
  <c r="AC243" i="5"/>
  <c r="E79" i="12"/>
  <c r="F79" i="6"/>
  <c r="AC79" i="5"/>
  <c r="F167" i="6"/>
  <c r="E167" i="12"/>
  <c r="AC167" i="5"/>
  <c r="E99" i="12"/>
  <c r="F99" i="6"/>
  <c r="AC99" i="5"/>
  <c r="E55" i="12"/>
  <c r="F55" i="6"/>
  <c r="AC55" i="5"/>
  <c r="F240" i="6"/>
  <c r="AC240" i="5"/>
  <c r="E240" i="12"/>
  <c r="F133" i="6"/>
  <c r="E133" i="12"/>
  <c r="AC133" i="5"/>
  <c r="E227" i="12"/>
  <c r="F227" i="6"/>
  <c r="AC227" i="5"/>
  <c r="AC1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0000000-0006-0000-03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00000000-0006-0000-0400-000001000000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00000000-0006-0000-0400-000002000000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00000000-0006-0000-0400-000003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0000000-0006-0000-0400-000004000000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5" authorId="0" shapeId="0" xr:uid="{00000000-0006-0000-0600-000001000000}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A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B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 xr:uid="{00000000-0006-0000-0B00-000002000000}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 xr:uid="{00000000-0006-0000-0B00-000003000000}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7" authorId="0" shapeId="0" xr:uid="{00000000-0006-0000-0C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 xr:uid="{00000000-0006-0000-0C00-000002000000}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<sst xmlns="http://schemas.openxmlformats.org/spreadsheetml/2006/main" count="2681" uniqueCount="615">
  <si>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</si>
  <si>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</si>
  <si>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</si>
  <si>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</si>
  <si>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</si>
  <si>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</si>
  <si>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</si>
  <si>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</si>
  <si>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</si>
  <si>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</si>
  <si>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</si>
  <si>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</si>
  <si>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</si>
  <si>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</si>
  <si>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</si>
  <si>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</si>
  <si>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</si>
  <si>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</si>
  <si>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</si>
  <si>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</si>
  <si>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</si>
  <si>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</si>
  <si>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</si>
  <si>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</si>
  <si>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</si>
  <si>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</si>
  <si>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</si>
  <si>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</si>
  <si>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</si>
  <si>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</si>
  <si>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</si>
  <si>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</si>
  <si>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</si>
  <si>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</si>
  <si>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</si>
  <si>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</si>
  <si>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</si>
  <si>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</si>
  <si>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</si>
  <si>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</si>
  <si>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</si>
  <si>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</si>
  <si>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</si>
  <si>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</si>
  <si>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</si>
  <si>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</si>
  <si>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</si>
  <si>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</si>
  <si>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</si>
  <si>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</si>
  <si>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</si>
  <si>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</si>
  <si>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</si>
  <si>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</si>
  <si>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</si>
  <si>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</si>
  <si>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</si>
  <si>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</si>
  <si>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</si>
  <si>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</si>
  <si>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</si>
  <si>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</si>
  <si>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</si>
  <si>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</si>
  <si>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</si>
  <si>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</si>
  <si>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</si>
  <si>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</si>
  <si>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</si>
  <si>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</si>
  <si>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</si>
  <si>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</si>
  <si>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</si>
  <si>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</si>
  <si>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</si>
  <si>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</si>
  <si>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</si>
  <si>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</si>
  <si>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</si>
  <si>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</si>
  <si>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</si>
  <si>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</si>
  <si>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</si>
  <si>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</si>
  <si>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</si>
  <si>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</si>
  <si>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</si>
  <si>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</si>
  <si>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</si>
  <si>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</si>
  <si>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</si>
  <si>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</si>
  <si>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</si>
  <si>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</si>
  <si>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</si>
  <si>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</si>
  <si>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</si>
  <si>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</si>
  <si>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</si>
  <si>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</si>
  <si>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</si>
  <si>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</si>
  <si>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</si>
  <si>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</si>
  <si>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</si>
  <si>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</si>
  <si>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</si>
  <si>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</si>
  <si>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</si>
  <si>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</si>
  <si>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</si>
  <si>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</si>
  <si>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</si>
  <si>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</si>
  <si>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</si>
  <si>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</si>
  <si>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</si>
  <si>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</si>
  <si>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</si>
  <si>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</si>
  <si>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</si>
  <si>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</si>
  <si>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</si>
  <si>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</si>
  <si>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</si>
  <si>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</si>
  <si>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</si>
  <si>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</si>
  <si>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</si>
  <si>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</si>
  <si>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</si>
  <si>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</si>
  <si>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</si>
  <si>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</si>
  <si>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</si>
  <si>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</si>
  <si>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</si>
  <si>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</si>
  <si>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</si>
  <si>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</si>
  <si>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</si>
  <si>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</si>
  <si>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</si>
  <si>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</si>
  <si>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</si>
  <si>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</si>
  <si>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</si>
  <si>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</si>
  <si>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</si>
  <si>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</si>
  <si>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</si>
  <si>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</si>
  <si>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</si>
  <si>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</si>
  <si>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</si>
  <si>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</si>
  <si>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</si>
  <si>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</si>
  <si>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</si>
  <si>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</si>
  <si>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</si>
  <si>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</si>
  <si>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</si>
  <si>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</si>
  <si>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</si>
  <si>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</si>
  <si>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</si>
  <si>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</si>
  <si>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</si>
  <si>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</si>
  <si>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</si>
  <si>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</si>
  <si>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</si>
  <si>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</si>
  <si>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</si>
  <si>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</si>
  <si>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</si>
  <si>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</si>
  <si>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</si>
  <si>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</si>
  <si>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</si>
  <si>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</si>
  <si>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</si>
  <si>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</si>
  <si>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</si>
  <si>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</si>
  <si>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</si>
  <si>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</si>
  <si>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</si>
  <si>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</si>
  <si>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</si>
  <si>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</si>
  <si>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</si>
  <si>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</si>
  <si>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</si>
  <si>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</si>
  <si>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</si>
  <si>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</si>
  <si>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</si>
  <si>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</si>
  <si>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</si>
  <si>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</si>
  <si>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</si>
  <si>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</si>
  <si>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</si>
  <si>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</si>
  <si>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</si>
  <si>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</si>
  <si>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</si>
  <si>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</si>
  <si>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</si>
  <si>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</si>
  <si>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</si>
  <si>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</si>
  <si>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</si>
  <si>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</si>
  <si>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</si>
  <si>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</si>
  <si>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</si>
  <si>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</si>
  <si>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</si>
  <si>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</si>
  <si>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</si>
  <si>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</si>
  <si>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</si>
  <si>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</si>
  <si>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</si>
  <si>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</si>
  <si>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</si>
  <si>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</si>
  <si>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</si>
  <si>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</si>
  <si>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</si>
  <si>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</si>
  <si>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</si>
  <si>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</si>
  <si>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</si>
  <si>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</si>
  <si>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</si>
  <si>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</si>
  <si>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</si>
  <si>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</si>
  <si>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</si>
  <si>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</si>
  <si>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</si>
  <si>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</si>
  <si>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</si>
  <si>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</si>
  <si>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</si>
  <si>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</si>
  <si>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</si>
  <si>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</si>
  <si>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</si>
  <si>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</si>
  <si>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</si>
  <si>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</si>
  <si>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</si>
  <si>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</si>
  <si>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</si>
  <si>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</si>
  <si>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</si>
  <si>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</si>
  <si>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</si>
  <si>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</si>
  <si>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</si>
  <si>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</si>
  <si>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</si>
  <si>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</si>
  <si>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</si>
  <si>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</si>
  <si>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</si>
  <si>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</si>
  <si>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</si>
  <si>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</si>
  <si>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</si>
  <si>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</si>
  <si>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</si>
  <si>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</si>
  <si>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</si>
  <si>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</si>
  <si>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</si>
  <si>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</si>
  <si>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</si>
  <si>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</si>
  <si>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</si>
  <si>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</si>
  <si>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</si>
  <si>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</si>
  <si>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</si>
  <si>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</si>
  <si>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</si>
  <si>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</si>
  <si>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</si>
  <si>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</si>
  <si>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</si>
  <si>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</si>
  <si>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</si>
  <si>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</si>
  <si>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</si>
  <si>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</si>
  <si>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</si>
  <si>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</si>
  <si>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</si>
  <si>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</si>
  <si>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</si>
  <si>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</si>
  <si>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</si>
  <si>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</si>
  <si>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</si>
  <si>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</si>
  <si>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</si>
  <si>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</si>
  <si>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</si>
  <si>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</si>
  <si>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</si>
  <si>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</si>
  <si>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</si>
  <si>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</si>
  <si>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</si>
  <si>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</si>
  <si>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</si>
  <si>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</si>
  <si>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</si>
  <si>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</si>
  <si>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</si>
  <si>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</si>
  <si>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</si>
  <si>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</si>
  <si>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</si>
  <si>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</si>
  <si>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</si>
  <si>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</si>
  <si>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</si>
  <si>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</si>
  <si>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</si>
  <si>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</si>
  <si>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</si>
  <si>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</si>
  <si>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</si>
  <si>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</si>
  <si>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</si>
  <si>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</si>
  <si>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</si>
  <si>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</si>
  <si>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</si>
  <si>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</si>
  <si>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</si>
  <si>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</si>
  <si>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</si>
  <si>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</si>
  <si>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</si>
  <si>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</si>
  <si>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</si>
  <si>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</si>
  <si>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</si>
  <si>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</si>
  <si>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</si>
  <si>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</si>
  <si>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</si>
  <si>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</si>
  <si>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</si>
  <si>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</si>
  <si>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</si>
  <si>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</si>
  <si>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</si>
  <si>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</si>
  <si>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</si>
  <si>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</si>
  <si>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</si>
  <si>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</si>
  <si>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</si>
  <si>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</si>
  <si>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</si>
  <si>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</si>
  <si>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</si>
  <si>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</si>
  <si>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</si>
  <si>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</si>
  <si>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</si>
  <si>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</si>
  <si>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</si>
  <si>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</si>
  <si>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</si>
  <si>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</si>
  <si>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</si>
  <si>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</si>
  <si>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</si>
  <si>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</si>
  <si>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</si>
  <si>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</si>
  <si>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</si>
  <si>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</si>
  <si>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</si>
  <si>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</si>
  <si>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</si>
  <si>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</si>
  <si>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</si>
  <si>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</si>
  <si>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</si>
  <si>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</si>
  <si>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</si>
  <si>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</si>
  <si>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</si>
  <si>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</si>
  <si>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</si>
  <si>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</si>
  <si>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</si>
  <si>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</si>
  <si>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Automática, conforme os agrupadores Nível 2 do Orçamento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</si>
  <si>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</si>
  <si>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</si>
  <si>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</si>
  <si>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</si>
  <si>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</si>
  <si>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</si>
  <si>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</si>
  <si>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</si>
  <si>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</si>
  <si>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</si>
  <si>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</si>
  <si>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</si>
  <si>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</si>
  <si>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</si>
  <si>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</si>
  <si>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</si>
  <si>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</si>
  <si>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</si>
  <si>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</si>
  <si>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</si>
  <si>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</si>
  <si>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</si>
  <si>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</si>
  <si>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</si>
  <si>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</si>
  <si>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</si>
  <si>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</si>
  <si>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</si>
  <si>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</si>
  <si>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</si>
  <si>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</si>
  <si>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</si>
  <si>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</si>
  <si>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</si>
  <si>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</si>
  <si>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</si>
  <si>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</si>
  <si>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</si>
  <si>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</si>
  <si>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OGU</t>
  </si>
  <si>
    <t>MUNICÍPIO DE RONDINHA</t>
  </si>
  <si>
    <t>RONDINHA - RS</t>
  </si>
  <si>
    <t>PRAÇA PÚBLICA - BAIRRO N. S. APARECIDA</t>
  </si>
  <si>
    <t>DESONERADO</t>
  </si>
  <si>
    <t>MARCELO SETTI</t>
  </si>
  <si>
    <t>CREA/RS 226290</t>
  </si>
  <si>
    <t>ALDOMIR LUIZ CANTONI</t>
  </si>
  <si>
    <t>PREFEITO MUNICIPAL</t>
  </si>
  <si>
    <t>EMPREITADA POR PREÇO GLOBAL</t>
  </si>
  <si>
    <t>ENGENHEIRO CIVIL</t>
  </si>
  <si>
    <t>93358</t>
  </si>
  <si>
    <t>96617</t>
  </si>
  <si>
    <t>103334</t>
  </si>
  <si>
    <t>Composição</t>
  </si>
  <si>
    <t>1</t>
  </si>
  <si>
    <t>97741</t>
  </si>
  <si>
    <t>2</t>
  </si>
  <si>
    <t>3</t>
  </si>
  <si>
    <t>4</t>
  </si>
  <si>
    <t>5</t>
  </si>
  <si>
    <t>6</t>
  </si>
  <si>
    <t>7</t>
  </si>
  <si>
    <t>8</t>
  </si>
  <si>
    <t>9</t>
  </si>
  <si>
    <t>ENTRADA DE ENERGIA PADRÃO, MURETA E QGBT</t>
  </si>
  <si>
    <t>10</t>
  </si>
  <si>
    <t>11</t>
  </si>
  <si>
    <t>12</t>
  </si>
  <si>
    <t>13</t>
  </si>
  <si>
    <t>14</t>
  </si>
  <si>
    <t>103356</t>
  </si>
  <si>
    <t>15</t>
  </si>
  <si>
    <t>93655</t>
  </si>
  <si>
    <t>93653</t>
  </si>
  <si>
    <t>16</t>
  </si>
  <si>
    <t>17</t>
  </si>
  <si>
    <t>18</t>
  </si>
  <si>
    <t>19</t>
  </si>
  <si>
    <t>20</t>
  </si>
  <si>
    <t>ATERRAMENTO</t>
  </si>
  <si>
    <t>PADRÃO E MURETA</t>
  </si>
  <si>
    <t>96977</t>
  </si>
  <si>
    <t>21</t>
  </si>
  <si>
    <t>90091</t>
  </si>
  <si>
    <t>22</t>
  </si>
  <si>
    <t>98524</t>
  </si>
  <si>
    <t>23</t>
  </si>
  <si>
    <t>24</t>
  </si>
  <si>
    <t>SERVIÇOS INICIAIS E DRENO DE ÁGUAS PLUVIAIS</t>
  </si>
  <si>
    <t>25</t>
  </si>
  <si>
    <t>INSTALAÇÕES HIDRÁULICAS - ENTRADA INDIVIDUALIZADA DE ÁGUA POTÁVEL E REDE ENTERRADA</t>
  </si>
  <si>
    <t>INSTALAÇÕES DE ILUMINAÇÃO COM POSTEAMENTO E LUMINÁRIAS 100W</t>
  </si>
  <si>
    <t>28</t>
  </si>
  <si>
    <t>29</t>
  </si>
  <si>
    <t>30</t>
  </si>
  <si>
    <t>31</t>
  </si>
  <si>
    <t>32</t>
  </si>
  <si>
    <t>33</t>
  </si>
  <si>
    <t>34</t>
  </si>
  <si>
    <t>MONITORAMENTO EXTERNO, REDE SUBTERRÂNEA (ENTERRADA)</t>
  </si>
  <si>
    <t>SANITÁRIO PÚBLICO ACESSÍVEL</t>
  </si>
  <si>
    <t>SAPATAS</t>
  </si>
  <si>
    <t>VIGA BALDRAME</t>
  </si>
  <si>
    <t>35</t>
  </si>
  <si>
    <t>IMPERMEABILIZAÇÃO</t>
  </si>
  <si>
    <t>ARRANQUE DE PILARES</t>
  </si>
  <si>
    <t>ALVENARIA</t>
  </si>
  <si>
    <t>103330</t>
  </si>
  <si>
    <t>PILARES</t>
  </si>
  <si>
    <t>93186</t>
  </si>
  <si>
    <t>93196</t>
  </si>
  <si>
    <t>93188</t>
  </si>
  <si>
    <t>VIGA DE RESPALDO</t>
  </si>
  <si>
    <t>COBERTURA</t>
  </si>
  <si>
    <t>36</t>
  </si>
  <si>
    <t>37</t>
  </si>
  <si>
    <t>38</t>
  </si>
  <si>
    <t>39</t>
  </si>
  <si>
    <t>ESQUADRIAS</t>
  </si>
  <si>
    <t>90793</t>
  </si>
  <si>
    <t>40</t>
  </si>
  <si>
    <t>BARRAS DE APOIO</t>
  </si>
  <si>
    <t>41</t>
  </si>
  <si>
    <t>REVESTIMENTO INTERNO</t>
  </si>
  <si>
    <t>42</t>
  </si>
  <si>
    <t>43</t>
  </si>
  <si>
    <t>REVESTIMENTO EXTERNO</t>
  </si>
  <si>
    <t>44</t>
  </si>
  <si>
    <t>45</t>
  </si>
  <si>
    <t>46</t>
  </si>
  <si>
    <t>47</t>
  </si>
  <si>
    <t>PISO E CALÇADAS E RAMPA ACESSÍVEL</t>
  </si>
  <si>
    <t>48</t>
  </si>
  <si>
    <t>PINTURA</t>
  </si>
  <si>
    <t>49</t>
  </si>
  <si>
    <t>50</t>
  </si>
  <si>
    <t>51</t>
  </si>
  <si>
    <t>52</t>
  </si>
  <si>
    <t>INSTALAÇÕES HIDROSSANITÁRIAS</t>
  </si>
  <si>
    <t>86939</t>
  </si>
  <si>
    <t>86931</t>
  </si>
  <si>
    <t>100849</t>
  </si>
  <si>
    <t>104327</t>
  </si>
  <si>
    <t>53</t>
  </si>
  <si>
    <t>54</t>
  </si>
  <si>
    <t>89746</t>
  </si>
  <si>
    <t>89726</t>
  </si>
  <si>
    <t>89798</t>
  </si>
  <si>
    <t>89801</t>
  </si>
  <si>
    <t>89617</t>
  </si>
  <si>
    <t>55</t>
  </si>
  <si>
    <t>56</t>
  </si>
  <si>
    <t>INSTALAÇÕES ELÉTRICAS</t>
  </si>
  <si>
    <t>57</t>
  </si>
  <si>
    <t>58</t>
  </si>
  <si>
    <t>59</t>
  </si>
  <si>
    <t>60</t>
  </si>
  <si>
    <t>61</t>
  </si>
  <si>
    <t>91992</t>
  </si>
  <si>
    <t>91996</t>
  </si>
  <si>
    <t>91953</t>
  </si>
  <si>
    <t>91926</t>
  </si>
  <si>
    <t>97605</t>
  </si>
  <si>
    <t>97590</t>
  </si>
  <si>
    <t>97597</t>
  </si>
  <si>
    <t>INSTALAÇÕES DE MONITORAMENTO</t>
  </si>
  <si>
    <t>62</t>
  </si>
  <si>
    <t>63</t>
  </si>
  <si>
    <t>COMUNICAÇÃO VISUAL</t>
  </si>
  <si>
    <t>64</t>
  </si>
  <si>
    <t>65</t>
  </si>
  <si>
    <t>96622</t>
  </si>
  <si>
    <t>PASSEIO PÚBLICO E PAVIMENTAÇÃO INTERNA</t>
  </si>
  <si>
    <t>69</t>
  </si>
  <si>
    <t>72</t>
  </si>
  <si>
    <t>71</t>
  </si>
  <si>
    <t>70</t>
  </si>
  <si>
    <t>68</t>
  </si>
  <si>
    <t>97624</t>
  </si>
  <si>
    <t>CAMPO DE FUTEBOL</t>
  </si>
  <si>
    <t>73</t>
  </si>
  <si>
    <t>74</t>
  </si>
  <si>
    <t>75</t>
  </si>
  <si>
    <t>76</t>
  </si>
  <si>
    <t>77</t>
  </si>
  <si>
    <t>79</t>
  </si>
  <si>
    <t>78</t>
  </si>
  <si>
    <t>QUADRA DE AREIA</t>
  </si>
  <si>
    <t>80</t>
  </si>
  <si>
    <t>81</t>
  </si>
  <si>
    <t>82</t>
  </si>
  <si>
    <t>83</t>
  </si>
  <si>
    <t>PLAYGROUND</t>
  </si>
  <si>
    <t>ACADEMIA DE SAÚDE AO AR LIVRE</t>
  </si>
  <si>
    <t>103191</t>
  </si>
  <si>
    <t>103193</t>
  </si>
  <si>
    <t>103195</t>
  </si>
  <si>
    <t>103194</t>
  </si>
  <si>
    <t>103190</t>
  </si>
  <si>
    <t>84</t>
  </si>
  <si>
    <t>85</t>
  </si>
  <si>
    <t>SERVIÇOS FINAIS</t>
  </si>
  <si>
    <t>86</t>
  </si>
  <si>
    <t>ÁREA DE CONFRATERNIZAÇÃO</t>
  </si>
  <si>
    <t>Análise Concluída / A Licitar</t>
  </si>
  <si>
    <t>13152333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</si>
</sst>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0" fontId="56" fillId="0" borderId="0" applyFill="0" applyBorder="0" applyAlignment="0" applyProtection="0"/>
    <xf numFmtId="164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6" fillId="0" borderId="0" applyFill="0" applyBorder="0" applyAlignment="0" applyProtection="0"/>
    <xf numFmtId="165" fontId="56" fillId="0" borderId="0" applyFill="0" applyBorder="0" applyAlignment="0" applyProtection="0"/>
  </cellStyleXfs>
  <cellXfs count="74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0" fillId="0" borderId="0" xfId="33" applyFont="1"/>
    <xf numFmtId="0" fontId="24" fillId="0" borderId="0" xfId="33" applyFont="1" applyAlignment="1">
      <alignment horizontal="center"/>
    </xf>
    <xf numFmtId="0" fontId="23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4" fillId="0" borderId="32" xfId="33" applyFont="1" applyBorder="1" applyAlignment="1">
      <alignment horizontal="center"/>
    </xf>
    <xf numFmtId="10" fontId="29" fillId="0" borderId="32" xfId="33" applyNumberFormat="1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4" fillId="0" borderId="0" xfId="33" applyFont="1"/>
    <xf numFmtId="0" fontId="24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30" fillId="0" borderId="32" xfId="33" applyFont="1" applyBorder="1" applyAlignment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Border="1" applyAlignment="1">
      <alignment horizontal="center" vertical="center"/>
    </xf>
    <xf numFmtId="10" fontId="30" fillId="0" borderId="32" xfId="33" applyNumberFormat="1" applyFont="1" applyBorder="1" applyAlignment="1">
      <alignment horizontal="center" vertical="center" wrapText="1"/>
    </xf>
    <xf numFmtId="0" fontId="30" fillId="0" borderId="32" xfId="33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31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35" fillId="0" borderId="0" xfId="33" applyFont="1" applyAlignment="1">
      <alignment horizontal="center" vertical="top"/>
    </xf>
    <xf numFmtId="169" fontId="0" fillId="0" borderId="0" xfId="33" applyNumberFormat="1" applyFont="1"/>
    <xf numFmtId="0" fontId="24" fillId="0" borderId="10" xfId="33" applyFont="1" applyBorder="1" applyAlignment="1">
      <alignment horizontal="left"/>
    </xf>
    <xf numFmtId="0" fontId="0" fillId="0" borderId="10" xfId="33" applyFont="1" applyBorder="1"/>
    <xf numFmtId="0" fontId="30" fillId="0" borderId="0" xfId="33" applyFont="1"/>
    <xf numFmtId="0" fontId="24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38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4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24" fillId="0" borderId="0" xfId="35" applyFont="1" applyAlignment="1">
      <alignment horizontal="center" vertical="top"/>
    </xf>
    <xf numFmtId="0" fontId="24" fillId="0" borderId="31" xfId="35" applyFont="1" applyBorder="1" applyAlignment="1">
      <alignment horizontal="center" vertical="top"/>
    </xf>
    <xf numFmtId="170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2" fillId="0" borderId="34" xfId="0" applyFont="1" applyBorder="1" applyAlignment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1" fontId="0" fillId="0" borderId="40" xfId="48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2" fillId="0" borderId="0" xfId="0" applyFont="1"/>
    <xf numFmtId="0" fontId="24" fillId="17" borderId="32" xfId="0" applyFont="1" applyFill="1" applyBorder="1" applyAlignment="1">
      <alignment horizontal="center" vertical="center"/>
    </xf>
    <xf numFmtId="49" fontId="24" fillId="17" borderId="45" xfId="0" applyNumberFormat="1" applyFont="1" applyFill="1" applyBorder="1" applyAlignment="1">
      <alignment horizontal="center" vertical="center"/>
    </xf>
    <xf numFmtId="171" fontId="24" fillId="17" borderId="45" xfId="48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Font="1" applyFill="1" applyBorder="1" applyAlignment="1" applyProtection="1">
      <alignment horizontal="center" vertical="center" shrinkToFit="1"/>
    </xf>
    <xf numFmtId="171" fontId="21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0" fillId="0" borderId="0" xfId="0" applyFont="1"/>
    <xf numFmtId="0" fontId="30" fillId="0" borderId="33" xfId="0" applyFont="1" applyBorder="1" applyAlignment="1">
      <alignment horizontal="left" vertical="center"/>
    </xf>
    <xf numFmtId="0" fontId="30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4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>
      <alignment vertical="top"/>
    </xf>
    <xf numFmtId="0" fontId="24" fillId="0" borderId="0" xfId="35" applyFont="1" applyAlignment="1">
      <alignment vertical="top"/>
    </xf>
    <xf numFmtId="0" fontId="24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Font="1" applyFill="1" applyBorder="1" applyAlignment="1">
      <alignment horizontal="left" vertical="center"/>
    </xf>
    <xf numFmtId="0" fontId="24" fillId="14" borderId="32" xfId="0" applyFont="1" applyFill="1" applyBorder="1" applyAlignment="1">
      <alignment horizontal="center" vertical="center"/>
    </xf>
    <xf numFmtId="0" fontId="24" fillId="17" borderId="32" xfId="0" applyFont="1" applyFill="1" applyBorder="1" applyAlignment="1">
      <alignment horizontal="right" vertical="center"/>
    </xf>
    <xf numFmtId="4" fontId="24" fillId="17" borderId="55" xfId="0" applyNumberFormat="1" applyFont="1" applyFill="1" applyBorder="1" applyAlignment="1">
      <alignment horizontal="right" vertical="center" shrinkToFit="1"/>
    </xf>
    <xf numFmtId="4" fontId="24" fillId="17" borderId="56" xfId="0" applyNumberFormat="1" applyFont="1" applyFill="1" applyBorder="1" applyAlignment="1">
      <alignment horizontal="right" vertical="center" shrinkToFit="1"/>
    </xf>
    <xf numFmtId="4" fontId="24" fillId="17" borderId="57" xfId="0" applyNumberFormat="1" applyFont="1" applyFill="1" applyBorder="1" applyAlignment="1">
      <alignment horizontal="right" vertical="center" shrinkToFit="1"/>
    </xf>
    <xf numFmtId="4" fontId="24" fillId="17" borderId="37" xfId="0" applyNumberFormat="1" applyFont="1" applyFill="1" applyBorder="1" applyAlignment="1">
      <alignment horizontal="right" vertical="center" shrinkToFit="1"/>
    </xf>
    <xf numFmtId="0" fontId="24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2" fillId="0" borderId="32" xfId="0" applyFont="1" applyBorder="1"/>
    <xf numFmtId="0" fontId="12" fillId="0" borderId="32" xfId="0" applyFont="1" applyBorder="1" applyAlignment="1">
      <alignment horizontal="center"/>
    </xf>
    <xf numFmtId="0" fontId="46" fillId="0" borderId="32" xfId="0" applyFont="1" applyBorder="1" applyAlignment="1">
      <alignment horizontal="center" vertical="center"/>
    </xf>
    <xf numFmtId="171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1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2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3" fontId="56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/>
    <xf numFmtId="0" fontId="46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5" fontId="48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8" fillId="0" borderId="56" xfId="49" applyFont="1" applyFill="1" applyBorder="1" applyAlignment="1" applyProtection="1">
      <alignment horizontal="center"/>
    </xf>
    <xf numFmtId="165" fontId="48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/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4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4" fontId="49" fillId="0" borderId="56" xfId="34" applyNumberFormat="1" applyFont="1" applyBorder="1" applyAlignment="1" applyProtection="1">
      <alignment horizontal="center"/>
      <protection locked="0"/>
    </xf>
    <xf numFmtId="174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6" fillId="0" borderId="39" xfId="48" applyFill="1" applyBorder="1" applyAlignment="1" applyProtection="1">
      <alignment shrinkToFit="1"/>
    </xf>
    <xf numFmtId="171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6" fillId="8" borderId="39" xfId="48" applyFill="1" applyBorder="1" applyAlignment="1" applyProtection="1">
      <alignment shrinkToFit="1"/>
    </xf>
    <xf numFmtId="171" fontId="56" fillId="8" borderId="40" xfId="48" applyFill="1" applyBorder="1" applyAlignment="1" applyProtection="1">
      <alignment shrinkToFit="1"/>
    </xf>
    <xf numFmtId="171" fontId="56" fillId="8" borderId="41" xfId="48" applyFill="1" applyBorder="1" applyAlignment="1" applyProtection="1">
      <alignment shrinkToFit="1"/>
    </xf>
    <xf numFmtId="171" fontId="56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6" fillId="0" borderId="70" xfId="48" applyFill="1" applyBorder="1" applyAlignment="1" applyProtection="1">
      <alignment shrinkToFit="1"/>
    </xf>
    <xf numFmtId="171" fontId="56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46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5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/>
    <xf numFmtId="0" fontId="24" fillId="8" borderId="77" xfId="0" applyFont="1" applyFill="1" applyBorder="1"/>
    <xf numFmtId="0" fontId="24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3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2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>
      <alignment horizontal="center" vertical="center"/>
    </xf>
    <xf numFmtId="183" fontId="24" fillId="8" borderId="34" xfId="0" applyNumberFormat="1" applyFont="1" applyFill="1" applyBorder="1" applyAlignment="1">
      <alignment horizontal="center" vertical="center" wrapText="1"/>
    </xf>
    <xf numFmtId="171" fontId="0" fillId="0" borderId="38" xfId="48" applyFont="1" applyFill="1" applyBorder="1" applyAlignment="1" applyProtection="1">
      <alignment vertical="center" shrinkToFit="1"/>
    </xf>
    <xf numFmtId="171" fontId="0" fillId="0" borderId="69" xfId="48" applyFont="1" applyFill="1" applyBorder="1" applyAlignment="1" applyProtection="1">
      <alignment vertical="center" shrinkToFit="1"/>
    </xf>
    <xf numFmtId="171" fontId="0" fillId="0" borderId="39" xfId="48" applyFont="1" applyFill="1" applyBorder="1" applyAlignment="1" applyProtection="1">
      <alignment horizontal="center" vertical="center" shrinkToFit="1"/>
    </xf>
    <xf numFmtId="171" fontId="0" fillId="0" borderId="40" xfId="48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Font="1" applyFill="1" applyBorder="1" applyAlignment="1" applyProtection="1">
      <alignment horizontal="center" vertical="center"/>
    </xf>
    <xf numFmtId="171" fontId="24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4" fillId="0" borderId="32" xfId="0" applyFont="1" applyBorder="1" applyAlignment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24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170" fontId="24" fillId="0" borderId="47" xfId="0" applyNumberFormat="1" applyFont="1" applyBorder="1" applyAlignment="1">
      <alignment horizontal="center"/>
    </xf>
    <xf numFmtId="10" fontId="24" fillId="0" borderId="29" xfId="0" applyNumberFormat="1" applyFont="1" applyBorder="1" applyAlignment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1" fillId="0" borderId="0" xfId="0" applyFont="1"/>
    <xf numFmtId="178" fontId="0" fillId="8" borderId="42" xfId="0" applyNumberFormat="1" applyFill="1" applyBorder="1" applyAlignment="1">
      <alignment horizontal="center" vertical="center"/>
    </xf>
    <xf numFmtId="178" fontId="0" fillId="8" borderId="38" xfId="0" applyNumberFormat="1" applyFill="1" applyBorder="1" applyAlignment="1">
      <alignment horizontal="center" vertical="center"/>
    </xf>
    <xf numFmtId="178" fontId="0" fillId="8" borderId="79" xfId="0" applyNumberFormat="1" applyFill="1" applyBorder="1" applyAlignment="1">
      <alignment horizontal="center" vertical="center"/>
    </xf>
    <xf numFmtId="178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8" fontId="55" fillId="0" borderId="40" xfId="0" applyNumberFormat="1" applyFont="1" applyBorder="1"/>
    <xf numFmtId="178" fontId="0" fillId="0" borderId="86" xfId="0" applyNumberFormat="1" applyBorder="1" applyAlignment="1">
      <alignment horizontal="center" vertical="center"/>
    </xf>
    <xf numFmtId="178" fontId="0" fillId="0" borderId="59" xfId="0" applyNumberFormat="1" applyBorder="1" applyAlignment="1">
      <alignment horizontal="center" vertical="center"/>
    </xf>
    <xf numFmtId="178" fontId="0" fillId="0" borderId="60" xfId="0" applyNumberFormat="1" applyBorder="1" applyAlignment="1">
      <alignment horizontal="center" vertical="center"/>
    </xf>
    <xf numFmtId="178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178" fontId="0" fillId="0" borderId="0" xfId="0" applyNumberFormat="1"/>
    <xf numFmtId="0" fontId="17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Alignment="1">
      <alignment horizontal="left"/>
    </xf>
    <xf numFmtId="171" fontId="56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4" fillId="0" borderId="0" xfId="33" applyFont="1" applyAlignment="1">
      <alignment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59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Border="1"/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4" fillId="6" borderId="14" xfId="0" applyFont="1" applyFill="1" applyBorder="1" applyAlignment="1" applyProtection="1">
      <alignment horizontal="center" vertical="center" wrapText="1"/>
      <protection locked="0"/>
    </xf>
    <xf numFmtId="0" fontId="24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1" fontId="21" fillId="17" borderId="32" xfId="48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>
      <alignment horizontal="center" vertical="center" wrapText="1"/>
    </xf>
    <xf numFmtId="171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4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>
      <alignment horizontal="center" vertical="center"/>
    </xf>
    <xf numFmtId="171" fontId="24" fillId="17" borderId="30" xfId="48" applyFont="1" applyFill="1" applyBorder="1" applyAlignment="1" applyProtection="1">
      <alignment horizontal="center" vertical="center"/>
    </xf>
    <xf numFmtId="171" fontId="24" fillId="17" borderId="29" xfId="48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6" fontId="0" fillId="0" borderId="30" xfId="0" applyNumberFormat="1" applyBorder="1" applyAlignment="1">
      <alignment horizontal="left"/>
    </xf>
    <xf numFmtId="0" fontId="17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Font="1" applyFill="1" applyBorder="1" applyAlignment="1" applyProtection="1">
      <alignment vertical="center" shrinkToFit="1"/>
    </xf>
    <xf numFmtId="171" fontId="24" fillId="17" borderId="71" xfId="48" applyFont="1" applyFill="1" applyBorder="1" applyAlignment="1" applyProtection="1">
      <alignment horizontal="center" vertical="center" shrinkToFit="1"/>
    </xf>
    <xf numFmtId="171" fontId="24" fillId="17" borderId="75" xfId="48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43" fontId="0" fillId="0" borderId="0" xfId="0" applyNumberFormat="1"/>
    <xf numFmtId="0" fontId="18" fillId="0" borderId="32" xfId="0" applyFont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0" fillId="0" borderId="31" xfId="0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24" fillId="0" borderId="32" xfId="33" applyFont="1" applyBorder="1" applyAlignment="1">
      <alignment horizontal="center" vertical="center"/>
    </xf>
    <xf numFmtId="164" fontId="8" fillId="16" borderId="14" xfId="32" applyFont="1" applyFill="1" applyBorder="1" applyAlignment="1" applyProtection="1">
      <alignment horizontal="left"/>
      <protection locked="0"/>
    </xf>
    <xf numFmtId="4" fontId="17" fillId="0" borderId="32" xfId="33" applyNumberFormat="1" applyFont="1" applyBorder="1" applyAlignment="1">
      <alignment horizontal="center" vertical="center" wrapText="1"/>
    </xf>
    <xf numFmtId="0" fontId="17" fillId="0" borderId="32" xfId="33" applyFont="1" applyBorder="1" applyAlignment="1">
      <alignment horizontal="center" vertical="center"/>
    </xf>
    <xf numFmtId="0" fontId="23" fillId="0" borderId="32" xfId="33" applyFont="1" applyBorder="1" applyAlignment="1">
      <alignment horizontal="center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top"/>
    </xf>
    <xf numFmtId="0" fontId="8" fillId="0" borderId="32" xfId="33" applyFont="1" applyBorder="1" applyAlignment="1">
      <alignment horizontal="left" vertical="center" wrapText="1"/>
    </xf>
    <xf numFmtId="0" fontId="30" fillId="8" borderId="32" xfId="33" applyFont="1" applyFill="1" applyBorder="1" applyAlignment="1">
      <alignment horizontal="center" vertical="center" wrapText="1"/>
    </xf>
    <xf numFmtId="0" fontId="32" fillId="0" borderId="0" xfId="33" applyFont="1" applyAlignment="1">
      <alignment horizontal="left" vertical="center" indent="1"/>
    </xf>
    <xf numFmtId="0" fontId="0" fillId="0" borderId="0" xfId="3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0" fillId="0" borderId="10" xfId="33" applyFont="1" applyBorder="1" applyAlignment="1">
      <alignment horizontal="left" vertical="center"/>
    </xf>
    <xf numFmtId="167" fontId="0" fillId="0" borderId="30" xfId="33" applyNumberFormat="1" applyFont="1" applyBorder="1" applyAlignment="1">
      <alignment horizontal="left"/>
    </xf>
    <xf numFmtId="186" fontId="0" fillId="0" borderId="30" xfId="33" applyNumberFormat="1" applyFont="1" applyBorder="1" applyAlignment="1">
      <alignment horizontal="left"/>
    </xf>
    <xf numFmtId="0" fontId="24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0" fontId="39" fillId="0" borderId="0" xfId="0" applyFont="1" applyAlignment="1">
      <alignment horizontal="center" textRotation="90"/>
    </xf>
    <xf numFmtId="186" fontId="0" fillId="0" borderId="0" xfId="0" applyNumberFormat="1" applyAlignment="1">
      <alignment horizontal="left"/>
    </xf>
    <xf numFmtId="0" fontId="24" fillId="17" borderId="13" xfId="0" applyFont="1" applyFill="1" applyBorder="1" applyAlignment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0" fontId="0" fillId="0" borderId="32" xfId="0" applyBorder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62" fillId="0" borderId="0" xfId="0" applyFont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9" fillId="0" borderId="0" xfId="0" applyFont="1" applyAlignment="1">
      <alignment horizontal="center" textRotation="90" wrapText="1"/>
    </xf>
    <xf numFmtId="0" fontId="23" fillId="0" borderId="0" xfId="0" applyFont="1" applyAlignment="1">
      <alignment horizontal="left" vertical="center" indent="10"/>
    </xf>
    <xf numFmtId="0" fontId="37" fillId="0" borderId="0" xfId="0" applyFont="1" applyAlignment="1">
      <alignment horizontal="left" vertical="center" indent="10"/>
    </xf>
    <xf numFmtId="0" fontId="24" fillId="17" borderId="32" xfId="0" applyFont="1" applyFill="1" applyBorder="1" applyAlignment="1">
      <alignment horizontal="left" vertical="center" wrapText="1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top" wrapText="1"/>
    </xf>
    <xf numFmtId="0" fontId="12" fillId="0" borderId="32" xfId="0" applyFont="1" applyBorder="1"/>
    <xf numFmtId="0" fontId="46" fillId="18" borderId="32" xfId="0" applyFont="1" applyFill="1" applyBorder="1" applyAlignment="1">
      <alignment horizontal="left" vertical="center"/>
    </xf>
    <xf numFmtId="0" fontId="46" fillId="0" borderId="14" xfId="34" applyFont="1" applyBorder="1" applyAlignment="1">
      <alignment horizontal="left"/>
    </xf>
    <xf numFmtId="0" fontId="46" fillId="0" borderId="0" xfId="34" applyFont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186" fontId="0" fillId="0" borderId="30" xfId="0" applyNumberFormat="1" applyBorder="1" applyAlignment="1">
      <alignment horizontal="left"/>
    </xf>
    <xf numFmtId="0" fontId="46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wrapText="1"/>
    </xf>
    <xf numFmtId="0" fontId="0" fillId="0" borderId="40" xfId="0" applyBorder="1" applyAlignment="1">
      <alignment horizontal="left"/>
    </xf>
    <xf numFmtId="0" fontId="49" fillId="0" borderId="31" xfId="34" applyFont="1" applyBorder="1" applyAlignment="1">
      <alignment horizontal="center"/>
    </xf>
    <xf numFmtId="0" fontId="60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14" xfId="34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8" borderId="32" xfId="0" applyFont="1" applyFill="1" applyBorder="1" applyAlignment="1">
      <alignment horizontal="center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18" borderId="40" xfId="0" applyFill="1" applyBorder="1"/>
    <xf numFmtId="10" fontId="56" fillId="0" borderId="10" xfId="37" applyNumberFormat="1" applyFill="1" applyBorder="1" applyAlignment="1" applyProtection="1">
      <alignment horizontal="center"/>
    </xf>
    <xf numFmtId="10" fontId="56" fillId="0" borderId="34" xfId="37" applyNumberFormat="1" applyFill="1" applyBorder="1" applyAlignment="1" applyProtection="1">
      <alignment horizontal="center"/>
    </xf>
    <xf numFmtId="176" fontId="24" fillId="8" borderId="32" xfId="0" applyNumberFormat="1" applyFont="1" applyFill="1" applyBorder="1" applyAlignment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177" fontId="56" fillId="0" borderId="14" xfId="48" applyNumberFormat="1" applyFill="1" applyBorder="1" applyAlignment="1" applyProtection="1">
      <alignment horizontal="center" shrinkToFit="1"/>
    </xf>
    <xf numFmtId="10" fontId="56" fillId="0" borderId="31" xfId="37" applyNumberFormat="1" applyFill="1" applyBorder="1" applyAlignment="1" applyProtection="1">
      <alignment horizontal="center"/>
    </xf>
    <xf numFmtId="10" fontId="56" fillId="0" borderId="33" xfId="37" applyNumberFormat="1" applyFill="1" applyBorder="1" applyAlignment="1" applyProtection="1">
      <alignment horizontal="center"/>
    </xf>
    <xf numFmtId="0" fontId="24" fillId="0" borderId="32" xfId="0" applyFont="1" applyBorder="1" applyAlignment="1">
      <alignment horizontal="right" vertical="center"/>
    </xf>
    <xf numFmtId="10" fontId="56" fillId="0" borderId="0" xfId="37" applyNumberFormat="1" applyFill="1" applyBorder="1" applyAlignment="1" applyProtection="1">
      <alignment horizontal="center"/>
    </xf>
    <xf numFmtId="177" fontId="56" fillId="0" borderId="30" xfId="48" applyNumberFormat="1" applyFill="1" applyBorder="1" applyAlignment="1" applyProtection="1">
      <alignment horizontal="center" shrinkToFit="1"/>
    </xf>
    <xf numFmtId="177" fontId="56" fillId="0" borderId="47" xfId="48" applyNumberFormat="1" applyFill="1" applyBorder="1" applyAlignment="1" applyProtection="1">
      <alignment horizontal="center" shrinkToFit="1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0" fillId="0" borderId="14" xfId="0" applyBorder="1" applyAlignment="1">
      <alignment horizontal="center"/>
    </xf>
    <xf numFmtId="0" fontId="31" fillId="0" borderId="0" xfId="0" applyFont="1" applyAlignment="1">
      <alignment horizontal="right" vertical="center" wrapText="1"/>
    </xf>
    <xf numFmtId="165" fontId="23" fillId="0" borderId="0" xfId="0" applyNumberFormat="1" applyFont="1" applyAlignment="1">
      <alignment horizontal="right" vertical="top"/>
    </xf>
    <xf numFmtId="0" fontId="23" fillId="6" borderId="33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171" fontId="24" fillId="8" borderId="14" xfId="48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Font="1" applyFill="1" applyBorder="1" applyAlignment="1">
      <alignment horizontal="left" vertical="center" wrapText="1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  <xf numFmtId="4" fontId="24" fillId="0" borderId="31" xfId="0" applyNumberFormat="1" applyFont="1" applyBorder="1" applyAlignment="1">
      <alignment horizontal="left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>
      <alignment horizontal="center"/>
    </xf>
    <xf numFmtId="0" fontId="53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3" xfId="35" applyFont="1" applyBorder="1" applyAlignment="1">
      <alignment horizontal="center"/>
    </xf>
    <xf numFmtId="0" fontId="24" fillId="0" borderId="0" xfId="35" applyFont="1" applyAlignment="1">
      <alignment horizontal="center"/>
    </xf>
    <xf numFmtId="0" fontId="24" fillId="0" borderId="12" xfId="35" applyFont="1" applyBorder="1" applyAlignment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8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0" fillId="0" borderId="39" xfId="33" applyFont="1" applyBorder="1" applyAlignment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74" xfId="33" applyFont="1" applyBorder="1" applyAlignment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 xr:uid="{00000000-0005-0000-0000-00001F000000}"/>
    <cellStyle name="Normal" xfId="0" builtinId="0"/>
    <cellStyle name="Normal 2" xfId="33" xr:uid="{00000000-0005-0000-0000-000021000000}"/>
    <cellStyle name="Normal 3" xfId="34" xr:uid="{00000000-0005-0000-0000-000022000000}"/>
    <cellStyle name="Normal_FICHA DE VERIFICAÇÃO PRELIMINAR - Plano R" xfId="35" xr:uid="{00000000-0005-0000-0000-000023000000}"/>
    <cellStyle name="Nota" xfId="36" builtinId="10" customBuiltin="1"/>
    <cellStyle name="Porcentagem" xfId="37" builtinId="5"/>
    <cellStyle name="Porcentagem 2" xfId="38" xr:uid="{00000000-0005-0000-0000-000026000000}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 xr:uid="{00000000-0005-0000-0000-00002E000000}"/>
    <cellStyle name="Total" xfId="47" builtinId="25" customBuiltin="1"/>
    <cellStyle name="Vírgula" xfId="48" builtinId="3"/>
    <cellStyle name="Vírgula 2" xfId="49" xr:uid="{00000000-0005-0000-0000-000031000000}"/>
  </cellStyles>
  <dxfs count="1452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2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9120" y="971550"/>
              <a:ext cx="1257300" cy="483870"/>
              <a:chOff x="523876" y="971528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8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35480" y="971550"/>
              <a:ext cx="1230630" cy="483870"/>
              <a:chOff x="1790701" y="971522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701" y="971522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zoomScaleNormal="100" zoomScaleSheetLayoutView="85" workbookViewId="0">
      <selection activeCell="E6" sqref="E6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">
      <c r="A2" s="454"/>
      <c r="B2" s="456"/>
      <c r="C2" s="456"/>
      <c r="D2" s="456"/>
      <c r="E2" s="577" t="str">
        <f>CHOOSE(MATCH(Objeto,{"PM","PO"}),"PLANILHA MÚLTIPLA ","PLANILHA ORÇAMENTÁRIA ")&amp; Versao</f>
        <v>PLANILHA MÚLTIPLA v3.0.6</v>
      </c>
      <c r="F2" s="577"/>
      <c r="G2" s="577"/>
      <c r="H2" s="458"/>
      <c r="I2" s="456"/>
      <c r="J2" t="s">
        <v>438</v>
      </c>
    </row>
    <row r="3" spans="1:15" ht="22.5" customHeight="1" x14ac:dyDescent="0.2">
      <c r="A3" s="454"/>
      <c r="B3" s="456"/>
      <c r="C3" s="456"/>
      <c r="D3" s="456"/>
      <c r="E3" s="577"/>
      <c r="F3" s="577"/>
      <c r="G3" s="577"/>
      <c r="H3" s="458"/>
      <c r="I3" s="456"/>
      <c r="O3" s="463">
        <v>1</v>
      </c>
    </row>
    <row r="4" spans="1:15" ht="17.100000000000001" customHeight="1" x14ac:dyDescent="0.2">
      <c r="A4" s="454"/>
      <c r="B4" s="456"/>
      <c r="C4" s="456"/>
      <c r="D4" s="456"/>
      <c r="E4" s="456"/>
      <c r="F4" s="457"/>
      <c r="G4" s="458"/>
      <c r="H4" s="458"/>
      <c r="I4" s="456"/>
      <c r="O4" s="463">
        <v>2</v>
      </c>
    </row>
    <row r="5" spans="1:15" ht="17.100000000000001" customHeight="1" thickBot="1" x14ac:dyDescent="0.25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25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">
      <c r="A8" s="456"/>
      <c r="B8" s="576" t="str">
        <f>IF($O$3&lt;&gt;2,"DOCUMENTAÇÃO DA PROPOSTA","PROPOSTA: Para visualizar/preencher esta seção, altere o TIPO DE ORÇAMENTO para 'Proposto'")</f>
        <v>DOCUMENTAÇÃO DA PROPOSTA</v>
      </c>
      <c r="C8" s="576"/>
      <c r="D8" s="576"/>
      <c r="E8" s="576"/>
      <c r="F8" s="576"/>
      <c r="G8" s="576"/>
      <c r="H8" s="576"/>
      <c r="I8" s="454"/>
      <c r="J8" s="481" t="s">
        <v>4</v>
      </c>
      <c r="K8" s="474"/>
      <c r="L8" s="475" t="s">
        <v>402</v>
      </c>
      <c r="M8" s="475"/>
      <c r="N8" s="476"/>
    </row>
    <row r="9" spans="1:15" ht="13.5" thickBot="1" x14ac:dyDescent="0.25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25">
      <c r="A10" s="454"/>
      <c r="B10" s="454"/>
      <c r="C10" s="462" t="str">
        <f>IF(TIPOORCAMENTO&lt;&gt;"Proposto","","                    BDI                    ")</f>
        <v xml:space="preserve">                    BDI                    </v>
      </c>
      <c r="D10" s="455"/>
      <c r="E10" s="462" t="str">
        <f>IF(TIPOORCAMENTO&lt;&gt;"Proposto","","             ORÇAMENTO             ")</f>
        <v xml:space="preserve">             ORÇAMENTO             </v>
      </c>
      <c r="F10" s="455"/>
      <c r="G10" s="461" t="str">
        <f>IF(TIPOORCAMENTO&lt;&gt;"Proposto","","MEMÓRIA DE CÁLCULO / PLQ")</f>
        <v>MEMÓRIA DE CÁLCULO / PLQ</v>
      </c>
      <c r="H10" s="454"/>
      <c r="I10" s="454"/>
      <c r="K10" s="474"/>
      <c r="L10" s="5"/>
      <c r="M10" s="3"/>
      <c r="N10" s="477" t="s">
        <v>2</v>
      </c>
    </row>
    <row r="11" spans="1:15" ht="13.5" thickBot="1" x14ac:dyDescent="0.25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25">
      <c r="A12" s="454"/>
      <c r="B12" s="454"/>
      <c r="C12" s="462" t="str">
        <f>IF(TIPOORCAMENTO&lt;&gt;"Proposto","","                    QCI                    ")</f>
        <v xml:space="preserve">                    QCI                    </v>
      </c>
      <c r="D12" s="455"/>
      <c r="E12" s="460" t="str">
        <f>IF(TIPOORCAMENTO&lt;&gt;"Proposto","","CRONOGRAMA FÍSICO-FINANCEIRO")</f>
        <v>CRONOGRAMA FÍSICO-FINANCEIRO</v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">
      <c r="A14" s="454"/>
      <c r="B14" s="454"/>
      <c r="C14" s="45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03-2024.xlsm.</v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">
      <c r="A16" s="454"/>
      <c r="B16" s="576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76"/>
      <c r="D16" s="576"/>
      <c r="E16" s="576"/>
      <c r="F16" s="576"/>
      <c r="G16" s="576"/>
      <c r="H16" s="576"/>
      <c r="I16" s="454"/>
      <c r="K16" s="474"/>
      <c r="L16" s="469"/>
      <c r="M16" s="3"/>
      <c r="N16" s="477" t="s">
        <v>403</v>
      </c>
    </row>
    <row r="17" spans="1:14" ht="13.5" thickBot="1" x14ac:dyDescent="0.25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25">
      <c r="A18" s="454"/>
      <c r="B18" s="454"/>
      <c r="C18" s="465" t="str">
        <f>IF(TIPOORCAMENTO&lt;&gt;"Licitado","","             ORÇAMENTO             ")</f>
        <v/>
      </c>
      <c r="D18" s="455"/>
      <c r="E18" s="465" t="str">
        <f>IF(TIPOORCAMENTO&lt;&gt;"Licitado","","                    QCI                   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404</v>
      </c>
    </row>
    <row r="19" spans="1:14" x14ac:dyDescent="0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">
      <c r="A20" s="456"/>
      <c r="B20" s="576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76"/>
      <c r="D20" s="576"/>
      <c r="E20" s="576"/>
      <c r="F20" s="576"/>
      <c r="G20" s="576"/>
      <c r="H20" s="576"/>
      <c r="I20" s="454"/>
    </row>
    <row r="21" spans="1:14" ht="13.5" thickBot="1" x14ac:dyDescent="0.25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25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                   RRE                    ")</f>
        <v/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4" ht="13.5" thickBot="1" x14ac:dyDescent="0.25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25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4" x14ac:dyDescent="0.2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1451" priority="70" stopIfTrue="1">
      <formula>TIPOORCAMENTO="Licitado"</formula>
    </cfRule>
  </conditionalFormatting>
  <conditionalFormatting sqref="C18:G18 E22:E24">
    <cfRule type="expression" dxfId="1450" priority="71" stopIfTrue="1">
      <formula>TIPOORCAMENTO&lt;&gt;"Licitado"</formula>
    </cfRule>
  </conditionalFormatting>
  <conditionalFormatting sqref="C22">
    <cfRule type="expression" dxfId="1449" priority="73" stopIfTrue="1">
      <formula>OR(TIPOORCAMENTO&lt;&gt;"Licitado",ACOMPANHAMENTO&lt;&gt;"PLE")</formula>
    </cfRule>
  </conditionalFormatting>
  <conditionalFormatting sqref="G22">
    <cfRule type="expression" dxfId="1448" priority="74" stopIfTrue="1">
      <formula>OR(TIPOORCAMENTO&lt;&gt;"Licitado",ACOMPANHAMENTO&lt;&gt;"BM")</formula>
    </cfRule>
  </conditionalFormatting>
  <conditionalFormatting sqref="B16:H16 B20:H20">
    <cfRule type="expression" dxfId="1447" priority="599" stopIfTrue="1">
      <formula>$O$3&lt;&gt;2</formula>
    </cfRule>
  </conditionalFormatting>
  <conditionalFormatting sqref="B8:H8">
    <cfRule type="expression" dxfId="1446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1485900</xdr:colOff>
                    <xdr:row>4</xdr:row>
                    <xdr:rowOff>161925</xdr:rowOff>
                  </from>
                  <to>
                    <xdr:col>2</xdr:col>
                    <xdr:colOff>2419350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tabSelected="1" zoomScale="90" zoomScaleNormal="90" workbookViewId="0">
      <pane ySplit="2" topLeftCell="A15" activePane="bottomLeft" state="frozen"/>
      <selection pane="bottomLeft" activeCell="F25" sqref="F25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579" t="s">
        <v>6</v>
      </c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  <c r="AJ1" s="579"/>
      <c r="AK1" s="579"/>
      <c r="AL1" s="579"/>
      <c r="AM1" s="579"/>
      <c r="AN1" s="579"/>
      <c r="AO1" s="579"/>
      <c r="AP1" s="579"/>
      <c r="AQ1" s="579"/>
      <c r="AR1" s="579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578" t="s">
        <v>25</v>
      </c>
      <c r="F3" s="578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448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 t="s">
        <v>449</v>
      </c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450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/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442</v>
      </c>
      <c r="F8" s="19"/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20"/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20">
        <v>291001.64</v>
      </c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578" t="s">
        <v>102</v>
      </c>
      <c r="F15" s="578"/>
      <c r="J15" s="13" t="s">
        <v>20</v>
      </c>
    </row>
    <row r="16" spans="5:44" x14ac:dyDescent="0.2">
      <c r="E16" s="25" t="s">
        <v>103</v>
      </c>
      <c r="F16" s="26" t="s">
        <v>451</v>
      </c>
      <c r="J16" s="13" t="s">
        <v>21</v>
      </c>
    </row>
    <row r="17" spans="5:10" x14ac:dyDescent="0.2">
      <c r="E17" s="18" t="s">
        <v>104</v>
      </c>
      <c r="F17" s="27" t="s">
        <v>451</v>
      </c>
      <c r="J17" s="13" t="s">
        <v>22</v>
      </c>
    </row>
    <row r="18" spans="5:10" x14ac:dyDescent="0.2">
      <c r="E18" s="18" t="s">
        <v>105</v>
      </c>
      <c r="F18" s="28" t="s">
        <v>452</v>
      </c>
      <c r="J18" s="13" t="s">
        <v>23</v>
      </c>
    </row>
    <row r="19" spans="5:10" x14ac:dyDescent="0.2">
      <c r="E19" s="29" t="s">
        <v>106</v>
      </c>
      <c r="F19" s="30">
        <v>45352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578" t="s">
        <v>107</v>
      </c>
      <c r="F21" s="578"/>
      <c r="J21" s="13"/>
    </row>
    <row r="22" spans="5:10" x14ac:dyDescent="0.2">
      <c r="E22" s="16" t="s">
        <v>108</v>
      </c>
      <c r="F22" s="32" t="s">
        <v>453</v>
      </c>
    </row>
    <row r="23" spans="5:10" x14ac:dyDescent="0.2">
      <c r="E23" s="18" t="s">
        <v>109</v>
      </c>
      <c r="F23" s="19" t="s">
        <v>454</v>
      </c>
    </row>
    <row r="24" spans="5:10" x14ac:dyDescent="0.2">
      <c r="E24" s="18" t="s">
        <v>110</v>
      </c>
      <c r="F24" s="19" t="s">
        <v>614</v>
      </c>
    </row>
    <row r="25" spans="5:10" x14ac:dyDescent="0.2">
      <c r="E25" s="22" t="s">
        <v>111</v>
      </c>
      <c r="F25" s="33">
        <f ca="1">TODAY()</f>
        <v>45412</v>
      </c>
    </row>
    <row r="27" spans="5:10" ht="15" x14ac:dyDescent="0.2">
      <c r="E27" s="578" t="s">
        <v>112</v>
      </c>
      <c r="F27" s="578"/>
    </row>
    <row r="28" spans="5:10" x14ac:dyDescent="0.2">
      <c r="E28" s="14" t="s">
        <v>108</v>
      </c>
      <c r="F28" s="34" t="s">
        <v>455</v>
      </c>
    </row>
    <row r="29" spans="5:10" x14ac:dyDescent="0.2">
      <c r="E29" s="22" t="s">
        <v>113</v>
      </c>
      <c r="F29" s="35" t="s">
        <v>456</v>
      </c>
    </row>
    <row r="30" spans="5:10" ht="16.5" thickBot="1" x14ac:dyDescent="0.25">
      <c r="E30" s="8"/>
    </row>
    <row r="31" spans="5:10" ht="13.5" thickBot="1" x14ac:dyDescent="0.25">
      <c r="E31" s="573" t="s">
        <v>439</v>
      </c>
      <c r="F31" s="574" t="s">
        <v>440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578" t="s">
        <v>115</v>
      </c>
      <c r="F35" s="578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 t="s">
        <v>457</v>
      </c>
    </row>
    <row r="41" spans="5:6" x14ac:dyDescent="0.2">
      <c r="E41" s="29" t="s">
        <v>121</v>
      </c>
      <c r="F41" s="37">
        <v>45352</v>
      </c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578" t="s">
        <v>123</v>
      </c>
      <c r="F46" s="578"/>
    </row>
    <row r="47" spans="5:6" x14ac:dyDescent="0.2">
      <c r="E47" s="14" t="s">
        <v>124</v>
      </c>
      <c r="F47" s="36"/>
    </row>
    <row r="48" spans="5:6" x14ac:dyDescent="0.2">
      <c r="E48" s="29" t="s">
        <v>125</v>
      </c>
      <c r="F48" s="38">
        <f ca="1">TODAY()</f>
        <v>45412</v>
      </c>
    </row>
    <row r="49" spans="5:6" ht="15.75" x14ac:dyDescent="0.2">
      <c r="E49" s="8"/>
    </row>
    <row r="50" spans="5:6" ht="12.75" customHeight="1" x14ac:dyDescent="0.2">
      <c r="E50" s="578" t="s">
        <v>126</v>
      </c>
      <c r="F50" s="578"/>
    </row>
    <row r="51" spans="5:6" x14ac:dyDescent="0.2">
      <c r="E51" s="14" t="s">
        <v>108</v>
      </c>
      <c r="F51" s="39" t="s">
        <v>453</v>
      </c>
    </row>
    <row r="52" spans="5:6" x14ac:dyDescent="0.2">
      <c r="E52" s="18" t="s">
        <v>127</v>
      </c>
      <c r="F52" s="19" t="s">
        <v>458</v>
      </c>
    </row>
    <row r="53" spans="5:6" x14ac:dyDescent="0.2">
      <c r="E53" s="18" t="s">
        <v>128</v>
      </c>
      <c r="F53" s="19" t="s">
        <v>454</v>
      </c>
    </row>
    <row r="54" spans="5:6" x14ac:dyDescent="0.2">
      <c r="E54" s="22" t="s">
        <v>129</v>
      </c>
      <c r="F54" s="40" t="s">
        <v>614</v>
      </c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578" t="s">
        <v>131</v>
      </c>
      <c r="F59" s="578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8" type="noConversion"/>
  <conditionalFormatting sqref="E57:F58">
    <cfRule type="expression" dxfId="1445" priority="2" stopIfTrue="1">
      <formula>CAIXA.Modo=FALSE</formula>
    </cfRule>
  </conditionalFormatting>
  <conditionalFormatting sqref="E59:F61">
    <cfRule type="expression" dxfId="1444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2" t="s">
        <v>133</v>
      </c>
    </row>
    <row r="5" spans="1:4" ht="18.75" x14ac:dyDescent="0.3">
      <c r="A5" s="43"/>
      <c r="B5" s="44"/>
      <c r="C5" s="44"/>
      <c r="D5" s="45"/>
    </row>
    <row r="6" spans="1:4" ht="18.75" x14ac:dyDescent="0.3">
      <c r="A6" s="46" t="s">
        <v>134</v>
      </c>
      <c r="B6" s="47"/>
      <c r="C6" s="47"/>
      <c r="D6" s="3"/>
    </row>
    <row r="7" spans="1:4" ht="15" x14ac:dyDescent="0.25">
      <c r="A7" s="4"/>
      <c r="B7" s="48" t="s">
        <v>135</v>
      </c>
      <c r="C7" s="48"/>
      <c r="D7" s="3"/>
    </row>
    <row r="8" spans="1:4" ht="15" x14ac:dyDescent="0.25">
      <c r="A8" s="4"/>
      <c r="B8" s="48"/>
      <c r="C8" s="49" t="str">
        <f>IF(D8&lt;&gt;"","▪","")</f>
        <v>▪</v>
      </c>
      <c r="D8" s="3" t="s">
        <v>136</v>
      </c>
    </row>
    <row r="9" spans="1:4" ht="15" x14ac:dyDescent="0.25">
      <c r="A9" s="4"/>
      <c r="B9" s="48"/>
      <c r="C9" s="49" t="str">
        <f>IF(D9&lt;&gt;"","▪","")</f>
        <v/>
      </c>
      <c r="D9" s="3"/>
    </row>
    <row r="10" spans="1:4" ht="18.75" x14ac:dyDescent="0.3">
      <c r="A10" s="563" t="s">
        <v>412</v>
      </c>
      <c r="B10" s="564"/>
      <c r="C10" s="564"/>
      <c r="D10" s="565"/>
    </row>
    <row r="11" spans="1:4" ht="15" x14ac:dyDescent="0.25">
      <c r="A11" s="4"/>
      <c r="B11" s="48" t="s">
        <v>135</v>
      </c>
      <c r="C11" s="48"/>
      <c r="D11" s="3"/>
    </row>
    <row r="12" spans="1:4" ht="15" x14ac:dyDescent="0.25">
      <c r="A12" s="4"/>
      <c r="B12" s="48"/>
      <c r="C12" s="49" t="str">
        <f>IF(D12&lt;&gt;"","▪","")</f>
        <v>▪</v>
      </c>
      <c r="D12" s="3" t="s">
        <v>415</v>
      </c>
    </row>
    <row r="13" spans="1:4" ht="15" x14ac:dyDescent="0.25">
      <c r="A13" s="4"/>
      <c r="B13" s="48" t="s">
        <v>413</v>
      </c>
      <c r="C13" s="48"/>
      <c r="D13" s="3"/>
    </row>
    <row r="14" spans="1:4" ht="15" x14ac:dyDescent="0.25">
      <c r="A14" s="476"/>
      <c r="B14" s="48"/>
      <c r="C14" s="49" t="str">
        <f>IF(D14&lt;&gt;"","▪","")</f>
        <v>▪</v>
      </c>
      <c r="D14" s="3" t="s">
        <v>416</v>
      </c>
    </row>
    <row r="15" spans="1:4" ht="15" x14ac:dyDescent="0.2">
      <c r="A15" s="476"/>
      <c r="C15" s="49" t="str">
        <f>IF(D15&lt;&gt;"","▪","")</f>
        <v>▪</v>
      </c>
      <c r="D15" s="3" t="s">
        <v>417</v>
      </c>
    </row>
    <row r="16" spans="1:4" x14ac:dyDescent="0.2">
      <c r="A16" s="480"/>
    </row>
    <row r="17" spans="1:4" ht="18.75" x14ac:dyDescent="0.3">
      <c r="A17" s="563" t="s">
        <v>419</v>
      </c>
      <c r="B17" s="564"/>
      <c r="C17" s="564"/>
      <c r="D17" s="565"/>
    </row>
    <row r="18" spans="1:4" ht="15" x14ac:dyDescent="0.25">
      <c r="A18" s="4"/>
      <c r="B18" s="48" t="s">
        <v>135</v>
      </c>
      <c r="C18" s="48"/>
      <c r="D18" s="3"/>
    </row>
    <row r="19" spans="1:4" ht="15" x14ac:dyDescent="0.25">
      <c r="A19" s="4"/>
      <c r="B19" s="48"/>
      <c r="C19" s="49" t="str">
        <f>IF(D19&lt;&gt;"","▪","")</f>
        <v>▪</v>
      </c>
      <c r="D19" s="3" t="s">
        <v>415</v>
      </c>
    </row>
    <row r="20" spans="1:4" ht="15" x14ac:dyDescent="0.25">
      <c r="A20" s="4"/>
      <c r="B20" s="48"/>
      <c r="C20" s="49" t="str">
        <f>IF(D20&lt;&gt;"","▪","")</f>
        <v>▪</v>
      </c>
      <c r="D20" s="3" t="s">
        <v>428</v>
      </c>
    </row>
    <row r="21" spans="1:4" ht="15" x14ac:dyDescent="0.25">
      <c r="A21" s="476"/>
      <c r="B21" s="48" t="s">
        <v>426</v>
      </c>
      <c r="C21" s="48"/>
      <c r="D21" s="3"/>
    </row>
    <row r="22" spans="1:4" ht="15" x14ac:dyDescent="0.25">
      <c r="A22" s="476"/>
      <c r="B22" s="48"/>
      <c r="C22" s="49" t="str">
        <f>IF(D22&lt;&gt;"","▪","")</f>
        <v>▪</v>
      </c>
      <c r="D22" s="3" t="s">
        <v>427</v>
      </c>
    </row>
    <row r="23" spans="1:4" ht="15" x14ac:dyDescent="0.25">
      <c r="A23" s="476"/>
      <c r="B23" s="48" t="s">
        <v>420</v>
      </c>
      <c r="C23" s="48"/>
      <c r="D23" s="3"/>
    </row>
    <row r="24" spans="1:4" ht="15" x14ac:dyDescent="0.25">
      <c r="A24" s="476"/>
      <c r="B24" s="48"/>
      <c r="C24" s="49" t="str">
        <f>IF(D24&lt;&gt;"","▪","")</f>
        <v>▪</v>
      </c>
      <c r="D24" s="3" t="s">
        <v>424</v>
      </c>
    </row>
    <row r="25" spans="1:4" ht="15" x14ac:dyDescent="0.25">
      <c r="A25" s="476"/>
      <c r="B25" s="48" t="s">
        <v>421</v>
      </c>
      <c r="C25" s="48"/>
      <c r="D25" s="3"/>
    </row>
    <row r="26" spans="1:4" ht="15" x14ac:dyDescent="0.25">
      <c r="A26" s="476"/>
      <c r="B26" s="48"/>
      <c r="C26" s="49" t="str">
        <f>IF(D26&lt;&gt;"","▪","")</f>
        <v>▪</v>
      </c>
      <c r="D26" s="3" t="s">
        <v>423</v>
      </c>
    </row>
    <row r="27" spans="1:4" ht="15" x14ac:dyDescent="0.25">
      <c r="A27" s="476"/>
      <c r="B27" s="48" t="s">
        <v>425</v>
      </c>
      <c r="C27" s="48"/>
      <c r="D27" s="3"/>
    </row>
    <row r="28" spans="1:4" ht="15" x14ac:dyDescent="0.25">
      <c r="A28" s="476"/>
      <c r="B28" s="48"/>
      <c r="C28" s="49" t="str">
        <f>IF(D28&lt;&gt;"","▪","")</f>
        <v>▪</v>
      </c>
      <c r="D28" s="3" t="s">
        <v>422</v>
      </c>
    </row>
    <row r="29" spans="1:4" x14ac:dyDescent="0.2">
      <c r="A29" s="480"/>
    </row>
    <row r="30" spans="1:4" ht="18.75" x14ac:dyDescent="0.3">
      <c r="A30" s="563" t="s">
        <v>429</v>
      </c>
      <c r="B30" s="564"/>
      <c r="C30" s="564"/>
      <c r="D30" s="565"/>
    </row>
    <row r="31" spans="1:4" ht="15" x14ac:dyDescent="0.25">
      <c r="A31" s="4"/>
      <c r="B31" s="48" t="s">
        <v>135</v>
      </c>
      <c r="C31" s="48"/>
      <c r="D31" s="3"/>
    </row>
    <row r="32" spans="1:4" ht="15" x14ac:dyDescent="0.25">
      <c r="A32" s="4"/>
      <c r="B32" s="48"/>
      <c r="C32" s="49" t="str">
        <f>IF(D32&lt;&gt;"","▪","")</f>
        <v>▪</v>
      </c>
      <c r="D32" s="3" t="s">
        <v>428</v>
      </c>
    </row>
    <row r="33" spans="1:5" ht="15" x14ac:dyDescent="0.25">
      <c r="A33" s="4"/>
      <c r="B33" s="48" t="s">
        <v>430</v>
      </c>
      <c r="C33" s="49"/>
      <c r="D33" s="3"/>
    </row>
    <row r="34" spans="1:5" ht="15" x14ac:dyDescent="0.25">
      <c r="A34" s="4"/>
      <c r="B34" s="48"/>
      <c r="C34" s="49" t="str">
        <f>IF(D34&lt;&gt;"","▪","")</f>
        <v>▪</v>
      </c>
      <c r="D34" s="3" t="s">
        <v>431</v>
      </c>
    </row>
    <row r="35" spans="1:5" ht="15" x14ac:dyDescent="0.25">
      <c r="A35" s="4"/>
      <c r="B35" s="48"/>
      <c r="C35" s="48"/>
      <c r="D35" s="48"/>
      <c r="E35" s="48"/>
    </row>
    <row r="36" spans="1:5" x14ac:dyDescent="0.2">
      <c r="A36" s="480"/>
    </row>
    <row r="37" spans="1:5" ht="18.75" x14ac:dyDescent="0.3">
      <c r="A37" s="563" t="s">
        <v>432</v>
      </c>
      <c r="B37" s="564"/>
      <c r="C37" s="564"/>
      <c r="D37" s="565"/>
    </row>
    <row r="38" spans="1:5" ht="15" x14ac:dyDescent="0.25">
      <c r="A38" s="4"/>
      <c r="B38" s="48" t="s">
        <v>212</v>
      </c>
      <c r="C38" s="48"/>
      <c r="D38" s="3"/>
    </row>
    <row r="39" spans="1:5" ht="15" x14ac:dyDescent="0.25">
      <c r="A39" s="4"/>
      <c r="B39" s="48"/>
      <c r="C39" s="49" t="str">
        <f>IF(D39&lt;&gt;"","▪","")</f>
        <v>▪</v>
      </c>
      <c r="D39" s="3" t="s">
        <v>433</v>
      </c>
    </row>
    <row r="40" spans="1:5" ht="15" x14ac:dyDescent="0.25">
      <c r="A40" s="4"/>
      <c r="B40" s="48" t="s">
        <v>420</v>
      </c>
      <c r="C40" s="48"/>
      <c r="D40" s="3"/>
    </row>
    <row r="41" spans="1:5" ht="15" x14ac:dyDescent="0.25">
      <c r="A41" s="4"/>
      <c r="B41" s="48"/>
      <c r="C41" s="49" t="str">
        <f>IF(D41&lt;&gt;"","▪","")</f>
        <v>▪</v>
      </c>
      <c r="D41" s="3" t="s">
        <v>434</v>
      </c>
    </row>
    <row r="42" spans="1:5" ht="15" x14ac:dyDescent="0.25">
      <c r="A42" s="4"/>
      <c r="B42" s="48" t="s">
        <v>421</v>
      </c>
      <c r="C42" s="48"/>
      <c r="D42" s="3"/>
      <c r="E42" s="48"/>
    </row>
    <row r="43" spans="1:5" ht="15" x14ac:dyDescent="0.25">
      <c r="A43" s="4"/>
      <c r="B43" s="48"/>
      <c r="C43" s="49" t="str">
        <f>IF(D43&lt;&gt;"","▪","")</f>
        <v>▪</v>
      </c>
      <c r="D43" s="3" t="s">
        <v>435</v>
      </c>
    </row>
    <row r="44" spans="1:5" ht="15" x14ac:dyDescent="0.25">
      <c r="A44" s="4"/>
      <c r="B44" s="48"/>
      <c r="C44" s="48"/>
      <c r="D44" s="48"/>
    </row>
    <row r="45" spans="1:5" ht="18.75" x14ac:dyDescent="0.3">
      <c r="A45" s="563" t="s">
        <v>436</v>
      </c>
      <c r="B45" s="564"/>
      <c r="C45" s="564"/>
      <c r="D45" s="565"/>
    </row>
    <row r="46" spans="1:5" ht="15" x14ac:dyDescent="0.25">
      <c r="A46" s="4"/>
      <c r="B46" s="48" t="s">
        <v>135</v>
      </c>
      <c r="C46" s="48"/>
      <c r="D46" s="3"/>
    </row>
    <row r="47" spans="1:5" ht="15" x14ac:dyDescent="0.25">
      <c r="A47" s="4"/>
      <c r="B47" s="48"/>
      <c r="C47" s="49" t="str">
        <f>IF(D47&lt;&gt;"","▪","")</f>
        <v>▪</v>
      </c>
      <c r="D47" s="3" t="s">
        <v>437</v>
      </c>
    </row>
    <row r="48" spans="1:5" ht="15" x14ac:dyDescent="0.25">
      <c r="A48" s="4"/>
      <c r="B48" s="48"/>
      <c r="C48" s="48"/>
      <c r="D48" s="48"/>
    </row>
    <row r="49" spans="1:4" ht="18.75" x14ac:dyDescent="0.3">
      <c r="A49" s="563" t="s">
        <v>441</v>
      </c>
      <c r="B49" s="564"/>
      <c r="C49" s="564"/>
      <c r="D49" s="565"/>
    </row>
    <row r="50" spans="1:4" ht="15" x14ac:dyDescent="0.25">
      <c r="A50" s="4"/>
      <c r="B50" s="48" t="s">
        <v>135</v>
      </c>
      <c r="C50" s="48"/>
      <c r="D50" s="3"/>
    </row>
    <row r="51" spans="1:4" ht="15" x14ac:dyDescent="0.25">
      <c r="A51" s="4"/>
      <c r="B51" s="48"/>
      <c r="C51" s="49" t="str">
        <f>IF(D51&lt;&gt;"","▪","")</f>
        <v>▪</v>
      </c>
      <c r="D51" s="3" t="s">
        <v>444</v>
      </c>
    </row>
    <row r="52" spans="1:4" ht="15" x14ac:dyDescent="0.25">
      <c r="A52" s="4"/>
      <c r="B52" s="48"/>
      <c r="C52" s="49" t="str">
        <f>IF(D52&lt;&gt;"","▪","")</f>
        <v>▪</v>
      </c>
      <c r="D52" s="3" t="s">
        <v>445</v>
      </c>
    </row>
  </sheetData>
  <sheetProtection algorithmName="SHA-512" hashValue="GC6aTY4P3+MgUUaaLQr7h0CNDYXN8M3ZMYAUt6aL0dD73B0tM8IsJMu1rlkcLSClvINKcCdfIJYgR1tTOZ4AQA==" saltValue="lkrPr3lBUuggvMEOMJPFDg==" spinCount="100000" sheet="1" objects="1" scenarios="1" autoFilter="0"/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pageSetUpPr fitToPage="1"/>
  </sheetPr>
  <dimension ref="A1:Z146"/>
  <sheetViews>
    <sheetView showGridLines="0" zoomScale="90" zoomScaleNormal="90" zoomScaleSheetLayoutView="100" workbookViewId="0">
      <pane ySplit="11" topLeftCell="A12" activePane="bottomLeft" state="frozen"/>
      <selection activeCell="E1" sqref="E1"/>
      <selection pane="bottomLeft" activeCell="U21" sqref="U21:W21"/>
    </sheetView>
  </sheetViews>
  <sheetFormatPr defaultRowHeight="12.75" x14ac:dyDescent="0.2"/>
  <cols>
    <col min="1" max="4" width="5.7109375" style="50" hidden="1" customWidth="1"/>
    <col min="5" max="5" width="11.28515625" style="50" hidden="1" customWidth="1"/>
    <col min="6" max="6" width="11.42578125" style="50" hidden="1" customWidth="1"/>
    <col min="7" max="7" width="11.85546875" style="50" hidden="1" customWidth="1"/>
    <col min="8" max="8" width="10.7109375" customWidth="1"/>
    <col min="9" max="9" width="3.7109375" customWidth="1"/>
    <col min="10" max="15" width="10.7109375" style="50" customWidth="1"/>
    <col min="16" max="16" width="12.85546875" style="50" customWidth="1"/>
    <col min="17" max="19" width="10.7109375" style="50" customWidth="1"/>
  </cols>
  <sheetData>
    <row r="1" spans="1:19" ht="15.75" x14ac:dyDescent="0.25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581" t="s">
        <v>140</v>
      </c>
      <c r="S1" s="581"/>
    </row>
    <row r="2" spans="1:19" x14ac:dyDescent="0.2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582" t="s">
        <v>143</v>
      </c>
      <c r="S2" s="582"/>
    </row>
    <row r="3" spans="1:19" x14ac:dyDescent="0.2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583" t="s">
        <v>146</v>
      </c>
      <c r="K4" s="583"/>
      <c r="L4" s="583" t="s">
        <v>446</v>
      </c>
      <c r="M4" s="583"/>
      <c r="N4" s="583" t="s">
        <v>147</v>
      </c>
      <c r="O4" s="583"/>
      <c r="P4" s="583"/>
      <c r="Q4" s="583"/>
      <c r="R4" s="583"/>
      <c r="S4" s="583"/>
    </row>
    <row r="5" spans="1:19" ht="12.75" customHeight="1" x14ac:dyDescent="0.2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580">
        <f>Import.CR</f>
        <v>0</v>
      </c>
      <c r="K5" s="580"/>
      <c r="L5" s="580">
        <f>Import.TransfereGOV</f>
        <v>0</v>
      </c>
      <c r="M5" s="580"/>
      <c r="N5" s="580" t="str">
        <f>Import.Proponente</f>
        <v>MUNICÍPIO DE RONDINHA</v>
      </c>
      <c r="O5" s="580"/>
      <c r="P5" s="580"/>
      <c r="Q5" s="580"/>
      <c r="R5" s="580"/>
      <c r="S5" s="580"/>
    </row>
    <row r="6" spans="1:19" x14ac:dyDescent="0.2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609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5.5" x14ac:dyDescent="0.2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609"/>
      <c r="J7" s="583" t="s">
        <v>151</v>
      </c>
      <c r="K7" s="583"/>
      <c r="L7" s="583"/>
      <c r="M7" s="583"/>
      <c r="N7" s="583"/>
      <c r="O7" s="583"/>
      <c r="P7" s="583"/>
      <c r="Q7" s="583"/>
      <c r="R7" s="583"/>
      <c r="S7" s="583"/>
    </row>
    <row r="8" spans="1:19" x14ac:dyDescent="0.2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609"/>
      <c r="J8" s="586" t="str">
        <f>Import.Apelido&amp;" / "&amp;Import.DescLote</f>
        <v>PRAÇA PÚBLICA - BAIRRO N. S. APARECIDA / PRAÇA PÚBLICA - BAIRRO N. S. APARECIDA</v>
      </c>
      <c r="K8" s="586"/>
      <c r="L8" s="586"/>
      <c r="M8" s="586"/>
      <c r="N8" s="586"/>
      <c r="O8" s="586"/>
      <c r="P8" s="586"/>
      <c r="Q8" s="586"/>
      <c r="R8" s="586"/>
      <c r="S8" s="586"/>
    </row>
    <row r="9" spans="1:19" x14ac:dyDescent="0.2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609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609"/>
      <c r="J10" s="587" t="s">
        <v>153</v>
      </c>
      <c r="K10" s="587"/>
      <c r="L10" s="587"/>
      <c r="M10" s="587"/>
      <c r="N10" s="587"/>
      <c r="O10" s="587"/>
      <c r="P10" s="587"/>
      <c r="Q10" s="587"/>
      <c r="R10" s="585">
        <v>1</v>
      </c>
      <c r="S10" s="585"/>
    </row>
    <row r="11" spans="1:19" ht="12.75" customHeight="1" x14ac:dyDescent="0.2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584" t="s">
        <v>154</v>
      </c>
      <c r="K11" s="584"/>
      <c r="L11" s="584"/>
      <c r="M11" s="584"/>
      <c r="N11" s="584"/>
      <c r="O11" s="584"/>
      <c r="P11" s="584"/>
      <c r="Q11" s="584"/>
      <c r="R11" s="585">
        <v>0.03</v>
      </c>
      <c r="S11" s="585"/>
    </row>
    <row r="12" spans="1:19" x14ac:dyDescent="0.2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5.5" x14ac:dyDescent="0.2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75" x14ac:dyDescent="0.25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592" t="s">
        <v>156</v>
      </c>
      <c r="K14" s="592"/>
      <c r="L14" s="592"/>
      <c r="M14" s="592"/>
      <c r="N14" s="592"/>
      <c r="O14" s="592"/>
      <c r="P14" s="592"/>
      <c r="Q14" s="592"/>
      <c r="R14" s="592"/>
      <c r="S14" s="592"/>
    </row>
    <row r="15" spans="1:19" x14ac:dyDescent="0.2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583" t="s">
        <v>157</v>
      </c>
      <c r="K16" s="583"/>
      <c r="L16" s="583"/>
      <c r="M16" s="583"/>
      <c r="N16" s="583"/>
      <c r="O16" s="583"/>
      <c r="P16" s="583"/>
      <c r="Q16" s="583"/>
      <c r="R16" s="583"/>
      <c r="S16" s="583"/>
    </row>
    <row r="17" spans="1:26" x14ac:dyDescent="0.2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589" t="s">
        <v>152</v>
      </c>
      <c r="K17" s="589"/>
      <c r="L17" s="589"/>
      <c r="M17" s="589"/>
      <c r="N17" s="589"/>
      <c r="O17" s="589"/>
      <c r="P17" s="589"/>
      <c r="Q17" s="589"/>
      <c r="R17" s="589"/>
      <c r="S17" s="589"/>
    </row>
    <row r="18" spans="1:26" x14ac:dyDescent="0.2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591" t="s">
        <v>158</v>
      </c>
      <c r="K19" s="591"/>
      <c r="L19" s="591"/>
      <c r="M19" s="591"/>
      <c r="N19" s="591"/>
      <c r="O19" s="591"/>
      <c r="P19" s="591"/>
      <c r="Q19" s="591"/>
      <c r="R19" s="591" t="s">
        <v>159</v>
      </c>
      <c r="S19" s="590" t="s">
        <v>160</v>
      </c>
      <c r="U19" s="590" t="s">
        <v>161</v>
      </c>
      <c r="V19" s="590"/>
      <c r="W19" s="590"/>
      <c r="X19" s="588" t="s">
        <v>162</v>
      </c>
      <c r="Y19" s="588" t="s">
        <v>163</v>
      </c>
      <c r="Z19" s="588" t="s">
        <v>164</v>
      </c>
    </row>
    <row r="20" spans="1:26" ht="12.75" customHeight="1" x14ac:dyDescent="0.2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591"/>
      <c r="K20" s="591"/>
      <c r="L20" s="591"/>
      <c r="M20" s="591"/>
      <c r="N20" s="591"/>
      <c r="O20" s="591"/>
      <c r="P20" s="591"/>
      <c r="Q20" s="591"/>
      <c r="R20" s="591"/>
      <c r="S20" s="590"/>
      <c r="U20" s="590"/>
      <c r="V20" s="590"/>
      <c r="W20" s="590"/>
      <c r="X20" s="588"/>
      <c r="Y20" s="588"/>
      <c r="Z20" s="588"/>
    </row>
    <row r="21" spans="1:26" ht="15" customHeight="1" x14ac:dyDescent="0.2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593" t="str">
        <f>IF($J$17=$A$146,"Encargos Sociais incidentes sobre a mão de obra","Administração Central")</f>
        <v>Administração Central</v>
      </c>
      <c r="K21" s="593"/>
      <c r="L21" s="593"/>
      <c r="M21" s="593"/>
      <c r="N21" s="593"/>
      <c r="O21" s="593"/>
      <c r="P21" s="593"/>
      <c r="Q21" s="593"/>
      <c r="R21" s="61" t="str">
        <f>IF($J17=$A$146,"K1","AC")</f>
        <v>AC</v>
      </c>
      <c r="S21" s="62">
        <v>4.0099999999999997E-2</v>
      </c>
      <c r="U21" s="594" t="s">
        <v>166</v>
      </c>
      <c r="V21" s="594"/>
      <c r="W21" s="594"/>
      <c r="X21" s="63">
        <f>VLOOKUP(CONCATENATE(J17,"-",R21),$C$2:$G$136,3,FALSE)</f>
        <v>3.7999999999999999E-2</v>
      </c>
      <c r="Y21" s="63">
        <f>VLOOKUP(CONCATENATE(J17,"-",R21),$C$2:$G$136,4,FALSE)</f>
        <v>4.0099999999999997E-2</v>
      </c>
      <c r="Z21" s="63">
        <f>VLOOKUP(CONCATENATE(J17,"-",R21),$C$2:$G$136,5,FALSE)</f>
        <v>4.6699999999999998E-2</v>
      </c>
    </row>
    <row r="22" spans="1:26" ht="15" customHeight="1" x14ac:dyDescent="0.2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593" t="str">
        <f>IF($J$17=$A$146,"Administração Central da empresa ou consultoria - overhead","Seguro e Garantia")</f>
        <v>Seguro e Garantia</v>
      </c>
      <c r="K22" s="593"/>
      <c r="L22" s="593"/>
      <c r="M22" s="593"/>
      <c r="N22" s="593"/>
      <c r="O22" s="593"/>
      <c r="P22" s="593"/>
      <c r="Q22" s="593"/>
      <c r="R22" s="61" t="str">
        <f>IF($J17=$A$146,"K2","SG")</f>
        <v>SG</v>
      </c>
      <c r="S22" s="62">
        <v>4.0000000000000001E-3</v>
      </c>
      <c r="U22" s="594" t="s">
        <v>166</v>
      </c>
      <c r="V22" s="594"/>
      <c r="W22" s="594"/>
      <c r="X22" s="63">
        <f>VLOOKUP(CONCATENATE(J17,"-",R22),$C$2:$G$136,3,FALSE)</f>
        <v>3.2000000000000002E-3</v>
      </c>
      <c r="Y22" s="63">
        <f>VLOOKUP(CONCATENATE(J17,"-",R22),$C$2:$G$136,4,FALSE)</f>
        <v>4.0000000000000001E-3</v>
      </c>
      <c r="Z22" s="63">
        <f>VLOOKUP(CONCATENATE(J17,"-",R22),$C$2:$G$136,5,FALSE)</f>
        <v>7.4000000000000003E-3</v>
      </c>
    </row>
    <row r="23" spans="1:26" ht="15" customHeight="1" x14ac:dyDescent="0.2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593" t="str">
        <f>IF($J$17=$A$146,"","Risco")</f>
        <v>Risco</v>
      </c>
      <c r="K23" s="593"/>
      <c r="L23" s="593"/>
      <c r="M23" s="593"/>
      <c r="N23" s="593"/>
      <c r="O23" s="593"/>
      <c r="P23" s="593"/>
      <c r="Q23" s="593"/>
      <c r="R23" s="61" t="str">
        <f>IF($J17=$A$146,"","R")</f>
        <v>R</v>
      </c>
      <c r="S23" s="62">
        <v>5.6000000000000008E-3</v>
      </c>
      <c r="U23" s="594" t="s">
        <v>166</v>
      </c>
      <c r="V23" s="594"/>
      <c r="W23" s="594"/>
      <c r="X23" s="63">
        <f>VLOOKUP(CONCATENATE(J17,"-",R23),$C$2:$G$136,3,FALSE)</f>
        <v>5.0000000000000001E-3</v>
      </c>
      <c r="Y23" s="63">
        <f>VLOOKUP(CONCATENATE(J17,"-",R23),$C$2:$G$136,4,FALSE)</f>
        <v>5.6000000000000008E-3</v>
      </c>
      <c r="Z23" s="63">
        <f>VLOOKUP(CONCATENATE(J17,"-",R23),$C$2:$G$136,5,FALSE)</f>
        <v>9.7000000000000003E-3</v>
      </c>
    </row>
    <row r="24" spans="1:26" ht="15" customHeight="1" x14ac:dyDescent="0.2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593" t="str">
        <f>IF($J$17=$A$146,"","Despesas Financeiras")</f>
        <v>Despesas Financeiras</v>
      </c>
      <c r="K24" s="593"/>
      <c r="L24" s="593"/>
      <c r="M24" s="593"/>
      <c r="N24" s="593"/>
      <c r="O24" s="593"/>
      <c r="P24" s="593"/>
      <c r="Q24" s="593"/>
      <c r="R24" s="61" t="str">
        <f>IF($J17=$A$146,"","DF")</f>
        <v>DF</v>
      </c>
      <c r="S24" s="62">
        <v>1.11E-2</v>
      </c>
      <c r="U24" s="594" t="s">
        <v>166</v>
      </c>
      <c r="V24" s="594"/>
      <c r="W24" s="594"/>
      <c r="X24" s="63">
        <f>VLOOKUP(CONCATENATE(J17,"-",R24),$C$2:$G$136,3,FALSE)</f>
        <v>1.0200000000000001E-2</v>
      </c>
      <c r="Y24" s="63">
        <f>VLOOKUP(CONCATENATE(J17,"-",R24),$C$2:$G$136,4,FALSE)</f>
        <v>1.11E-2</v>
      </c>
      <c r="Z24" s="63">
        <f>VLOOKUP(CONCATENATE(J17,"-",R24),$C$2:$G$136,5,FALSE)</f>
        <v>1.21E-2</v>
      </c>
    </row>
    <row r="25" spans="1:26" ht="15" customHeight="1" x14ac:dyDescent="0.2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593" t="str">
        <f>IF($J$17=$A$146,"Margem bruta da empresa de consultoria","Lucro")</f>
        <v>Lucro</v>
      </c>
      <c r="K25" s="593"/>
      <c r="L25" s="593"/>
      <c r="M25" s="593"/>
      <c r="N25" s="593"/>
      <c r="O25" s="593"/>
      <c r="P25" s="593"/>
      <c r="Q25" s="593"/>
      <c r="R25" s="61" t="str">
        <f>IF($J17=$A$146,"K3","L")</f>
        <v>L</v>
      </c>
      <c r="S25" s="62">
        <v>7.2999999999999995E-2</v>
      </c>
      <c r="U25" s="594" t="s">
        <v>166</v>
      </c>
      <c r="V25" s="594"/>
      <c r="W25" s="594"/>
      <c r="X25" s="63">
        <f>VLOOKUP(CONCATENATE(J17,"-",R25),$C$2:$G$136,3,FALSE)</f>
        <v>6.6400000000000001E-2</v>
      </c>
      <c r="Y25" s="63">
        <f>VLOOKUP(CONCATENATE(J17,"-",R25),$C$2:$G$136,4,FALSE)</f>
        <v>7.2999999999999995E-2</v>
      </c>
      <c r="Z25" s="63">
        <f>VLOOKUP(CONCATENATE(J17,"-",R25),$C$2:$G$136,5,FALSE)</f>
        <v>8.6899999999999991E-2</v>
      </c>
    </row>
    <row r="26" spans="1:26" ht="15" customHeight="1" x14ac:dyDescent="0.2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593" t="s">
        <v>168</v>
      </c>
      <c r="K26" s="593"/>
      <c r="L26" s="593"/>
      <c r="M26" s="593"/>
      <c r="N26" s="593"/>
      <c r="O26" s="593"/>
      <c r="P26" s="593"/>
      <c r="Q26" s="593"/>
      <c r="R26" s="61" t="s">
        <v>169</v>
      </c>
      <c r="S26" s="62">
        <v>3.6499999999999998E-2</v>
      </c>
      <c r="U26" s="594" t="s">
        <v>166</v>
      </c>
      <c r="V26" s="594"/>
      <c r="W26" s="594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593" t="s">
        <v>170</v>
      </c>
      <c r="K27" s="593"/>
      <c r="L27" s="593"/>
      <c r="M27" s="593"/>
      <c r="N27" s="593"/>
      <c r="O27" s="593"/>
      <c r="P27" s="593"/>
      <c r="Q27" s="593"/>
      <c r="R27" s="61" t="s">
        <v>171</v>
      </c>
      <c r="S27" s="63">
        <f ca="1">IF(AND($J17&lt;&gt;$A$145,COUNTA(OFFSET(S20,1,0,6))&gt;0),$R$11*$R$10,0)</f>
        <v>0.03</v>
      </c>
      <c r="U27" s="594" t="s">
        <v>166</v>
      </c>
      <c r="V27" s="594"/>
      <c r="W27" s="594"/>
      <c r="X27" s="63">
        <v>0</v>
      </c>
      <c r="Y27" s="63">
        <v>2.5000000000000001E-2</v>
      </c>
      <c r="Z27" s="63">
        <v>0.05</v>
      </c>
    </row>
    <row r="28" spans="1:26" ht="15" customHeight="1" x14ac:dyDescent="0.2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593" t="s">
        <v>172</v>
      </c>
      <c r="K28" s="593"/>
      <c r="L28" s="593"/>
      <c r="M28" s="593"/>
      <c r="N28" s="593"/>
      <c r="O28" s="593"/>
      <c r="P28" s="593"/>
      <c r="Q28" s="593"/>
      <c r="R28" s="61" t="s">
        <v>173</v>
      </c>
      <c r="S28" s="63">
        <f ca="1">IF(BDI.Opcao&lt;&gt;"Desonerado",0,IF(AND($J17&lt;&gt;$A$145,COUNTA(OFFSET(S20,1,0,6))&gt;0),4.5%,0%))</f>
        <v>4.4999999999999998E-2</v>
      </c>
      <c r="U28" s="594" t="s">
        <v>166</v>
      </c>
      <c r="V28" s="594"/>
      <c r="W28" s="594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593" t="s">
        <v>174</v>
      </c>
      <c r="K29" s="593"/>
      <c r="L29" s="593"/>
      <c r="M29" s="593"/>
      <c r="N29" s="593"/>
      <c r="O29" s="593"/>
      <c r="P29" s="593"/>
      <c r="Q29" s="593"/>
      <c r="R29" s="65" t="s">
        <v>150</v>
      </c>
      <c r="S29" s="63">
        <f ca="1">IF($J17=$A$145,0,ROUND((((1+S21+S22+S23)*(1+S24)*(1+S25)/(1-(S26+S27)))-1),4))</f>
        <v>0.22</v>
      </c>
      <c r="U29" s="590" t="str">
        <f ca="1">IF(OR($J$17=$A$146,$J$17=$A$145,AND(S29&gt;=X29,S29&lt;=Z29)),"OK","FORA DO INTERVALO")</f>
        <v>OK</v>
      </c>
      <c r="V29" s="590"/>
      <c r="W29" s="590"/>
      <c r="X29" s="63">
        <f>IF($J17=$A$145,0,VLOOKUP(CONCATENATE($J17,"-",$R29),$C$2:$G$136,3,FALSE))</f>
        <v>0.19600000000000001</v>
      </c>
      <c r="Y29" s="63">
        <f>IF($J17=$A$145,0,VLOOKUP(CONCATENATE($J17,"-",$R29),$C$2:$G$136,4,FALSE))</f>
        <v>0.2097</v>
      </c>
      <c r="Z29" s="63">
        <f>IF($J17=$A$145,0,VLOOKUP(CONCATENATE($J17,"-",$R29),$C$2:$G$136,5,FALSE))</f>
        <v>0.24230000000000002</v>
      </c>
    </row>
    <row r="30" spans="1:26" ht="15" customHeight="1" x14ac:dyDescent="0.2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597" t="s">
        <v>175</v>
      </c>
      <c r="K30" s="597"/>
      <c r="L30" s="597"/>
      <c r="M30" s="597"/>
      <c r="N30" s="597"/>
      <c r="O30" s="597"/>
      <c r="P30" s="597"/>
      <c r="Q30" s="597"/>
      <c r="R30" s="66" t="s">
        <v>176</v>
      </c>
      <c r="S30" s="67">
        <f ca="1">IF($J17=$A$145,0,ROUND((((1+S21+S22+S23)*(1+S24)*(1+S25)/(1-(S26+S27+S28)))-1),4))</f>
        <v>0.28170000000000001</v>
      </c>
    </row>
    <row r="31" spans="1:26" ht="25.5" x14ac:dyDescent="0.2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75" x14ac:dyDescent="0.2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598" t="str">
        <f ca="1">IF(U29&lt;&gt;"ok","Anexo: Relatório Técnico Circunstanciado justificando a adoção do percentual de cada parcela do BDI.","")</f>
        <v/>
      </c>
      <c r="L32" s="598"/>
      <c r="M32" s="598"/>
      <c r="N32" s="598"/>
      <c r="O32" s="598"/>
      <c r="P32" s="598"/>
      <c r="Q32" s="598"/>
      <c r="R32" s="598"/>
      <c r="S32" s="598"/>
    </row>
    <row r="33" spans="1:19" x14ac:dyDescent="0.2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599" t="s">
        <v>178</v>
      </c>
      <c r="K34" s="599"/>
      <c r="L34" s="599"/>
      <c r="M34" s="599"/>
      <c r="N34" s="599"/>
      <c r="O34" s="599"/>
      <c r="P34" s="599"/>
      <c r="Q34" s="599"/>
      <c r="R34" s="599"/>
      <c r="S34" s="599"/>
    </row>
    <row r="35" spans="1:19" ht="15.75" x14ac:dyDescent="0.25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600" t="s">
        <v>179</v>
      </c>
      <c r="N35" s="606" t="str">
        <f>IF($J17=$A$146,"(1+K1+K2)*(1+K3)","(1+AC + S + R + G)*(1 + DF)*(1+L)")</f>
        <v>(1+AC + S + R + G)*(1 + DF)*(1+L)</v>
      </c>
      <c r="O35" s="606"/>
      <c r="P35" s="606"/>
      <c r="Q35" s="607" t="s">
        <v>180</v>
      </c>
      <c r="R35" s="69"/>
      <c r="S35" s="69"/>
    </row>
    <row r="36" spans="1:19" ht="15.75" x14ac:dyDescent="0.2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600"/>
      <c r="N36" s="595" t="s">
        <v>181</v>
      </c>
      <c r="O36" s="595"/>
      <c r="P36" s="595"/>
      <c r="Q36" s="607"/>
      <c r="R36" s="69"/>
      <c r="S36" s="69"/>
    </row>
    <row r="37" spans="1:19" ht="15" customHeight="1" x14ac:dyDescent="0.2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59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596"/>
      <c r="L38" s="596"/>
      <c r="M38" s="596"/>
      <c r="N38" s="596"/>
      <c r="O38" s="596"/>
      <c r="P38" s="596"/>
      <c r="Q38" s="596"/>
      <c r="R38" s="596"/>
      <c r="S38" s="596"/>
    </row>
    <row r="39" spans="1:19" x14ac:dyDescent="0.2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59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0" s="596"/>
      <c r="L40" s="596"/>
      <c r="M40" s="596"/>
      <c r="N40" s="596"/>
      <c r="O40" s="596"/>
      <c r="P40" s="596"/>
      <c r="Q40" s="596"/>
      <c r="R40" s="596"/>
      <c r="S40" s="596"/>
    </row>
    <row r="41" spans="1:19" x14ac:dyDescent="0.2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5" customHeight="1" x14ac:dyDescent="0.2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608"/>
      <c r="K43" s="608"/>
      <c r="L43" s="608"/>
      <c r="M43" s="608"/>
      <c r="N43" s="608"/>
      <c r="O43" s="608"/>
      <c r="P43" s="608"/>
      <c r="Q43" s="608"/>
      <c r="R43" s="608"/>
      <c r="S43" s="608"/>
    </row>
    <row r="44" spans="1:19" x14ac:dyDescent="0.2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602" t="str">
        <f>Import.Município</f>
        <v>RONDINHA - RS</v>
      </c>
      <c r="K45" s="602"/>
      <c r="L45" s="602"/>
      <c r="M45" s="602"/>
      <c r="P45" s="603">
        <f ca="1">DADOS!$F$25</f>
        <v>45412</v>
      </c>
      <c r="Q45" s="603"/>
      <c r="R45" s="603"/>
      <c r="S45" s="603"/>
    </row>
    <row r="46" spans="1:19" x14ac:dyDescent="0.2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604" t="s">
        <v>188</v>
      </c>
      <c r="K46" s="604"/>
      <c r="L46" s="604"/>
      <c r="M46" s="604"/>
      <c r="O46" s="74"/>
      <c r="P46" s="75" t="s">
        <v>189</v>
      </c>
      <c r="Q46" s="76"/>
      <c r="R46" s="76"/>
      <c r="S46" s="76"/>
    </row>
    <row r="47" spans="1:19" ht="30" customHeight="1" x14ac:dyDescent="0.2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5" x14ac:dyDescent="0.2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605"/>
      <c r="K48" s="605"/>
      <c r="L48" s="605"/>
      <c r="M48" s="605"/>
      <c r="N48" s="77"/>
    </row>
    <row r="49" spans="1:26" ht="12.75" customHeight="1" x14ac:dyDescent="0.2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601" t="s">
        <v>190</v>
      </c>
      <c r="K49" s="601"/>
      <c r="L49" s="601"/>
      <c r="M49" s="601"/>
    </row>
    <row r="50" spans="1:26" ht="14.25" x14ac:dyDescent="0.2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>MARCELO SETTI</v>
      </c>
      <c r="L50" s="80"/>
      <c r="M50" s="80"/>
      <c r="N50" s="77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CREA/RS 226290</v>
      </c>
      <c r="L51" s="80"/>
      <c r="M51" s="80"/>
      <c r="N51" s="77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78" t="s">
        <v>110</v>
      </c>
      <c r="K52" s="79" t="str">
        <v>13152333</v>
      </c>
      <c r="L52" s="80"/>
      <c r="M52" s="80"/>
      <c r="N52" s="77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592" t="s">
        <v>191</v>
      </c>
      <c r="K54" s="592"/>
      <c r="L54" s="592"/>
      <c r="M54" s="592"/>
      <c r="N54" s="592"/>
      <c r="O54" s="592"/>
      <c r="P54" s="592"/>
      <c r="Q54" s="592"/>
      <c r="R54" s="592"/>
      <c r="S54" s="592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/>
      </c>
      <c r="J56" s="583" t="s">
        <v>157</v>
      </c>
      <c r="K56" s="583"/>
      <c r="L56" s="583"/>
      <c r="M56" s="583"/>
      <c r="N56" s="583"/>
      <c r="O56" s="583"/>
      <c r="P56" s="583"/>
      <c r="Q56" s="583"/>
      <c r="R56" s="583"/>
      <c r="S56" s="583"/>
    </row>
    <row r="57" spans="1:26" x14ac:dyDescent="0.2">
      <c r="A57"/>
      <c r="B57"/>
      <c r="C57"/>
      <c r="D57"/>
      <c r="E57"/>
      <c r="F57"/>
      <c r="G57"/>
      <c r="I57" t="str">
        <f t="shared" ca="1" si="1"/>
        <v/>
      </c>
      <c r="J57" s="589" t="s">
        <v>409</v>
      </c>
      <c r="K57" s="589"/>
      <c r="L57" s="589"/>
      <c r="M57" s="589"/>
      <c r="N57" s="589"/>
      <c r="O57" s="589"/>
      <c r="P57" s="589"/>
      <c r="Q57" s="589"/>
      <c r="R57" s="589"/>
      <c r="S57" s="589"/>
    </row>
    <row r="58" spans="1:26" x14ac:dyDescent="0.2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/>
      </c>
      <c r="J59" s="591" t="s">
        <v>158</v>
      </c>
      <c r="K59" s="591"/>
      <c r="L59" s="591"/>
      <c r="M59" s="591"/>
      <c r="N59" s="591"/>
      <c r="O59" s="591"/>
      <c r="P59" s="591"/>
      <c r="Q59" s="591"/>
      <c r="R59" s="591" t="s">
        <v>159</v>
      </c>
      <c r="S59" s="590" t="s">
        <v>160</v>
      </c>
      <c r="U59" s="590" t="s">
        <v>161</v>
      </c>
      <c r="V59" s="590"/>
      <c r="W59" s="590"/>
      <c r="X59" s="588" t="s">
        <v>162</v>
      </c>
      <c r="Y59" s="588" t="s">
        <v>163</v>
      </c>
      <c r="Z59" s="588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/>
      </c>
      <c r="J60" s="591"/>
      <c r="K60" s="591"/>
      <c r="L60" s="591"/>
      <c r="M60" s="591"/>
      <c r="N60" s="591"/>
      <c r="O60" s="591"/>
      <c r="P60" s="591"/>
      <c r="Q60" s="591"/>
      <c r="R60" s="591"/>
      <c r="S60" s="590"/>
      <c r="U60" s="590"/>
      <c r="V60" s="590"/>
      <c r="W60" s="590"/>
      <c r="X60" s="588"/>
      <c r="Y60" s="588"/>
      <c r="Z60" s="588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/>
      </c>
      <c r="J61" s="593" t="str">
        <f>IF($J$17=$A$146,"Encargos Sociais incidentes sobre a mão de obra","Administração Central")</f>
        <v>Administração Central</v>
      </c>
      <c r="K61" s="593"/>
      <c r="L61" s="593"/>
      <c r="M61" s="593"/>
      <c r="N61" s="593"/>
      <c r="O61" s="593"/>
      <c r="P61" s="593"/>
      <c r="Q61" s="593"/>
      <c r="R61" s="61" t="str">
        <f>IF($J57=$A$146,"K1","AC")</f>
        <v>AC</v>
      </c>
      <c r="S61" s="62"/>
      <c r="U61" s="594" t="s">
        <v>166</v>
      </c>
      <c r="V61" s="594"/>
      <c r="W61" s="594"/>
      <c r="X61" s="63" t="e">
        <f>VLOOKUP(CONCATENATE(J57,"-",R61),$C$2:$G$136,3,FALSE)</f>
        <v>#N/A</v>
      </c>
      <c r="Y61" s="63" t="e">
        <f>VLOOKUP(CONCATENATE(J57,"-",R61),$C$2:$G$136,4,FALSE)</f>
        <v>#N/A</v>
      </c>
      <c r="Z61" s="63" t="e">
        <f>VLOOKUP(CONCATENATE(J57,"-",R61),$C$2:$G$136,5,FALSE)</f>
        <v>#N/A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/>
      </c>
      <c r="J62" s="593" t="str">
        <f>IF($J$17=$A$146,"Administração Central da empresa ou consultoria - overhead","Seguro e Garantia")</f>
        <v>Seguro e Garantia</v>
      </c>
      <c r="K62" s="593"/>
      <c r="L62" s="593"/>
      <c r="M62" s="593"/>
      <c r="N62" s="593"/>
      <c r="O62" s="593"/>
      <c r="P62" s="593"/>
      <c r="Q62" s="593"/>
      <c r="R62" s="61" t="str">
        <f>IF($J57=$A$146,"K2","SG")</f>
        <v>SG</v>
      </c>
      <c r="S62" s="62"/>
      <c r="U62" s="594" t="s">
        <v>166</v>
      </c>
      <c r="V62" s="594"/>
      <c r="W62" s="594"/>
      <c r="X62" s="63" t="e">
        <f>VLOOKUP(CONCATENATE(J57,"-",R62),$C$2:$G$136,3,FALSE)</f>
        <v>#N/A</v>
      </c>
      <c r="Y62" s="63" t="e">
        <f>VLOOKUP(CONCATENATE(J57,"-",R62),$C$2:$G$136,4,FALSE)</f>
        <v>#N/A</v>
      </c>
      <c r="Z62" s="63" t="e">
        <f>VLOOKUP(CONCATENATE(J57,"-",R62),$C$2:$G$136,5,FALSE)</f>
        <v>#N/A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/>
      </c>
      <c r="J63" s="593" t="str">
        <f>IF($J$17=$A$146,"","Risco")</f>
        <v>Risco</v>
      </c>
      <c r="K63" s="593"/>
      <c r="L63" s="593"/>
      <c r="M63" s="593"/>
      <c r="N63" s="593"/>
      <c r="O63" s="593"/>
      <c r="P63" s="593"/>
      <c r="Q63" s="593"/>
      <c r="R63" s="61" t="str">
        <f>IF($J57=$A$146,"","R")</f>
        <v>R</v>
      </c>
      <c r="S63" s="62"/>
      <c r="U63" s="594" t="s">
        <v>166</v>
      </c>
      <c r="V63" s="594"/>
      <c r="W63" s="594"/>
      <c r="X63" s="63" t="e">
        <f>VLOOKUP(CONCATENATE(J57,"-",R63),$C$2:$G$136,3,FALSE)</f>
        <v>#N/A</v>
      </c>
      <c r="Y63" s="63" t="e">
        <f>VLOOKUP(CONCATENATE(J57,"-",R63),$C$2:$G$136,4,FALSE)</f>
        <v>#N/A</v>
      </c>
      <c r="Z63" s="63" t="e">
        <f>VLOOKUP(CONCATENATE(J57,"-",R63),$C$2:$G$136,5,FALSE)</f>
        <v>#N/A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/>
      </c>
      <c r="J64" s="593" t="str">
        <f>IF($J$17=$A$146,"","Despesas Financeiras")</f>
        <v>Despesas Financeiras</v>
      </c>
      <c r="K64" s="593"/>
      <c r="L64" s="593"/>
      <c r="M64" s="593"/>
      <c r="N64" s="593"/>
      <c r="O64" s="593"/>
      <c r="P64" s="593"/>
      <c r="Q64" s="593"/>
      <c r="R64" s="61" t="str">
        <f>IF($J57=$A$146,"","DF")</f>
        <v>DF</v>
      </c>
      <c r="S64" s="62"/>
      <c r="U64" s="594" t="s">
        <v>166</v>
      </c>
      <c r="V64" s="594"/>
      <c r="W64" s="594"/>
      <c r="X64" s="63" t="e">
        <f>VLOOKUP(CONCATENATE(J57,"-",R64),$C$2:$G$136,3,FALSE)</f>
        <v>#N/A</v>
      </c>
      <c r="Y64" s="63" t="e">
        <f>VLOOKUP(CONCATENATE(J57,"-",R64),$C$2:$G$136,4,FALSE)</f>
        <v>#N/A</v>
      </c>
      <c r="Z64" s="63" t="e">
        <f>VLOOKUP(CONCATENATE(J57,"-",R64),$C$2:$G$136,5,FALSE)</f>
        <v>#N/A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/>
      </c>
      <c r="J65" s="593" t="str">
        <f>IF($J$17=$A$146,"Margem bruta da empresa de consultoria","Lucro")</f>
        <v>Lucro</v>
      </c>
      <c r="K65" s="593"/>
      <c r="L65" s="593"/>
      <c r="M65" s="593"/>
      <c r="N65" s="593"/>
      <c r="O65" s="593"/>
      <c r="P65" s="593"/>
      <c r="Q65" s="593"/>
      <c r="R65" s="61" t="str">
        <f>IF($J57=$A$146,"K3","L")</f>
        <v>L</v>
      </c>
      <c r="S65" s="62"/>
      <c r="U65" s="594" t="s">
        <v>166</v>
      </c>
      <c r="V65" s="594"/>
      <c r="W65" s="594"/>
      <c r="X65" s="63" t="e">
        <f>VLOOKUP(CONCATENATE(J57,"-",R65),$C$2:$G$136,3,FALSE)</f>
        <v>#N/A</v>
      </c>
      <c r="Y65" s="63" t="e">
        <f>VLOOKUP(CONCATENATE(J57,"-",R65),$C$2:$G$136,4,FALSE)</f>
        <v>#N/A</v>
      </c>
      <c r="Z65" s="63" t="e">
        <f>VLOOKUP(CONCATENATE(J57,"-",R65),$C$2:$G$136,5,FALSE)</f>
        <v>#N/A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/>
      </c>
      <c r="J66" s="593" t="s">
        <v>168</v>
      </c>
      <c r="K66" s="593"/>
      <c r="L66" s="593"/>
      <c r="M66" s="593"/>
      <c r="N66" s="593"/>
      <c r="O66" s="593"/>
      <c r="P66" s="593"/>
      <c r="Q66" s="593"/>
      <c r="R66" s="61" t="s">
        <v>169</v>
      </c>
      <c r="S66" s="62"/>
      <c r="U66" s="594" t="s">
        <v>166</v>
      </c>
      <c r="V66" s="594"/>
      <c r="W66" s="594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/>
      </c>
      <c r="J67" s="593" t="s">
        <v>170</v>
      </c>
      <c r="K67" s="593"/>
      <c r="L67" s="593"/>
      <c r="M67" s="593"/>
      <c r="N67" s="593"/>
      <c r="O67" s="593"/>
      <c r="P67" s="593"/>
      <c r="Q67" s="593"/>
      <c r="R67" s="61" t="s">
        <v>171</v>
      </c>
      <c r="S67" s="63">
        <f ca="1">IF(AND($J57&lt;&gt;$A$145,COUNTA(OFFSET(S60,1,0,6))&gt;0),$R$11*$R$10,0)</f>
        <v>0</v>
      </c>
      <c r="U67" s="594" t="s">
        <v>166</v>
      </c>
      <c r="V67" s="594"/>
      <c r="W67" s="594"/>
      <c r="X67" s="63">
        <v>0</v>
      </c>
      <c r="Y67" s="63">
        <v>2.5000000000000001E-2</v>
      </c>
      <c r="Z67" s="63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/>
      </c>
      <c r="J68" s="593" t="s">
        <v>172</v>
      </c>
      <c r="K68" s="593"/>
      <c r="L68" s="593"/>
      <c r="M68" s="593"/>
      <c r="N68" s="593"/>
      <c r="O68" s="593"/>
      <c r="P68" s="593"/>
      <c r="Q68" s="593"/>
      <c r="R68" s="61" t="s">
        <v>173</v>
      </c>
      <c r="S68" s="63">
        <f ca="1">IF(BDI.Opcao&lt;&gt;"Desonerado",0,IF(AND($J57&lt;&gt;$A$145,COUNTA(OFFSET(S60,1,0,6))&gt;0),4.5%,0%))</f>
        <v>0</v>
      </c>
      <c r="U68" s="594" t="s">
        <v>166</v>
      </c>
      <c r="V68" s="594"/>
      <c r="W68" s="594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/>
      </c>
      <c r="J69" s="593" t="s">
        <v>174</v>
      </c>
      <c r="K69" s="593"/>
      <c r="L69" s="593"/>
      <c r="M69" s="593"/>
      <c r="N69" s="593"/>
      <c r="O69" s="593"/>
      <c r="P69" s="593"/>
      <c r="Q69" s="593"/>
      <c r="R69" s="65" t="s">
        <v>150</v>
      </c>
      <c r="S69" s="63">
        <f ca="1">IF($J57=$A$145,0,ROUND((((1+S61+S62+S63)*(1+S64)*(1+S65)/(1-(S66+S67)))-1),4))</f>
        <v>0</v>
      </c>
      <c r="U69" s="590" t="e">
        <f ca="1">IF(OR($J$17=$A$146,$J$17=$A$145,AND(S69&gt;=X69,S69&lt;=Z69)),"OK","FORA DO INTERVALO")</f>
        <v>#N/A</v>
      </c>
      <c r="V69" s="590"/>
      <c r="W69" s="590"/>
      <c r="X69" s="63" t="e">
        <f>IF($J57=$A$145,0,VLOOKUP(CONCATENATE($J57,"-",$R69),$C$2:$G$136,3,FALSE))</f>
        <v>#N/A</v>
      </c>
      <c r="Y69" s="63" t="e">
        <f>IF($J57=$A$145,0,VLOOKUP(CONCATENATE($J57,"-",$R69),$C$2:$G$136,4,FALSE))</f>
        <v>#N/A</v>
      </c>
      <c r="Z69" s="63" t="e">
        <f>IF($J57=$A$145,0,VLOOKUP(CONCATENATE($J57,"-",$R69),$C$2:$G$136,5,FALSE))</f>
        <v>#N/A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/>
      </c>
      <c r="J70" s="597" t="s">
        <v>175</v>
      </c>
      <c r="K70" s="597"/>
      <c r="L70" s="597"/>
      <c r="M70" s="597"/>
      <c r="N70" s="597"/>
      <c r="O70" s="597"/>
      <c r="P70" s="597"/>
      <c r="Q70" s="597"/>
      <c r="R70" s="66" t="s">
        <v>176</v>
      </c>
      <c r="S70" s="67">
        <f ca="1">IF($J57=$A$145,0,ROUND((((1+S61+S62+S63)*(1+S64)*(1+S65)/(1-(S66+S67+S68)))-1),4))</f>
        <v>0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/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/>
      </c>
      <c r="J72" s="68" t="e">
        <f ca="1">IF(U69&lt;&gt;"ok","X","")</f>
        <v>#N/A</v>
      </c>
      <c r="K72" s="598" t="e">
        <f ca="1">IF(U69&lt;&gt;"ok","Anexo: Relatório Técnico Circunstanciado justificando a adoção do percentual de cada parcela do BDI.","")</f>
        <v>#N/A</v>
      </c>
      <c r="L72" s="598"/>
      <c r="M72" s="598"/>
      <c r="N72" s="598"/>
      <c r="O72" s="598"/>
      <c r="P72" s="598"/>
      <c r="Q72" s="598"/>
      <c r="R72" s="598"/>
      <c r="S72" s="598"/>
    </row>
    <row r="73" spans="1:26" x14ac:dyDescent="0.2">
      <c r="A73"/>
      <c r="B73"/>
      <c r="C73"/>
      <c r="D73"/>
      <c r="E73"/>
      <c r="F73"/>
      <c r="G73"/>
      <c r="I73" t="str">
        <f t="shared" ca="1" si="1"/>
        <v/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/>
      </c>
      <c r="J74" s="599" t="s">
        <v>178</v>
      </c>
      <c r="K74" s="599"/>
      <c r="L74" s="599"/>
      <c r="M74" s="599"/>
      <c r="N74" s="599"/>
      <c r="O74" s="599"/>
      <c r="P74" s="599"/>
      <c r="Q74" s="599"/>
      <c r="R74" s="599"/>
      <c r="S74" s="599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/>
      </c>
      <c r="J75" s="69"/>
      <c r="K75" s="69"/>
      <c r="L75" s="69"/>
      <c r="M75" s="600" t="s">
        <v>179</v>
      </c>
      <c r="N75" s="606" t="str">
        <f>IF($J57=$A$146,"(1+K1+K2)*(1+K3)","(1+AC + S + R + G)*(1 + DF)*(1+L)")</f>
        <v>(1+AC + S + R + G)*(1 + DF)*(1+L)</v>
      </c>
      <c r="O75" s="606"/>
      <c r="P75" s="606"/>
      <c r="Q75" s="607" t="s">
        <v>180</v>
      </c>
      <c r="R75" s="69"/>
      <c r="S75" s="69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/>
      </c>
      <c r="J76" s="69"/>
      <c r="K76" s="69"/>
      <c r="L76" s="69"/>
      <c r="M76" s="600"/>
      <c r="N76" s="595" t="s">
        <v>181</v>
      </c>
      <c r="O76" s="595"/>
      <c r="P76" s="595"/>
      <c r="Q76" s="607"/>
      <c r="R76" s="69"/>
      <c r="S76" s="69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/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/>
      </c>
      <c r="J78" s="59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596"/>
      <c r="L78" s="596"/>
      <c r="M78" s="596"/>
      <c r="N78" s="596"/>
      <c r="O78" s="596"/>
      <c r="P78" s="596"/>
      <c r="Q78" s="596"/>
      <c r="R78" s="596"/>
      <c r="S78" s="596"/>
    </row>
    <row r="79" spans="1:26" x14ac:dyDescent="0.2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/>
      </c>
      <c r="J80" s="59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80" s="596"/>
      <c r="L80" s="596"/>
      <c r="M80" s="596"/>
      <c r="N80" s="596"/>
      <c r="O80" s="596"/>
      <c r="P80" s="596"/>
      <c r="Q80" s="596"/>
      <c r="R80" s="596"/>
      <c r="S80" s="596"/>
    </row>
    <row r="81" spans="1:19" x14ac:dyDescent="0.2">
      <c r="A81"/>
      <c r="B81"/>
      <c r="C81"/>
      <c r="D81"/>
      <c r="E81"/>
      <c r="F81"/>
      <c r="G81"/>
      <c r="I81" t="str">
        <f t="shared" ca="1" si="1"/>
        <v/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/>
      </c>
      <c r="J82" s="50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/>
      </c>
      <c r="J83" s="608"/>
      <c r="K83" s="608"/>
      <c r="L83" s="608"/>
      <c r="M83" s="608"/>
      <c r="N83" s="608"/>
      <c r="O83" s="608"/>
      <c r="P83" s="608"/>
      <c r="Q83" s="608"/>
      <c r="R83" s="608"/>
      <c r="S83" s="608"/>
    </row>
    <row r="84" spans="1:19" x14ac:dyDescent="0.2">
      <c r="A84"/>
      <c r="B84"/>
      <c r="C84"/>
      <c r="D84"/>
      <c r="E84"/>
      <c r="F84"/>
      <c r="G84"/>
      <c r="I84" t="str">
        <f t="shared" ca="1" si="1"/>
        <v/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/>
      </c>
      <c r="J85" s="602" t="str">
        <f>Import.Município</f>
        <v>RONDINHA - RS</v>
      </c>
      <c r="K85" s="602"/>
      <c r="L85" s="602"/>
      <c r="M85" s="602"/>
      <c r="P85" s="603">
        <f ca="1">DADOS!$F$25</f>
        <v>45412</v>
      </c>
      <c r="Q85" s="603"/>
      <c r="R85" s="603"/>
      <c r="S85" s="603"/>
    </row>
    <row r="86" spans="1:19" x14ac:dyDescent="0.2">
      <c r="A86"/>
      <c r="B86"/>
      <c r="C86"/>
      <c r="D86"/>
      <c r="E86"/>
      <c r="F86"/>
      <c r="G86"/>
      <c r="I86" t="str">
        <f t="shared" ca="1" si="1"/>
        <v/>
      </c>
      <c r="J86" s="604" t="s">
        <v>188</v>
      </c>
      <c r="K86" s="604"/>
      <c r="L86" s="604"/>
      <c r="M86" s="604"/>
      <c r="O86" s="74"/>
      <c r="P86" s="75" t="s">
        <v>189</v>
      </c>
      <c r="Q86" s="76"/>
      <c r="R86" s="76"/>
      <c r="S86" s="76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/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/>
      </c>
      <c r="J88" s="605"/>
      <c r="K88" s="605"/>
      <c r="L88" s="605"/>
      <c r="M88" s="605"/>
      <c r="N88" s="77"/>
    </row>
    <row r="89" spans="1:19" x14ac:dyDescent="0.2">
      <c r="A89"/>
      <c r="B89"/>
      <c r="C89"/>
      <c r="D89"/>
      <c r="E89"/>
      <c r="F89"/>
      <c r="G89"/>
      <c r="I89" t="str">
        <f t="shared" ca="1" si="1"/>
        <v/>
      </c>
      <c r="J89" s="601" t="s">
        <v>190</v>
      </c>
      <c r="K89" s="601"/>
      <c r="L89" s="601"/>
      <c r="M89" s="601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/>
      </c>
      <c r="J90" s="78" t="s">
        <v>108</v>
      </c>
      <c r="K90" s="79" t="str">
        <f t="array" ref="K90:K92">Import.RespOrçamento</f>
        <v>MARCELO SETTI</v>
      </c>
      <c r="L90" s="80"/>
      <c r="M90" s="80"/>
      <c r="N90" s="77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/>
      </c>
      <c r="J91" s="78" t="s">
        <v>109</v>
      </c>
      <c r="K91" s="79" t="str">
        <v>CREA/RS 226290</v>
      </c>
      <c r="L91" s="80"/>
      <c r="M91" s="80"/>
      <c r="N91" s="77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/>
      </c>
      <c r="J92" s="78" t="s">
        <v>110</v>
      </c>
      <c r="K92" s="79" t="str">
        <v>13152333</v>
      </c>
      <c r="L92" s="80"/>
      <c r="M92" s="80"/>
      <c r="N92" s="77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/>
      </c>
      <c r="J93" s="78"/>
      <c r="K93" s="81"/>
      <c r="L93" s="80"/>
      <c r="M93" s="80"/>
      <c r="N93" s="7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592" t="s">
        <v>192</v>
      </c>
      <c r="K94" s="592"/>
      <c r="L94" s="592"/>
      <c r="M94" s="592"/>
      <c r="N94" s="592"/>
      <c r="O94" s="592"/>
      <c r="P94" s="592"/>
      <c r="Q94" s="592"/>
      <c r="R94" s="592"/>
      <c r="S94" s="592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/>
      </c>
      <c r="J96" s="583" t="s">
        <v>157</v>
      </c>
      <c r="K96" s="583"/>
      <c r="L96" s="583"/>
      <c r="M96" s="583"/>
      <c r="N96" s="583"/>
      <c r="O96" s="583"/>
      <c r="P96" s="583"/>
      <c r="Q96" s="583"/>
      <c r="R96" s="583"/>
      <c r="S96" s="583"/>
    </row>
    <row r="97" spans="1:26" x14ac:dyDescent="0.2">
      <c r="A97"/>
      <c r="B97"/>
      <c r="C97"/>
      <c r="D97"/>
      <c r="E97"/>
      <c r="F97"/>
      <c r="G97"/>
      <c r="I97" t="str">
        <f t="shared" ca="1" si="2"/>
        <v/>
      </c>
      <c r="J97" s="589" t="s">
        <v>409</v>
      </c>
      <c r="K97" s="589"/>
      <c r="L97" s="589"/>
      <c r="M97" s="589"/>
      <c r="N97" s="589"/>
      <c r="O97" s="589"/>
      <c r="P97" s="589"/>
      <c r="Q97" s="589"/>
      <c r="R97" s="589"/>
      <c r="S97" s="589"/>
    </row>
    <row r="98" spans="1:26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591" t="s">
        <v>158</v>
      </c>
      <c r="K99" s="591"/>
      <c r="L99" s="591"/>
      <c r="M99" s="591"/>
      <c r="N99" s="591"/>
      <c r="O99" s="591"/>
      <c r="P99" s="591"/>
      <c r="Q99" s="591"/>
      <c r="R99" s="591" t="s">
        <v>159</v>
      </c>
      <c r="S99" s="590" t="s">
        <v>160</v>
      </c>
      <c r="U99" s="590" t="s">
        <v>161</v>
      </c>
      <c r="V99" s="590"/>
      <c r="W99" s="590"/>
      <c r="X99" s="588" t="s">
        <v>162</v>
      </c>
      <c r="Y99" s="588" t="s">
        <v>163</v>
      </c>
      <c r="Z99" s="588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591"/>
      <c r="K100" s="591"/>
      <c r="L100" s="591"/>
      <c r="M100" s="591"/>
      <c r="N100" s="591"/>
      <c r="O100" s="591"/>
      <c r="P100" s="591"/>
      <c r="Q100" s="591"/>
      <c r="R100" s="591"/>
      <c r="S100" s="590"/>
      <c r="U100" s="590"/>
      <c r="V100" s="590"/>
      <c r="W100" s="590"/>
      <c r="X100" s="588"/>
      <c r="Y100" s="588"/>
      <c r="Z100" s="588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593" t="str">
        <f>IF($J$17=$A$146,"Encargos Sociais incidentes sobre a mão de obra","Administração Central")</f>
        <v>Administração Central</v>
      </c>
      <c r="K101" s="593"/>
      <c r="L101" s="593"/>
      <c r="M101" s="593"/>
      <c r="N101" s="593"/>
      <c r="O101" s="593"/>
      <c r="P101" s="593"/>
      <c r="Q101" s="593"/>
      <c r="R101" s="61" t="str">
        <f>IF($J97=$A$146,"K1","AC")</f>
        <v>AC</v>
      </c>
      <c r="S101" s="62"/>
      <c r="U101" s="594" t="s">
        <v>166</v>
      </c>
      <c r="V101" s="594"/>
      <c r="W101" s="594"/>
      <c r="X101" s="63" t="e">
        <f>VLOOKUP(CONCATENATE(J97,"-",R101),$C$2:$G$136,3,FALSE)</f>
        <v>#N/A</v>
      </c>
      <c r="Y101" s="63" t="e">
        <f>VLOOKUP(CONCATENATE(J97,"-",R101),$C$2:$G$136,4,FALSE)</f>
        <v>#N/A</v>
      </c>
      <c r="Z101" s="63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593" t="str">
        <f>IF($J$17=$A$146,"Administração Central da empresa ou consultoria - overhead","Seguro e Garantia")</f>
        <v>Seguro e Garantia</v>
      </c>
      <c r="K102" s="593"/>
      <c r="L102" s="593"/>
      <c r="M102" s="593"/>
      <c r="N102" s="593"/>
      <c r="O102" s="593"/>
      <c r="P102" s="593"/>
      <c r="Q102" s="593"/>
      <c r="R102" s="61" t="str">
        <f>IF($J97=$A$146,"K2","SG")</f>
        <v>SG</v>
      </c>
      <c r="S102" s="62"/>
      <c r="U102" s="594" t="s">
        <v>166</v>
      </c>
      <c r="V102" s="594"/>
      <c r="W102" s="594"/>
      <c r="X102" s="63" t="e">
        <f>VLOOKUP(CONCATENATE(J97,"-",R102),$C$2:$G$136,3,FALSE)</f>
        <v>#N/A</v>
      </c>
      <c r="Y102" s="63" t="e">
        <f>VLOOKUP(CONCATENATE(J97,"-",R102),$C$2:$G$136,4,FALSE)</f>
        <v>#N/A</v>
      </c>
      <c r="Z102" s="63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593" t="str">
        <f>IF($J$17=$A$146,"","Risco")</f>
        <v>Risco</v>
      </c>
      <c r="K103" s="593"/>
      <c r="L103" s="593"/>
      <c r="M103" s="593"/>
      <c r="N103" s="593"/>
      <c r="O103" s="593"/>
      <c r="P103" s="593"/>
      <c r="Q103" s="593"/>
      <c r="R103" s="61" t="str">
        <f>IF($J97=$A$146,"","R")</f>
        <v>R</v>
      </c>
      <c r="S103" s="62"/>
      <c r="U103" s="594" t="s">
        <v>166</v>
      </c>
      <c r="V103" s="594"/>
      <c r="W103" s="594"/>
      <c r="X103" s="63" t="e">
        <f>VLOOKUP(CONCATENATE(J97,"-",R103),$C$2:$G$136,3,FALSE)</f>
        <v>#N/A</v>
      </c>
      <c r="Y103" s="63" t="e">
        <f>VLOOKUP(CONCATENATE(J97,"-",R103),$C$2:$G$136,4,FALSE)</f>
        <v>#N/A</v>
      </c>
      <c r="Z103" s="63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593" t="str">
        <f>IF($J$17=$A$146,"","Despesas Financeiras")</f>
        <v>Despesas Financeiras</v>
      </c>
      <c r="K104" s="593"/>
      <c r="L104" s="593"/>
      <c r="M104" s="593"/>
      <c r="N104" s="593"/>
      <c r="O104" s="593"/>
      <c r="P104" s="593"/>
      <c r="Q104" s="593"/>
      <c r="R104" s="61" t="str">
        <f>IF($J97=$A$146,"","DF")</f>
        <v>DF</v>
      </c>
      <c r="S104" s="62"/>
      <c r="U104" s="594" t="s">
        <v>166</v>
      </c>
      <c r="V104" s="594"/>
      <c r="W104" s="594"/>
      <c r="X104" s="63" t="e">
        <f>VLOOKUP(CONCATENATE(J97,"-",R104),$C$2:$G$136,3,FALSE)</f>
        <v>#N/A</v>
      </c>
      <c r="Y104" s="63" t="e">
        <f>VLOOKUP(CONCATENATE(J97,"-",R104),$C$2:$G$136,4,FALSE)</f>
        <v>#N/A</v>
      </c>
      <c r="Z104" s="63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593" t="str">
        <f>IF($J$17=$A$146,"Margem bruta da empresa de consultoria","Lucro")</f>
        <v>Lucro</v>
      </c>
      <c r="K105" s="593"/>
      <c r="L105" s="593"/>
      <c r="M105" s="593"/>
      <c r="N105" s="593"/>
      <c r="O105" s="593"/>
      <c r="P105" s="593"/>
      <c r="Q105" s="593"/>
      <c r="R105" s="61" t="str">
        <f>IF($J97=$A$146,"K3","L")</f>
        <v>L</v>
      </c>
      <c r="S105" s="62"/>
      <c r="U105" s="594" t="s">
        <v>166</v>
      </c>
      <c r="V105" s="594"/>
      <c r="W105" s="594"/>
      <c r="X105" s="63" t="e">
        <f>VLOOKUP(CONCATENATE(J97,"-",R105),$C$2:$G$136,3,FALSE)</f>
        <v>#N/A</v>
      </c>
      <c r="Y105" s="63" t="e">
        <f>VLOOKUP(CONCATENATE(J97,"-",R105),$C$2:$G$136,4,FALSE)</f>
        <v>#N/A</v>
      </c>
      <c r="Z105" s="63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593" t="s">
        <v>168</v>
      </c>
      <c r="K106" s="593"/>
      <c r="L106" s="593"/>
      <c r="M106" s="593"/>
      <c r="N106" s="593"/>
      <c r="O106" s="593"/>
      <c r="P106" s="593"/>
      <c r="Q106" s="593"/>
      <c r="R106" s="61" t="s">
        <v>169</v>
      </c>
      <c r="S106" s="62"/>
      <c r="U106" s="594" t="s">
        <v>166</v>
      </c>
      <c r="V106" s="594"/>
      <c r="W106" s="594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593" t="s">
        <v>170</v>
      </c>
      <c r="K107" s="593"/>
      <c r="L107" s="593"/>
      <c r="M107" s="593"/>
      <c r="N107" s="593"/>
      <c r="O107" s="593"/>
      <c r="P107" s="593"/>
      <c r="Q107" s="593"/>
      <c r="R107" s="61" t="s">
        <v>171</v>
      </c>
      <c r="S107" s="63">
        <f ca="1">IF(AND($J97&lt;&gt;$A$145,COUNTA(OFFSET(S100,1,0,6))&gt;0),$R$11*$R$10,0)</f>
        <v>0</v>
      </c>
      <c r="U107" s="594" t="s">
        <v>166</v>
      </c>
      <c r="V107" s="594"/>
      <c r="W107" s="594"/>
      <c r="X107" s="63">
        <v>0</v>
      </c>
      <c r="Y107" s="63">
        <v>2.5000000000000001E-2</v>
      </c>
      <c r="Z107" s="63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593" t="s">
        <v>172</v>
      </c>
      <c r="K108" s="593"/>
      <c r="L108" s="593"/>
      <c r="M108" s="593"/>
      <c r="N108" s="593"/>
      <c r="O108" s="593"/>
      <c r="P108" s="593"/>
      <c r="Q108" s="593"/>
      <c r="R108" s="61" t="s">
        <v>173</v>
      </c>
      <c r="S108" s="63">
        <f ca="1">IF(BDI.Opcao&lt;&gt;"Desonerado",0,IF(AND($J97&lt;&gt;$A$145,COUNTA(OFFSET(S100,1,0,6))&gt;0),4.5%,0%))</f>
        <v>0</v>
      </c>
      <c r="U108" s="594" t="s">
        <v>166</v>
      </c>
      <c r="V108" s="594"/>
      <c r="W108" s="594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593" t="s">
        <v>174</v>
      </c>
      <c r="K109" s="593"/>
      <c r="L109" s="593"/>
      <c r="M109" s="593"/>
      <c r="N109" s="593"/>
      <c r="O109" s="593"/>
      <c r="P109" s="593"/>
      <c r="Q109" s="593"/>
      <c r="R109" s="65" t="s">
        <v>150</v>
      </c>
      <c r="S109" s="63">
        <f ca="1">IF($J97=$A$145,0,ROUND((((1+S101+S102+S103)*(1+S104)*(1+S105)/(1-(S106+S107)))-1),4))</f>
        <v>0</v>
      </c>
      <c r="U109" s="590" t="e">
        <f ca="1">IF(OR($J$17=$A$146,$J$17=$A$145,AND(S109&gt;=X109,S109&lt;=Z109)),"OK","FORA DO INTERVALO")</f>
        <v>#N/A</v>
      </c>
      <c r="V109" s="590"/>
      <c r="W109" s="590"/>
      <c r="X109" s="63" t="e">
        <f>IF($J97=$A$145,0,VLOOKUP(CONCATENATE($J97,"-",$R109),$C$2:$G$136,3,FALSE))</f>
        <v>#N/A</v>
      </c>
      <c r="Y109" s="63" t="e">
        <f>IF($J97=$A$145,0,VLOOKUP(CONCATENATE($J97,"-",$R109),$C$2:$G$136,4,FALSE))</f>
        <v>#N/A</v>
      </c>
      <c r="Z109" s="63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597" t="s">
        <v>175</v>
      </c>
      <c r="K110" s="597"/>
      <c r="L110" s="597"/>
      <c r="M110" s="597"/>
      <c r="N110" s="597"/>
      <c r="O110" s="597"/>
      <c r="P110" s="597"/>
      <c r="Q110" s="597"/>
      <c r="R110" s="66" t="s">
        <v>176</v>
      </c>
      <c r="S110" s="67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/>
      </c>
      <c r="J112" s="68" t="e">
        <f ca="1">IF(U109&lt;&gt;"ok","X","")</f>
        <v>#N/A</v>
      </c>
      <c r="K112" s="598" t="e">
        <f ca="1">IF(U109&lt;&gt;"ok","Anexo: Relatório Técnico Circunstanciado justificando a adoção do percentual de cada parcela do BDI.","")</f>
        <v>#N/A</v>
      </c>
      <c r="L112" s="598"/>
      <c r="M112" s="598"/>
      <c r="N112" s="598"/>
      <c r="O112" s="598"/>
      <c r="P112" s="598"/>
      <c r="Q112" s="598"/>
      <c r="R112" s="598"/>
      <c r="S112" s="598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/>
      </c>
      <c r="J114" s="599" t="s">
        <v>178</v>
      </c>
      <c r="K114" s="599"/>
      <c r="L114" s="599"/>
      <c r="M114" s="599"/>
      <c r="N114" s="599"/>
      <c r="O114" s="599"/>
      <c r="P114" s="599"/>
      <c r="Q114" s="599"/>
      <c r="R114" s="599"/>
      <c r="S114" s="599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/>
      </c>
      <c r="J115" s="69"/>
      <c r="K115" s="69"/>
      <c r="L115" s="69"/>
      <c r="M115" s="600" t="s">
        <v>179</v>
      </c>
      <c r="N115" s="606" t="str">
        <f>IF($J97=$A$146,"(1+K1+K2)*(1+K3)","(1+AC + S + R + G)*(1 + DF)*(1+L)")</f>
        <v>(1+AC + S + R + G)*(1 + DF)*(1+L)</v>
      </c>
      <c r="O115" s="606"/>
      <c r="P115" s="606"/>
      <c r="Q115" s="607" t="s">
        <v>180</v>
      </c>
      <c r="R115" s="69"/>
      <c r="S115" s="69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/>
      </c>
      <c r="J116" s="69"/>
      <c r="K116" s="69"/>
      <c r="L116" s="69"/>
      <c r="M116" s="600"/>
      <c r="N116" s="595" t="s">
        <v>181</v>
      </c>
      <c r="O116" s="595"/>
      <c r="P116" s="595"/>
      <c r="Q116" s="607"/>
      <c r="R116" s="69"/>
      <c r="S116" s="69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59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596"/>
      <c r="L118" s="596"/>
      <c r="M118" s="596"/>
      <c r="N118" s="596"/>
      <c r="O118" s="596"/>
      <c r="P118" s="596"/>
      <c r="Q118" s="596"/>
      <c r="R118" s="596"/>
      <c r="S118" s="596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59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120" s="596"/>
      <c r="L120" s="596"/>
      <c r="M120" s="596"/>
      <c r="N120" s="596"/>
      <c r="O120" s="596"/>
      <c r="P120" s="596"/>
      <c r="Q120" s="596"/>
      <c r="R120" s="596"/>
      <c r="S120" s="596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/>
      </c>
      <c r="J122" s="50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608"/>
      <c r="K123" s="608"/>
      <c r="L123" s="608"/>
      <c r="M123" s="608"/>
      <c r="N123" s="608"/>
      <c r="O123" s="608"/>
      <c r="P123" s="608"/>
      <c r="Q123" s="608"/>
      <c r="R123" s="608"/>
      <c r="S123" s="608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/>
      </c>
      <c r="J125" s="602" t="str">
        <f>Import.Município</f>
        <v>RONDINHA - RS</v>
      </c>
      <c r="K125" s="602"/>
      <c r="L125" s="602"/>
      <c r="M125" s="602"/>
      <c r="P125" s="603">
        <f ca="1">DADOS!$F$25</f>
        <v>45412</v>
      </c>
      <c r="Q125" s="603"/>
      <c r="R125" s="603"/>
      <c r="S125" s="603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/>
      </c>
      <c r="J126" s="604" t="s">
        <v>188</v>
      </c>
      <c r="K126" s="604"/>
      <c r="L126" s="604"/>
      <c r="M126" s="604"/>
      <c r="O126" s="74"/>
      <c r="P126" s="75" t="s">
        <v>189</v>
      </c>
      <c r="Q126" s="76"/>
      <c r="R126" s="76"/>
      <c r="S126" s="76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/>
      </c>
      <c r="J128" s="605"/>
      <c r="K128" s="605"/>
      <c r="L128" s="605"/>
      <c r="M128" s="605"/>
      <c r="N128" s="77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/>
      </c>
      <c r="J129" s="601" t="s">
        <v>190</v>
      </c>
      <c r="K129" s="601"/>
      <c r="L129" s="601"/>
      <c r="M129" s="601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/>
      </c>
      <c r="J130" s="78" t="s">
        <v>108</v>
      </c>
      <c r="K130" s="79" t="str">
        <f t="array" ref="K130:K132">Import.RespOrçamento</f>
        <v>MARCELO SETTI</v>
      </c>
      <c r="L130" s="80"/>
      <c r="M130" s="80"/>
      <c r="N130" s="7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/>
      </c>
      <c r="J131" s="78" t="s">
        <v>109</v>
      </c>
      <c r="K131" s="79" t="str">
        <v>CREA/RS 226290</v>
      </c>
      <c r="L131" s="80"/>
      <c r="M131" s="80"/>
      <c r="N131" s="7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/>
      </c>
      <c r="J132" s="78" t="s">
        <v>110</v>
      </c>
      <c r="K132" s="79" t="str">
        <v>13152333</v>
      </c>
      <c r="L132" s="80"/>
      <c r="M132" s="80"/>
      <c r="N132" s="7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50" t="s">
        <v>409</v>
      </c>
    </row>
    <row r="139" spans="1:14" x14ac:dyDescent="0.2">
      <c r="A139" s="50" t="s">
        <v>141</v>
      </c>
    </row>
    <row r="140" spans="1:14" x14ac:dyDescent="0.2">
      <c r="A140" s="50" t="s">
        <v>152</v>
      </c>
    </row>
    <row r="141" spans="1:14" x14ac:dyDescent="0.2">
      <c r="A141" s="50" t="s">
        <v>155</v>
      </c>
    </row>
    <row r="142" spans="1:14" x14ac:dyDescent="0.2">
      <c r="A142" s="50" t="s">
        <v>165</v>
      </c>
    </row>
    <row r="143" spans="1:14" x14ac:dyDescent="0.2">
      <c r="A143" s="50" t="s">
        <v>167</v>
      </c>
    </row>
    <row r="144" spans="1:14" x14ac:dyDescent="0.2">
      <c r="A144" s="50" t="s">
        <v>177</v>
      </c>
    </row>
    <row r="145" spans="1:1" x14ac:dyDescent="0.2">
      <c r="A145" s="50" t="s">
        <v>182</v>
      </c>
    </row>
    <row r="146" spans="1:1" x14ac:dyDescent="0.2">
      <c r="A146" s="50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 xr:uid="{00000000-0009-0000-0000-000003000000}"/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</mergeCells>
  <phoneticPr fontId="38" type="noConversion"/>
  <conditionalFormatting sqref="J30:S30 J70:S70 J110:S110">
    <cfRule type="expression" dxfId="1443" priority="2" stopIfTrue="1">
      <formula>DESONERACAO="não"</formula>
    </cfRule>
  </conditionalFormatting>
  <conditionalFormatting sqref="U29:W29 U69:W69 U109:W109">
    <cfRule type="expression" dxfId="1442" priority="3" stopIfTrue="1">
      <formula>AND(U29&lt;&gt;"OK",U29&lt;&gt;"-",U29&lt;&gt;"")</formula>
    </cfRule>
    <cfRule type="cellIs" dxfId="1441" priority="4" stopIfTrue="1" operator="equal">
      <formula>"OK"</formula>
    </cfRule>
  </conditionalFormatting>
  <conditionalFormatting sqref="S29 S69 S109">
    <cfRule type="expression" dxfId="1440" priority="5" stopIfTrue="1">
      <formula>DESONERACAO="não"</formula>
    </cfRule>
  </conditionalFormatting>
  <dataValidations disablePrompts="1" count="6">
    <dataValidation type="decimal" allowBlank="1" showErrorMessage="1" errorTitle="Erro de valores" error="Digite um valor entre 0% e 100%" sqref="S21:S26 S61:S66 S101:S106" xr:uid="{00000000-0002-0000-0300-000000000000}">
      <formula1>0</formula1>
      <formula2>1</formula2>
    </dataValidation>
    <dataValidation type="decimal" allowBlank="1" showErrorMessage="1" errorTitle="Erro de valores" error="Digite um valor maior do que 0." sqref="S27 S67 S107" xr:uid="{00000000-0002-0000-0300-000001000000}">
      <formula1>0</formula1>
      <formula2>1</formula2>
    </dataValidation>
    <dataValidation operator="greaterThanOrEqual" allowBlank="1" showErrorMessage="1" errorTitle="Erro de valores" error="Digite um valor igual a 0% ou 2%." sqref="S28 S68 S108" xr:uid="{00000000-0002-0000-0300-000002000000}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00000000-0002-0000-0300-000003000000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00000000-0002-0000-0300-000004000000}">
      <formula1>0</formula1>
      <formula2>1</formula2>
    </dataValidation>
    <dataValidation type="list" allowBlank="1" showErrorMessage="1" sqref="J17:S17 J57:S57 J97:S97" xr:uid="{00000000-0002-0000-0300-000005000000}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 filterMode="1">
    <pageSetUpPr fitToPage="1"/>
  </sheetPr>
  <dimension ref="A1:AN307"/>
  <sheetViews>
    <sheetView showGridLines="0" zoomScale="90" zoomScaleNormal="90" zoomScaleSheetLayoutView="90" workbookViewId="0">
      <pane xSplit="19" ySplit="15" topLeftCell="T16" activePane="bottomRight" state="frozen"/>
      <selection activeCell="L1" sqref="L1"/>
      <selection pane="topRight" activeCell="T1" sqref="T1"/>
      <selection pane="bottomLeft" activeCell="L16" sqref="L16"/>
      <selection pane="bottomRight" activeCell="R19" sqref="R19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Base para Licitação - OGU</v>
      </c>
      <c r="X2" s="12" t="s">
        <v>143</v>
      </c>
      <c r="Y2" s="85"/>
      <c r="Z2" s="85"/>
      <c r="AA2" s="85"/>
      <c r="AB2" s="85"/>
    </row>
    <row r="3" spans="1:40" x14ac:dyDescent="0.2">
      <c r="H3" s="86"/>
      <c r="R3" s="87"/>
    </row>
    <row r="4" spans="1:40" x14ac:dyDescent="0.2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583" t="s">
        <v>146</v>
      </c>
      <c r="P4" s="583"/>
      <c r="Q4" s="89" t="s">
        <v>443</v>
      </c>
      <c r="R4" s="89" t="s">
        <v>147</v>
      </c>
      <c r="S4" s="583" t="s">
        <v>202</v>
      </c>
      <c r="T4" s="583"/>
      <c r="U4" s="583"/>
      <c r="V4" s="583"/>
      <c r="W4" s="583"/>
      <c r="X4" s="583"/>
      <c r="Y4" s="78"/>
      <c r="Z4" s="78"/>
      <c r="AA4" s="78"/>
      <c r="AB4" s="78"/>
    </row>
    <row r="5" spans="1:40" ht="12.75" customHeight="1" x14ac:dyDescent="0.2">
      <c r="A5" s="7">
        <f ca="1">MAX($C$15:$C$290)</f>
        <v>3</v>
      </c>
      <c r="B5" s="7"/>
      <c r="C5" s="7"/>
      <c r="F5" s="88">
        <f ca="1">IF(BDI.Opcao="DESONERADO",BDI!$S$30,BDI!$S$29)</f>
        <v>0.28170000000000001</v>
      </c>
      <c r="G5" s="88">
        <f ca="1">IF(BDI.Opcao="DESONERADO",BDI!$S$70,BDI!$S$69)</f>
        <v>0</v>
      </c>
      <c r="H5" s="88">
        <f ca="1">IF(BDI.Opcao="DESONERADO",BDI!$S$110,BDI!$S$109)</f>
        <v>0</v>
      </c>
      <c r="O5" s="580">
        <f>Import.CR</f>
        <v>0</v>
      </c>
      <c r="P5" s="580"/>
      <c r="Q5" s="92" cm="1">
        <f t="array" ref="Q5">Import.TransfereGOV</f>
        <v>0</v>
      </c>
      <c r="R5" s="93" t="str">
        <f>Import.Proponente</f>
        <v>MUNICÍPIO DE RONDINHA</v>
      </c>
      <c r="S5" s="580" t="str">
        <f>Import.Apelido</f>
        <v>PRAÇA PÚBLICA - BAIRRO N. S. APARECIDA</v>
      </c>
      <c r="T5" s="580"/>
      <c r="U5" s="580"/>
      <c r="V5" s="580"/>
      <c r="W5" s="580"/>
      <c r="X5" s="580"/>
      <c r="Y5" s="94"/>
      <c r="Z5" s="94"/>
      <c r="AA5" s="94"/>
      <c r="AB5" s="94"/>
      <c r="AE5" s="619" t="s">
        <v>200</v>
      </c>
      <c r="AF5" s="619"/>
    </row>
    <row r="6" spans="1:40" ht="5.0999999999999996" customHeight="1" x14ac:dyDescent="0.2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">
      <c r="H7" s="86"/>
      <c r="O7" s="583" t="s">
        <v>204</v>
      </c>
      <c r="P7" s="583"/>
      <c r="Q7" s="89" t="s">
        <v>205</v>
      </c>
      <c r="R7" s="89" t="str">
        <f>IF(TIPOORCAMENTO="Licitado","NOME DA EMPRESA","DESCRIÇÃO DO LOTE")</f>
        <v>DESCRIÇÃO DO LOTE</v>
      </c>
      <c r="S7" s="620" t="str">
        <f>IF(TIPOORCAMENTO="Licitado","REGIME DE EXECUÇÃO","MUNICÍPIO / UF")</f>
        <v>MUNICÍPIO / UF</v>
      </c>
      <c r="T7" s="620"/>
      <c r="U7" s="620"/>
      <c r="V7" s="99" t="str">
        <f>IF(TIPOORCAMENTO="Licitado","","BDI 1")</f>
        <v>BDI 1</v>
      </c>
      <c r="W7" s="99" t="str">
        <f>IF(TIPOORCAMENTO="Licitado","","BDI 2")</f>
        <v>BDI 2</v>
      </c>
      <c r="X7" s="100" t="str">
        <f>IF(TIPOORCAMENTO="Licitado","Nº CTEF","BDI 3")</f>
        <v>BDI 3</v>
      </c>
      <c r="Y7" s="99"/>
      <c r="Z7" s="99"/>
      <c r="AE7" s="90" t="s">
        <v>203</v>
      </c>
      <c r="AF7" s="91" t="b">
        <v>1</v>
      </c>
      <c r="AJ7" s="623" t="s">
        <v>207</v>
      </c>
      <c r="AL7" s="621" t="s">
        <v>208</v>
      </c>
    </row>
    <row r="8" spans="1:40" ht="12.75" customHeight="1" x14ac:dyDescent="0.2">
      <c r="A8" s="7"/>
      <c r="B8" s="7"/>
      <c r="C8" s="7"/>
      <c r="F8" s="617" t="str">
        <f ca="1">IF(LEN(INFO("release"))&gt;5,"'Referência "&amp;Excel_BuiltIn_Database&amp;".xlsm'#Banco.$a5:$a$65536","'[Referência "&amp;Excel_BuiltIn_Database&amp;".xlsm]Banco'!$a5:$a$65536")</f>
        <v>'[Referência 03-2024.xlsm]Banco'!$a5:$a$65536</v>
      </c>
      <c r="G8" s="617"/>
      <c r="H8" s="617"/>
      <c r="I8" s="617"/>
      <c r="J8" s="617"/>
      <c r="K8" s="617"/>
      <c r="L8" s="609" t="s">
        <v>209</v>
      </c>
      <c r="O8" s="580" t="str">
        <f ca="1">IF(ISERROR(INDIRECT($F$9)),"(N/D: 'Referência "&amp;Excel_BuiltIn_Database&amp;".xlsm)",INDIRECT($F$9))</f>
        <v>(N/D: 'Referência 03-2024.xlsm)</v>
      </c>
      <c r="P8" s="580"/>
      <c r="Q8" s="101" t="str">
        <f ca="1">TEXT(Import.DataBase,"mm-aa")&amp;IF(DESONERACAO="Sim"," (DES.)"," (N DES.)")</f>
        <v>03-24 (DES.)</v>
      </c>
      <c r="R8" s="93" t="str">
        <f>IF(TIPOORCAMENTO="Licitado",Import.empresa,Import.DescLote)</f>
        <v>PRAÇA PÚBLICA - BAIRRO N. S. APARECIDA</v>
      </c>
      <c r="S8" s="618" t="str">
        <f>IF(TIPOORCAMENTO="Licitado",Import.RegimeExecução,Import.Município)</f>
        <v>RONDINHA - RS</v>
      </c>
      <c r="T8" s="618"/>
      <c r="U8" s="618"/>
      <c r="V8" s="102" t="str">
        <f ca="1">IF(TIPOORCAMENTO="Licitado","",TEXT(F5,"0,00%"))</f>
        <v>28,17%</v>
      </c>
      <c r="W8" s="102" t="str">
        <f ca="1">IF(TIPOORCAMENTO="Licitado","",TEXT(G5,"0,00%"))</f>
        <v>0,00%</v>
      </c>
      <c r="X8" s="103" t="str">
        <f ca="1">IF(TIPOORCAMENTO="Licitado",Import.CTEF,TEXT(H5,"0,00%"))</f>
        <v>0,00%</v>
      </c>
      <c r="Y8" s="609" t="s">
        <v>210</v>
      </c>
      <c r="Z8" s="609" t="s">
        <v>211</v>
      </c>
      <c r="AA8" s="104"/>
      <c r="AB8" s="104"/>
      <c r="AE8" s="90" t="s">
        <v>206</v>
      </c>
      <c r="AF8" s="91" t="b">
        <v>1</v>
      </c>
      <c r="AJ8" s="623"/>
      <c r="AL8" s="621"/>
    </row>
    <row r="9" spans="1:40" ht="12.75" customHeight="1" x14ac:dyDescent="0.2">
      <c r="F9" s="617" t="str">
        <f ca="1">IF(LEN(INFO("release"))&gt;5,"'Referência "&amp;Excel_BuiltIn_Database&amp;".xlsm'#Banco.$d$3","'[Referência "&amp;Excel_BuiltIn_Database&amp;".xlsm]Banco'!$d$3")</f>
        <v>'[Referência 03-2024.xlsm]Banco'!$d$3</v>
      </c>
      <c r="G9" s="617"/>
      <c r="H9" s="617"/>
      <c r="I9" s="617"/>
      <c r="J9" s="617"/>
      <c r="K9" s="617"/>
      <c r="L9" s="609"/>
      <c r="Y9" s="609"/>
      <c r="Z9" s="609"/>
      <c r="AE9" s="90" t="s">
        <v>212</v>
      </c>
      <c r="AF9" s="91" t="b">
        <v>1</v>
      </c>
      <c r="AJ9" s="623"/>
      <c r="AL9" s="621"/>
    </row>
    <row r="10" spans="1:40" x14ac:dyDescent="0.2">
      <c r="G10" s="86"/>
      <c r="H10" s="86"/>
      <c r="L10" s="609"/>
      <c r="Y10" s="609"/>
      <c r="Z10" s="609"/>
      <c r="AC10" s="105" t="s">
        <v>214</v>
      </c>
      <c r="AE10" s="90" t="s">
        <v>213</v>
      </c>
      <c r="AF10" s="91" t="b">
        <v>1</v>
      </c>
      <c r="AJ10" s="623"/>
      <c r="AL10" s="621"/>
    </row>
    <row r="11" spans="1:40" x14ac:dyDescent="0.2">
      <c r="G11" s="86"/>
      <c r="H11" s="106"/>
      <c r="L11" s="609"/>
      <c r="Y11" s="609"/>
      <c r="Z11" s="609"/>
      <c r="AC11" s="107" t="str">
        <f ca="1">IF(COUNTIF($AC$15:OFFSET($AC$290,-1,0),"DESCRIÇÃO")+COUNTIF($AC$15:OFFSET($AC$290,-1,0),"UNIDADE")+COUNTIF($AC$15:OFFSET($AC$290,-1,0),"SEM VALOR")&gt;0,"NÃO OK","OK")</f>
        <v>OK</v>
      </c>
      <c r="AE11" s="90" t="s">
        <v>215</v>
      </c>
      <c r="AF11" s="91" t="b">
        <v>1</v>
      </c>
      <c r="AJ11" s="623"/>
      <c r="AL11" s="621"/>
    </row>
    <row r="12" spans="1:40" x14ac:dyDescent="0.2">
      <c r="G12" s="86"/>
      <c r="H12" s="86"/>
      <c r="L12" s="609"/>
      <c r="Y12" s="609"/>
      <c r="Z12" s="609"/>
      <c r="AA12" s="622" t="s">
        <v>216</v>
      </c>
      <c r="AB12" s="622"/>
      <c r="AJ12" s="108" t="s">
        <v>217</v>
      </c>
      <c r="AL12" s="551" t="s">
        <v>217</v>
      </c>
    </row>
    <row r="13" spans="1:40" ht="35.1" customHeight="1" x14ac:dyDescent="0.2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>Custo Unitário (sem BDI) (R$)</v>
      </c>
      <c r="V13" s="109" t="str">
        <f>IF(TIPOORCAMENTO="Licitado","","BDI
(%)")</f>
        <v>BDI
(%)</v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418</v>
      </c>
      <c r="AH13" s="497" t="str">
        <f>IF(TIPOORCAMENTO="LICITADO","Valor BDI Edital","Valor BDI")</f>
        <v>Valor BDI</v>
      </c>
      <c r="AJ13" s="337" t="s">
        <v>203</v>
      </c>
      <c r="AL13" s="337" t="s">
        <v>236</v>
      </c>
      <c r="AM13" s="168" t="s">
        <v>244</v>
      </c>
      <c r="AN13" s="169" t="s">
        <v>414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IF(OR($C14="S",$C14=0),0,MATCH(0,OFFSET($D14,1,$C14,ROW($C$290)-ROW($C14)),0))</f>
        <v>0</v>
      </c>
      <c r="K14">
        <f ca="1">IF(OR($C14="S",$C14=0),0,MATCH(OFFSET($D14,0,$C14)+IF($C14&lt;&gt;1,1,COUNTIF(QCI!$A$13:$A$24,ORÇAMENTO!E14)),OFFSET($D14,1,$C14,ROW($C$290)-ROW($C14)),0))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(abra o arquivo 'Referência 03-2024.xlsm)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03-2024.xlsm)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0.28170000000000001</v>
      </c>
      <c r="AJ14" s="501"/>
      <c r="AL14" s="527"/>
      <c r="AM14" s="381">
        <f t="shared" ref="AM14:AM87" ca="1" si="0">$X14</f>
        <v>0</v>
      </c>
      <c r="AN14" s="566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COUNTA(OFFSET(D15,1,0):D$290)</f>
        <v>274</v>
      </c>
      <c r="E15">
        <v>0</v>
      </c>
      <c r="L15" s="116" t="s">
        <v>246</v>
      </c>
      <c r="M15" s="132" t="str">
        <f>IF(TIPOORCAMENTO="LICITADO","CTEF","LOTE")</f>
        <v>LOTE</v>
      </c>
      <c r="N15" s="132" t="str">
        <f>IF(TIPOORCAMENTO="LICITADO","CTEF","LOTE")</f>
        <v>LOTE</v>
      </c>
      <c r="O15" s="611" t="str">
        <f>Import.DescLote</f>
        <v>PRAÇA PÚBLICA - BAIRRO N. S. APARECIDA</v>
      </c>
      <c r="P15" s="611"/>
      <c r="Q15" s="611"/>
      <c r="R15" s="611"/>
      <c r="S15" s="133"/>
      <c r="T15" s="134"/>
      <c r="U15" s="134"/>
      <c r="V15" s="135"/>
      <c r="W15" s="134"/>
      <c r="X15" s="136">
        <f ca="1">SUMIF(OFFSET($C15,1,0,ROW(X290)-ROW(X15)-1),"S",OFFSET(X15,1,0,ROW(X290)-ROW(X15)-1))</f>
        <v>291001.64</v>
      </c>
      <c r="Y15" s="7"/>
      <c r="Z15" t="str">
        <f ca="1">IF(AND($C15="S",$X15&gt;0),LEFT($Y15,2),"")</f>
        <v/>
      </c>
      <c r="AA15" s="496">
        <f ca="1">SUMIF(OFFSET($C15,1,0,ROW(AA290)-ROW(AA15)-1),"S",OFFSET(AA15,1,0,ROW(AA290)-ROW(AA15)-1))</f>
        <v>291001.64</v>
      </c>
      <c r="AB15" s="137">
        <f ca="1">SUMIF(OFFSET($C15,1,0,ROW(AB290)-ROW(AB15)-1),"S",OFFSET(AB15,1,0,ROW(AB290)-ROW(AB15)-1))</f>
        <v>0</v>
      </c>
      <c r="AC15" s="131"/>
      <c r="AG15" s="529"/>
      <c r="AH15" s="530"/>
      <c r="AJ15" s="500"/>
      <c r="AL15" s="528"/>
      <c r="AM15" s="567">
        <f t="shared" ca="1" si="0"/>
        <v>291001.64</v>
      </c>
      <c r="AN15" s="568"/>
    </row>
    <row r="16" spans="1:40" x14ac:dyDescent="0.2">
      <c r="A16">
        <f t="shared" ref="A16:A86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86" ca="1" si="2">IF(OR(C16="s",C16=0),OFFSET(B16,-1,0),C16)</f>
        <v>1</v>
      </c>
      <c r="C16">
        <f t="shared" ref="C16:C86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86" ca="1" si="4">IF(OR(C16="S",C16=0),0,IF(ISERROR(K16),J16,SMALL(J16:K16,1)))</f>
        <v>274</v>
      </c>
      <c r="E16">
        <f ca="1">IF($C16=1,OFFSET(E16,-1,0)+MAX(1,COUNTIF(QCI!$A$13:$A$24,OFFSET(ORÇAMENTO!E16,-1,0))),OFFSET(E16,-1,0))</f>
        <v>1</v>
      </c>
      <c r="F16">
        <f t="shared" ref="F16:F86" ca="1" si="5">IF($C16=1,0,IF($C16=2,OFFSET(F16,-1,0)+1,OFFSET(F16,-1,0)))</f>
        <v>0</v>
      </c>
      <c r="G16">
        <f t="shared" ref="G16:G86" ca="1" si="6">IF(AND($C16&lt;=2,$C16&lt;&gt;0),0,IF($C16=3,OFFSET(G16,-1,0)+1,OFFSET(G16,-1,0)))</f>
        <v>0</v>
      </c>
      <c r="H16">
        <f t="shared" ref="H16:H86" ca="1" si="7">IF(AND($C16&lt;=3,$C16&lt;&gt;0),0,IF($C16=4,OFFSET(H16,-1,0)+1,OFFSET(H16,-1,0)))</f>
        <v>0</v>
      </c>
      <c r="I16">
        <f t="shared" ref="I16:I86" ca="1" si="8">IF(AND($C16&lt;=4,$C16&lt;&gt;0),0,IF(AND($C16="S",$X16&gt;0),OFFSET(I16,-1,0)+1,OFFSET(I16,-1,0)))</f>
        <v>0</v>
      </c>
      <c r="J16">
        <f t="shared" ref="J16:J79" ca="1" si="9">IF(OR($C16="S",$C16=0),0,MATCH(0,OFFSET($D16,1,$C16,ROW($C$290)-ROW($C16)),0))</f>
        <v>274</v>
      </c>
      <c r="K16" t="e">
        <f ca="1">IF(OR($C16="S",$C16=0),0,MATCH(OFFSET($D16,0,$C16)+IF($C16&lt;&gt;1,1,COUNTIF(QCI!$A$13:$A$24,ORÇAMENTO!E16)),OFFSET($D16,1,$C16,ROW($C$290)-ROW($C16)),0))</f>
        <v>#N/A</v>
      </c>
      <c r="L16" s="116" t="str">
        <f t="shared" ref="L16:L86" ca="1" si="10">IF(OR($X16&gt;0,$C16=1,$C16=2,$C16=3,$C16=4),"F","")</f>
        <v>F</v>
      </c>
      <c r="M16" s="117" t="s">
        <v>195</v>
      </c>
      <c r="N16" s="118" t="str">
        <f t="shared" ref="N16:N86" ca="1" si="11">CHOOSE(1+LOG(1+2*(C16=1)+4*(C16=2)+8*(C16=3)+16*(C16=4)+32*(C16="S"),2),"","Meta","Nível 2","Nível 3","Nível 4","Serviço")</f>
        <v>Meta</v>
      </c>
      <c r="O16" s="119" t="str">
        <f t="shared" ref="O16:O86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20" t="s">
        <v>247</v>
      </c>
      <c r="Q16" s="121"/>
      <c r="R16" s="122" t="s">
        <v>451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IF($C16="S",IF(Import.TipoArredondamento&lt;&gt;"TransfereGOV",VTOTAL1,SUM(OFFSET(CÁLCULO!$AA$15,ROW($X16)-ROW($X$15),1):OFFSET(CÁLCULO!$AL$15,ROW($X16)-ROW($X$15),-1))),IF($C16=0,0,ROUND(SomaAgrup,15-13*$AF$11)))</f>
        <v>291001.64</v>
      </c>
      <c r="Y16" s="128" t="s">
        <v>245</v>
      </c>
      <c r="Z16" t="str">
        <f t="shared" ref="Z16:Z86" ca="1" si="13">IF(AND($C16="S",$X16&gt;0),IF(ISBLANK($Y16),"RA",LEFT($Y16,2)),"")</f>
        <v/>
      </c>
      <c r="AA16" s="129">
        <f ca="1">IF($C16="S",IF($Z16="CP",$X16,IF($Z16="RA",(($X16)*QCI!$AA$3),0)),SomaAgrup)</f>
        <v>291001.64</v>
      </c>
      <c r="AB16" s="130">
        <f t="shared" ref="AB16:AB86" ca="1" si="14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03-2024.xlsm)</v>
      </c>
      <c r="AG16" s="498">
        <f ca="1">ROUND(IF(DESONERACAO="sim",REFERENCIA.Desonerado,REFERENCIA.NaoDesonerado),2)</f>
        <v>0</v>
      </c>
      <c r="AH16" s="499">
        <f t="shared" ref="AH16:AH86" ca="1" si="15">ROUND(IF(ISNUMBER(ORÇAMENTO.OpcaoBDI),ORÇAMENTO.OpcaoBDI,IF(LEFT(ORÇAMENTO.OpcaoBDI,3)="BDI",HLOOKUP(ORÇAMENTO.OpcaoBDI,$F$4:$H$5,2,FALSE),0)),15-11*$AF$9)</f>
        <v>0.28170000000000001</v>
      </c>
      <c r="AJ16" s="501"/>
      <c r="AL16" s="527"/>
      <c r="AM16" s="381">
        <f t="shared" ca="1" si="0"/>
        <v>291001.64</v>
      </c>
      <c r="AN16" s="566">
        <f t="shared" ref="AN16:AN86" ca="1" si="16">ROUND(ORÇAMENTO.CustoUnitario*(1+$AH16),2)</f>
        <v>0</v>
      </c>
    </row>
    <row r="17" spans="1:40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8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273</v>
      </c>
      <c r="K17">
        <f ca="1">IF(OR($C17="S",$C17=0),0,MATCH(OFFSET($D17,0,$C17)+IF($C17&lt;&gt;1,1,COUNTIF(QCI!$A$13:$A$24,ORÇAMENTO!E17)),OFFSET($D17,1,$C17,ROW($C$290)-ROW($C17)),0))</f>
        <v>8</v>
      </c>
      <c r="L17" s="116" t="str">
        <f t="shared" ca="1" si="10"/>
        <v>F</v>
      </c>
      <c r="M17" s="117" t="s">
        <v>196</v>
      </c>
      <c r="N17" s="118" t="str">
        <f t="shared" ca="1" si="11"/>
        <v>Nível 2</v>
      </c>
      <c r="O17" s="119" t="str">
        <f t="shared" ca="1" si="12"/>
        <v>1.1.</v>
      </c>
      <c r="P17" s="120" t="s">
        <v>247</v>
      </c>
      <c r="Q17" s="121"/>
      <c r="R17" s="122" t="s">
        <v>497</v>
      </c>
      <c r="S17" s="123" t="str">
        <f ca="1">REFERENCIA.Unidade</f>
        <v>-</v>
      </c>
      <c r="T17" s="124">
        <f ca="1">OFFSET(CÁLCULO!H$15,ROW($T17)-ROW(T$15),0)</f>
        <v>0</v>
      </c>
      <c r="U17" s="125"/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IF($C17="S",IF(Import.TipoArredondamento&lt;&gt;"TransfereGOV",VTOTAL1,SUM(OFFSET(CÁLCULO!$AA$15,ROW($X17)-ROW($X$15),1):OFFSET(CÁLCULO!$AL$15,ROW($X17)-ROW($X$15),-1))),IF($C17=0,0,ROUND(SomaAgrup,15-13*$AF$11)))</f>
        <v>2076.06</v>
      </c>
      <c r="Y17" s="128" t="s">
        <v>245</v>
      </c>
      <c r="Z17" t="str">
        <f t="shared" ca="1" si="13"/>
        <v/>
      </c>
      <c r="AA17" s="129">
        <f ca="1">IF($C17="S",IF($Z17="CP",$X17,IF($Z17="RA",(($X17)*QCI!$AA$3),0)),SomaAgrup)</f>
        <v>2076.06</v>
      </c>
      <c r="AB17" s="130">
        <f t="shared" ca="1" si="14"/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03-2024.xlsm)</v>
      </c>
      <c r="AG17" s="498">
        <f ca="1">ROUND(IF(DESONERACAO="sim",REFERENCIA.Desonerado,REFERENCIA.NaoDesonerado),2)</f>
        <v>0</v>
      </c>
      <c r="AH17" s="499">
        <f t="shared" ca="1" si="15"/>
        <v>0.28170000000000001</v>
      </c>
      <c r="AJ17" s="501"/>
      <c r="AL17" s="527"/>
      <c r="AM17" s="381">
        <f t="shared" ca="1" si="0"/>
        <v>2076.06</v>
      </c>
      <c r="AN17" s="566">
        <f t="shared" ca="1" si="16"/>
        <v>0</v>
      </c>
    </row>
    <row r="18" spans="1:40" ht="63.75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t="shared" ca="1" si="9"/>
        <v>0</v>
      </c>
      <c r="K18">
        <f ca="1">IF(OR($C18="S",$C18=0),0,MATCH(OFFSET($D18,0,$C18)+IF($C18&lt;&gt;1,1,COUNTIF(QCI!$A$13:$A$24,ORÇAMENTO!E18)),OFFSET($D18,1,$C18,ROW($C$290)-ROW($C18)),0))</f>
        <v>0</v>
      </c>
      <c r="L18" s="116" t="str">
        <f t="shared" ca="1" si="10"/>
        <v>F</v>
      </c>
      <c r="M18" s="117" t="s">
        <v>199</v>
      </c>
      <c r="N18" s="118" t="str">
        <f t="shared" ca="1" si="11"/>
        <v>Serviço</v>
      </c>
      <c r="O18" s="119" t="str">
        <f t="shared" ca="1" si="12"/>
        <v>1.1.0.1.</v>
      </c>
      <c r="P18" s="120" t="s">
        <v>247</v>
      </c>
      <c r="Q18" s="121" t="s">
        <v>492</v>
      </c>
      <c r="R18" s="122" t="str">
        <f ca="1">IF($C18="S",REFERENCIA.Descricao,"(digite a descrição aqui)")</f>
        <v>(abra o arquivo 'Referência 03-2024.xlsm)</v>
      </c>
      <c r="S18" s="123" t="str">
        <f ca="1">REFERENCIA.Unidade</f>
        <v>-</v>
      </c>
      <c r="T18" s="124">
        <f ca="1">OFFSET(CÁLCULO!H$15,ROW($T18)-ROW(T$15),0)</f>
        <v>54.56</v>
      </c>
      <c r="U18" s="125">
        <v>6.45</v>
      </c>
      <c r="V18" s="126" t="s">
        <v>156</v>
      </c>
      <c r="W18" s="124">
        <f ca="1">IF($C18="S",ROUND(IF(TIPOORCAMENTO="Proposto",ORÇAMENTO.CustoUnitario*(1+$AH18),ORÇAMENTO.PrecoUnitarioLicitado),15-13*$AF$10),0)</f>
        <v>8.27</v>
      </c>
      <c r="X18" s="127">
        <f ca="1">IF($C18="S",IF(Import.TipoArredondamento&lt;&gt;"TransfereGOV",VTOTAL1,SUM(OFFSET(CÁLCULO!$AA$15,ROW($X18)-ROW($X$15),1):OFFSET(CÁLCULO!$AL$15,ROW($X18)-ROW($X$15),-1))),IF($C18=0,0,ROUND(SomaAgrup,15-13*$AF$11)))</f>
        <v>451.21</v>
      </c>
      <c r="Y18" s="128" t="s">
        <v>245</v>
      </c>
      <c r="Z18" t="str">
        <f t="shared" ca="1" si="13"/>
        <v>RA</v>
      </c>
      <c r="AA18" s="129">
        <f ca="1">IF($C18="S",IF($Z18="CP",$X18,IF($Z18="RA",(($X18)*QCI!$AA$3),0)),SomaAgrup)</f>
        <v>451.21</v>
      </c>
      <c r="AB18" s="130">
        <f t="shared" ca="1" si="14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SINAPI 90091</v>
      </c>
      <c r="AF18" s="13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03-2024.xlsm)</v>
      </c>
      <c r="AG18" s="498">
        <f ca="1">ROUND(IF(DESONERACAO="sim",REFERENCIA.Desonerado,REFERENCIA.NaoDesonerado),2)</f>
        <v>0</v>
      </c>
      <c r="AH18" s="499">
        <f t="shared" ca="1" si="15"/>
        <v>0.28170000000000001</v>
      </c>
      <c r="AJ18" s="501">
        <v>54.56</v>
      </c>
      <c r="AL18" s="527"/>
      <c r="AM18" s="381">
        <f t="shared" ca="1" si="0"/>
        <v>451.21</v>
      </c>
      <c r="AN18" s="566">
        <f t="shared" ca="1" si="16"/>
        <v>8.27</v>
      </c>
    </row>
    <row r="19" spans="1:40" ht="51" x14ac:dyDescent="0.2">
      <c r="A19" t="str">
        <f t="shared" si="1"/>
        <v>S</v>
      </c>
      <c r="B19">
        <f t="shared" ca="1" si="2"/>
        <v>2</v>
      </c>
      <c r="C19" t="str">
        <f t="shared" ca="1" si="3"/>
        <v>S</v>
      </c>
      <c r="D19">
        <f t="shared" ca="1" si="4"/>
        <v>0</v>
      </c>
      <c r="E19">
        <f ca="1">IF($C19=1,OFFSET(E19,-1,0)+MAX(1,COUNTIF(QCI!$A$13:$A$24,OFFSET(ORÇAMENTO!E19,-1,0))),OFFSET(E19,-1,0))</f>
        <v>1</v>
      </c>
      <c r="F19">
        <f t="shared" ca="1" si="5"/>
        <v>1</v>
      </c>
      <c r="G19">
        <f t="shared" ca="1" si="6"/>
        <v>0</v>
      </c>
      <c r="H19">
        <f t="shared" ca="1" si="7"/>
        <v>0</v>
      </c>
      <c r="I19">
        <f t="shared" ca="1" si="8"/>
        <v>2</v>
      </c>
      <c r="J19">
        <f t="shared" ca="1" si="9"/>
        <v>0</v>
      </c>
      <c r="K19">
        <f ca="1">IF(OR($C19="S",$C19=0),0,MATCH(OFFSET($D19,0,$C19)+IF($C19&lt;&gt;1,1,COUNTIF(QCI!$A$13:$A$24,ORÇAMENTO!E19)),OFFSET($D19,1,$C19,ROW($C$290)-ROW($C19)),0))</f>
        <v>0</v>
      </c>
      <c r="L19" s="116" t="str">
        <f t="shared" ca="1" si="10"/>
        <v>F</v>
      </c>
      <c r="M19" s="117" t="s">
        <v>199</v>
      </c>
      <c r="N19" s="118" t="str">
        <f t="shared" ca="1" si="11"/>
        <v>Serviço</v>
      </c>
      <c r="O19" s="119" t="str">
        <f t="shared" ca="1" si="12"/>
        <v>1.1.0.2.</v>
      </c>
      <c r="P19" s="120" t="s">
        <v>462</v>
      </c>
      <c r="Q19" s="121" t="s">
        <v>493</v>
      </c>
      <c r="R19" s="122" t="str">
        <f ca="1">IF($C19="S",REFERENCIA.Descricao,"(digite a descrição aqui)")</f>
        <v>(abra o arquivo 'Referência 03-2024.xlsm)</v>
      </c>
      <c r="S19" s="123" t="str">
        <f ca="1">REFERENCIA.Unidade</f>
        <v>-</v>
      </c>
      <c r="T19" s="124">
        <f ca="1">OFFSET(CÁLCULO!H$15,ROW($T19)-ROW(T$15),0)</f>
        <v>18.559999999999999</v>
      </c>
      <c r="U19" s="125">
        <v>9.16</v>
      </c>
      <c r="V19" s="126" t="s">
        <v>156</v>
      </c>
      <c r="W19" s="124">
        <f ca="1">IF($C19="S",ROUND(IF(TIPOORCAMENTO="Proposto",ORÇAMENTO.CustoUnitario*(1+$AH19),ORÇAMENTO.PrecoUnitarioLicitado),15-13*$AF$10),0)</f>
        <v>11.74</v>
      </c>
      <c r="X19" s="127">
        <f ca="1">IF($C19="S",IF(Import.TipoArredondamento&lt;&gt;"TransfereGOV",VTOTAL1,SUM(OFFSET(CÁLCULO!$AA$15,ROW($X19)-ROW($X$15),1):OFFSET(CÁLCULO!$AL$15,ROW($X19)-ROW($X$15),-1))),IF($C19=0,0,ROUND(SomaAgrup,15-13*$AF$11)))</f>
        <v>217.89</v>
      </c>
      <c r="Y19" s="128" t="s">
        <v>245</v>
      </c>
      <c r="Z19" t="str">
        <f t="shared" ca="1" si="13"/>
        <v>RA</v>
      </c>
      <c r="AA19" s="129">
        <f ca="1">IF($C19="S",IF($Z19="CP",$X19,IF($Z19="RA",(($X19)*QCI!$AA$3),0)),SomaAgrup)</f>
        <v>217.89</v>
      </c>
      <c r="AB19" s="130">
        <f t="shared" ca="1" si="14"/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t="str">
        <f ca="1">IF(C19&lt;=CRONO.NivelExibicao,MAX($AD$15:OFFSET(AD19,-1,0))+IF($C19&lt;&gt;1,1,MAX(1,COUNTIF(QCI!$A$13:$A$24,OFFSET($E19,-1,0)))),"")</f>
        <v/>
      </c>
      <c r="AE19" s="7" t="str">
        <f ca="1">IF(AND($C19="S",ORÇAMENTO.CodBarra&lt;&gt;""),IF(ORÇAMENTO.Fonte="",ORÇAMENTO.CodBarra,CONCATENATE(ORÇAMENTO.Fonte," ",ORÇAMENTO.CodBarra)))</f>
        <v>Composição 22</v>
      </c>
      <c r="AF19" s="13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03-2024.xlsm)</v>
      </c>
      <c r="AG19" s="498">
        <f ca="1">ROUND(IF(DESONERACAO="sim",REFERENCIA.Desonerado,REFERENCIA.NaoDesonerado),2)</f>
        <v>0</v>
      </c>
      <c r="AH19" s="499">
        <f t="shared" ca="1" si="15"/>
        <v>0.28170000000000001</v>
      </c>
      <c r="AJ19" s="501">
        <v>18.559999999999999</v>
      </c>
      <c r="AL19" s="527"/>
      <c r="AM19" s="381">
        <f t="shared" ca="1" si="0"/>
        <v>217.89</v>
      </c>
      <c r="AN19" s="566">
        <f t="shared" ca="1" si="16"/>
        <v>11.74</v>
      </c>
    </row>
    <row r="20" spans="1:40" ht="25.5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1</v>
      </c>
      <c r="F20">
        <f t="shared" ca="1" si="5"/>
        <v>1</v>
      </c>
      <c r="G20">
        <f t="shared" ca="1" si="6"/>
        <v>0</v>
      </c>
      <c r="H20">
        <f t="shared" ca="1" si="7"/>
        <v>0</v>
      </c>
      <c r="I20">
        <f t="shared" ca="1" si="8"/>
        <v>3</v>
      </c>
      <c r="J20">
        <f t="shared" ca="1" si="9"/>
        <v>0</v>
      </c>
      <c r="K20">
        <f ca="1">IF(OR($C20="S",$C20=0),0,MATCH(OFFSET($D20,0,$C20)+IF($C20&lt;&gt;1,1,COUNTIF(QCI!$A$13:$A$24,ORÇAMENTO!E20)),OFFSET($D20,1,$C20,ROW($C$290)-ROW($C20)),0))</f>
        <v>0</v>
      </c>
      <c r="L20" s="116" t="str">
        <f t="shared" ca="1" si="10"/>
        <v>F</v>
      </c>
      <c r="M20" s="117" t="s">
        <v>199</v>
      </c>
      <c r="N20" s="118" t="str">
        <f t="shared" ca="1" si="11"/>
        <v>Serviço</v>
      </c>
      <c r="O20" s="119" t="str">
        <f t="shared" ca="1" si="12"/>
        <v>1.1.0.3.</v>
      </c>
      <c r="P20" s="120" t="s">
        <v>247</v>
      </c>
      <c r="Q20" s="121" t="s">
        <v>494</v>
      </c>
      <c r="R20" s="122" t="str">
        <f ca="1">IF($C20="S",REFERENCIA.Descricao,"(digite a descrição aqui)")</f>
        <v>(abra o arquivo 'Referência 03-2024.xlsm)</v>
      </c>
      <c r="S20" s="123" t="str">
        <f ca="1">REFERENCIA.Unidade</f>
        <v>-</v>
      </c>
      <c r="T20" s="124">
        <f ca="1">OFFSET(CÁLCULO!H$15,ROW($T20)-ROW(T$15),0)</f>
        <v>120</v>
      </c>
      <c r="U20" s="125">
        <v>4.28</v>
      </c>
      <c r="V20" s="126" t="s">
        <v>156</v>
      </c>
      <c r="W20" s="124">
        <f ca="1">IF($C20="S",ROUND(IF(TIPOORCAMENTO="Proposto",ORÇAMENTO.CustoUnitario*(1+$AH20),ORÇAMENTO.PrecoUnitarioLicitado),15-13*$AF$10),0)</f>
        <v>5.49</v>
      </c>
      <c r="X20" s="127">
        <f ca="1">IF($C20="S",IF(Import.TipoArredondamento&lt;&gt;"TransfereGOV",VTOTAL1,SUM(OFFSET(CÁLCULO!$AA$15,ROW($X20)-ROW($X$15),1):OFFSET(CÁLCULO!$AL$15,ROW($X20)-ROW($X$15),-1))),IF($C20=0,0,ROUND(SomaAgrup,15-13*$AF$11)))</f>
        <v>658.8</v>
      </c>
      <c r="Y20" s="128" t="s">
        <v>245</v>
      </c>
      <c r="Z20" t="str">
        <f t="shared" ca="1" si="13"/>
        <v>RA</v>
      </c>
      <c r="AA20" s="129">
        <f ca="1">IF($C20="S",IF($Z20="CP",$X20,IF($Z20="RA",(($X20)*QCI!$AA$3),0)),SomaAgrup)</f>
        <v>658.8</v>
      </c>
      <c r="AB20" s="130">
        <f t="shared" ca="1" si="14"/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" t="str">
        <f ca="1">IF(AND($C20="S",ORÇAMENTO.CodBarra&lt;&gt;""),IF(ORÇAMENTO.Fonte="",ORÇAMENTO.CodBarra,CONCATENATE(ORÇAMENTO.Fonte," ",ORÇAMENTO.CodBarra)))</f>
        <v>SINAPI 98524</v>
      </c>
      <c r="AF20" s="13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03-2024.xlsm)</v>
      </c>
      <c r="AG20" s="498">
        <f ca="1">ROUND(IF(DESONERACAO="sim",REFERENCIA.Desonerado,REFERENCIA.NaoDesonerado),2)</f>
        <v>0</v>
      </c>
      <c r="AH20" s="499">
        <f t="shared" ca="1" si="15"/>
        <v>0.28170000000000001</v>
      </c>
      <c r="AJ20" s="501">
        <v>120</v>
      </c>
      <c r="AL20" s="527"/>
      <c r="AM20" s="381">
        <f t="shared" ca="1" si="0"/>
        <v>658.8</v>
      </c>
      <c r="AN20" s="566">
        <f t="shared" ca="1" si="16"/>
        <v>5.49</v>
      </c>
    </row>
    <row r="21" spans="1:40" ht="25.5" x14ac:dyDescent="0.2">
      <c r="A21" t="str">
        <f>CHOOSE(1+LOG(1+2*(ORÇAMENTO.Nivel="Meta")+4*(ORÇAMENTO.Nivel="Nível 2")+8*(ORÇAMENTO.Nivel="Nível 3")+16*(ORÇAMENTO.Nivel="Nível 4")+32*(ORÇAMENTO.Nivel="Serviço"),2),0,1,2,3,4,"S")</f>
        <v>S</v>
      </c>
      <c r="B21">
        <f ca="1">IF(OR(C21="s",C21=0),OFFSET(B21,-1,0),C21)</f>
        <v>2</v>
      </c>
      <c r="C21" t="str">
        <f ca="1">IF(OFFSET(C21,-1,0)="L",1,IF(OFFSET(C21,-1,0)=1,2,IF(OR(A21="s",A21=0),"S",IF(AND(OFFSET(C21,-1,0)=2,A21=4),3,IF(AND(OR(OFFSET(C21,-1,0)="s",OFFSET(C21,-1,0)=0),A21&lt;&gt;"s",A21&gt;OFFSET(B21,-1,0)),OFFSET(B21,-1,0),A21)))))</f>
        <v>S</v>
      </c>
      <c r="D21">
        <f ca="1">IF(OR(C21="S",C21=0),0,IF(ISERROR(K21),J21,SMALL(J21:K21,1)))</f>
        <v>0</v>
      </c>
      <c r="E21">
        <f ca="1">IF($C21=1,OFFSET(E21,-1,0)+MAX(1,COUNTIF(QCI!$A$13:$A$24,OFFSET(ORÇAMENTO!E21,-1,0))),OFFSET(E21,-1,0))</f>
        <v>1</v>
      </c>
      <c r="F21">
        <f ca="1">IF($C21=1,0,IF($C21=2,OFFSET(F21,-1,0)+1,OFFSET(F21,-1,0)))</f>
        <v>1</v>
      </c>
      <c r="G21">
        <f ca="1">IF(AND($C21&lt;=2,$C21&lt;&gt;0),0,IF($C21=3,OFFSET(G21,-1,0)+1,OFFSET(G21,-1,0)))</f>
        <v>0</v>
      </c>
      <c r="H21">
        <f ca="1">IF(AND($C21&lt;=3,$C21&lt;&gt;0),0,IF($C21=4,OFFSET(H21,-1,0)+1,OFFSET(H21,-1,0)))</f>
        <v>0</v>
      </c>
      <c r="I21">
        <f ca="1">IF(AND($C21&lt;=4,$C21&lt;&gt;0),0,IF(AND($C21="S",$X21&gt;0),OFFSET(I21,-1,0)+1,OFFSET(I21,-1,0)))</f>
        <v>4</v>
      </c>
      <c r="J21">
        <f t="shared" ca="1" si="9"/>
        <v>0</v>
      </c>
      <c r="K21">
        <f ca="1">IF(OR($C21="S",$C21=0),0,MATCH(OFFSET($D21,0,$C21)+IF($C21&lt;&gt;1,1,COUNTIF(QCI!$A$13:$A$24,ORÇAMENTO!E21)),OFFSET($D21,1,$C21,ROW($C$290)-ROW($C21)),0))</f>
        <v>0</v>
      </c>
      <c r="L21" s="116" t="str">
        <f ca="1">IF(OR($X21&gt;0,$C21=1,$C21=2,$C21=3,$C21=4),"F","")</f>
        <v>F</v>
      </c>
      <c r="M21" s="117" t="s">
        <v>199</v>
      </c>
      <c r="N21" s="118" t="str">
        <f ca="1">CHOOSE(1+LOG(1+2*(C21=1)+4*(C21=2)+8*(C21=3)+16*(C21=4)+32*(C21="S"),2),"","Meta","Nível 2","Nível 3","Nível 4","Serviço")</f>
        <v>Serviço</v>
      </c>
      <c r="O21" s="119" t="str">
        <f ca="1">IF(OR($C21=0,$L21=""),"-",CONCATENATE(E21&amp;".",IF(AND($A$5&gt;=2,$C21&gt;=2),F21&amp;".",""),IF(AND($A$5&gt;=3,$C21&gt;=3),G21&amp;".",""),IF(AND($A$5&gt;=4,$C21&gt;=4),H21&amp;".",""),IF($C21="S",I21&amp;".","")))</f>
        <v>1.1.0.4.</v>
      </c>
      <c r="P21" s="120" t="s">
        <v>247</v>
      </c>
      <c r="Q21" s="121" t="s">
        <v>587</v>
      </c>
      <c r="R21" s="122" t="str">
        <f ca="1">IF($C21="S",REFERENCIA.Descricao,"(digite a descrição aqui)")</f>
        <v>(abra o arquivo 'Referência 03-2024.xlsm)</v>
      </c>
      <c r="S21" s="123" t="str">
        <f ca="1">REFERENCIA.Unidade</f>
        <v>-</v>
      </c>
      <c r="T21" s="124">
        <f ca="1">OFFSET(CÁLCULO!H$15,ROW($T21)-ROW(T$15),0)</f>
        <v>3</v>
      </c>
      <c r="U21" s="125">
        <v>98.93</v>
      </c>
      <c r="V21" s="126" t="s">
        <v>156</v>
      </c>
      <c r="W21" s="124">
        <f ca="1">IF($C21="S",ROUND(IF(TIPOORCAMENTO="Proposto",ORÇAMENTO.CustoUnitario*(1+$AH21),ORÇAMENTO.PrecoUnitarioLicitado),15-13*$AF$10),0)</f>
        <v>126.8</v>
      </c>
      <c r="X21" s="127">
        <f ca="1">IF($C21="S",IF(Import.TipoArredondamento&lt;&gt;"TransfereGOV",VTOTAL1,SUM(OFFSET(CÁLCULO!$AA$15,ROW($X21)-ROW($X$15),1):OFFSET(CÁLCULO!$AL$15,ROW($X21)-ROW($X$15),-1))),IF($C21=0,0,ROUND(SomaAgrup,15-13*$AF$11)))</f>
        <v>380.4</v>
      </c>
      <c r="Y21" s="128" t="s">
        <v>245</v>
      </c>
      <c r="Z21" t="str">
        <f ca="1">IF(AND($C21="S",$X21&gt;0),IF(ISBLANK($Y21),"RA",LEFT($Y21,2)),"")</f>
        <v>RA</v>
      </c>
      <c r="AA21" s="129">
        <f ca="1">IF($C21="S",IF($Z21="CP",$X21,IF($Z21="RA",(($X21)*QCI!$AA$3),0)),SomaAgrup)</f>
        <v>380.4</v>
      </c>
      <c r="AB21" s="130">
        <f ca="1">IF($C21="S",IF($Z21="OU",ROUND($X21,2),0),SomaAgrup)</f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" t="str">
        <f ca="1">IF(AND($C21="S",ORÇAMENTO.CodBarra&lt;&gt;""),IF(ORÇAMENTO.Fonte="",ORÇAMENTO.CodBarra,CONCATENATE(ORÇAMENTO.Fonte," ",ORÇAMENTO.CodBarra)))</f>
        <v>SINAPI 97624</v>
      </c>
      <c r="AF21" s="13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03-2024.xlsm)</v>
      </c>
      <c r="AG21" s="498">
        <f ca="1">ROUND(IF(DESONERACAO="sim",REFERENCIA.Desonerado,REFERENCIA.NaoDesonerado),2)</f>
        <v>0</v>
      </c>
      <c r="AH21" s="499">
        <f ca="1">ROUND(IF(ISNUMBER(ORÇAMENTO.OpcaoBDI),ORÇAMENTO.OpcaoBDI,IF(LEFT(ORÇAMENTO.OpcaoBDI,3)="BDI",HLOOKUP(ORÇAMENTO.OpcaoBDI,$F$4:$H$5,2,FALSE),0)),15-11*$AF$9)</f>
        <v>0.28170000000000001</v>
      </c>
      <c r="AJ21" s="501">
        <v>3</v>
      </c>
      <c r="AL21" s="527"/>
      <c r="AM21" s="381">
        <f t="shared" ca="1" si="0"/>
        <v>380.4</v>
      </c>
      <c r="AN21" s="566">
        <f ca="1">ROUND(ORÇAMENTO.CustoUnitario*(1+$AH21),2)</f>
        <v>126.8</v>
      </c>
    </row>
    <row r="22" spans="1:40" x14ac:dyDescent="0.2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IF($C22=1,OFFSET(E22,-1,0)+MAX(1,COUNTIF(QCI!$A$13:$A$24,OFFSET(ORÇAMENTO!E22,-1,0))),OFFSET(E22,-1,0))</f>
        <v>1</v>
      </c>
      <c r="F22">
        <f t="shared" ca="1" si="5"/>
        <v>1</v>
      </c>
      <c r="G22">
        <f t="shared" ca="1" si="6"/>
        <v>0</v>
      </c>
      <c r="H22">
        <f t="shared" ca="1" si="7"/>
        <v>0</v>
      </c>
      <c r="I22">
        <f t="shared" ca="1" si="8"/>
        <v>5</v>
      </c>
      <c r="J22">
        <f t="shared" ca="1" si="9"/>
        <v>0</v>
      </c>
      <c r="K22">
        <f ca="1">IF(OR($C22="S",$C22=0),0,MATCH(OFFSET($D22,0,$C22)+IF($C22&lt;&gt;1,1,COUNTIF(QCI!$A$13:$A$24,ORÇAMENTO!E22)),OFFSET($D22,1,$C22,ROW($C$290)-ROW($C22)),0))</f>
        <v>0</v>
      </c>
      <c r="L22" s="116" t="str">
        <f t="shared" ca="1" si="10"/>
        <v>F</v>
      </c>
      <c r="M22" s="117" t="s">
        <v>199</v>
      </c>
      <c r="N22" s="118" t="str">
        <f t="shared" ca="1" si="11"/>
        <v>Serviço</v>
      </c>
      <c r="O22" s="119" t="str">
        <f t="shared" ca="1" si="12"/>
        <v>1.1.0.5.</v>
      </c>
      <c r="P22" s="120" t="s">
        <v>462</v>
      </c>
      <c r="Q22" s="121" t="s">
        <v>495</v>
      </c>
      <c r="R22" s="122" t="str">
        <f ca="1">IF($C22="S",REFERENCIA.Descricao,"(digite a descrição aqui)")</f>
        <v>(abra o arquivo 'Referência 03-2024.xlsm)</v>
      </c>
      <c r="S22" s="123" t="str">
        <f ca="1">REFERENCIA.Unidade</f>
        <v>-</v>
      </c>
      <c r="T22" s="124">
        <f ca="1">OFFSET(CÁLCULO!H$15,ROW($T22)-ROW(T$15),0)</f>
        <v>1</v>
      </c>
      <c r="U22" s="125">
        <v>112.16</v>
      </c>
      <c r="V22" s="126" t="s">
        <v>156</v>
      </c>
      <c r="W22" s="124">
        <f ca="1">IF($C22="S",ROUND(IF(TIPOORCAMENTO="Proposto",ORÇAMENTO.CustoUnitario*(1+$AH22),ORÇAMENTO.PrecoUnitarioLicitado),15-13*$AF$10),0)</f>
        <v>143.76</v>
      </c>
      <c r="X22" s="127">
        <f ca="1">IF($C22="S",IF(Import.TipoArredondamento&lt;&gt;"TransfereGOV",VTOTAL1,SUM(OFFSET(CÁLCULO!$AA$15,ROW($X22)-ROW($X$15),1):OFFSET(CÁLCULO!$AL$15,ROW($X22)-ROW($X$15),-1))),IF($C22=0,0,ROUND(SomaAgrup,15-13*$AF$11)))</f>
        <v>143.76</v>
      </c>
      <c r="Y22" s="128" t="s">
        <v>245</v>
      </c>
      <c r="Z22" t="str">
        <f t="shared" ca="1" si="13"/>
        <v>RA</v>
      </c>
      <c r="AA22" s="129">
        <f ca="1">IF($C22="S",IF($Z22="CP",$X22,IF($Z22="RA",(($X22)*QCI!$AA$3),0)),SomaAgrup)</f>
        <v>143.76</v>
      </c>
      <c r="AB22" s="130">
        <f t="shared" ca="1" si="14"/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Composição 23</v>
      </c>
      <c r="AF22" s="13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03-2024.xlsm)</v>
      </c>
      <c r="AG22" s="498">
        <f ca="1">ROUND(IF(DESONERACAO="sim",REFERENCIA.Desonerado,REFERENCIA.NaoDesonerado),2)</f>
        <v>0</v>
      </c>
      <c r="AH22" s="499">
        <f t="shared" ca="1" si="15"/>
        <v>0.28170000000000001</v>
      </c>
      <c r="AJ22" s="501">
        <v>1</v>
      </c>
      <c r="AL22" s="527"/>
      <c r="AM22" s="381">
        <f t="shared" ca="1" si="0"/>
        <v>143.76</v>
      </c>
      <c r="AN22" s="566">
        <f t="shared" ca="1" si="16"/>
        <v>143.76</v>
      </c>
    </row>
    <row r="23" spans="1:40" x14ac:dyDescent="0.2">
      <c r="A23" t="str">
        <f t="shared" si="1"/>
        <v>S</v>
      </c>
      <c r="B23">
        <f t="shared" ca="1" si="2"/>
        <v>2</v>
      </c>
      <c r="C23" t="str">
        <f t="shared" ca="1" si="3"/>
        <v>S</v>
      </c>
      <c r="D23">
        <f t="shared" ca="1" si="4"/>
        <v>0</v>
      </c>
      <c r="E23">
        <f ca="1">IF($C23=1,OFFSET(E23,-1,0)+MAX(1,COUNTIF(QCI!$A$13:$A$24,OFFSET(ORÇAMENTO!E23,-1,0))),OFFSET(E23,-1,0))</f>
        <v>1</v>
      </c>
      <c r="F23">
        <f t="shared" ca="1" si="5"/>
        <v>1</v>
      </c>
      <c r="G23">
        <f t="shared" ca="1" si="6"/>
        <v>0</v>
      </c>
      <c r="H23">
        <f t="shared" ca="1" si="7"/>
        <v>0</v>
      </c>
      <c r="I23">
        <f t="shared" ca="1" si="8"/>
        <v>6</v>
      </c>
      <c r="J23">
        <f t="shared" ca="1" si="9"/>
        <v>0</v>
      </c>
      <c r="K23">
        <f ca="1">IF(OR($C23="S",$C23=0),0,MATCH(OFFSET($D23,0,$C23)+IF($C23&lt;&gt;1,1,COUNTIF(QCI!$A$13:$A$24,ORÇAMENTO!E23)),OFFSET($D23,1,$C23,ROW($C$290)-ROW($C23)),0))</f>
        <v>0</v>
      </c>
      <c r="L23" s="116" t="str">
        <f t="shared" ca="1" si="10"/>
        <v>F</v>
      </c>
      <c r="M23" s="117" t="s">
        <v>199</v>
      </c>
      <c r="N23" s="118" t="str">
        <f t="shared" ca="1" si="11"/>
        <v>Serviço</v>
      </c>
      <c r="O23" s="119" t="str">
        <f t="shared" ca="1" si="12"/>
        <v>1.1.0.6.</v>
      </c>
      <c r="P23" s="120" t="s">
        <v>462</v>
      </c>
      <c r="Q23" s="121" t="s">
        <v>496</v>
      </c>
      <c r="R23" s="122" t="str">
        <f ca="1">IF($C23="S",REFERENCIA.Descricao,"(digite a descrição aqui)")</f>
        <v>(abra o arquivo 'Referência 03-2024.xlsm)</v>
      </c>
      <c r="S23" s="123" t="str">
        <f ca="1">REFERENCIA.Unidade</f>
        <v>-</v>
      </c>
      <c r="T23" s="124">
        <f ca="1">OFFSET(CÁLCULO!H$15,ROW($T23)-ROW(T$15),0)</f>
        <v>1</v>
      </c>
      <c r="U23" s="125">
        <v>70.12</v>
      </c>
      <c r="V23" s="126" t="s">
        <v>156</v>
      </c>
      <c r="W23" s="124">
        <f ca="1">IF($C23="S",ROUND(IF(TIPOORCAMENTO="Proposto",ORÇAMENTO.CustoUnitario*(1+$AH23),ORÇAMENTO.PrecoUnitarioLicitado),15-13*$AF$10),0)</f>
        <v>89.87</v>
      </c>
      <c r="X23" s="127">
        <f ca="1">IF($C23="S",IF(Import.TipoArredondamento&lt;&gt;"TransfereGOV",VTOTAL1,SUM(OFFSET(CÁLCULO!$AA$15,ROW($X23)-ROW($X$15),1):OFFSET(CÁLCULO!$AL$15,ROW($X23)-ROW($X$15),-1))),IF($C23=0,0,ROUND(SomaAgrup,15-13*$AF$11)))</f>
        <v>89.87</v>
      </c>
      <c r="Y23" s="128" t="s">
        <v>245</v>
      </c>
      <c r="Z23" t="str">
        <f t="shared" ca="1" si="13"/>
        <v>RA</v>
      </c>
      <c r="AA23" s="129">
        <f ca="1">IF($C23="S",IF($Z23="CP",$X23,IF($Z23="RA",(($X23)*QCI!$AA$3),0)),SomaAgrup)</f>
        <v>89.87</v>
      </c>
      <c r="AB23" s="130">
        <f t="shared" ca="1" si="14"/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t="str">
        <f ca="1">IF(C23&lt;=CRONO.NivelExibicao,MAX($AD$15:OFFSET(AD23,-1,0))+IF($C23&lt;&gt;1,1,MAX(1,COUNTIF(QCI!$A$13:$A$24,OFFSET($E23,-1,0)))),"")</f>
        <v/>
      </c>
      <c r="AE23" s="7" t="str">
        <f ca="1">IF(AND($C23="S",ORÇAMENTO.CodBarra&lt;&gt;""),IF(ORÇAMENTO.Fonte="",ORÇAMENTO.CodBarra,CONCATENATE(ORÇAMENTO.Fonte," ",ORÇAMENTO.CodBarra)))</f>
        <v>Composição 24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03-2024.xlsm)</v>
      </c>
      <c r="AG23" s="498">
        <f ca="1">ROUND(IF(DESONERACAO="sim",REFERENCIA.Desonerado,REFERENCIA.NaoDesonerado),2)</f>
        <v>0</v>
      </c>
      <c r="AH23" s="499">
        <f t="shared" ca="1" si="15"/>
        <v>0.28170000000000001</v>
      </c>
      <c r="AJ23" s="501">
        <v>1</v>
      </c>
      <c r="AL23" s="527"/>
      <c r="AM23" s="381">
        <f t="shared" ca="1" si="0"/>
        <v>89.87</v>
      </c>
      <c r="AN23" s="566">
        <f t="shared" ca="1" si="16"/>
        <v>89.87</v>
      </c>
    </row>
    <row r="24" spans="1:40" ht="25.5" x14ac:dyDescent="0.2">
      <c r="A24" t="str">
        <f t="shared" si="1"/>
        <v>S</v>
      </c>
      <c r="B24">
        <f t="shared" ca="1" si="2"/>
        <v>2</v>
      </c>
      <c r="C24" t="str">
        <f t="shared" ca="1" si="3"/>
        <v>S</v>
      </c>
      <c r="D24">
        <f t="shared" ca="1" si="4"/>
        <v>0</v>
      </c>
      <c r="E24">
        <f ca="1">IF($C24=1,OFFSET(E24,-1,0)+MAX(1,COUNTIF(QCI!$A$13:$A$24,OFFSET(ORÇAMENTO!E24,-1,0))),OFFSET(E24,-1,0))</f>
        <v>1</v>
      </c>
      <c r="F24">
        <f t="shared" ca="1" si="5"/>
        <v>1</v>
      </c>
      <c r="G24">
        <f t="shared" ca="1" si="6"/>
        <v>0</v>
      </c>
      <c r="H24">
        <f t="shared" ca="1" si="7"/>
        <v>0</v>
      </c>
      <c r="I24">
        <f t="shared" ca="1" si="8"/>
        <v>7</v>
      </c>
      <c r="J24">
        <f t="shared" ca="1" si="9"/>
        <v>0</v>
      </c>
      <c r="K24">
        <f ca="1">IF(OR($C24="S",$C24=0),0,MATCH(OFFSET($D24,0,$C24)+IF($C24&lt;&gt;1,1,COUNTIF(QCI!$A$13:$A$24,ORÇAMENTO!E24)),OFFSET($D24,1,$C24,ROW($C$290)-ROW($C24)),0))</f>
        <v>0</v>
      </c>
      <c r="L24" s="116" t="str">
        <f t="shared" ca="1" si="10"/>
        <v>F</v>
      </c>
      <c r="M24" s="117" t="s">
        <v>199</v>
      </c>
      <c r="N24" s="118" t="str">
        <f t="shared" ca="1" si="11"/>
        <v>Serviço</v>
      </c>
      <c r="O24" s="119" t="str">
        <f t="shared" ca="1" si="12"/>
        <v>1.1.0.7.</v>
      </c>
      <c r="P24" s="120" t="s">
        <v>462</v>
      </c>
      <c r="Q24" s="121" t="s">
        <v>498</v>
      </c>
      <c r="R24" s="122" t="str">
        <f ca="1">IF($C24="S",REFERENCIA.Descricao,"(digite a descrição aqui)")</f>
        <v>(abra o arquivo 'Referência 03-2024.xlsm)</v>
      </c>
      <c r="S24" s="123" t="str">
        <f ca="1">REFERENCIA.Unidade</f>
        <v>-</v>
      </c>
      <c r="T24" s="124">
        <f ca="1">OFFSET(CÁLCULO!H$15,ROW($T24)-ROW(T$15),0)</f>
        <v>1</v>
      </c>
      <c r="U24" s="125">
        <v>104.65</v>
      </c>
      <c r="V24" s="126" t="s">
        <v>156</v>
      </c>
      <c r="W24" s="124">
        <f ca="1">IF($C24="S",ROUND(IF(TIPOORCAMENTO="Proposto",ORÇAMENTO.CustoUnitario*(1+$AH24),ORÇAMENTO.PrecoUnitarioLicitado),15-13*$AF$10),0)</f>
        <v>134.13</v>
      </c>
      <c r="X24" s="127">
        <f ca="1">IF($C24="S",IF(Import.TipoArredondamento&lt;&gt;"TransfereGOV",VTOTAL1,SUM(OFFSET(CÁLCULO!$AA$15,ROW($X24)-ROW($X$15),1):OFFSET(CÁLCULO!$AL$15,ROW($X24)-ROW($X$15),-1))),IF($C24=0,0,ROUND(SomaAgrup,15-13*$AF$11)))</f>
        <v>134.13</v>
      </c>
      <c r="Y24" s="128" t="s">
        <v>245</v>
      </c>
      <c r="Z24" t="str">
        <f t="shared" ca="1" si="13"/>
        <v>RA</v>
      </c>
      <c r="AA24" s="129">
        <f ca="1">IF($C24="S",IF($Z24="CP",$X24,IF($Z24="RA",(($X24)*QCI!$AA$3),0)),SomaAgrup)</f>
        <v>134.13</v>
      </c>
      <c r="AB24" s="130">
        <f t="shared" ca="1" si="14"/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" t="str">
        <f ca="1">IF(AND($C24="S",ORÇAMENTO.CodBarra&lt;&gt;""),IF(ORÇAMENTO.Fonte="",ORÇAMENTO.CodBarra,CONCATENATE(ORÇAMENTO.Fonte," ",ORÇAMENTO.CodBarra)))</f>
        <v>Composição 25</v>
      </c>
      <c r="AF24" s="13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03-2024.xlsm)</v>
      </c>
      <c r="AG24" s="498">
        <f ca="1">ROUND(IF(DESONERACAO="sim",REFERENCIA.Desonerado,REFERENCIA.NaoDesonerado),2)</f>
        <v>0</v>
      </c>
      <c r="AH24" s="499">
        <f t="shared" ca="1" si="15"/>
        <v>0.28170000000000001</v>
      </c>
      <c r="AJ24" s="501">
        <v>1</v>
      </c>
      <c r="AL24" s="527"/>
      <c r="AM24" s="381">
        <f t="shared" ca="1" si="0"/>
        <v>134.13</v>
      </c>
      <c r="AN24" s="566">
        <f t="shared" ca="1" si="16"/>
        <v>134.13</v>
      </c>
    </row>
    <row r="25" spans="1:40" ht="25.5" x14ac:dyDescent="0.2">
      <c r="A25">
        <f t="shared" si="1"/>
        <v>2</v>
      </c>
      <c r="B25">
        <f t="shared" ca="1" si="2"/>
        <v>2</v>
      </c>
      <c r="C25">
        <f t="shared" ca="1" si="3"/>
        <v>2</v>
      </c>
      <c r="D25">
        <f t="shared" ca="1" si="4"/>
        <v>16</v>
      </c>
      <c r="E25">
        <f ca="1">IF($C25=1,OFFSET(E25,-1,0)+MAX(1,COUNTIF(QCI!$A$13:$A$24,OFFSET(ORÇAMENTO!E25,-1,0))),OFFSET(E25,-1,0))</f>
        <v>1</v>
      </c>
      <c r="F25">
        <f t="shared" ca="1" si="5"/>
        <v>2</v>
      </c>
      <c r="G25">
        <f t="shared" ca="1" si="6"/>
        <v>0</v>
      </c>
      <c r="H25">
        <f t="shared" ca="1" si="7"/>
        <v>0</v>
      </c>
      <c r="I25">
        <f t="shared" ca="1" si="8"/>
        <v>0</v>
      </c>
      <c r="J25">
        <f t="shared" ca="1" si="9"/>
        <v>265</v>
      </c>
      <c r="K25">
        <f ca="1">IF(OR($C25="S",$C25=0),0,MATCH(OFFSET($D25,0,$C25)+IF($C25&lt;&gt;1,1,COUNTIF(QCI!$A$13:$A$24,ORÇAMENTO!E25)),OFFSET($D25,1,$C25,ROW($C$290)-ROW($C25)),0))</f>
        <v>16</v>
      </c>
      <c r="L25" s="116" t="str">
        <f t="shared" ca="1" si="10"/>
        <v>F</v>
      </c>
      <c r="M25" s="117" t="s">
        <v>196</v>
      </c>
      <c r="N25" s="118" t="str">
        <f t="shared" ca="1" si="11"/>
        <v>Nível 2</v>
      </c>
      <c r="O25" s="119" t="str">
        <f t="shared" ca="1" si="12"/>
        <v>1.2.</v>
      </c>
      <c r="P25" s="120" t="s">
        <v>247</v>
      </c>
      <c r="Q25" s="121"/>
      <c r="R25" s="122" t="s">
        <v>499</v>
      </c>
      <c r="S25" s="123" t="str">
        <f ca="1">REFERENCIA.Unidade</f>
        <v>-</v>
      </c>
      <c r="T25" s="124">
        <f ca="1">OFFSET(CÁLCULO!H$15,ROW($T25)-ROW(T$15),0)</f>
        <v>0</v>
      </c>
      <c r="U25" s="125">
        <v>0</v>
      </c>
      <c r="V25" s="126" t="s">
        <v>156</v>
      </c>
      <c r="W25" s="124">
        <f ca="1">IF($C25="S",ROUND(IF(TIPOORCAMENTO="Proposto",ORÇAMENTO.CustoUnitario*(1+$AH25),ORÇAMENTO.PrecoUnitarioLicitado),15-13*$AF$10),0)</f>
        <v>0</v>
      </c>
      <c r="X25" s="127">
        <f ca="1">IF($C25="S",IF(Import.TipoArredondamento&lt;&gt;"TransfereGOV",VTOTAL1,SUM(OFFSET(CÁLCULO!$AA$15,ROW($X25)-ROW($X$15),1):OFFSET(CÁLCULO!$AL$15,ROW($X25)-ROW($X$15),-1))),IF($C25=0,0,ROUND(SomaAgrup,15-13*$AF$11)))</f>
        <v>1353.13</v>
      </c>
      <c r="Y25" s="128" t="s">
        <v>245</v>
      </c>
      <c r="Z25" t="str">
        <f t="shared" ca="1" si="13"/>
        <v/>
      </c>
      <c r="AA25" s="129">
        <f ca="1">IF($C25="S",IF($Z25="CP",$X25,IF($Z25="RA",(($X25)*QCI!$AA$3),0)),SomaAgrup)</f>
        <v>1353.1299999999999</v>
      </c>
      <c r="AB25" s="130">
        <f t="shared" ca="1" si="14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>
        <f ca="1">IF(C25&lt;=CRONO.NivelExibicao,MAX($AD$15:OFFSET(AD25,-1,0))+IF($C25&lt;&gt;1,1,MAX(1,COUNTIF(QCI!$A$13:$A$24,OFFSET($E25,-1,0)))),"")</f>
        <v>3</v>
      </c>
      <c r="AE25" s="7" t="b">
        <f ca="1">IF(AND($C25="S",ORÇAMENTO.CodBarra&lt;&gt;""),IF(ORÇAMENTO.Fonte="",ORÇAMENTO.CodBarra,CONCATENATE(ORÇAMENTO.Fonte," ",ORÇAMENTO.CodBarra)))</f>
        <v>0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03-2024.xlsm)</v>
      </c>
      <c r="AG25" s="498">
        <f ca="1">ROUND(IF(DESONERACAO="sim",REFERENCIA.Desonerado,REFERENCIA.NaoDesonerado),2)</f>
        <v>0</v>
      </c>
      <c r="AH25" s="499">
        <f t="shared" ca="1" si="15"/>
        <v>0.28170000000000001</v>
      </c>
      <c r="AJ25" s="501"/>
      <c r="AL25" s="527"/>
      <c r="AM25" s="381">
        <f t="shared" ca="1" si="0"/>
        <v>1353.13</v>
      </c>
      <c r="AN25" s="566">
        <f t="shared" ca="1" si="16"/>
        <v>0</v>
      </c>
    </row>
    <row r="26" spans="1:40" ht="25.5" x14ac:dyDescent="0.2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IF($C26=1,OFFSET(E26,-1,0)+MAX(1,COUNTIF(QCI!$A$13:$A$24,OFFSET(ORÇAMENTO!E26,-1,0))),OFFSET(E26,-1,0))</f>
        <v>1</v>
      </c>
      <c r="F26">
        <f t="shared" ca="1" si="5"/>
        <v>2</v>
      </c>
      <c r="G26">
        <f t="shared" ca="1" si="6"/>
        <v>0</v>
      </c>
      <c r="H26">
        <f t="shared" ca="1" si="7"/>
        <v>0</v>
      </c>
      <c r="I26">
        <f t="shared" ca="1" si="8"/>
        <v>1</v>
      </c>
      <c r="J26">
        <f t="shared" ca="1" si="9"/>
        <v>0</v>
      </c>
      <c r="K26">
        <f ca="1">IF(OR($C26="S",$C26=0),0,MATCH(OFFSET($D26,0,$C26)+IF($C26&lt;&gt;1,1,COUNTIF(QCI!$A$13:$A$24,ORÇAMENTO!E26)),OFFSET($D26,1,$C26,ROW($C$290)-ROW($C26)),0))</f>
        <v>0</v>
      </c>
      <c r="L26" s="116" t="str">
        <f t="shared" ca="1" si="10"/>
        <v>F</v>
      </c>
      <c r="M26" s="117" t="s">
        <v>199</v>
      </c>
      <c r="N26" s="118" t="str">
        <f t="shared" ca="1" si="11"/>
        <v>Serviço</v>
      </c>
      <c r="O26" s="119" t="str">
        <f t="shared" ca="1" si="12"/>
        <v>1.2.0.1.</v>
      </c>
      <c r="P26" s="120" t="s">
        <v>247</v>
      </c>
      <c r="Q26" s="121" t="s">
        <v>459</v>
      </c>
      <c r="R26" s="122" t="str">
        <f ca="1">IF($C26="S",REFERENCIA.Descricao,"(digite a descrição aqui)")</f>
        <v>(abra o arquivo 'Referência 03-2024.xlsm)</v>
      </c>
      <c r="S26" s="123" t="str">
        <f ca="1">REFERENCIA.Unidade</f>
        <v>-</v>
      </c>
      <c r="T26" s="124">
        <f ca="1">OFFSET(CÁLCULO!H$15,ROW($T26)-ROW(T$15),0)</f>
        <v>0.15</v>
      </c>
      <c r="U26" s="125">
        <v>79.430000000000007</v>
      </c>
      <c r="V26" s="126" t="s">
        <v>156</v>
      </c>
      <c r="W26" s="124">
        <f ca="1">IF($C26="S",ROUND(IF(TIPOORCAMENTO="Proposto",ORÇAMENTO.CustoUnitario*(1+$AH26),ORÇAMENTO.PrecoUnitarioLicitado),15-13*$AF$10),0)</f>
        <v>101.81</v>
      </c>
      <c r="X26" s="127">
        <f ca="1">IF($C26="S",IF(Import.TipoArredondamento&lt;&gt;"TransfereGOV",VTOTAL1,SUM(OFFSET(CÁLCULO!$AA$15,ROW($X26)-ROW($X$15),1):OFFSET(CÁLCULO!$AL$15,ROW($X26)-ROW($X$15),-1))),IF($C26=0,0,ROUND(SomaAgrup,15-13*$AF$11)))</f>
        <v>15.27</v>
      </c>
      <c r="Y26" s="128" t="s">
        <v>245</v>
      </c>
      <c r="Z26" t="str">
        <f t="shared" ca="1" si="13"/>
        <v>RA</v>
      </c>
      <c r="AA26" s="129">
        <f ca="1">IF($C26="S",IF($Z26="CP",$X26,IF($Z26="RA",(($X26)*QCI!$AA$3),0)),SomaAgrup)</f>
        <v>15.27</v>
      </c>
      <c r="AB26" s="130">
        <f t="shared" ca="1" si="14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" t="str">
        <f ca="1">IF(AND($C26="S",ORÇAMENTO.CodBarra&lt;&gt;""),IF(ORÇAMENTO.Fonte="",ORÇAMENTO.CodBarra,CONCATENATE(ORÇAMENTO.Fonte," ",ORÇAMENTO.CodBarra)))</f>
        <v>SINAPI 93358</v>
      </c>
      <c r="AF26" s="13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03-2024.xlsm)</v>
      </c>
      <c r="AG26" s="498">
        <f ca="1">ROUND(IF(DESONERACAO="sim",REFERENCIA.Desonerado,REFERENCIA.NaoDesonerado),2)</f>
        <v>0</v>
      </c>
      <c r="AH26" s="499">
        <f t="shared" ca="1" si="15"/>
        <v>0.28170000000000001</v>
      </c>
      <c r="AJ26" s="501">
        <v>0.15</v>
      </c>
      <c r="AL26" s="527"/>
      <c r="AM26" s="381">
        <f t="shared" ca="1" si="0"/>
        <v>15.27</v>
      </c>
      <c r="AN26" s="566">
        <f t="shared" ca="1" si="16"/>
        <v>101.81</v>
      </c>
    </row>
    <row r="27" spans="1:40" ht="25.5" x14ac:dyDescent="0.2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1</v>
      </c>
      <c r="F27">
        <f t="shared" ca="1" si="5"/>
        <v>2</v>
      </c>
      <c r="G27">
        <f t="shared" ca="1" si="6"/>
        <v>0</v>
      </c>
      <c r="H27">
        <f t="shared" ca="1" si="7"/>
        <v>0</v>
      </c>
      <c r="I27">
        <f t="shared" ca="1" si="8"/>
        <v>2</v>
      </c>
      <c r="J27">
        <f t="shared" ca="1" si="9"/>
        <v>0</v>
      </c>
      <c r="K27">
        <f ca="1">IF(OR($C27="S",$C27=0),0,MATCH(OFFSET($D27,0,$C27)+IF($C27&lt;&gt;1,1,COUNTIF(QCI!$A$13:$A$24,ORÇAMENTO!E27)),OFFSET($D27,1,$C27,ROW($C$290)-ROW($C27)),0))</f>
        <v>0</v>
      </c>
      <c r="L27" s="116" t="str">
        <f t="shared" ca="1" si="10"/>
        <v>F</v>
      </c>
      <c r="M27" s="117" t="s">
        <v>199</v>
      </c>
      <c r="N27" s="118" t="str">
        <f t="shared" ca="1" si="11"/>
        <v>Serviço</v>
      </c>
      <c r="O27" s="119" t="str">
        <f t="shared" ca="1" si="12"/>
        <v>1.2.0.2.</v>
      </c>
      <c r="P27" s="120" t="s">
        <v>462</v>
      </c>
      <c r="Q27" s="121" t="s">
        <v>463</v>
      </c>
      <c r="R27" s="122" t="str">
        <f ca="1">IF($C27="S",REFERENCIA.Descricao,"(digite a descrição aqui)")</f>
        <v>(abra o arquivo 'Referência 03-2024.xlsm)</v>
      </c>
      <c r="S27" s="123" t="str">
        <f ca="1">REFERENCIA.Unidade</f>
        <v>-</v>
      </c>
      <c r="T27" s="124">
        <f ca="1">OFFSET(CÁLCULO!H$15,ROW($T27)-ROW(T$15),0)</f>
        <v>0.06</v>
      </c>
      <c r="U27" s="125">
        <v>48.16</v>
      </c>
      <c r="V27" s="126" t="s">
        <v>156</v>
      </c>
      <c r="W27" s="124">
        <f ca="1">IF($C27="S",ROUND(IF(TIPOORCAMENTO="Proposto",ORÇAMENTO.CustoUnitario*(1+$AH27),ORÇAMENTO.PrecoUnitarioLicitado),15-13*$AF$10),0)</f>
        <v>61.73</v>
      </c>
      <c r="X27" s="127">
        <f ca="1">IF($C27="S",IF(Import.TipoArredondamento&lt;&gt;"TransfereGOV",VTOTAL1,SUM(OFFSET(CÁLCULO!$AA$15,ROW($X27)-ROW($X$15),1):OFFSET(CÁLCULO!$AL$15,ROW($X27)-ROW($X$15),-1))),IF($C27=0,0,ROUND(SomaAgrup,15-13*$AF$11)))</f>
        <v>3.7</v>
      </c>
      <c r="Y27" s="128" t="s">
        <v>245</v>
      </c>
      <c r="Z27" t="str">
        <f t="shared" ca="1" si="13"/>
        <v>RA</v>
      </c>
      <c r="AA27" s="129">
        <f ca="1">IF($C27="S",IF($Z27="CP",$X27,IF($Z27="RA",(($X27)*QCI!$AA$3),0)),SomaAgrup)</f>
        <v>3.7</v>
      </c>
      <c r="AB27" s="130">
        <f t="shared" ca="1" si="14"/>
        <v>0</v>
      </c>
      <c r="AC27" s="131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IF(C27&lt;=CRONO.NivelExibicao,MAX($AD$15:OFFSET(AD27,-1,0))+IF($C27&lt;&gt;1,1,MAX(1,COUNTIF(QCI!$A$13:$A$24,OFFSET($E27,-1,0)))),"")</f>
        <v/>
      </c>
      <c r="AE27" s="7" t="str">
        <f ca="1">IF(AND($C27="S",ORÇAMENTO.CodBarra&lt;&gt;""),IF(ORÇAMENTO.Fonte="",ORÇAMENTO.CodBarra,CONCATENATE(ORÇAMENTO.Fonte," ",ORÇAMENTO.CodBarra)))</f>
        <v>Composição 1</v>
      </c>
      <c r="AF27" s="13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03-2024.xlsm)</v>
      </c>
      <c r="AG27" s="498">
        <f ca="1">ROUND(IF(DESONERACAO="sim",REFERENCIA.Desonerado,REFERENCIA.NaoDesonerado),2)</f>
        <v>0</v>
      </c>
      <c r="AH27" s="499">
        <f t="shared" ca="1" si="15"/>
        <v>0.28170000000000001</v>
      </c>
      <c r="AJ27" s="501">
        <v>0.06</v>
      </c>
      <c r="AL27" s="527"/>
      <c r="AM27" s="381">
        <f t="shared" ca="1" si="0"/>
        <v>3.7</v>
      </c>
      <c r="AN27" s="566">
        <f t="shared" ca="1" si="16"/>
        <v>61.73</v>
      </c>
    </row>
    <row r="28" spans="1:40" ht="25.5" x14ac:dyDescent="0.2">
      <c r="A28" t="str">
        <f t="shared" si="1"/>
        <v>S</v>
      </c>
      <c r="B28">
        <f t="shared" ca="1" si="2"/>
        <v>2</v>
      </c>
      <c r="C28" t="str">
        <f t="shared" ca="1" si="3"/>
        <v>S</v>
      </c>
      <c r="D28">
        <f t="shared" ca="1" si="4"/>
        <v>0</v>
      </c>
      <c r="E28">
        <f ca="1">IF($C28=1,OFFSET(E28,-1,0)+MAX(1,COUNTIF(QCI!$A$13:$A$24,OFFSET(ORÇAMENTO!E28,-1,0))),OFFSET(E28,-1,0))</f>
        <v>1</v>
      </c>
      <c r="F28">
        <f t="shared" ca="1" si="5"/>
        <v>2</v>
      </c>
      <c r="G28">
        <f t="shared" ca="1" si="6"/>
        <v>0</v>
      </c>
      <c r="H28">
        <f t="shared" ca="1" si="7"/>
        <v>0</v>
      </c>
      <c r="I28">
        <f t="shared" ca="1" si="8"/>
        <v>3</v>
      </c>
      <c r="J28">
        <f t="shared" ca="1" si="9"/>
        <v>0</v>
      </c>
      <c r="K28">
        <f ca="1">IF(OR($C28="S",$C28=0),0,MATCH(OFFSET($D28,0,$C28)+IF($C28&lt;&gt;1,1,COUNTIF(QCI!$A$13:$A$24,ORÇAMENTO!E28)),OFFSET($D28,1,$C28,ROW($C$290)-ROW($C28)),0))</f>
        <v>0</v>
      </c>
      <c r="L28" s="116" t="str">
        <f t="shared" ca="1" si="10"/>
        <v>F</v>
      </c>
      <c r="M28" s="117" t="s">
        <v>199</v>
      </c>
      <c r="N28" s="118" t="str">
        <f t="shared" ca="1" si="11"/>
        <v>Serviço</v>
      </c>
      <c r="O28" s="119" t="str">
        <f t="shared" ca="1" si="12"/>
        <v>1.2.0.3.</v>
      </c>
      <c r="P28" s="120" t="s">
        <v>247</v>
      </c>
      <c r="Q28" s="121" t="s">
        <v>460</v>
      </c>
      <c r="R28" s="122" t="str">
        <f ca="1">IF($C28="S",REFERENCIA.Descricao,"(digite a descrição aqui)")</f>
        <v>(abra o arquivo 'Referência 03-2024.xlsm)</v>
      </c>
      <c r="S28" s="123" t="str">
        <f ca="1">REFERENCIA.Unidade</f>
        <v>-</v>
      </c>
      <c r="T28" s="124">
        <f ca="1">OFFSET(CÁLCULO!H$15,ROW($T28)-ROW(T$15),0)</f>
        <v>0.3</v>
      </c>
      <c r="U28" s="125">
        <v>18.399999999999999</v>
      </c>
      <c r="V28" s="126" t="s">
        <v>156</v>
      </c>
      <c r="W28" s="124">
        <f ca="1">IF($C28="S",ROUND(IF(TIPOORCAMENTO="Proposto",ORÇAMENTO.CustoUnitario*(1+$AH28),ORÇAMENTO.PrecoUnitarioLicitado),15-13*$AF$10),0)</f>
        <v>23.58</v>
      </c>
      <c r="X28" s="127">
        <f ca="1">IF($C28="S",IF(Import.TipoArredondamento&lt;&gt;"TransfereGOV",VTOTAL1,SUM(OFFSET(CÁLCULO!$AA$15,ROW($X28)-ROW($X$15),1):OFFSET(CÁLCULO!$AL$15,ROW($X28)-ROW($X$15),-1))),IF($C28=0,0,ROUND(SomaAgrup,15-13*$AF$11)))</f>
        <v>7.07</v>
      </c>
      <c r="Y28" s="128" t="s">
        <v>245</v>
      </c>
      <c r="Z28" t="str">
        <f t="shared" ca="1" si="13"/>
        <v>RA</v>
      </c>
      <c r="AA28" s="129">
        <f ca="1">IF($C28="S",IF($Z28="CP",$X28,IF($Z28="RA",(($X28)*QCI!$AA$3),0)),SomaAgrup)</f>
        <v>7.07</v>
      </c>
      <c r="AB28" s="130">
        <f t="shared" ca="1" si="14"/>
        <v>0</v>
      </c>
      <c r="AC28" s="131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" t="str">
        <f ca="1">IF(AND($C28="S",ORÇAMENTO.CodBarra&lt;&gt;""),IF(ORÇAMENTO.Fonte="",ORÇAMENTO.CodBarra,CONCATENATE(ORÇAMENTO.Fonte," ",ORÇAMENTO.CodBarra)))</f>
        <v>SINAPI 96617</v>
      </c>
      <c r="AF28" s="13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03-2024.xlsm)</v>
      </c>
      <c r="AG28" s="498">
        <f ca="1">ROUND(IF(DESONERACAO="sim",REFERENCIA.Desonerado,REFERENCIA.NaoDesonerado),2)</f>
        <v>0</v>
      </c>
      <c r="AH28" s="499">
        <f t="shared" ca="1" si="15"/>
        <v>0.28170000000000001</v>
      </c>
      <c r="AJ28" s="501">
        <v>0.3</v>
      </c>
      <c r="AL28" s="527"/>
      <c r="AM28" s="381">
        <f t="shared" ca="1" si="0"/>
        <v>7.07</v>
      </c>
      <c r="AN28" s="566">
        <f t="shared" ca="1" si="16"/>
        <v>23.58</v>
      </c>
    </row>
    <row r="29" spans="1:40" ht="51" x14ac:dyDescent="0.2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1</v>
      </c>
      <c r="F29">
        <f t="shared" ca="1" si="5"/>
        <v>2</v>
      </c>
      <c r="G29">
        <f t="shared" ca="1" si="6"/>
        <v>0</v>
      </c>
      <c r="H29">
        <f t="shared" ca="1" si="7"/>
        <v>0</v>
      </c>
      <c r="I29">
        <f t="shared" ca="1" si="8"/>
        <v>4</v>
      </c>
      <c r="J29">
        <f t="shared" ca="1" si="9"/>
        <v>0</v>
      </c>
      <c r="K29">
        <f ca="1">IF(OR($C29="S",$C29=0),0,MATCH(OFFSET($D29,0,$C29)+IF($C29&lt;&gt;1,1,COUNTIF(QCI!$A$13:$A$24,ORÇAMENTO!E29)),OFFSET($D29,1,$C29,ROW($C$290)-ROW($C29)),0))</f>
        <v>0</v>
      </c>
      <c r="L29" s="116" t="str">
        <f t="shared" ca="1" si="10"/>
        <v>F</v>
      </c>
      <c r="M29" s="117" t="s">
        <v>199</v>
      </c>
      <c r="N29" s="118" t="str">
        <f t="shared" ca="1" si="11"/>
        <v>Serviço</v>
      </c>
      <c r="O29" s="119" t="str">
        <f t="shared" ca="1" si="12"/>
        <v>1.2.0.4.</v>
      </c>
      <c r="P29" s="120" t="s">
        <v>247</v>
      </c>
      <c r="Q29" s="121" t="s">
        <v>461</v>
      </c>
      <c r="R29" s="122" t="str">
        <f ca="1">IF($C29="S",REFERENCIA.Descricao,"(digite a descrição aqui)")</f>
        <v>(abra o arquivo 'Referência 03-2024.xlsm)</v>
      </c>
      <c r="S29" s="123" t="str">
        <f ca="1">REFERENCIA.Unidade</f>
        <v>-</v>
      </c>
      <c r="T29" s="124">
        <f ca="1">OFFSET(CÁLCULO!H$15,ROW($T29)-ROW(T$15),0)</f>
        <v>1.35</v>
      </c>
      <c r="U29" s="125">
        <v>133.78</v>
      </c>
      <c r="V29" s="126" t="s">
        <v>156</v>
      </c>
      <c r="W29" s="124">
        <f ca="1">IF($C29="S",ROUND(IF(TIPOORCAMENTO="Proposto",ORÇAMENTO.CustoUnitario*(1+$AH29),ORÇAMENTO.PrecoUnitarioLicitado),15-13*$AF$10),0)</f>
        <v>171.47</v>
      </c>
      <c r="X29" s="127">
        <f ca="1">IF($C29="S",IF(Import.TipoArredondamento&lt;&gt;"TransfereGOV",VTOTAL1,SUM(OFFSET(CÁLCULO!$AA$15,ROW($X29)-ROW($X$15),1):OFFSET(CÁLCULO!$AL$15,ROW($X29)-ROW($X$15),-1))),IF($C29=0,0,ROUND(SomaAgrup,15-13*$AF$11)))</f>
        <v>231.48</v>
      </c>
      <c r="Y29" s="128" t="s">
        <v>245</v>
      </c>
      <c r="Z29" t="str">
        <f t="shared" ca="1" si="13"/>
        <v>RA</v>
      </c>
      <c r="AA29" s="129">
        <f ca="1">IF($C29="S",IF($Z29="CP",$X29,IF($Z29="RA",(($X29)*QCI!$AA$3),0)),SomaAgrup)</f>
        <v>231.48</v>
      </c>
      <c r="AB29" s="130">
        <f t="shared" ca="1" si="14"/>
        <v>0</v>
      </c>
      <c r="AC29" s="131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" t="str">
        <f ca="1">IF(AND($C29="S",ORÇAMENTO.CodBarra&lt;&gt;""),IF(ORÇAMENTO.Fonte="",ORÇAMENTO.CodBarra,CONCATENATE(ORÇAMENTO.Fonte," ",ORÇAMENTO.CodBarra)))</f>
        <v>SINAPI 103334</v>
      </c>
      <c r="AF29" s="13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03-2024.xlsm)</v>
      </c>
      <c r="AG29" s="498">
        <f ca="1">ROUND(IF(DESONERACAO="sim",REFERENCIA.Desonerado,REFERENCIA.NaoDesonerado),2)</f>
        <v>0</v>
      </c>
      <c r="AH29" s="499">
        <f t="shared" ca="1" si="15"/>
        <v>0.28170000000000001</v>
      </c>
      <c r="AJ29" s="501">
        <v>1.35</v>
      </c>
      <c r="AL29" s="527"/>
      <c r="AM29" s="381">
        <f t="shared" ca="1" si="0"/>
        <v>231.48</v>
      </c>
      <c r="AN29" s="566">
        <f t="shared" ca="1" si="16"/>
        <v>171.47</v>
      </c>
    </row>
    <row r="30" spans="1:40" ht="51" x14ac:dyDescent="0.2">
      <c r="A30" t="str">
        <f t="shared" si="1"/>
        <v>S</v>
      </c>
      <c r="B30">
        <f t="shared" ca="1" si="2"/>
        <v>2</v>
      </c>
      <c r="C30" t="str">
        <f t="shared" ca="1" si="3"/>
        <v>S</v>
      </c>
      <c r="D30">
        <f t="shared" ca="1" si="4"/>
        <v>0</v>
      </c>
      <c r="E30">
        <f ca="1">IF($C30=1,OFFSET(E30,-1,0)+MAX(1,COUNTIF(QCI!$A$13:$A$24,OFFSET(ORÇAMENTO!E30,-1,0))),OFFSET(E30,-1,0))</f>
        <v>1</v>
      </c>
      <c r="F30">
        <f t="shared" ca="1" si="5"/>
        <v>2</v>
      </c>
      <c r="G30">
        <f t="shared" ca="1" si="6"/>
        <v>0</v>
      </c>
      <c r="H30">
        <f t="shared" ca="1" si="7"/>
        <v>0</v>
      </c>
      <c r="I30">
        <f t="shared" ca="1" si="8"/>
        <v>5</v>
      </c>
      <c r="J30">
        <f t="shared" ca="1" si="9"/>
        <v>0</v>
      </c>
      <c r="K30">
        <f ca="1">IF(OR($C30="S",$C30=0),0,MATCH(OFFSET($D30,0,$C30)+IF($C30&lt;&gt;1,1,COUNTIF(QCI!$A$13:$A$24,ORÇAMENTO!E30)),OFFSET($D30,1,$C30,ROW($C$290)-ROW($C30)),0))</f>
        <v>0</v>
      </c>
      <c r="L30" s="116" t="str">
        <f t="shared" ca="1" si="10"/>
        <v>F</v>
      </c>
      <c r="M30" s="117" t="s">
        <v>199</v>
      </c>
      <c r="N30" s="118" t="str">
        <f t="shared" ca="1" si="11"/>
        <v>Serviço</v>
      </c>
      <c r="O30" s="119" t="str">
        <f t="shared" ca="1" si="12"/>
        <v>1.2.0.5.</v>
      </c>
      <c r="P30" s="120" t="s">
        <v>247</v>
      </c>
      <c r="Q30" s="121" t="s">
        <v>464</v>
      </c>
      <c r="R30" s="122" t="str">
        <f ca="1">IF($C30="S",REFERENCIA.Descricao,"(digite a descrição aqui)")</f>
        <v>(abra o arquivo 'Referência 03-2024.xlsm)</v>
      </c>
      <c r="S30" s="123" t="str">
        <f ca="1">REFERENCIA.Unidade</f>
        <v>-</v>
      </c>
      <c r="T30" s="124">
        <f ca="1">OFFSET(CÁLCULO!H$15,ROW($T30)-ROW(T$15),0)</f>
        <v>1</v>
      </c>
      <c r="U30" s="125">
        <v>178.07</v>
      </c>
      <c r="V30" s="126" t="s">
        <v>156</v>
      </c>
      <c r="W30" s="124">
        <f ca="1">IF($C30="S",ROUND(IF(TIPOORCAMENTO="Proposto",ORÇAMENTO.CustoUnitario*(1+$AH30),ORÇAMENTO.PrecoUnitarioLicitado),15-13*$AF$10),0)</f>
        <v>228.23</v>
      </c>
      <c r="X30" s="127">
        <f ca="1">IF($C30="S",IF(Import.TipoArredondamento&lt;&gt;"TransfereGOV",VTOTAL1,SUM(OFFSET(CÁLCULO!$AA$15,ROW($X30)-ROW($X$15),1):OFFSET(CÁLCULO!$AL$15,ROW($X30)-ROW($X$15),-1))),IF($C30=0,0,ROUND(SomaAgrup,15-13*$AF$11)))</f>
        <v>228.23</v>
      </c>
      <c r="Y30" s="128" t="s">
        <v>245</v>
      </c>
      <c r="Z30" t="str">
        <f t="shared" ca="1" si="13"/>
        <v>RA</v>
      </c>
      <c r="AA30" s="129">
        <f ca="1">IF($C30="S",IF($Z30="CP",$X30,IF($Z30="RA",(($X30)*QCI!$AA$3),0)),SomaAgrup)</f>
        <v>228.23</v>
      </c>
      <c r="AB30" s="130">
        <f t="shared" ca="1" si="14"/>
        <v>0</v>
      </c>
      <c r="AC30" s="131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" t="str">
        <f ca="1">IF(AND($C30="S",ORÇAMENTO.CodBarra&lt;&gt;""),IF(ORÇAMENTO.Fonte="",ORÇAMENTO.CodBarra,CONCATENATE(ORÇAMENTO.Fonte," ",ORÇAMENTO.CodBarra)))</f>
        <v>SINAPI 97741</v>
      </c>
      <c r="AF30" s="13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03-2024.xlsm)</v>
      </c>
      <c r="AG30" s="498">
        <f ca="1">ROUND(IF(DESONERACAO="sim",REFERENCIA.Desonerado,REFERENCIA.NaoDesonerado),2)</f>
        <v>0</v>
      </c>
      <c r="AH30" s="499">
        <f t="shared" ca="1" si="15"/>
        <v>0.28170000000000001</v>
      </c>
      <c r="AJ30" s="501">
        <v>1</v>
      </c>
      <c r="AL30" s="527"/>
      <c r="AM30" s="381">
        <f t="shared" ca="1" si="0"/>
        <v>228.23</v>
      </c>
      <c r="AN30" s="566">
        <f t="shared" ca="1" si="16"/>
        <v>228.23</v>
      </c>
    </row>
    <row r="31" spans="1:40" ht="51" x14ac:dyDescent="0.2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IF($C31=1,OFFSET(E31,-1,0)+MAX(1,COUNTIF(QCI!$A$13:$A$24,OFFSET(ORÇAMENTO!E31,-1,0))),OFFSET(E31,-1,0))</f>
        <v>1</v>
      </c>
      <c r="F31">
        <f t="shared" ca="1" si="5"/>
        <v>2</v>
      </c>
      <c r="G31">
        <f t="shared" ca="1" si="6"/>
        <v>0</v>
      </c>
      <c r="H31">
        <f t="shared" ca="1" si="7"/>
        <v>0</v>
      </c>
      <c r="I31">
        <f t="shared" ca="1" si="8"/>
        <v>6</v>
      </c>
      <c r="J31">
        <f t="shared" ca="1" si="9"/>
        <v>0</v>
      </c>
      <c r="K31">
        <f ca="1">IF(OR($C31="S",$C31=0),0,MATCH(OFFSET($D31,0,$C31)+IF($C31&lt;&gt;1,1,COUNTIF(QCI!$A$13:$A$24,ORÇAMENTO!E31)),OFFSET($D31,1,$C31,ROW($C$290)-ROW($C31)),0))</f>
        <v>0</v>
      </c>
      <c r="L31" s="116" t="str">
        <f t="shared" ca="1" si="10"/>
        <v>F</v>
      </c>
      <c r="M31" s="117" t="s">
        <v>199</v>
      </c>
      <c r="N31" s="118" t="str">
        <f t="shared" ca="1" si="11"/>
        <v>Serviço</v>
      </c>
      <c r="O31" s="119" t="str">
        <f t="shared" ca="1" si="12"/>
        <v>1.2.0.6.</v>
      </c>
      <c r="P31" s="120" t="s">
        <v>462</v>
      </c>
      <c r="Q31" s="121" t="s">
        <v>465</v>
      </c>
      <c r="R31" s="122" t="str">
        <f ca="1">IF($C31="S",REFERENCIA.Descricao,"(digite a descrição aqui)")</f>
        <v>(abra o arquivo 'Referência 03-2024.xlsm)</v>
      </c>
      <c r="S31" s="123" t="str">
        <f ca="1">REFERENCIA.Unidade</f>
        <v>-</v>
      </c>
      <c r="T31" s="124">
        <f ca="1">OFFSET(CÁLCULO!H$15,ROW($T31)-ROW(T$15),0)</f>
        <v>1.61</v>
      </c>
      <c r="U31" s="125">
        <v>5.47</v>
      </c>
      <c r="V31" s="126" t="s">
        <v>156</v>
      </c>
      <c r="W31" s="124">
        <f ca="1">IF($C31="S",ROUND(IF(TIPOORCAMENTO="Proposto",ORÇAMENTO.CustoUnitario*(1+$AH31),ORÇAMENTO.PrecoUnitarioLicitado),15-13*$AF$10),0)</f>
        <v>7.01</v>
      </c>
      <c r="X31" s="127">
        <f ca="1">IF($C31="S",IF(Import.TipoArredondamento&lt;&gt;"TransfereGOV",VTOTAL1,SUM(OFFSET(CÁLCULO!$AA$15,ROW($X31)-ROW($X$15),1):OFFSET(CÁLCULO!$AL$15,ROW($X31)-ROW($X$15),-1))),IF($C31=0,0,ROUND(SomaAgrup,15-13*$AF$11)))</f>
        <v>11.29</v>
      </c>
      <c r="Y31" s="128" t="s">
        <v>245</v>
      </c>
      <c r="Z31" t="str">
        <f t="shared" ca="1" si="13"/>
        <v>RA</v>
      </c>
      <c r="AA31" s="129">
        <f ca="1">IF($C31="S",IF($Z31="CP",$X31,IF($Z31="RA",(($X31)*QCI!$AA$3),0)),SomaAgrup)</f>
        <v>11.29</v>
      </c>
      <c r="AB31" s="130">
        <f t="shared" ca="1" si="14"/>
        <v>0</v>
      </c>
      <c r="AC31" s="131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" t="str">
        <f ca="1">IF(AND($C31="S",ORÇAMENTO.CodBarra&lt;&gt;""),IF(ORÇAMENTO.Fonte="",ORÇAMENTO.CodBarra,CONCATENATE(ORÇAMENTO.Fonte," ",ORÇAMENTO.CodBarra)))</f>
        <v>Composição 2</v>
      </c>
      <c r="AF31" s="13" t="str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03-2024.xlsm)</v>
      </c>
      <c r="AG31" s="498">
        <f ca="1">ROUND(IF(DESONERACAO="sim",REFERENCIA.Desonerado,REFERENCIA.NaoDesonerado),2)</f>
        <v>0</v>
      </c>
      <c r="AH31" s="499">
        <f t="shared" ca="1" si="15"/>
        <v>0.28170000000000001</v>
      </c>
      <c r="AJ31" s="501">
        <v>1.61</v>
      </c>
      <c r="AL31" s="527"/>
      <c r="AM31" s="381">
        <f t="shared" ca="1" si="0"/>
        <v>11.29</v>
      </c>
      <c r="AN31" s="566">
        <f t="shared" ca="1" si="16"/>
        <v>7.01</v>
      </c>
    </row>
    <row r="32" spans="1:40" ht="51" x14ac:dyDescent="0.2">
      <c r="A32" t="str">
        <f t="shared" si="1"/>
        <v>S</v>
      </c>
      <c r="B32">
        <f t="shared" ca="1" si="2"/>
        <v>2</v>
      </c>
      <c r="C32" t="str">
        <f t="shared" ca="1" si="3"/>
        <v>S</v>
      </c>
      <c r="D32">
        <f t="shared" ca="1" si="4"/>
        <v>0</v>
      </c>
      <c r="E32">
        <f ca="1">IF($C32=1,OFFSET(E32,-1,0)+MAX(1,COUNTIF(QCI!$A$13:$A$24,OFFSET(ORÇAMENTO!E32,-1,0))),OFFSET(E32,-1,0))</f>
        <v>1</v>
      </c>
      <c r="F32">
        <f t="shared" ca="1" si="5"/>
        <v>2</v>
      </c>
      <c r="G32">
        <f t="shared" ca="1" si="6"/>
        <v>0</v>
      </c>
      <c r="H32">
        <f t="shared" ca="1" si="7"/>
        <v>0</v>
      </c>
      <c r="I32">
        <f t="shared" ca="1" si="8"/>
        <v>7</v>
      </c>
      <c r="J32">
        <f t="shared" ca="1" si="9"/>
        <v>0</v>
      </c>
      <c r="K32">
        <f ca="1">IF(OR($C32="S",$C32=0),0,MATCH(OFFSET($D32,0,$C32)+IF($C32&lt;&gt;1,1,COUNTIF(QCI!$A$13:$A$24,ORÇAMENTO!E32)),OFFSET($D32,1,$C32,ROW($C$290)-ROW($C32)),0))</f>
        <v>0</v>
      </c>
      <c r="L32" s="116" t="str">
        <f t="shared" ca="1" si="10"/>
        <v>F</v>
      </c>
      <c r="M32" s="117" t="s">
        <v>199</v>
      </c>
      <c r="N32" s="118" t="str">
        <f t="shared" ca="1" si="11"/>
        <v>Serviço</v>
      </c>
      <c r="O32" s="119" t="str">
        <f t="shared" ca="1" si="12"/>
        <v>1.2.0.7.</v>
      </c>
      <c r="P32" s="120" t="s">
        <v>462</v>
      </c>
      <c r="Q32" s="121" t="s">
        <v>466</v>
      </c>
      <c r="R32" s="122" t="str">
        <f ca="1">IF($C32="S",REFERENCIA.Descricao,"(digite a descrição aqui)")</f>
        <v>(abra o arquivo 'Referência 03-2024.xlsm)</v>
      </c>
      <c r="S32" s="123" t="str">
        <f ca="1">REFERENCIA.Unidade</f>
        <v>-</v>
      </c>
      <c r="T32" s="124">
        <f ca="1">OFFSET(CÁLCULO!H$15,ROW($T32)-ROW(T$15),0)</f>
        <v>1.61</v>
      </c>
      <c r="U32" s="125">
        <v>26.04</v>
      </c>
      <c r="V32" s="126" t="s">
        <v>156</v>
      </c>
      <c r="W32" s="124">
        <f ca="1">IF($C32="S",ROUND(IF(TIPOORCAMENTO="Proposto",ORÇAMENTO.CustoUnitario*(1+$AH32),ORÇAMENTO.PrecoUnitarioLicitado),15-13*$AF$10),0)</f>
        <v>33.380000000000003</v>
      </c>
      <c r="X32" s="127">
        <f ca="1">IF($C32="S",IF(Import.TipoArredondamento&lt;&gt;"TransfereGOV",VTOTAL1,SUM(OFFSET(CÁLCULO!$AA$15,ROW($X32)-ROW($X$15),1):OFFSET(CÁLCULO!$AL$15,ROW($X32)-ROW($X$15),-1))),IF($C32=0,0,ROUND(SomaAgrup,15-13*$AF$11)))</f>
        <v>53.74</v>
      </c>
      <c r="Y32" s="128" t="s">
        <v>245</v>
      </c>
      <c r="Z32" t="str">
        <f t="shared" ca="1" si="13"/>
        <v>RA</v>
      </c>
      <c r="AA32" s="129">
        <f ca="1">IF($C32="S",IF($Z32="CP",$X32,IF($Z32="RA",(($X32)*QCI!$AA$3),0)),SomaAgrup)</f>
        <v>53.74</v>
      </c>
      <c r="AB32" s="130">
        <f t="shared" ca="1" si="14"/>
        <v>0</v>
      </c>
      <c r="AC32" s="131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IF(C32&lt;=CRONO.NivelExibicao,MAX($AD$15:OFFSET(AD32,-1,0))+IF($C32&lt;&gt;1,1,MAX(1,COUNTIF(QCI!$A$13:$A$24,OFFSET($E32,-1,0)))),"")</f>
        <v/>
      </c>
      <c r="AE32" s="7" t="str">
        <f ca="1">IF(AND($C32="S",ORÇAMENTO.CodBarra&lt;&gt;""),IF(ORÇAMENTO.Fonte="",ORÇAMENTO.CodBarra,CONCATENATE(ORÇAMENTO.Fonte," ",ORÇAMENTO.CodBarra)))</f>
        <v>Composição 3</v>
      </c>
      <c r="AF32" s="13" t="str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03-2024.xlsm)</v>
      </c>
      <c r="AG32" s="498">
        <f ca="1">ROUND(IF(DESONERACAO="sim",REFERENCIA.Desonerado,REFERENCIA.NaoDesonerado),2)</f>
        <v>0</v>
      </c>
      <c r="AH32" s="499">
        <f t="shared" ca="1" si="15"/>
        <v>0.28170000000000001</v>
      </c>
      <c r="AJ32" s="501">
        <v>1.61</v>
      </c>
      <c r="AL32" s="527"/>
      <c r="AM32" s="381">
        <f t="shared" ca="1" si="0"/>
        <v>53.74</v>
      </c>
      <c r="AN32" s="566">
        <f t="shared" ca="1" si="16"/>
        <v>33.380000000000003</v>
      </c>
    </row>
    <row r="33" spans="1:40" ht="25.5" x14ac:dyDescent="0.2">
      <c r="A33" t="str">
        <f t="shared" si="1"/>
        <v>S</v>
      </c>
      <c r="B33">
        <f t="shared" ca="1" si="2"/>
        <v>2</v>
      </c>
      <c r="C33" t="str">
        <f t="shared" ca="1" si="3"/>
        <v>S</v>
      </c>
      <c r="D33">
        <f t="shared" ca="1" si="4"/>
        <v>0</v>
      </c>
      <c r="E33">
        <f ca="1">IF($C33=1,OFFSET(E33,-1,0)+MAX(1,COUNTIF(QCI!$A$13:$A$24,OFFSET(ORÇAMENTO!E33,-1,0))),OFFSET(E33,-1,0))</f>
        <v>1</v>
      </c>
      <c r="F33">
        <f t="shared" ca="1" si="5"/>
        <v>2</v>
      </c>
      <c r="G33">
        <f t="shared" ca="1" si="6"/>
        <v>0</v>
      </c>
      <c r="H33">
        <f t="shared" ca="1" si="7"/>
        <v>0</v>
      </c>
      <c r="I33">
        <f t="shared" ca="1" si="8"/>
        <v>8</v>
      </c>
      <c r="J33">
        <f t="shared" ca="1" si="9"/>
        <v>0</v>
      </c>
      <c r="K33">
        <f ca="1">IF(OR($C33="S",$C33=0),0,MATCH(OFFSET($D33,0,$C33)+IF($C33&lt;&gt;1,1,COUNTIF(QCI!$A$13:$A$24,ORÇAMENTO!E33)),OFFSET($D33,1,$C33,ROW($C$290)-ROW($C33)),0))</f>
        <v>0</v>
      </c>
      <c r="L33" s="116" t="str">
        <f t="shared" ca="1" si="10"/>
        <v>F</v>
      </c>
      <c r="M33" s="117" t="s">
        <v>199</v>
      </c>
      <c r="N33" s="118" t="str">
        <f t="shared" ca="1" si="11"/>
        <v>Serviço</v>
      </c>
      <c r="O33" s="119" t="str">
        <f t="shared" ca="1" si="12"/>
        <v>1.2.0.8.</v>
      </c>
      <c r="P33" s="120" t="s">
        <v>462</v>
      </c>
      <c r="Q33" s="121" t="s">
        <v>467</v>
      </c>
      <c r="R33" s="122" t="str">
        <f ca="1">IF($C33="S",REFERENCIA.Descricao,"(digite a descrição aqui)")</f>
        <v>(abra o arquivo 'Referência 03-2024.xlsm)</v>
      </c>
      <c r="S33" s="123" t="str">
        <f ca="1">REFERENCIA.Unidade</f>
        <v>-</v>
      </c>
      <c r="T33" s="124">
        <f ca="1">OFFSET(CÁLCULO!H$15,ROW($T33)-ROW(T$15),0)</f>
        <v>1.61</v>
      </c>
      <c r="U33" s="125">
        <v>3.04</v>
      </c>
      <c r="V33" s="126" t="s">
        <v>156</v>
      </c>
      <c r="W33" s="124">
        <f ca="1">IF($C33="S",ROUND(IF(TIPOORCAMENTO="Proposto",ORÇAMENTO.CustoUnitario*(1+$AH33),ORÇAMENTO.PrecoUnitarioLicitado),15-13*$AF$10),0)</f>
        <v>3.9</v>
      </c>
      <c r="X33" s="127">
        <f ca="1">IF($C33="S",IF(Import.TipoArredondamento&lt;&gt;"TransfereGOV",VTOTAL1,SUM(OFFSET(CÁLCULO!$AA$15,ROW($X33)-ROW($X$15),1):OFFSET(CÁLCULO!$AL$15,ROW($X33)-ROW($X$15),-1))),IF($C33=0,0,ROUND(SomaAgrup,15-13*$AF$11)))</f>
        <v>6.28</v>
      </c>
      <c r="Y33" s="128" t="s">
        <v>245</v>
      </c>
      <c r="Z33" t="str">
        <f t="shared" ca="1" si="13"/>
        <v>RA</v>
      </c>
      <c r="AA33" s="129">
        <f ca="1">IF($C33="S",IF($Z33="CP",$X33,IF($Z33="RA",(($X33)*QCI!$AA$3),0)),SomaAgrup)</f>
        <v>6.28</v>
      </c>
      <c r="AB33" s="130">
        <f t="shared" ca="1" si="14"/>
        <v>0</v>
      </c>
      <c r="AC33" s="131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IF(C33&lt;=CRONO.NivelExibicao,MAX($AD$15:OFFSET(AD33,-1,0))+IF($C33&lt;&gt;1,1,MAX(1,COUNTIF(QCI!$A$13:$A$24,OFFSET($E33,-1,0)))),"")</f>
        <v/>
      </c>
      <c r="AE33" s="7" t="str">
        <f ca="1">IF(AND($C33="S",ORÇAMENTO.CodBarra&lt;&gt;""),IF(ORÇAMENTO.Fonte="",ORÇAMENTO.CodBarra,CONCATENATE(ORÇAMENTO.Fonte," ",ORÇAMENTO.CodBarra)))</f>
        <v>Composição 4</v>
      </c>
      <c r="AF33" s="13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03-2024.xlsm)</v>
      </c>
      <c r="AG33" s="498">
        <f ca="1">ROUND(IF(DESONERACAO="sim",REFERENCIA.Desonerado,REFERENCIA.NaoDesonerado),2)</f>
        <v>0</v>
      </c>
      <c r="AH33" s="499">
        <f t="shared" ca="1" si="15"/>
        <v>0.28170000000000001</v>
      </c>
      <c r="AJ33" s="501">
        <v>1.61</v>
      </c>
      <c r="AL33" s="527"/>
      <c r="AM33" s="381">
        <f t="shared" ca="1" si="0"/>
        <v>6.28</v>
      </c>
      <c r="AN33" s="566">
        <f t="shared" ca="1" si="16"/>
        <v>3.9</v>
      </c>
    </row>
    <row r="34" spans="1:40" ht="25.5" x14ac:dyDescent="0.2">
      <c r="A34" t="str">
        <f t="shared" si="1"/>
        <v>S</v>
      </c>
      <c r="B34">
        <f t="shared" ca="1" si="2"/>
        <v>2</v>
      </c>
      <c r="C34" t="str">
        <f t="shared" ca="1" si="3"/>
        <v>S</v>
      </c>
      <c r="D34">
        <f t="shared" ca="1" si="4"/>
        <v>0</v>
      </c>
      <c r="E34">
        <f ca="1">IF($C34=1,OFFSET(E34,-1,0)+MAX(1,COUNTIF(QCI!$A$13:$A$24,OFFSET(ORÇAMENTO!E34,-1,0))),OFFSET(E34,-1,0))</f>
        <v>1</v>
      </c>
      <c r="F34">
        <f t="shared" ca="1" si="5"/>
        <v>2</v>
      </c>
      <c r="G34">
        <f t="shared" ca="1" si="6"/>
        <v>0</v>
      </c>
      <c r="H34">
        <f t="shared" ca="1" si="7"/>
        <v>0</v>
      </c>
      <c r="I34">
        <f t="shared" ca="1" si="8"/>
        <v>9</v>
      </c>
      <c r="J34">
        <f t="shared" ca="1" si="9"/>
        <v>0</v>
      </c>
      <c r="K34">
        <f ca="1">IF(OR($C34="S",$C34=0),0,MATCH(OFFSET($D34,0,$C34)+IF($C34&lt;&gt;1,1,COUNTIF(QCI!$A$13:$A$24,ORÇAMENTO!E34)),OFFSET($D34,1,$C34,ROW($C$290)-ROW($C34)),0))</f>
        <v>0</v>
      </c>
      <c r="L34" s="116" t="str">
        <f t="shared" ca="1" si="10"/>
        <v>F</v>
      </c>
      <c r="M34" s="117" t="s">
        <v>199</v>
      </c>
      <c r="N34" s="118" t="str">
        <f t="shared" ca="1" si="11"/>
        <v>Serviço</v>
      </c>
      <c r="O34" s="119" t="str">
        <f t="shared" ca="1" si="12"/>
        <v>1.2.0.9.</v>
      </c>
      <c r="P34" s="120" t="s">
        <v>462</v>
      </c>
      <c r="Q34" s="121" t="s">
        <v>468</v>
      </c>
      <c r="R34" s="122" t="str">
        <f ca="1">IF($C34="S",REFERENCIA.Descricao,"(digite a descrição aqui)")</f>
        <v>(abra o arquivo 'Referência 03-2024.xlsm)</v>
      </c>
      <c r="S34" s="123" t="str">
        <f ca="1">REFERENCIA.Unidade</f>
        <v>-</v>
      </c>
      <c r="T34" s="124">
        <f ca="1">OFFSET(CÁLCULO!H$15,ROW($T34)-ROW(T$15),0)</f>
        <v>1.61</v>
      </c>
      <c r="U34" s="125">
        <v>16.100000000000001</v>
      </c>
      <c r="V34" s="126" t="s">
        <v>156</v>
      </c>
      <c r="W34" s="124">
        <f ca="1">IF($C34="S",ROUND(IF(TIPOORCAMENTO="Proposto",ORÇAMENTO.CustoUnitario*(1+$AH34),ORÇAMENTO.PrecoUnitarioLicitado),15-13*$AF$10),0)</f>
        <v>20.64</v>
      </c>
      <c r="X34" s="127">
        <f ca="1">IF($C34="S",IF(Import.TipoArredondamento&lt;&gt;"TransfereGOV",VTOTAL1,SUM(OFFSET(CÁLCULO!$AA$15,ROW($X34)-ROW($X$15),1):OFFSET(CÁLCULO!$AL$15,ROW($X34)-ROW($X$15),-1))),IF($C34=0,0,ROUND(SomaAgrup,15-13*$AF$11)))</f>
        <v>33.229999999999997</v>
      </c>
      <c r="Y34" s="128" t="s">
        <v>245</v>
      </c>
      <c r="Z34" t="str">
        <f t="shared" ca="1" si="13"/>
        <v>RA</v>
      </c>
      <c r="AA34" s="129">
        <f ca="1">IF($C34="S",IF($Z34="CP",$X34,IF($Z34="RA",(($X34)*QCI!$AA$3),0)),SomaAgrup)</f>
        <v>33.229999999999997</v>
      </c>
      <c r="AB34" s="130">
        <f t="shared" ca="1" si="14"/>
        <v>0</v>
      </c>
      <c r="AC34" s="131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IF(C34&lt;=CRONO.NivelExibicao,MAX($AD$15:OFFSET(AD34,-1,0))+IF($C34&lt;&gt;1,1,MAX(1,COUNTIF(QCI!$A$13:$A$24,OFFSET($E34,-1,0)))),"")</f>
        <v/>
      </c>
      <c r="AE34" s="7" t="str">
        <f ca="1">IF(AND($C34="S",ORÇAMENTO.CodBarra&lt;&gt;""),IF(ORÇAMENTO.Fonte="",ORÇAMENTO.CodBarra,CONCATENATE(ORÇAMENTO.Fonte," ",ORÇAMENTO.CodBarra)))</f>
        <v>Composição 5</v>
      </c>
      <c r="AF34" s="13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03-2024.xlsm)</v>
      </c>
      <c r="AG34" s="498">
        <f ca="1">ROUND(IF(DESONERACAO="sim",REFERENCIA.Desonerado,REFERENCIA.NaoDesonerado),2)</f>
        <v>0</v>
      </c>
      <c r="AH34" s="499">
        <f t="shared" ca="1" si="15"/>
        <v>0.28170000000000001</v>
      </c>
      <c r="AJ34" s="501">
        <v>1.61</v>
      </c>
      <c r="AL34" s="527"/>
      <c r="AM34" s="381">
        <f t="shared" ca="1" si="0"/>
        <v>33.229999999999997</v>
      </c>
      <c r="AN34" s="566">
        <f t="shared" ca="1" si="16"/>
        <v>20.64</v>
      </c>
    </row>
    <row r="35" spans="1:40" ht="63.75" x14ac:dyDescent="0.2">
      <c r="A35" t="str">
        <f>CHOOSE(1+LOG(1+2*(ORÇAMENTO.Nivel="Meta")+4*(ORÇAMENTO.Nivel="Nível 2")+8*(ORÇAMENTO.Nivel="Nível 3")+16*(ORÇAMENTO.Nivel="Nível 4")+32*(ORÇAMENTO.Nivel="Serviço"),2),0,1,2,3,4,"S")</f>
        <v>S</v>
      </c>
      <c r="B35">
        <f ca="1">IF(OR(C35="s",C35=0),OFFSET(B35,-1,0),C35)</f>
        <v>2</v>
      </c>
      <c r="C35" t="str">
        <f ca="1">IF(OFFSET(C35,-1,0)="L",1,IF(OFFSET(C35,-1,0)=1,2,IF(OR(A35="s",A35=0),"S",IF(AND(OFFSET(C35,-1,0)=2,A35=4),3,IF(AND(OR(OFFSET(C35,-1,0)="s",OFFSET(C35,-1,0)=0),A35&lt;&gt;"s",A35&gt;OFFSET(B35,-1,0)),OFFSET(B35,-1,0),A35)))))</f>
        <v>S</v>
      </c>
      <c r="D35">
        <f ca="1">IF(OR(C35="S",C35=0),0,IF(ISERROR(K35),J35,SMALL(J35:K35,1)))</f>
        <v>0</v>
      </c>
      <c r="E35">
        <f ca="1">IF($C35=1,OFFSET(E35,-1,0)+MAX(1,COUNTIF(QCI!$A$13:$A$24,OFFSET(ORÇAMENTO!E35,-1,0))),OFFSET(E35,-1,0))</f>
        <v>1</v>
      </c>
      <c r="F35">
        <f ca="1">IF($C35=1,0,IF($C35=2,OFFSET(F35,-1,0)+1,OFFSET(F35,-1,0)))</f>
        <v>2</v>
      </c>
      <c r="G35">
        <f ca="1">IF(AND($C35&lt;=2,$C35&lt;&gt;0),0,IF($C35=3,OFFSET(G35,-1,0)+1,OFFSET(G35,-1,0)))</f>
        <v>0</v>
      </c>
      <c r="H35">
        <f ca="1">IF(AND($C35&lt;=3,$C35&lt;&gt;0),0,IF($C35=4,OFFSET(H35,-1,0)+1,OFFSET(H35,-1,0)))</f>
        <v>0</v>
      </c>
      <c r="I35">
        <f ca="1">IF(AND($C35&lt;=4,$C35&lt;&gt;0),0,IF(AND($C35="S",$X35&gt;0),OFFSET(I35,-1,0)+1,OFFSET(I35,-1,0)))</f>
        <v>10</v>
      </c>
      <c r="J35">
        <f t="shared" ca="1" si="9"/>
        <v>0</v>
      </c>
      <c r="K35">
        <f ca="1">IF(OR($C35="S",$C35=0),0,MATCH(OFFSET($D35,0,$C35)+IF($C35&lt;&gt;1,1,COUNTIF(QCI!$A$13:$A$24,ORÇAMENTO!E35)),OFFSET($D35,1,$C35,ROW($C$290)-ROW($C35)),0))</f>
        <v>0</v>
      </c>
      <c r="L35" s="116" t="str">
        <f ca="1">IF(OR($X35&gt;0,$C35=1,$C35=2,$C35=3,$C35=4),"F","")</f>
        <v>F</v>
      </c>
      <c r="M35" s="117" t="s">
        <v>199</v>
      </c>
      <c r="N35" s="118" t="str">
        <f ca="1">CHOOSE(1+LOG(1+2*(C35=1)+4*(C35=2)+8*(C35=3)+16*(C35=4)+32*(C35="S"),2),"","Meta","Nível 2","Nível 3","Nível 4","Serviço")</f>
        <v>Serviço</v>
      </c>
      <c r="O35" s="119" t="str">
        <f ca="1">IF(OR($C35=0,$L35=""),"-",CONCATENATE(E35&amp;".",IF(AND($A$5&gt;=2,$C35&gt;=2),F35&amp;".",""),IF(AND($A$5&gt;=3,$C35&gt;=3),G35&amp;".",""),IF(AND($A$5&gt;=4,$C35&gt;=4),H35&amp;".",""),IF($C35="S",I35&amp;".","")))</f>
        <v>1.2.0.10.</v>
      </c>
      <c r="P35" s="120" t="s">
        <v>247</v>
      </c>
      <c r="Q35" s="121" t="s">
        <v>492</v>
      </c>
      <c r="R35" s="122" t="str">
        <f ca="1">IF($C35="S",REFERENCIA.Descricao,"(digite a descrição aqui)")</f>
        <v>(abra o arquivo 'Referência 03-2024.xlsm)</v>
      </c>
      <c r="S35" s="123" t="str">
        <f ca="1">REFERENCIA.Unidade</f>
        <v>-</v>
      </c>
      <c r="T35" s="124">
        <f ca="1">OFFSET(CÁLCULO!H$15,ROW($T35)-ROW(T$15),0)</f>
        <v>6.4</v>
      </c>
      <c r="U35" s="125">
        <v>6.45</v>
      </c>
      <c r="V35" s="126" t="s">
        <v>156</v>
      </c>
      <c r="W35" s="124">
        <f ca="1">IF($C35="S",ROUND(IF(TIPOORCAMENTO="Proposto",ORÇAMENTO.CustoUnitario*(1+$AH35),ORÇAMENTO.PrecoUnitarioLicitado),15-13*$AF$10),0)</f>
        <v>8.27</v>
      </c>
      <c r="X35" s="127">
        <f ca="1">IF($C35="S",IF(Import.TipoArredondamento&lt;&gt;"TransfereGOV",VTOTAL1,SUM(OFFSET(CÁLCULO!$AA$15,ROW($X35)-ROW($X$15),1):OFFSET(CÁLCULO!$AL$15,ROW($X35)-ROW($X$15),-1))),IF($C35=0,0,ROUND(SomaAgrup,15-13*$AF$11)))</f>
        <v>52.93</v>
      </c>
      <c r="Y35" s="128" t="s">
        <v>245</v>
      </c>
      <c r="Z35" t="str">
        <f ca="1">IF(AND($C35="S",$X35&gt;0),IF(ISBLANK($Y35),"RA",LEFT($Y35,2)),"")</f>
        <v>RA</v>
      </c>
      <c r="AA35" s="129">
        <f ca="1">IF($C35="S",IF($Z35="CP",$X35,IF($Z35="RA",(($X35)*QCI!$AA$3),0)),SomaAgrup)</f>
        <v>52.93</v>
      </c>
      <c r="AB35" s="130">
        <f ca="1">IF($C35="S",IF($Z35="OU",ROUND($X35,2),0),SomaAgrup)</f>
        <v>0</v>
      </c>
      <c r="AC35" s="131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" t="str">
        <f ca="1">IF(AND($C35="S",ORÇAMENTO.CodBarra&lt;&gt;""),IF(ORÇAMENTO.Fonte="",ORÇAMENTO.CodBarra,CONCATENATE(ORÇAMENTO.Fonte," ",ORÇAMENTO.CodBarra)))</f>
        <v>SINAPI 90091</v>
      </c>
      <c r="AF35" s="13" t="str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03-2024.xlsm)</v>
      </c>
      <c r="AG35" s="498">
        <f ca="1">ROUND(IF(DESONERACAO="sim",REFERENCIA.Desonerado,REFERENCIA.NaoDesonerado),2)</f>
        <v>0</v>
      </c>
      <c r="AH35" s="499">
        <f ca="1">ROUND(IF(ISNUMBER(ORÇAMENTO.OpcaoBDI),ORÇAMENTO.OpcaoBDI,IF(LEFT(ORÇAMENTO.OpcaoBDI,3)="BDI",HLOOKUP(ORÇAMENTO.OpcaoBDI,$F$4:$H$5,2,FALSE),0)),15-11*$AF$9)</f>
        <v>0.28170000000000001</v>
      </c>
      <c r="AJ35" s="501">
        <v>6.4</v>
      </c>
      <c r="AL35" s="527"/>
      <c r="AM35" s="381">
        <f t="shared" ca="1" si="0"/>
        <v>52.93</v>
      </c>
      <c r="AN35" s="566">
        <f ca="1">ROUND(ORÇAMENTO.CustoUnitario*(1+$AH35),2)</f>
        <v>8.27</v>
      </c>
    </row>
    <row r="36" spans="1:40" ht="51" x14ac:dyDescent="0.2">
      <c r="A36" t="str">
        <f>CHOOSE(1+LOG(1+2*(ORÇAMENTO.Nivel="Meta")+4*(ORÇAMENTO.Nivel="Nível 2")+8*(ORÇAMENTO.Nivel="Nível 3")+16*(ORÇAMENTO.Nivel="Nível 4")+32*(ORÇAMENTO.Nivel="Serviço"),2),0,1,2,3,4,"S")</f>
        <v>S</v>
      </c>
      <c r="B36">
        <f ca="1">IF(OR(C36="s",C36=0),OFFSET(B36,-1,0),C36)</f>
        <v>2</v>
      </c>
      <c r="C36" t="str">
        <f ca="1">IF(OFFSET(C36,-1,0)="L",1,IF(OFFSET(C36,-1,0)=1,2,IF(OR(A36="s",A36=0),"S",IF(AND(OFFSET(C36,-1,0)=2,A36=4),3,IF(AND(OR(OFFSET(C36,-1,0)="s",OFFSET(C36,-1,0)=0),A36&lt;&gt;"s",A36&gt;OFFSET(B36,-1,0)),OFFSET(B36,-1,0),A36)))))</f>
        <v>S</v>
      </c>
      <c r="D36">
        <f ca="1">IF(OR(C36="S",C36=0),0,IF(ISERROR(K36),J36,SMALL(J36:K36,1)))</f>
        <v>0</v>
      </c>
      <c r="E36">
        <f ca="1">IF($C36=1,OFFSET(E36,-1,0)+MAX(1,COUNTIF(QCI!$A$13:$A$24,OFFSET(ORÇAMENTO!E36,-1,0))),OFFSET(E36,-1,0))</f>
        <v>1</v>
      </c>
      <c r="F36">
        <f ca="1">IF($C36=1,0,IF($C36=2,OFFSET(F36,-1,0)+1,OFFSET(F36,-1,0)))</f>
        <v>2</v>
      </c>
      <c r="G36">
        <f ca="1">IF(AND($C36&lt;=2,$C36&lt;&gt;0),0,IF($C36=3,OFFSET(G36,-1,0)+1,OFFSET(G36,-1,0)))</f>
        <v>0</v>
      </c>
      <c r="H36">
        <f ca="1">IF(AND($C36&lt;=3,$C36&lt;&gt;0),0,IF($C36=4,OFFSET(H36,-1,0)+1,OFFSET(H36,-1,0)))</f>
        <v>0</v>
      </c>
      <c r="I36">
        <f ca="1">IF(AND($C36&lt;=4,$C36&lt;&gt;0),0,IF(AND($C36="S",$X36&gt;0),OFFSET(I36,-1,0)+1,OFFSET(I36,-1,0)))</f>
        <v>11</v>
      </c>
      <c r="J36">
        <f t="shared" ca="1" si="9"/>
        <v>0</v>
      </c>
      <c r="K36">
        <f ca="1">IF(OR($C36="S",$C36=0),0,MATCH(OFFSET($D36,0,$C36)+IF($C36&lt;&gt;1,1,COUNTIF(QCI!$A$13:$A$24,ORÇAMENTO!E36)),OFFSET($D36,1,$C36,ROW($C$290)-ROW($C36)),0))</f>
        <v>0</v>
      </c>
      <c r="L36" s="116" t="str">
        <f ca="1">IF(OR($X36&gt;0,$C36=1,$C36=2,$C36=3,$C36=4),"F","")</f>
        <v>F</v>
      </c>
      <c r="M36" s="117" t="s">
        <v>199</v>
      </c>
      <c r="N36" s="118" t="str">
        <f ca="1">CHOOSE(1+LOG(1+2*(C36=1)+4*(C36=2)+8*(C36=3)+16*(C36=4)+32*(C36="S"),2),"","Meta","Nível 2","Nível 3","Nível 4","Serviço")</f>
        <v>Serviço</v>
      </c>
      <c r="O36" s="119" t="str">
        <f ca="1">IF(OR($C36=0,$L36=""),"-",CONCATENATE(E36&amp;".",IF(AND($A$5&gt;=2,$C36&gt;=2),F36&amp;".",""),IF(AND($A$5&gt;=3,$C36&gt;=3),G36&amp;".",""),IF(AND($A$5&gt;=4,$C36&gt;=4),H36&amp;".",""),IF($C36="S",I36&amp;".","")))</f>
        <v>1.2.0.11.</v>
      </c>
      <c r="P36" s="120" t="s">
        <v>462</v>
      </c>
      <c r="Q36" s="121" t="s">
        <v>493</v>
      </c>
      <c r="R36" s="122" t="str">
        <f ca="1">IF($C36="S",REFERENCIA.Descricao,"(digite a descrição aqui)")</f>
        <v>(abra o arquivo 'Referência 03-2024.xlsm)</v>
      </c>
      <c r="S36" s="123" t="str">
        <f ca="1">REFERENCIA.Unidade</f>
        <v>-</v>
      </c>
      <c r="T36" s="124">
        <f ca="1">OFFSET(CÁLCULO!H$15,ROW($T36)-ROW(T$15),0)</f>
        <v>6.4</v>
      </c>
      <c r="U36" s="125">
        <v>9.16</v>
      </c>
      <c r="V36" s="126" t="s">
        <v>156</v>
      </c>
      <c r="W36" s="124">
        <f ca="1">IF($C36="S",ROUND(IF(TIPOORCAMENTO="Proposto",ORÇAMENTO.CustoUnitario*(1+$AH36),ORÇAMENTO.PrecoUnitarioLicitado),15-13*$AF$10),0)</f>
        <v>11.74</v>
      </c>
      <c r="X36" s="127">
        <f ca="1">IF($C36="S",IF(Import.TipoArredondamento&lt;&gt;"TransfereGOV",VTOTAL1,SUM(OFFSET(CÁLCULO!$AA$15,ROW($X36)-ROW($X$15),1):OFFSET(CÁLCULO!$AL$15,ROW($X36)-ROW($X$15),-1))),IF($C36=0,0,ROUND(SomaAgrup,15-13*$AF$11)))</f>
        <v>75.14</v>
      </c>
      <c r="Y36" s="128" t="s">
        <v>245</v>
      </c>
      <c r="Z36" t="str">
        <f ca="1">IF(AND($C36="S",$X36&gt;0),IF(ISBLANK($Y36),"RA",LEFT($Y36,2)),"")</f>
        <v>RA</v>
      </c>
      <c r="AA36" s="129">
        <f ca="1">IF($C36="S",IF($Z36="CP",$X36,IF($Z36="RA",(($X36)*QCI!$AA$3),0)),SomaAgrup)</f>
        <v>75.14</v>
      </c>
      <c r="AB36" s="130">
        <f ca="1">IF($C36="S",IF($Z36="OU",ROUND($X36,2),0),SomaAgrup)</f>
        <v>0</v>
      </c>
      <c r="AC36" s="131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t="str">
        <f ca="1">IF(C36&lt;=CRONO.NivelExibicao,MAX($AD$15:OFFSET(AD36,-1,0))+IF($C36&lt;&gt;1,1,MAX(1,COUNTIF(QCI!$A$13:$A$24,OFFSET($E36,-1,0)))),"")</f>
        <v/>
      </c>
      <c r="AE36" s="7" t="str">
        <f ca="1">IF(AND($C36="S",ORÇAMENTO.CodBarra&lt;&gt;""),IF(ORÇAMENTO.Fonte="",ORÇAMENTO.CodBarra,CONCATENATE(ORÇAMENTO.Fonte," ",ORÇAMENTO.CodBarra)))</f>
        <v>Composição 22</v>
      </c>
      <c r="AF36" s="13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03-2024.xlsm)</v>
      </c>
      <c r="AG36" s="498">
        <f ca="1">ROUND(IF(DESONERACAO="sim",REFERENCIA.Desonerado,REFERENCIA.NaoDesonerado),2)</f>
        <v>0</v>
      </c>
      <c r="AH36" s="499">
        <f ca="1">ROUND(IF(ISNUMBER(ORÇAMENTO.OpcaoBDI),ORÇAMENTO.OpcaoBDI,IF(LEFT(ORÇAMENTO.OpcaoBDI,3)="BDI",HLOOKUP(ORÇAMENTO.OpcaoBDI,$F$4:$H$5,2,FALSE),0)),15-11*$AF$9)</f>
        <v>0.28170000000000001</v>
      </c>
      <c r="AJ36" s="501">
        <v>6.4</v>
      </c>
      <c r="AL36" s="527"/>
      <c r="AM36" s="381">
        <f t="shared" ca="1" si="0"/>
        <v>75.14</v>
      </c>
      <c r="AN36" s="566">
        <f ca="1">ROUND(ORÇAMENTO.CustoUnitario*(1+$AH36),2)</f>
        <v>11.74</v>
      </c>
    </row>
    <row r="37" spans="1:40" ht="25.5" x14ac:dyDescent="0.2">
      <c r="A37" t="str">
        <f t="shared" si="1"/>
        <v>S</v>
      </c>
      <c r="B37">
        <f t="shared" ca="1" si="2"/>
        <v>2</v>
      </c>
      <c r="C37" t="str">
        <f t="shared" ca="1" si="3"/>
        <v>S</v>
      </c>
      <c r="D37">
        <f t="shared" ca="1" si="4"/>
        <v>0</v>
      </c>
      <c r="E37">
        <f ca="1">IF($C37=1,OFFSET(E37,-1,0)+MAX(1,COUNTIF(QCI!$A$13:$A$24,OFFSET(ORÇAMENTO!E37,-1,0))),OFFSET(E37,-1,0))</f>
        <v>1</v>
      </c>
      <c r="F37">
        <f t="shared" ca="1" si="5"/>
        <v>2</v>
      </c>
      <c r="G37">
        <f t="shared" ca="1" si="6"/>
        <v>0</v>
      </c>
      <c r="H37">
        <f t="shared" ca="1" si="7"/>
        <v>0</v>
      </c>
      <c r="I37">
        <f t="shared" ca="1" si="8"/>
        <v>12</v>
      </c>
      <c r="J37">
        <f t="shared" ca="1" si="9"/>
        <v>0</v>
      </c>
      <c r="K37">
        <f ca="1">IF(OR($C37="S",$C37=0),0,MATCH(OFFSET($D37,0,$C37)+IF($C37&lt;&gt;1,1,COUNTIF(QCI!$A$13:$A$24,ORÇAMENTO!E37)),OFFSET($D37,1,$C37,ROW($C$290)-ROW($C37)),0))</f>
        <v>0</v>
      </c>
      <c r="L37" s="116" t="str">
        <f t="shared" ca="1" si="10"/>
        <v>F</v>
      </c>
      <c r="M37" s="117" t="s">
        <v>199</v>
      </c>
      <c r="N37" s="118" t="str">
        <f t="shared" ca="1" si="11"/>
        <v>Serviço</v>
      </c>
      <c r="O37" s="119" t="str">
        <f t="shared" ca="1" si="12"/>
        <v>1.2.0.12.</v>
      </c>
      <c r="P37" s="120" t="s">
        <v>462</v>
      </c>
      <c r="Q37" s="121" t="s">
        <v>469</v>
      </c>
      <c r="R37" s="122" t="str">
        <f ca="1">IF($C37="S",REFERENCIA.Descricao,"(digite a descrição aqui)")</f>
        <v>(abra o arquivo 'Referência 03-2024.xlsm)</v>
      </c>
      <c r="S37" s="123" t="str">
        <f ca="1">REFERENCIA.Unidade</f>
        <v>-</v>
      </c>
      <c r="T37" s="124">
        <f ca="1">OFFSET(CÁLCULO!H$15,ROW($T37)-ROW(T$15),0)</f>
        <v>45</v>
      </c>
      <c r="U37" s="125">
        <v>9.1300000000000008</v>
      </c>
      <c r="V37" s="126" t="s">
        <v>156</v>
      </c>
      <c r="W37" s="124">
        <f ca="1">IF($C37="S",ROUND(IF(TIPOORCAMENTO="Proposto",ORÇAMENTO.CustoUnitario*(1+$AH37),ORÇAMENTO.PrecoUnitarioLicitado),15-13*$AF$10),0)</f>
        <v>11.7</v>
      </c>
      <c r="X37" s="127">
        <f ca="1">IF($C37="S",IF(Import.TipoArredondamento&lt;&gt;"TransfereGOV",VTOTAL1,SUM(OFFSET(CÁLCULO!$AA$15,ROW($X37)-ROW($X$15),1):OFFSET(CÁLCULO!$AL$15,ROW($X37)-ROW($X$15),-1))),IF($C37=0,0,ROUND(SomaAgrup,15-13*$AF$11)))</f>
        <v>526.5</v>
      </c>
      <c r="Y37" s="128" t="s">
        <v>245</v>
      </c>
      <c r="Z37" t="str">
        <f t="shared" ca="1" si="13"/>
        <v>RA</v>
      </c>
      <c r="AA37" s="129">
        <f ca="1">IF($C37="S",IF($Z37="CP",$X37,IF($Z37="RA",(($X37)*QCI!$AA$3),0)),SomaAgrup)</f>
        <v>526.5</v>
      </c>
      <c r="AB37" s="130">
        <f t="shared" ca="1" si="14"/>
        <v>0</v>
      </c>
      <c r="AC37" s="131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t="str">
        <f ca="1">IF(C37&lt;=CRONO.NivelExibicao,MAX($AD$15:OFFSET(AD37,-1,0))+IF($C37&lt;&gt;1,1,MAX(1,COUNTIF(QCI!$A$13:$A$24,OFFSET($E37,-1,0)))),"")</f>
        <v/>
      </c>
      <c r="AE37" s="7" t="str">
        <f ca="1">IF(AND($C37="S",ORÇAMENTO.CodBarra&lt;&gt;""),IF(ORÇAMENTO.Fonte="",ORÇAMENTO.CodBarra,CONCATENATE(ORÇAMENTO.Fonte," ",ORÇAMENTO.CodBarra)))</f>
        <v>Composição 6</v>
      </c>
      <c r="AF37" s="13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03-2024.xlsm)</v>
      </c>
      <c r="AG37" s="498">
        <f ca="1">ROUND(IF(DESONERACAO="sim",REFERENCIA.Desonerado,REFERENCIA.NaoDesonerado),2)</f>
        <v>0</v>
      </c>
      <c r="AH37" s="499">
        <f t="shared" ca="1" si="15"/>
        <v>0.28170000000000001</v>
      </c>
      <c r="AJ37" s="501">
        <v>45</v>
      </c>
      <c r="AL37" s="527"/>
      <c r="AM37" s="381">
        <f t="shared" ca="1" si="0"/>
        <v>526.5</v>
      </c>
      <c r="AN37" s="566">
        <f t="shared" ca="1" si="16"/>
        <v>11.7</v>
      </c>
    </row>
    <row r="38" spans="1:40" ht="38.25" x14ac:dyDescent="0.2">
      <c r="A38" t="str">
        <f t="shared" si="1"/>
        <v>S</v>
      </c>
      <c r="B38">
        <f t="shared" ca="1" si="2"/>
        <v>2</v>
      </c>
      <c r="C38" t="str">
        <f t="shared" ca="1" si="3"/>
        <v>S</v>
      </c>
      <c r="D38">
        <f t="shared" ca="1" si="4"/>
        <v>0</v>
      </c>
      <c r="E38">
        <f ca="1">IF($C38=1,OFFSET(E38,-1,0)+MAX(1,COUNTIF(QCI!$A$13:$A$24,OFFSET(ORÇAMENTO!E38,-1,0))),OFFSET(E38,-1,0))</f>
        <v>1</v>
      </c>
      <c r="F38">
        <f t="shared" ca="1" si="5"/>
        <v>2</v>
      </c>
      <c r="G38">
        <f t="shared" ca="1" si="6"/>
        <v>0</v>
      </c>
      <c r="H38">
        <f t="shared" ca="1" si="7"/>
        <v>0</v>
      </c>
      <c r="I38">
        <f t="shared" ca="1" si="8"/>
        <v>13</v>
      </c>
      <c r="J38">
        <f t="shared" ca="1" si="9"/>
        <v>0</v>
      </c>
      <c r="K38">
        <f ca="1">IF(OR($C38="S",$C38=0),0,MATCH(OFFSET($D38,0,$C38)+IF($C38&lt;&gt;1,1,COUNTIF(QCI!$A$13:$A$24,ORÇAMENTO!E38)),OFFSET($D38,1,$C38,ROW($C$290)-ROW($C38)),0))</f>
        <v>0</v>
      </c>
      <c r="L38" s="116" t="str">
        <f t="shared" ca="1" si="10"/>
        <v>F</v>
      </c>
      <c r="M38" s="117" t="s">
        <v>199</v>
      </c>
      <c r="N38" s="118" t="str">
        <f t="shared" ca="1" si="11"/>
        <v>Serviço</v>
      </c>
      <c r="O38" s="119" t="str">
        <f t="shared" ca="1" si="12"/>
        <v>1.2.0.13.</v>
      </c>
      <c r="P38" s="120" t="s">
        <v>462</v>
      </c>
      <c r="Q38" s="121" t="s">
        <v>470</v>
      </c>
      <c r="R38" s="122" t="str">
        <f ca="1">IF($C38="S",REFERENCIA.Descricao,"(digite a descrição aqui)")</f>
        <v>(abra o arquivo 'Referência 03-2024.xlsm)</v>
      </c>
      <c r="S38" s="123" t="str">
        <f ca="1">REFERENCIA.Unidade</f>
        <v>-</v>
      </c>
      <c r="T38" s="124">
        <f ca="1">OFFSET(CÁLCULO!H$15,ROW($T38)-ROW(T$15),0)</f>
        <v>5</v>
      </c>
      <c r="U38" s="125">
        <v>4.8499999999999996</v>
      </c>
      <c r="V38" s="126" t="s">
        <v>156</v>
      </c>
      <c r="W38" s="124">
        <f ca="1">IF($C38="S",ROUND(IF(TIPOORCAMENTO="Proposto",ORÇAMENTO.CustoUnitario*(1+$AH38),ORÇAMENTO.PrecoUnitarioLicitado),15-13*$AF$10),0)</f>
        <v>6.22</v>
      </c>
      <c r="X38" s="127">
        <f ca="1">IF($C38="S",IF(Import.TipoArredondamento&lt;&gt;"TransfereGOV",VTOTAL1,SUM(OFFSET(CÁLCULO!$AA$15,ROW($X38)-ROW($X$15),1):OFFSET(CÁLCULO!$AL$15,ROW($X38)-ROW($X$15),-1))),IF($C38=0,0,ROUND(SomaAgrup,15-13*$AF$11)))</f>
        <v>31.1</v>
      </c>
      <c r="Y38" s="128" t="s">
        <v>245</v>
      </c>
      <c r="Z38" t="str">
        <f t="shared" ca="1" si="13"/>
        <v>RA</v>
      </c>
      <c r="AA38" s="129">
        <f ca="1">IF($C38="S",IF($Z38="CP",$X38,IF($Z38="RA",(($X38)*QCI!$AA$3),0)),SomaAgrup)</f>
        <v>31.1</v>
      </c>
      <c r="AB38" s="130">
        <f t="shared" ca="1" si="14"/>
        <v>0</v>
      </c>
      <c r="AC38" s="131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" t="str">
        <f ca="1">IF(AND($C38="S",ORÇAMENTO.CodBarra&lt;&gt;""),IF(ORÇAMENTO.Fonte="",ORÇAMENTO.CodBarra,CONCATENATE(ORÇAMENTO.Fonte," ",ORÇAMENTO.CodBarra)))</f>
        <v>Composição 7</v>
      </c>
      <c r="AF38" s="13" t="str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03-2024.xlsm)</v>
      </c>
      <c r="AG38" s="498">
        <f ca="1">ROUND(IF(DESONERACAO="sim",REFERENCIA.Desonerado,REFERENCIA.NaoDesonerado),2)</f>
        <v>0</v>
      </c>
      <c r="AH38" s="499">
        <f t="shared" ca="1" si="15"/>
        <v>0.28170000000000001</v>
      </c>
      <c r="AJ38" s="501">
        <v>5</v>
      </c>
      <c r="AL38" s="527"/>
      <c r="AM38" s="381">
        <f t="shared" ca="1" si="0"/>
        <v>31.1</v>
      </c>
      <c r="AN38" s="566">
        <f t="shared" ca="1" si="16"/>
        <v>6.22</v>
      </c>
    </row>
    <row r="39" spans="1:40" ht="25.5" x14ac:dyDescent="0.2">
      <c r="A39" t="str">
        <f t="shared" si="1"/>
        <v>S</v>
      </c>
      <c r="B39">
        <f t="shared" ca="1" si="2"/>
        <v>2</v>
      </c>
      <c r="C39" t="str">
        <f t="shared" ca="1" si="3"/>
        <v>S</v>
      </c>
      <c r="D39">
        <f t="shared" ca="1" si="4"/>
        <v>0</v>
      </c>
      <c r="E39">
        <f ca="1">IF($C39=1,OFFSET(E39,-1,0)+MAX(1,COUNTIF(QCI!$A$13:$A$24,OFFSET(ORÇAMENTO!E39,-1,0))),OFFSET(E39,-1,0))</f>
        <v>1</v>
      </c>
      <c r="F39">
        <f t="shared" ca="1" si="5"/>
        <v>2</v>
      </c>
      <c r="G39">
        <f t="shared" ca="1" si="6"/>
        <v>0</v>
      </c>
      <c r="H39">
        <f t="shared" ca="1" si="7"/>
        <v>0</v>
      </c>
      <c r="I39">
        <f t="shared" ca="1" si="8"/>
        <v>14</v>
      </c>
      <c r="J39">
        <f t="shared" ca="1" si="9"/>
        <v>0</v>
      </c>
      <c r="K39">
        <f ca="1">IF(OR($C39="S",$C39=0),0,MATCH(OFFSET($D39,0,$C39)+IF($C39&lt;&gt;1,1,COUNTIF(QCI!$A$13:$A$24,ORÇAMENTO!E39)),OFFSET($D39,1,$C39,ROW($C$290)-ROW($C39)),0))</f>
        <v>0</v>
      </c>
      <c r="L39" s="116" t="str">
        <f t="shared" ca="1" si="10"/>
        <v>F</v>
      </c>
      <c r="M39" s="117" t="s">
        <v>199</v>
      </c>
      <c r="N39" s="118" t="str">
        <f t="shared" ca="1" si="11"/>
        <v>Serviço</v>
      </c>
      <c r="O39" s="119" t="str">
        <f t="shared" ca="1" si="12"/>
        <v>1.2.0.14.</v>
      </c>
      <c r="P39" s="120" t="s">
        <v>462</v>
      </c>
      <c r="Q39" s="121" t="s">
        <v>471</v>
      </c>
      <c r="R39" s="122" t="str">
        <f ca="1">IF($C39="S",REFERENCIA.Descricao,"(digite a descrição aqui)")</f>
        <v>(abra o arquivo 'Referência 03-2024.xlsm)</v>
      </c>
      <c r="S39" s="123" t="str">
        <f ca="1">REFERENCIA.Unidade</f>
        <v>-</v>
      </c>
      <c r="T39" s="124">
        <f ca="1">OFFSET(CÁLCULO!H$15,ROW($T39)-ROW(T$15),0)</f>
        <v>1</v>
      </c>
      <c r="U39" s="125">
        <v>41.75</v>
      </c>
      <c r="V39" s="126" t="s">
        <v>156</v>
      </c>
      <c r="W39" s="124">
        <f ca="1">IF($C39="S",ROUND(IF(TIPOORCAMENTO="Proposto",ORÇAMENTO.CustoUnitario*(1+$AH39),ORÇAMENTO.PrecoUnitarioLicitado),15-13*$AF$10),0)</f>
        <v>53.51</v>
      </c>
      <c r="X39" s="127">
        <f ca="1">IF($C39="S",IF(Import.TipoArredondamento&lt;&gt;"TransfereGOV",VTOTAL1,SUM(OFFSET(CÁLCULO!$AA$15,ROW($X39)-ROW($X$15),1):OFFSET(CÁLCULO!$AL$15,ROW($X39)-ROW($X$15),-1))),IF($C39=0,0,ROUND(SomaAgrup,15-13*$AF$11)))</f>
        <v>53.51</v>
      </c>
      <c r="Y39" s="128" t="s">
        <v>245</v>
      </c>
      <c r="Z39" t="str">
        <f t="shared" ca="1" si="13"/>
        <v>RA</v>
      </c>
      <c r="AA39" s="129">
        <f ca="1">IF($C39="S",IF($Z39="CP",$X39,IF($Z39="RA",(($X39)*QCI!$AA$3),0)),SomaAgrup)</f>
        <v>53.51</v>
      </c>
      <c r="AB39" s="130">
        <f t="shared" ca="1" si="14"/>
        <v>0</v>
      </c>
      <c r="AC39" s="131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IF(C39&lt;=CRONO.NivelExibicao,MAX($AD$15:OFFSET(AD39,-1,0))+IF($C39&lt;&gt;1,1,MAX(1,COUNTIF(QCI!$A$13:$A$24,OFFSET($E39,-1,0)))),"")</f>
        <v/>
      </c>
      <c r="AE39" s="7" t="str">
        <f ca="1">IF(AND($C39="S",ORÇAMENTO.CodBarra&lt;&gt;""),IF(ORÇAMENTO.Fonte="",ORÇAMENTO.CodBarra,CONCATENATE(ORÇAMENTO.Fonte," ",ORÇAMENTO.CodBarra)))</f>
        <v>Composição 8</v>
      </c>
      <c r="AF39" s="13" t="str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03-2024.xlsm)</v>
      </c>
      <c r="AG39" s="498">
        <f ca="1">ROUND(IF(DESONERACAO="sim",REFERENCIA.Desonerado,REFERENCIA.NaoDesonerado),2)</f>
        <v>0</v>
      </c>
      <c r="AH39" s="499">
        <f t="shared" ca="1" si="15"/>
        <v>0.28170000000000001</v>
      </c>
      <c r="AJ39" s="501">
        <v>1</v>
      </c>
      <c r="AL39" s="527"/>
      <c r="AM39" s="381">
        <f t="shared" ca="1" si="0"/>
        <v>53.51</v>
      </c>
      <c r="AN39" s="566">
        <f t="shared" ca="1" si="16"/>
        <v>53.51</v>
      </c>
    </row>
    <row r="40" spans="1:40" ht="25.5" x14ac:dyDescent="0.2">
      <c r="A40" t="str">
        <f t="shared" si="1"/>
        <v>S</v>
      </c>
      <c r="B40">
        <f t="shared" ca="1" si="2"/>
        <v>2</v>
      </c>
      <c r="C40" t="str">
        <f t="shared" ca="1" si="3"/>
        <v>S</v>
      </c>
      <c r="D40">
        <f t="shared" ca="1" si="4"/>
        <v>0</v>
      </c>
      <c r="E40">
        <f ca="1">IF($C40=1,OFFSET(E40,-1,0)+MAX(1,COUNTIF(QCI!$A$13:$A$24,OFFSET(ORÇAMENTO!E40,-1,0))),OFFSET(E40,-1,0))</f>
        <v>1</v>
      </c>
      <c r="F40">
        <f t="shared" ca="1" si="5"/>
        <v>2</v>
      </c>
      <c r="G40">
        <f t="shared" ca="1" si="6"/>
        <v>0</v>
      </c>
      <c r="H40">
        <f t="shared" ca="1" si="7"/>
        <v>0</v>
      </c>
      <c r="I40">
        <f t="shared" ca="1" si="8"/>
        <v>15</v>
      </c>
      <c r="J40">
        <f t="shared" ca="1" si="9"/>
        <v>0</v>
      </c>
      <c r="K40">
        <f ca="1">IF(OR($C40="S",$C40=0),0,MATCH(OFFSET($D40,0,$C40)+IF($C40&lt;&gt;1,1,COUNTIF(QCI!$A$13:$A$24,ORÇAMENTO!E40)),OFFSET($D40,1,$C40,ROW($C$290)-ROW($C40)),0))</f>
        <v>0</v>
      </c>
      <c r="L40" s="116" t="str">
        <f t="shared" ca="1" si="10"/>
        <v>F</v>
      </c>
      <c r="M40" s="117" t="s">
        <v>199</v>
      </c>
      <c r="N40" s="118" t="str">
        <f t="shared" ca="1" si="11"/>
        <v>Serviço</v>
      </c>
      <c r="O40" s="119" t="str">
        <f t="shared" ca="1" si="12"/>
        <v>1.2.0.15.</v>
      </c>
      <c r="P40" s="120" t="s">
        <v>462</v>
      </c>
      <c r="Q40" s="121" t="s">
        <v>472</v>
      </c>
      <c r="R40" s="122" t="str">
        <f ca="1">IF($C40="S",REFERENCIA.Descricao,"(digite a descrição aqui)")</f>
        <v>(abra o arquivo 'Referência 03-2024.xlsm)</v>
      </c>
      <c r="S40" s="123" t="str">
        <f ca="1">REFERENCIA.Unidade</f>
        <v>-</v>
      </c>
      <c r="T40" s="124">
        <f ca="1">OFFSET(CÁLCULO!H$15,ROW($T40)-ROW(T$15),0)</f>
        <v>7</v>
      </c>
      <c r="U40" s="125">
        <v>2.64</v>
      </c>
      <c r="V40" s="126" t="s">
        <v>156</v>
      </c>
      <c r="W40" s="124">
        <f ca="1">IF($C40="S",ROUND(IF(TIPOORCAMENTO="Proposto",ORÇAMENTO.CustoUnitario*(1+$AH40),ORÇAMENTO.PrecoUnitarioLicitado),15-13*$AF$10),0)</f>
        <v>3.38</v>
      </c>
      <c r="X40" s="127">
        <f ca="1">IF($C40="S",IF(Import.TipoArredondamento&lt;&gt;"TransfereGOV",VTOTAL1,SUM(OFFSET(CÁLCULO!$AA$15,ROW($X40)-ROW($X$15),1):OFFSET(CÁLCULO!$AL$15,ROW($X40)-ROW($X$15),-1))),IF($C40=0,0,ROUND(SomaAgrup,15-13*$AF$11)))</f>
        <v>23.66</v>
      </c>
      <c r="Y40" s="128" t="s">
        <v>245</v>
      </c>
      <c r="Z40" t="str">
        <f t="shared" ca="1" si="13"/>
        <v>RA</v>
      </c>
      <c r="AA40" s="129">
        <f ca="1">IF($C40="S",IF($Z40="CP",$X40,IF($Z40="RA",(($X40)*QCI!$AA$3),0)),SomaAgrup)</f>
        <v>23.66</v>
      </c>
      <c r="AB40" s="130">
        <f t="shared" ca="1" si="14"/>
        <v>0</v>
      </c>
      <c r="AC40" s="131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t="str">
        <f ca="1">IF(C40&lt;=CRONO.NivelExibicao,MAX($AD$15:OFFSET(AD40,-1,0))+IF($C40&lt;&gt;1,1,MAX(1,COUNTIF(QCI!$A$13:$A$24,OFFSET($E40,-1,0)))),"")</f>
        <v/>
      </c>
      <c r="AE40" s="7" t="str">
        <f ca="1">IF(AND($C40="S",ORÇAMENTO.CodBarra&lt;&gt;""),IF(ORÇAMENTO.Fonte="",ORÇAMENTO.CodBarra,CONCATENATE(ORÇAMENTO.Fonte," ",ORÇAMENTO.CodBarra)))</f>
        <v>Composição 9</v>
      </c>
      <c r="AF40" s="13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03-2024.xlsm)</v>
      </c>
      <c r="AG40" s="498">
        <f ca="1">ROUND(IF(DESONERACAO="sim",REFERENCIA.Desonerado,REFERENCIA.NaoDesonerado),2)</f>
        <v>0</v>
      </c>
      <c r="AH40" s="499">
        <f t="shared" ca="1" si="15"/>
        <v>0.28170000000000001</v>
      </c>
      <c r="AJ40" s="501">
        <v>7</v>
      </c>
      <c r="AL40" s="527"/>
      <c r="AM40" s="381">
        <f t="shared" ca="1" si="0"/>
        <v>23.66</v>
      </c>
      <c r="AN40" s="566">
        <f t="shared" ca="1" si="16"/>
        <v>3.38</v>
      </c>
    </row>
    <row r="41" spans="1:40" x14ac:dyDescent="0.2">
      <c r="A41">
        <f t="shared" si="1"/>
        <v>2</v>
      </c>
      <c r="B41">
        <f t="shared" ca="1" si="2"/>
        <v>2</v>
      </c>
      <c r="C41">
        <f t="shared" ca="1" si="3"/>
        <v>2</v>
      </c>
      <c r="D41">
        <f t="shared" ca="1" si="4"/>
        <v>28</v>
      </c>
      <c r="E41">
        <f ca="1">IF($C41=1,OFFSET(E41,-1,0)+MAX(1,COUNTIF(QCI!$A$13:$A$24,OFFSET(ORÇAMENTO!E41,-1,0))),OFFSET(E41,-1,0))</f>
        <v>1</v>
      </c>
      <c r="F41">
        <f t="shared" ca="1" si="5"/>
        <v>3</v>
      </c>
      <c r="G41">
        <f t="shared" ca="1" si="6"/>
        <v>0</v>
      </c>
      <c r="H41">
        <f t="shared" ca="1" si="7"/>
        <v>0</v>
      </c>
      <c r="I41">
        <f t="shared" ca="1" si="8"/>
        <v>0</v>
      </c>
      <c r="J41">
        <f t="shared" ca="1" si="9"/>
        <v>249</v>
      </c>
      <c r="K41">
        <f ca="1">IF(OR($C41="S",$C41=0),0,MATCH(OFFSET($D41,0,$C41)+IF($C41&lt;&gt;1,1,COUNTIF(QCI!$A$13:$A$24,ORÇAMENTO!E41)),OFFSET($D41,1,$C41,ROW($C$290)-ROW($C41)),0))</f>
        <v>28</v>
      </c>
      <c r="L41" s="116" t="str">
        <f t="shared" ca="1" si="10"/>
        <v>F</v>
      </c>
      <c r="M41" s="117" t="s">
        <v>196</v>
      </c>
      <c r="N41" s="118" t="str">
        <f t="shared" ca="1" si="11"/>
        <v>Nível 2</v>
      </c>
      <c r="O41" s="119" t="str">
        <f t="shared" ca="1" si="12"/>
        <v>1.3.</v>
      </c>
      <c r="P41" s="120" t="s">
        <v>247</v>
      </c>
      <c r="Q41" s="121"/>
      <c r="R41" s="122" t="s">
        <v>473</v>
      </c>
      <c r="S41" s="123" t="str">
        <f ca="1">REFERENCIA.Unidade</f>
        <v>-</v>
      </c>
      <c r="T41" s="124">
        <f ca="1">OFFSET(CÁLCULO!H$15,ROW($T41)-ROW(T$15),0)</f>
        <v>0</v>
      </c>
      <c r="U41" s="125">
        <v>0</v>
      </c>
      <c r="V41" s="126" t="s">
        <v>156</v>
      </c>
      <c r="W41" s="124">
        <f ca="1">IF($C41="S",ROUND(IF(TIPOORCAMENTO="Proposto",ORÇAMENTO.CustoUnitario*(1+$AH41),ORÇAMENTO.PrecoUnitarioLicitado),15-13*$AF$10),0)</f>
        <v>0</v>
      </c>
      <c r="X41" s="127">
        <f ca="1">IF($C41="S",IF(Import.TipoArredondamento&lt;&gt;"TransfereGOV",VTOTAL1,SUM(OFFSET(CÁLCULO!$AA$15,ROW($X41)-ROW($X$15),1):OFFSET(CÁLCULO!$AL$15,ROW($X41)-ROW($X$15),-1))),IF($C41=0,0,ROUND(SomaAgrup,15-13*$AF$11)))</f>
        <v>7842.77</v>
      </c>
      <c r="Y41" s="128" t="s">
        <v>245</v>
      </c>
      <c r="Z41" t="str">
        <f t="shared" ca="1" si="13"/>
        <v/>
      </c>
      <c r="AA41" s="129">
        <f ca="1">IF($C41="S",IF($Z41="CP",$X41,IF($Z41="RA",(($X41)*QCI!$AA$3),0)),SomaAgrup)</f>
        <v>7842.77</v>
      </c>
      <c r="AB41" s="130">
        <f t="shared" ca="1" si="14"/>
        <v>0</v>
      </c>
      <c r="AC41" s="131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>
        <f ca="1">IF(C41&lt;=CRONO.NivelExibicao,MAX($AD$15:OFFSET(AD41,-1,0))+IF($C41&lt;&gt;1,1,MAX(1,COUNTIF(QCI!$A$13:$A$24,OFFSET($E41,-1,0)))),"")</f>
        <v>4</v>
      </c>
      <c r="AE41" s="7" t="b">
        <f ca="1">IF(AND($C41="S",ORÇAMENTO.CodBarra&lt;&gt;""),IF(ORÇAMENTO.Fonte="",ORÇAMENTO.CodBarra,CONCATENATE(ORÇAMENTO.Fonte," ",ORÇAMENTO.CodBarra)))</f>
        <v>0</v>
      </c>
      <c r="AF41" s="13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03-2024.xlsm)</v>
      </c>
      <c r="AG41" s="498">
        <f ca="1">ROUND(IF(DESONERACAO="sim",REFERENCIA.Desonerado,REFERENCIA.NaoDesonerado),2)</f>
        <v>0</v>
      </c>
      <c r="AH41" s="499">
        <f t="shared" ca="1" si="15"/>
        <v>0.28170000000000001</v>
      </c>
      <c r="AJ41" s="501"/>
      <c r="AL41" s="527"/>
      <c r="AM41" s="381">
        <f t="shared" ca="1" si="0"/>
        <v>7842.77</v>
      </c>
      <c r="AN41" s="566">
        <f t="shared" ca="1" si="16"/>
        <v>0</v>
      </c>
    </row>
    <row r="42" spans="1:40" x14ac:dyDescent="0.2">
      <c r="A42">
        <f>CHOOSE(1+LOG(1+2*(ORÇAMENTO.Nivel="Meta")+4*(ORÇAMENTO.Nivel="Nível 2")+8*(ORÇAMENTO.Nivel="Nível 3")+16*(ORÇAMENTO.Nivel="Nível 4")+32*(ORÇAMENTO.Nivel="Serviço"),2),0,1,2,3,4,"S")</f>
        <v>3</v>
      </c>
      <c r="B42">
        <f ca="1">IF(OR(C42="s",C42=0),OFFSET(B42,-1,0),C42)</f>
        <v>3</v>
      </c>
      <c r="C42">
        <f ca="1">IF(OFFSET(C42,-1,0)="L",1,IF(OFFSET(C42,-1,0)=1,2,IF(OR(A42="s",A42=0),"S",IF(AND(OFFSET(C42,-1,0)=2,A42=4),3,IF(AND(OR(OFFSET(C42,-1,0)="s",OFFSET(C42,-1,0)=0),A42&lt;&gt;"s",A42&gt;OFFSET(B42,-1,0)),OFFSET(B42,-1,0),A42)))))</f>
        <v>3</v>
      </c>
      <c r="D42">
        <f ca="1">IF(OR(C42="S",C42=0),0,IF(ISERROR(K42),J42,SMALL(J42:K42,1)))</f>
        <v>22</v>
      </c>
      <c r="E42">
        <f ca="1">IF($C42=1,OFFSET(E42,-1,0)+MAX(1,COUNTIF(QCI!$A$13:$A$24,OFFSET(ORÇAMENTO!E42,-1,0))),OFFSET(E42,-1,0))</f>
        <v>1</v>
      </c>
      <c r="F42">
        <f ca="1">IF($C42=1,0,IF($C42=2,OFFSET(F42,-1,0)+1,OFFSET(F42,-1,0)))</f>
        <v>3</v>
      </c>
      <c r="G42">
        <f ca="1">IF(AND($C42&lt;=2,$C42&lt;&gt;0),0,IF($C42=3,OFFSET(G42,-1,0)+1,OFFSET(G42,-1,0)))</f>
        <v>1</v>
      </c>
      <c r="H42">
        <f ca="1">IF(AND($C42&lt;=3,$C42&lt;&gt;0),0,IF($C42=4,OFFSET(H42,-1,0)+1,OFFSET(H42,-1,0)))</f>
        <v>0</v>
      </c>
      <c r="I42">
        <f ca="1">IF(AND($C42&lt;=4,$C42&lt;&gt;0),0,IF(AND($C42="S",$X42&gt;0),OFFSET(I42,-1,0)+1,OFFSET(I42,-1,0)))</f>
        <v>0</v>
      </c>
      <c r="J42">
        <f t="shared" ca="1" si="9"/>
        <v>27</v>
      </c>
      <c r="K42">
        <f ca="1">IF(OR($C42="S",$C42=0),0,MATCH(OFFSET($D42,0,$C42)+IF($C42&lt;&gt;1,1,COUNTIF(QCI!$A$13:$A$24,ORÇAMENTO!E42)),OFFSET($D42,1,$C42,ROW($C$290)-ROW($C42)),0))</f>
        <v>22</v>
      </c>
      <c r="L42" s="116" t="str">
        <f ca="1">IF(OR($X42&gt;0,$C42=1,$C42=2,$C42=3,$C42=4),"F","")</f>
        <v>F</v>
      </c>
      <c r="M42" s="117" t="s">
        <v>197</v>
      </c>
      <c r="N42" s="118" t="str">
        <f ca="1">CHOOSE(1+LOG(1+2*(C42=1)+4*(C42=2)+8*(C42=3)+16*(C42=4)+32*(C42="S"),2),"","Meta","Nível 2","Nível 3","Nível 4","Serviço")</f>
        <v>Nível 3</v>
      </c>
      <c r="O42" s="119" t="str">
        <f ca="1">IF(OR($C42=0,$L42=""),"-",CONCATENATE(E42&amp;".",IF(AND($A$5&gt;=2,$C42&gt;=2),F42&amp;".",""),IF(AND($A$5&gt;=3,$C42&gt;=3),G42&amp;".",""),IF(AND($A$5&gt;=4,$C42&gt;=4),H42&amp;".",""),IF($C42="S",I42&amp;".","")))</f>
        <v>1.3.1.</v>
      </c>
      <c r="P42" s="120" t="s">
        <v>247</v>
      </c>
      <c r="Q42" s="121"/>
      <c r="R42" s="122" t="s">
        <v>489</v>
      </c>
      <c r="S42" s="123" t="str">
        <f ca="1">REFERENCIA.Unidade</f>
        <v>-</v>
      </c>
      <c r="T42" s="124">
        <f ca="1">OFFSET(CÁLCULO!H$15,ROW($T42)-ROW(T$15),0)</f>
        <v>0</v>
      </c>
      <c r="U42" s="125">
        <v>0</v>
      </c>
      <c r="V42" s="126" t="s">
        <v>156</v>
      </c>
      <c r="W42" s="124">
        <f ca="1">IF($C42="S",ROUND(IF(TIPOORCAMENTO="Proposto",ORÇAMENTO.CustoUnitario*(1+$AH42),ORÇAMENTO.PrecoUnitarioLicitado),15-13*$AF$10),0)</f>
        <v>0</v>
      </c>
      <c r="X42" s="127">
        <f ca="1">IF($C42="S",IF(Import.TipoArredondamento&lt;&gt;"TransfereGOV",VTOTAL1,SUM(OFFSET(CÁLCULO!$AA$15,ROW($X42)-ROW($X$15),1):OFFSET(CÁLCULO!$AL$15,ROW($X42)-ROW($X$15),-1))),IF($C42=0,0,ROUND(SomaAgrup,15-13*$AF$11)))</f>
        <v>6059.15</v>
      </c>
      <c r="Y42" s="128" t="s">
        <v>245</v>
      </c>
      <c r="Z42" t="str">
        <f ca="1">IF(AND($C42="S",$X42&gt;0),IF(ISBLANK($Y42),"RA",LEFT($Y42,2)),"")</f>
        <v/>
      </c>
      <c r="AA42" s="129">
        <f ca="1">IF($C42="S",IF($Z42="CP",$X42,IF($Z42="RA",(($X42)*QCI!$AA$3),0)),SomaAgrup)</f>
        <v>6059.15</v>
      </c>
      <c r="AB42" s="130">
        <f ca="1">IF($C42="S",IF($Z42="OU",ROUND($X42,2),0),SomaAgrup)</f>
        <v>0</v>
      </c>
      <c r="AC42" s="131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>
        <f ca="1">IF(C42&lt;=CRONO.NivelExibicao,MAX($AD$15:OFFSET(AD42,-1,0))+IF($C42&lt;&gt;1,1,MAX(1,COUNTIF(QCI!$A$13:$A$24,OFFSET($E42,-1,0)))),"")</f>
        <v>5</v>
      </c>
      <c r="AE42" s="7" t="b">
        <f ca="1">IF(AND($C42="S",ORÇAMENTO.CodBarra&lt;&gt;""),IF(ORÇAMENTO.Fonte="",ORÇAMENTO.CodBarra,CONCATENATE(ORÇAMENTO.Fonte," ",ORÇAMENTO.CodBarra)))</f>
        <v>0</v>
      </c>
      <c r="AF42" s="13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03-2024.xlsm)</v>
      </c>
      <c r="AG42" s="498">
        <f ca="1">ROUND(IF(DESONERACAO="sim",REFERENCIA.Desonerado,REFERENCIA.NaoDesonerado),2)</f>
        <v>0</v>
      </c>
      <c r="AH42" s="499">
        <f ca="1">ROUND(IF(ISNUMBER(ORÇAMENTO.OpcaoBDI),ORÇAMENTO.OpcaoBDI,IF(LEFT(ORÇAMENTO.OpcaoBDI,3)="BDI",HLOOKUP(ORÇAMENTO.OpcaoBDI,$F$4:$H$5,2,FALSE),0)),15-11*$AF$9)</f>
        <v>0.28170000000000001</v>
      </c>
      <c r="AJ42" s="501"/>
      <c r="AL42" s="527"/>
      <c r="AM42" s="381">
        <f t="shared" ca="1" si="0"/>
        <v>6059.15</v>
      </c>
      <c r="AN42" s="566">
        <f ca="1">ROUND(ORÇAMENTO.CustoUnitario*(1+$AH42),2)</f>
        <v>0</v>
      </c>
    </row>
    <row r="43" spans="1:40" ht="25.5" x14ac:dyDescent="0.2">
      <c r="A43" t="str">
        <f t="shared" si="1"/>
        <v>S</v>
      </c>
      <c r="B43">
        <f t="shared" ca="1" si="2"/>
        <v>3</v>
      </c>
      <c r="C43" t="str">
        <f t="shared" ca="1" si="3"/>
        <v>S</v>
      </c>
      <c r="D43">
        <f t="shared" ca="1" si="4"/>
        <v>0</v>
      </c>
      <c r="E43">
        <f ca="1">IF($C43=1,OFFSET(E43,-1,0)+MAX(1,COUNTIF(QCI!$A$13:$A$24,OFFSET(ORÇAMENTO!E43,-1,0))),OFFSET(E43,-1,0))</f>
        <v>1</v>
      </c>
      <c r="F43">
        <f t="shared" ca="1" si="5"/>
        <v>3</v>
      </c>
      <c r="G43">
        <f t="shared" ca="1" si="6"/>
        <v>1</v>
      </c>
      <c r="H43">
        <f t="shared" ca="1" si="7"/>
        <v>0</v>
      </c>
      <c r="I43">
        <f t="shared" ca="1" si="8"/>
        <v>1</v>
      </c>
      <c r="J43">
        <f t="shared" ca="1" si="9"/>
        <v>0</v>
      </c>
      <c r="K43">
        <f ca="1">IF(OR($C43="S",$C43=0),0,MATCH(OFFSET($D43,0,$C43)+IF($C43&lt;&gt;1,1,COUNTIF(QCI!$A$13:$A$24,ORÇAMENTO!E43)),OFFSET($D43,1,$C43,ROW($C$290)-ROW($C43)),0))</f>
        <v>0</v>
      </c>
      <c r="L43" s="116" t="str">
        <f t="shared" ca="1" si="10"/>
        <v>F</v>
      </c>
      <c r="M43" s="117" t="s">
        <v>199</v>
      </c>
      <c r="N43" s="118" t="str">
        <f t="shared" ca="1" si="11"/>
        <v>Serviço</v>
      </c>
      <c r="O43" s="119" t="str">
        <f t="shared" ca="1" si="12"/>
        <v>1.3.1.1.</v>
      </c>
      <c r="P43" s="120" t="s">
        <v>247</v>
      </c>
      <c r="Q43" s="121" t="s">
        <v>459</v>
      </c>
      <c r="R43" s="122" t="str">
        <f ca="1">IF($C43="S",REFERENCIA.Descricao,"(digite a descrição aqui)")</f>
        <v>(abra o arquivo 'Referência 03-2024.xlsm)</v>
      </c>
      <c r="S43" s="123" t="str">
        <f ca="1">REFERENCIA.Unidade</f>
        <v>-</v>
      </c>
      <c r="T43" s="124">
        <f ca="1">OFFSET(CÁLCULO!H$15,ROW($T43)-ROW(T$15),0)</f>
        <v>0.09</v>
      </c>
      <c r="U43" s="125">
        <v>79.430000000000007</v>
      </c>
      <c r="V43" s="126" t="s">
        <v>156</v>
      </c>
      <c r="W43" s="124">
        <f ca="1">IF($C43="S",ROUND(IF(TIPOORCAMENTO="Proposto",ORÇAMENTO.CustoUnitario*(1+$AH43),ORÇAMENTO.PrecoUnitarioLicitado),15-13*$AF$10),0)</f>
        <v>101.81</v>
      </c>
      <c r="X43" s="127">
        <f ca="1">IF($C43="S",IF(Import.TipoArredondamento&lt;&gt;"TransfereGOV",VTOTAL1,SUM(OFFSET(CÁLCULO!$AA$15,ROW($X43)-ROW($X$15),1):OFFSET(CÁLCULO!$AL$15,ROW($X43)-ROW($X$15),-1))),IF($C43=0,0,ROUND(SomaAgrup,15-13*$AF$11)))</f>
        <v>9.16</v>
      </c>
      <c r="Y43" s="128" t="s">
        <v>245</v>
      </c>
      <c r="Z43" t="str">
        <f t="shared" ca="1" si="13"/>
        <v>RA</v>
      </c>
      <c r="AA43" s="129">
        <f ca="1">IF($C43="S",IF($Z43="CP",$X43,IF($Z43="RA",(($X43)*QCI!$AA$3),0)),SomaAgrup)</f>
        <v>9.16</v>
      </c>
      <c r="AB43" s="130">
        <f t="shared" ca="1" si="14"/>
        <v>0</v>
      </c>
      <c r="AC43" s="131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" t="str">
        <f ca="1">IF(AND($C43="S",ORÇAMENTO.CodBarra&lt;&gt;""),IF(ORÇAMENTO.Fonte="",ORÇAMENTO.CodBarra,CONCATENATE(ORÇAMENTO.Fonte," ",ORÇAMENTO.CodBarra)))</f>
        <v>SINAPI 93358</v>
      </c>
      <c r="AF43" s="13" t="str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03-2024.xlsm)</v>
      </c>
      <c r="AG43" s="498">
        <f ca="1">ROUND(IF(DESONERACAO="sim",REFERENCIA.Desonerado,REFERENCIA.NaoDesonerado),2)</f>
        <v>0</v>
      </c>
      <c r="AH43" s="499">
        <f t="shared" ca="1" si="15"/>
        <v>0.28170000000000001</v>
      </c>
      <c r="AJ43" s="501">
        <v>0.09</v>
      </c>
      <c r="AL43" s="527"/>
      <c r="AM43" s="381">
        <f t="shared" ca="1" si="0"/>
        <v>9.16</v>
      </c>
      <c r="AN43" s="566">
        <f t="shared" ca="1" si="16"/>
        <v>101.81</v>
      </c>
    </row>
    <row r="44" spans="1:40" ht="25.5" x14ac:dyDescent="0.2">
      <c r="A44" t="str">
        <f t="shared" si="1"/>
        <v>S</v>
      </c>
      <c r="B44">
        <f t="shared" ca="1" si="2"/>
        <v>3</v>
      </c>
      <c r="C44" t="str">
        <f t="shared" ca="1" si="3"/>
        <v>S</v>
      </c>
      <c r="D44">
        <f t="shared" ca="1" si="4"/>
        <v>0</v>
      </c>
      <c r="E44">
        <f ca="1">IF($C44=1,OFFSET(E44,-1,0)+MAX(1,COUNTIF(QCI!$A$13:$A$24,OFFSET(ORÇAMENTO!E44,-1,0))),OFFSET(E44,-1,0))</f>
        <v>1</v>
      </c>
      <c r="F44">
        <f t="shared" ca="1" si="5"/>
        <v>3</v>
      </c>
      <c r="G44">
        <f t="shared" ca="1" si="6"/>
        <v>1</v>
      </c>
      <c r="H44">
        <f t="shared" ca="1" si="7"/>
        <v>0</v>
      </c>
      <c r="I44">
        <f t="shared" ca="1" si="8"/>
        <v>2</v>
      </c>
      <c r="J44">
        <f t="shared" ca="1" si="9"/>
        <v>0</v>
      </c>
      <c r="K44">
        <f ca="1">IF(OR($C44="S",$C44=0),0,MATCH(OFFSET($D44,0,$C44)+IF($C44&lt;&gt;1,1,COUNTIF(QCI!$A$13:$A$24,ORÇAMENTO!E44)),OFFSET($D44,1,$C44,ROW($C$290)-ROW($C44)),0))</f>
        <v>0</v>
      </c>
      <c r="L44" s="116" t="str">
        <f t="shared" ca="1" si="10"/>
        <v>F</v>
      </c>
      <c r="M44" s="117" t="s">
        <v>199</v>
      </c>
      <c r="N44" s="118" t="str">
        <f t="shared" ca="1" si="11"/>
        <v>Serviço</v>
      </c>
      <c r="O44" s="119" t="str">
        <f t="shared" ca="1" si="12"/>
        <v>1.3.1.2.</v>
      </c>
      <c r="P44" s="120" t="s">
        <v>462</v>
      </c>
      <c r="Q44" s="121" t="s">
        <v>463</v>
      </c>
      <c r="R44" s="122" t="str">
        <f ca="1">IF($C44="S",REFERENCIA.Descricao,"(digite a descrição aqui)")</f>
        <v>(abra o arquivo 'Referência 03-2024.xlsm)</v>
      </c>
      <c r="S44" s="123" t="str">
        <f ca="1">REFERENCIA.Unidade</f>
        <v>-</v>
      </c>
      <c r="T44" s="124">
        <f ca="1">OFFSET(CÁLCULO!H$15,ROW($T44)-ROW(T$15),0)</f>
        <v>0.03</v>
      </c>
      <c r="U44" s="125">
        <v>48.16</v>
      </c>
      <c r="V44" s="126" t="s">
        <v>156</v>
      </c>
      <c r="W44" s="124">
        <f ca="1">IF($C44="S",ROUND(IF(TIPOORCAMENTO="Proposto",ORÇAMENTO.CustoUnitario*(1+$AH44),ORÇAMENTO.PrecoUnitarioLicitado),15-13*$AF$10),0)</f>
        <v>61.73</v>
      </c>
      <c r="X44" s="127">
        <f ca="1">IF($C44="S",IF(Import.TipoArredondamento&lt;&gt;"TransfereGOV",VTOTAL1,SUM(OFFSET(CÁLCULO!$AA$15,ROW($X44)-ROW($X$15),1):OFFSET(CÁLCULO!$AL$15,ROW($X44)-ROW($X$15),-1))),IF($C44=0,0,ROUND(SomaAgrup,15-13*$AF$11)))</f>
        <v>1.85</v>
      </c>
      <c r="Y44" s="128" t="s">
        <v>245</v>
      </c>
      <c r="Z44" t="str">
        <f t="shared" ca="1" si="13"/>
        <v>RA</v>
      </c>
      <c r="AA44" s="129">
        <f ca="1">IF($C44="S",IF($Z44="CP",$X44,IF($Z44="RA",(($X44)*QCI!$AA$3),0)),SomaAgrup)</f>
        <v>1.85</v>
      </c>
      <c r="AB44" s="130">
        <f t="shared" ca="1" si="14"/>
        <v>0</v>
      </c>
      <c r="AC44" s="131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IF(C44&lt;=CRONO.NivelExibicao,MAX($AD$15:OFFSET(AD44,-1,0))+IF($C44&lt;&gt;1,1,MAX(1,COUNTIF(QCI!$A$13:$A$24,OFFSET($E44,-1,0)))),"")</f>
        <v/>
      </c>
      <c r="AE44" s="7" t="str">
        <f ca="1">IF(AND($C44="S",ORÇAMENTO.CodBarra&lt;&gt;""),IF(ORÇAMENTO.Fonte="",ORÇAMENTO.CodBarra,CONCATENATE(ORÇAMENTO.Fonte," ",ORÇAMENTO.CodBarra)))</f>
        <v>Composição 1</v>
      </c>
      <c r="AF44" s="13" t="str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03-2024.xlsm)</v>
      </c>
      <c r="AG44" s="498">
        <f ca="1">ROUND(IF(DESONERACAO="sim",REFERENCIA.Desonerado,REFERENCIA.NaoDesonerado),2)</f>
        <v>0</v>
      </c>
      <c r="AH44" s="499">
        <f t="shared" ca="1" si="15"/>
        <v>0.28170000000000001</v>
      </c>
      <c r="AJ44" s="501">
        <v>3.4000000000000002E-2</v>
      </c>
      <c r="AL44" s="527"/>
      <c r="AM44" s="381">
        <f t="shared" ca="1" si="0"/>
        <v>1.85</v>
      </c>
      <c r="AN44" s="566">
        <f t="shared" ca="1" si="16"/>
        <v>61.73</v>
      </c>
    </row>
    <row r="45" spans="1:40" ht="25.5" x14ac:dyDescent="0.2">
      <c r="A45" t="str">
        <f t="shared" si="1"/>
        <v>S</v>
      </c>
      <c r="B45">
        <f t="shared" ca="1" si="2"/>
        <v>3</v>
      </c>
      <c r="C45" t="str">
        <f t="shared" ca="1" si="3"/>
        <v>S</v>
      </c>
      <c r="D45">
        <f t="shared" ca="1" si="4"/>
        <v>0</v>
      </c>
      <c r="E45">
        <f ca="1">IF($C45=1,OFFSET(E45,-1,0)+MAX(1,COUNTIF(QCI!$A$13:$A$24,OFFSET(ORÇAMENTO!E45,-1,0))),OFFSET(E45,-1,0))</f>
        <v>1</v>
      </c>
      <c r="F45">
        <f t="shared" ca="1" si="5"/>
        <v>3</v>
      </c>
      <c r="G45">
        <f t="shared" ca="1" si="6"/>
        <v>1</v>
      </c>
      <c r="H45">
        <f t="shared" ca="1" si="7"/>
        <v>0</v>
      </c>
      <c r="I45">
        <f t="shared" ca="1" si="8"/>
        <v>3</v>
      </c>
      <c r="J45">
        <f t="shared" ca="1" si="9"/>
        <v>0</v>
      </c>
      <c r="K45">
        <f ca="1">IF(OR($C45="S",$C45=0),0,MATCH(OFFSET($D45,0,$C45)+IF($C45&lt;&gt;1,1,COUNTIF(QCI!$A$13:$A$24,ORÇAMENTO!E45)),OFFSET($D45,1,$C45,ROW($C$290)-ROW($C45)),0))</f>
        <v>0</v>
      </c>
      <c r="L45" s="116" t="str">
        <f t="shared" ca="1" si="10"/>
        <v>F</v>
      </c>
      <c r="M45" s="117" t="s">
        <v>199</v>
      </c>
      <c r="N45" s="118" t="str">
        <f t="shared" ca="1" si="11"/>
        <v>Serviço</v>
      </c>
      <c r="O45" s="119" t="str">
        <f t="shared" ca="1" si="12"/>
        <v>1.3.1.3.</v>
      </c>
      <c r="P45" s="120" t="s">
        <v>247</v>
      </c>
      <c r="Q45" s="121" t="s">
        <v>460</v>
      </c>
      <c r="R45" s="122" t="str">
        <f ca="1">IF($C45="S",REFERENCIA.Descricao,"(digite a descrição aqui)")</f>
        <v>(abra o arquivo 'Referência 03-2024.xlsm)</v>
      </c>
      <c r="S45" s="123" t="str">
        <f ca="1">REFERENCIA.Unidade</f>
        <v>-</v>
      </c>
      <c r="T45" s="124">
        <f ca="1">OFFSET(CÁLCULO!H$15,ROW($T45)-ROW(T$15),0)</f>
        <v>0.02</v>
      </c>
      <c r="U45" s="125">
        <v>18.399999999999999</v>
      </c>
      <c r="V45" s="126" t="s">
        <v>156</v>
      </c>
      <c r="W45" s="124">
        <f ca="1">IF($C45="S",ROUND(IF(TIPOORCAMENTO="Proposto",ORÇAMENTO.CustoUnitario*(1+$AH45),ORÇAMENTO.PrecoUnitarioLicitado),15-13*$AF$10),0)</f>
        <v>23.58</v>
      </c>
      <c r="X45" s="127">
        <f ca="1">IF($C45="S",IF(Import.TipoArredondamento&lt;&gt;"TransfereGOV",VTOTAL1,SUM(OFFSET(CÁLCULO!$AA$15,ROW($X45)-ROW($X$15),1):OFFSET(CÁLCULO!$AL$15,ROW($X45)-ROW($X$15),-1))),IF($C45=0,0,ROUND(SomaAgrup,15-13*$AF$11)))</f>
        <v>0.47</v>
      </c>
      <c r="Y45" s="128" t="s">
        <v>245</v>
      </c>
      <c r="Z45" t="str">
        <f t="shared" ca="1" si="13"/>
        <v>RA</v>
      </c>
      <c r="AA45" s="129">
        <f ca="1">IF($C45="S",IF($Z45="CP",$X45,IF($Z45="RA",(($X45)*QCI!$AA$3),0)),SomaAgrup)</f>
        <v>0.47</v>
      </c>
      <c r="AB45" s="130">
        <f t="shared" ca="1" si="14"/>
        <v>0</v>
      </c>
      <c r="AC45" s="131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" t="str">
        <f ca="1">IF(AND($C45="S",ORÇAMENTO.CodBarra&lt;&gt;""),IF(ORÇAMENTO.Fonte="",ORÇAMENTO.CodBarra,CONCATENATE(ORÇAMENTO.Fonte," ",ORÇAMENTO.CodBarra)))</f>
        <v>SINAPI 96617</v>
      </c>
      <c r="AF45" s="13" t="str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03-2024.xlsm)</v>
      </c>
      <c r="AG45" s="498">
        <f ca="1">ROUND(IF(DESONERACAO="sim",REFERENCIA.Desonerado,REFERENCIA.NaoDesonerado),2)</f>
        <v>0</v>
      </c>
      <c r="AH45" s="499">
        <f t="shared" ca="1" si="15"/>
        <v>0.28170000000000001</v>
      </c>
      <c r="AJ45" s="501">
        <v>0.02</v>
      </c>
      <c r="AL45" s="527"/>
      <c r="AM45" s="381">
        <f t="shared" ca="1" si="0"/>
        <v>0.47</v>
      </c>
      <c r="AN45" s="566">
        <f t="shared" ca="1" si="16"/>
        <v>23.58</v>
      </c>
    </row>
    <row r="46" spans="1:40" ht="38.25" x14ac:dyDescent="0.2">
      <c r="A46" t="str">
        <f t="shared" si="1"/>
        <v>S</v>
      </c>
      <c r="B46">
        <f t="shared" ca="1" si="2"/>
        <v>3</v>
      </c>
      <c r="C46" t="str">
        <f t="shared" ca="1" si="3"/>
        <v>S</v>
      </c>
      <c r="D46">
        <f t="shared" ca="1" si="4"/>
        <v>0</v>
      </c>
      <c r="E46">
        <f ca="1">IF($C46=1,OFFSET(E46,-1,0)+MAX(1,COUNTIF(QCI!$A$13:$A$24,OFFSET(ORÇAMENTO!E46,-1,0))),OFFSET(E46,-1,0))</f>
        <v>1</v>
      </c>
      <c r="F46">
        <f t="shared" ca="1" si="5"/>
        <v>3</v>
      </c>
      <c r="G46">
        <f t="shared" ca="1" si="6"/>
        <v>1</v>
      </c>
      <c r="H46">
        <f t="shared" ca="1" si="7"/>
        <v>0</v>
      </c>
      <c r="I46">
        <f t="shared" ca="1" si="8"/>
        <v>4</v>
      </c>
      <c r="J46">
        <f t="shared" ca="1" si="9"/>
        <v>0</v>
      </c>
      <c r="K46">
        <f ca="1">IF(OR($C46="S",$C46=0),0,MATCH(OFFSET($D46,0,$C46)+IF($C46&lt;&gt;1,1,COUNTIF(QCI!$A$13:$A$24,ORÇAMENTO!E46)),OFFSET($D46,1,$C46,ROW($C$290)-ROW($C46)),0))</f>
        <v>0</v>
      </c>
      <c r="L46" s="116" t="str">
        <f t="shared" ca="1" si="10"/>
        <v>F</v>
      </c>
      <c r="M46" s="117" t="s">
        <v>199</v>
      </c>
      <c r="N46" s="118" t="str">
        <f t="shared" ca="1" si="11"/>
        <v>Serviço</v>
      </c>
      <c r="O46" s="119" t="str">
        <f t="shared" ca="1" si="12"/>
        <v>1.3.1.4.</v>
      </c>
      <c r="P46" s="120" t="s">
        <v>462</v>
      </c>
      <c r="Q46" s="121" t="s">
        <v>474</v>
      </c>
      <c r="R46" s="122" t="str">
        <f ca="1">IF($C46="S",REFERENCIA.Descricao,"(digite a descrição aqui)")</f>
        <v>(abra o arquivo 'Referência 03-2024.xlsm)</v>
      </c>
      <c r="S46" s="123" t="str">
        <f ca="1">REFERENCIA.Unidade</f>
        <v>-</v>
      </c>
      <c r="T46" s="124">
        <f ca="1">OFFSET(CÁLCULO!H$15,ROW($T46)-ROW(T$15),0)</f>
        <v>0.51</v>
      </c>
      <c r="U46" s="125">
        <v>50.64</v>
      </c>
      <c r="V46" s="126" t="s">
        <v>156</v>
      </c>
      <c r="W46" s="124">
        <f ca="1">IF($C46="S",ROUND(IF(TIPOORCAMENTO="Proposto",ORÇAMENTO.CustoUnitario*(1+$AH46),ORÇAMENTO.PrecoUnitarioLicitado),15-13*$AF$10),0)</f>
        <v>64.91</v>
      </c>
      <c r="X46" s="127">
        <f ca="1">IF($C46="S",IF(Import.TipoArredondamento&lt;&gt;"TransfereGOV",VTOTAL1,SUM(OFFSET(CÁLCULO!$AA$15,ROW($X46)-ROW($X$15),1):OFFSET(CÁLCULO!$AL$15,ROW($X46)-ROW($X$15),-1))),IF($C46=0,0,ROUND(SomaAgrup,15-13*$AF$11)))</f>
        <v>33.1</v>
      </c>
      <c r="Y46" s="128" t="s">
        <v>245</v>
      </c>
      <c r="Z46" t="str">
        <f t="shared" ca="1" si="13"/>
        <v>RA</v>
      </c>
      <c r="AA46" s="129">
        <f ca="1">IF($C46="S",IF($Z46="CP",$X46,IF($Z46="RA",(($X46)*QCI!$AA$3),0)),SomaAgrup)</f>
        <v>33.1</v>
      </c>
      <c r="AB46" s="130">
        <f t="shared" ca="1" si="14"/>
        <v>0</v>
      </c>
      <c r="AC46" s="131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t="str">
        <f ca="1">IF(C46&lt;=CRONO.NivelExibicao,MAX($AD$15:OFFSET(AD46,-1,0))+IF($C46&lt;&gt;1,1,MAX(1,COUNTIF(QCI!$A$13:$A$24,OFFSET($E46,-1,0)))),"")</f>
        <v/>
      </c>
      <c r="AE46" s="7" t="str">
        <f ca="1">IF(AND($C46="S",ORÇAMENTO.CodBarra&lt;&gt;""),IF(ORÇAMENTO.Fonte="",ORÇAMENTO.CodBarra,CONCATENATE(ORÇAMENTO.Fonte," ",ORÇAMENTO.CodBarra)))</f>
        <v>Composição 10</v>
      </c>
      <c r="AF46" s="13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03-2024.xlsm)</v>
      </c>
      <c r="AG46" s="498">
        <f ca="1">ROUND(IF(DESONERACAO="sim",REFERENCIA.Desonerado,REFERENCIA.NaoDesonerado),2)</f>
        <v>0</v>
      </c>
      <c r="AH46" s="499">
        <f t="shared" ca="1" si="15"/>
        <v>0.28170000000000001</v>
      </c>
      <c r="AJ46" s="501">
        <v>0.51300000000000001</v>
      </c>
      <c r="AL46" s="527"/>
      <c r="AM46" s="381">
        <f t="shared" ca="1" si="0"/>
        <v>33.1</v>
      </c>
      <c r="AN46" s="566">
        <f t="shared" ca="1" si="16"/>
        <v>64.91</v>
      </c>
    </row>
    <row r="47" spans="1:40" ht="51" x14ac:dyDescent="0.2">
      <c r="A47" t="str">
        <f t="shared" si="1"/>
        <v>S</v>
      </c>
      <c r="B47">
        <f t="shared" ca="1" si="2"/>
        <v>3</v>
      </c>
      <c r="C47" t="str">
        <f t="shared" ca="1" si="3"/>
        <v>S</v>
      </c>
      <c r="D47">
        <f t="shared" ca="1" si="4"/>
        <v>0</v>
      </c>
      <c r="E47">
        <f ca="1">IF($C47=1,OFFSET(E47,-1,0)+MAX(1,COUNTIF(QCI!$A$13:$A$24,OFFSET(ORÇAMENTO!E47,-1,0))),OFFSET(E47,-1,0))</f>
        <v>1</v>
      </c>
      <c r="F47">
        <f t="shared" ca="1" si="5"/>
        <v>3</v>
      </c>
      <c r="G47">
        <f t="shared" ca="1" si="6"/>
        <v>1</v>
      </c>
      <c r="H47">
        <f t="shared" ca="1" si="7"/>
        <v>0</v>
      </c>
      <c r="I47">
        <f t="shared" ca="1" si="8"/>
        <v>5</v>
      </c>
      <c r="J47">
        <f t="shared" ca="1" si="9"/>
        <v>0</v>
      </c>
      <c r="K47">
        <f ca="1">IF(OR($C47="S",$C47=0),0,MATCH(OFFSET($D47,0,$C47)+IF($C47&lt;&gt;1,1,COUNTIF(QCI!$A$13:$A$24,ORÇAMENTO!E47)),OFFSET($D47,1,$C47,ROW($C$290)-ROW($C47)),0))</f>
        <v>0</v>
      </c>
      <c r="L47" s="116" t="str">
        <f t="shared" ca="1" si="10"/>
        <v>F</v>
      </c>
      <c r="M47" s="117" t="s">
        <v>199</v>
      </c>
      <c r="N47" s="118" t="str">
        <f t="shared" ca="1" si="11"/>
        <v>Serviço</v>
      </c>
      <c r="O47" s="119" t="str">
        <f t="shared" ca="1" si="12"/>
        <v>1.3.1.5.</v>
      </c>
      <c r="P47" s="120" t="s">
        <v>462</v>
      </c>
      <c r="Q47" s="121" t="s">
        <v>475</v>
      </c>
      <c r="R47" s="122" t="str">
        <f ca="1">IF($C47="S",REFERENCIA.Descricao,"(digite a descrição aqui)")</f>
        <v>(abra o arquivo 'Referência 03-2024.xlsm)</v>
      </c>
      <c r="S47" s="123" t="str">
        <f ca="1">REFERENCIA.Unidade</f>
        <v>-</v>
      </c>
      <c r="T47" s="124">
        <f ca="1">OFFSET(CÁLCULO!H$15,ROW($T47)-ROW(T$15),0)</f>
        <v>0.08</v>
      </c>
      <c r="U47" s="125">
        <v>502.29</v>
      </c>
      <c r="V47" s="126" t="s">
        <v>156</v>
      </c>
      <c r="W47" s="124">
        <f ca="1">IF($C47="S",ROUND(IF(TIPOORCAMENTO="Proposto",ORÇAMENTO.CustoUnitario*(1+$AH47),ORÇAMENTO.PrecoUnitarioLicitado),15-13*$AF$10),0)</f>
        <v>643.79</v>
      </c>
      <c r="X47" s="127">
        <f ca="1">IF($C47="S",IF(Import.TipoArredondamento&lt;&gt;"TransfereGOV",VTOTAL1,SUM(OFFSET(CÁLCULO!$AA$15,ROW($X47)-ROW($X$15),1):OFFSET(CÁLCULO!$AL$15,ROW($X47)-ROW($X$15),-1))),IF($C47=0,0,ROUND(SomaAgrup,15-13*$AF$11)))</f>
        <v>51.5</v>
      </c>
      <c r="Y47" s="128" t="s">
        <v>245</v>
      </c>
      <c r="Z47" t="str">
        <f t="shared" ca="1" si="13"/>
        <v>RA</v>
      </c>
      <c r="AA47" s="129">
        <f ca="1">IF($C47="S",IF($Z47="CP",$X47,IF($Z47="RA",(($X47)*QCI!$AA$3),0)),SomaAgrup)</f>
        <v>51.5</v>
      </c>
      <c r="AB47" s="130">
        <f t="shared" ca="1" si="14"/>
        <v>0</v>
      </c>
      <c r="AC47" s="131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t="str">
        <f ca="1">IF(C47&lt;=CRONO.NivelExibicao,MAX($AD$15:OFFSET(AD47,-1,0))+IF($C47&lt;&gt;1,1,MAX(1,COUNTIF(QCI!$A$13:$A$24,OFFSET($E47,-1,0)))),"")</f>
        <v/>
      </c>
      <c r="AE47" s="7" t="str">
        <f ca="1">IF(AND($C47="S",ORÇAMENTO.CodBarra&lt;&gt;""),IF(ORÇAMENTO.Fonte="",ORÇAMENTO.CodBarra,CONCATENATE(ORÇAMENTO.Fonte," ",ORÇAMENTO.CodBarra)))</f>
        <v>Composição 11</v>
      </c>
      <c r="AF47" s="13" t="str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03-2024.xlsm)</v>
      </c>
      <c r="AG47" s="498">
        <f ca="1">ROUND(IF(DESONERACAO="sim",REFERENCIA.Desonerado,REFERENCIA.NaoDesonerado),2)</f>
        <v>0</v>
      </c>
      <c r="AH47" s="499">
        <f t="shared" ca="1" si="15"/>
        <v>0.28170000000000001</v>
      </c>
      <c r="AJ47" s="501">
        <v>7.8E-2</v>
      </c>
      <c r="AL47" s="527"/>
      <c r="AM47" s="381">
        <f t="shared" ca="1" si="0"/>
        <v>51.5</v>
      </c>
      <c r="AN47" s="566">
        <f t="shared" ca="1" si="16"/>
        <v>643.79</v>
      </c>
    </row>
    <row r="48" spans="1:40" ht="38.25" x14ac:dyDescent="0.2">
      <c r="A48" t="str">
        <f t="shared" si="1"/>
        <v>S</v>
      </c>
      <c r="B48">
        <f t="shared" ca="1" si="2"/>
        <v>3</v>
      </c>
      <c r="C48" t="str">
        <f t="shared" ca="1" si="3"/>
        <v>S</v>
      </c>
      <c r="D48">
        <f t="shared" ca="1" si="4"/>
        <v>0</v>
      </c>
      <c r="E48">
        <f ca="1">IF($C48=1,OFFSET(E48,-1,0)+MAX(1,COUNTIF(QCI!$A$13:$A$24,OFFSET(ORÇAMENTO!E48,-1,0))),OFFSET(E48,-1,0))</f>
        <v>1</v>
      </c>
      <c r="F48">
        <f t="shared" ca="1" si="5"/>
        <v>3</v>
      </c>
      <c r="G48">
        <f t="shared" ca="1" si="6"/>
        <v>1</v>
      </c>
      <c r="H48">
        <f t="shared" ca="1" si="7"/>
        <v>0</v>
      </c>
      <c r="I48">
        <f t="shared" ca="1" si="8"/>
        <v>6</v>
      </c>
      <c r="J48">
        <f t="shared" ca="1" si="9"/>
        <v>0</v>
      </c>
      <c r="K48">
        <f ca="1">IF(OR($C48="S",$C48=0),0,MATCH(OFFSET($D48,0,$C48)+IF($C48&lt;&gt;1,1,COUNTIF(QCI!$A$13:$A$24,ORÇAMENTO!E48)),OFFSET($D48,1,$C48,ROW($C$290)-ROW($C48)),0))</f>
        <v>0</v>
      </c>
      <c r="L48" s="116" t="str">
        <f t="shared" ca="1" si="10"/>
        <v>F</v>
      </c>
      <c r="M48" s="117" t="s">
        <v>199</v>
      </c>
      <c r="N48" s="118" t="str">
        <f t="shared" ca="1" si="11"/>
        <v>Serviço</v>
      </c>
      <c r="O48" s="119" t="str">
        <f t="shared" ca="1" si="12"/>
        <v>1.3.1.6.</v>
      </c>
      <c r="P48" s="120" t="s">
        <v>462</v>
      </c>
      <c r="Q48" s="121" t="s">
        <v>476</v>
      </c>
      <c r="R48" s="122" t="str">
        <f ca="1">IF($C48="S",REFERENCIA.Descricao,"(digite a descrição aqui)")</f>
        <v>(abra o arquivo 'Referência 03-2024.xlsm)</v>
      </c>
      <c r="S48" s="123" t="str">
        <f ca="1">REFERENCIA.Unidade</f>
        <v>-</v>
      </c>
      <c r="T48" s="124">
        <f ca="1">OFFSET(CÁLCULO!H$15,ROW($T48)-ROW(T$15),0)</f>
        <v>0.15</v>
      </c>
      <c r="U48" s="125">
        <v>11.53</v>
      </c>
      <c r="V48" s="126" t="s">
        <v>156</v>
      </c>
      <c r="W48" s="124">
        <f ca="1">IF($C48="S",ROUND(IF(TIPOORCAMENTO="Proposto",ORÇAMENTO.CustoUnitario*(1+$AH48),ORÇAMENTO.PrecoUnitarioLicitado),15-13*$AF$10),0)</f>
        <v>14.78</v>
      </c>
      <c r="X48" s="127">
        <f ca="1">IF($C48="S",IF(Import.TipoArredondamento&lt;&gt;"TransfereGOV",VTOTAL1,SUM(OFFSET(CÁLCULO!$AA$15,ROW($X48)-ROW($X$15),1):OFFSET(CÁLCULO!$AL$15,ROW($X48)-ROW($X$15),-1))),IF($C48=0,0,ROUND(SomaAgrup,15-13*$AF$11)))</f>
        <v>2.2200000000000002</v>
      </c>
      <c r="Y48" s="128" t="s">
        <v>245</v>
      </c>
      <c r="Z48" t="str">
        <f t="shared" ca="1" si="13"/>
        <v>RA</v>
      </c>
      <c r="AA48" s="129">
        <f ca="1">IF($C48="S",IF($Z48="CP",$X48,IF($Z48="RA",(($X48)*QCI!$AA$3),0)),SomaAgrup)</f>
        <v>2.2200000000000002</v>
      </c>
      <c r="AB48" s="130">
        <f t="shared" ca="1" si="14"/>
        <v>0</v>
      </c>
      <c r="AC48" s="131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IF(C48&lt;=CRONO.NivelExibicao,MAX($AD$15:OFFSET(AD48,-1,0))+IF($C48&lt;&gt;1,1,MAX(1,COUNTIF(QCI!$A$13:$A$24,OFFSET($E48,-1,0)))),"")</f>
        <v/>
      </c>
      <c r="AE48" s="7" t="str">
        <f ca="1">IF(AND($C48="S",ORÇAMENTO.CodBarra&lt;&gt;""),IF(ORÇAMENTO.Fonte="",ORÇAMENTO.CodBarra,CONCATENATE(ORÇAMENTO.Fonte," ",ORÇAMENTO.CodBarra)))</f>
        <v>Composição 12</v>
      </c>
      <c r="AF48" s="13" t="str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03-2024.xlsm)</v>
      </c>
      <c r="AG48" s="498">
        <f ca="1">ROUND(IF(DESONERACAO="sim",REFERENCIA.Desonerado,REFERENCIA.NaoDesonerado),2)</f>
        <v>0</v>
      </c>
      <c r="AH48" s="499">
        <f t="shared" ca="1" si="15"/>
        <v>0.28170000000000001</v>
      </c>
      <c r="AJ48" s="501">
        <v>0.154</v>
      </c>
      <c r="AL48" s="527"/>
      <c r="AM48" s="381">
        <f t="shared" ca="1" si="0"/>
        <v>2.2200000000000002</v>
      </c>
      <c r="AN48" s="566">
        <f t="shared" ca="1" si="16"/>
        <v>14.78</v>
      </c>
    </row>
    <row r="49" spans="1:40" ht="38.25" x14ac:dyDescent="0.2">
      <c r="A49" t="str">
        <f t="shared" si="1"/>
        <v>S</v>
      </c>
      <c r="B49">
        <f t="shared" ca="1" si="2"/>
        <v>3</v>
      </c>
      <c r="C49" t="str">
        <f t="shared" ca="1" si="3"/>
        <v>S</v>
      </c>
      <c r="D49">
        <f t="shared" ca="1" si="4"/>
        <v>0</v>
      </c>
      <c r="E49">
        <f ca="1">IF($C49=1,OFFSET(E49,-1,0)+MAX(1,COUNTIF(QCI!$A$13:$A$24,OFFSET(ORÇAMENTO!E49,-1,0))),OFFSET(E49,-1,0))</f>
        <v>1</v>
      </c>
      <c r="F49">
        <f t="shared" ca="1" si="5"/>
        <v>3</v>
      </c>
      <c r="G49">
        <f t="shared" ca="1" si="6"/>
        <v>1</v>
      </c>
      <c r="H49">
        <f t="shared" ca="1" si="7"/>
        <v>0</v>
      </c>
      <c r="I49">
        <f t="shared" ca="1" si="8"/>
        <v>7</v>
      </c>
      <c r="J49">
        <f t="shared" ca="1" si="9"/>
        <v>0</v>
      </c>
      <c r="K49">
        <f ca="1">IF(OR($C49="S",$C49=0),0,MATCH(OFFSET($D49,0,$C49)+IF($C49&lt;&gt;1,1,COUNTIF(QCI!$A$13:$A$24,ORÇAMENTO!E49)),OFFSET($D49,1,$C49,ROW($C$290)-ROW($C49)),0))</f>
        <v>0</v>
      </c>
      <c r="L49" s="116" t="str">
        <f t="shared" ca="1" si="10"/>
        <v>F</v>
      </c>
      <c r="M49" s="117" t="s">
        <v>199</v>
      </c>
      <c r="N49" s="118" t="str">
        <f t="shared" ca="1" si="11"/>
        <v>Serviço</v>
      </c>
      <c r="O49" s="119" t="str">
        <f t="shared" ca="1" si="12"/>
        <v>1.3.1.7.</v>
      </c>
      <c r="P49" s="120" t="s">
        <v>462</v>
      </c>
      <c r="Q49" s="121" t="s">
        <v>477</v>
      </c>
      <c r="R49" s="122" t="str">
        <f ca="1">IF($C49="S",REFERENCIA.Descricao,"(digite a descrição aqui)")</f>
        <v>(abra o arquivo 'Referência 03-2024.xlsm)</v>
      </c>
      <c r="S49" s="123" t="str">
        <f ca="1">REFERENCIA.Unidade</f>
        <v>-</v>
      </c>
      <c r="T49" s="124">
        <f ca="1">OFFSET(CÁLCULO!H$15,ROW($T49)-ROW(T$15),0)</f>
        <v>4.97</v>
      </c>
      <c r="U49" s="125">
        <v>10.97</v>
      </c>
      <c r="V49" s="126" t="s">
        <v>156</v>
      </c>
      <c r="W49" s="124">
        <f ca="1">IF($C49="S",ROUND(IF(TIPOORCAMENTO="Proposto",ORÇAMENTO.CustoUnitario*(1+$AH49),ORÇAMENTO.PrecoUnitarioLicitado),15-13*$AF$10),0)</f>
        <v>14.06</v>
      </c>
      <c r="X49" s="127">
        <f ca="1">IF($C49="S",IF(Import.TipoArredondamento&lt;&gt;"TransfereGOV",VTOTAL1,SUM(OFFSET(CÁLCULO!$AA$15,ROW($X49)-ROW($X$15),1):OFFSET(CÁLCULO!$AL$15,ROW($X49)-ROW($X$15),-1))),IF($C49=0,0,ROUND(SomaAgrup,15-13*$AF$11)))</f>
        <v>69.88</v>
      </c>
      <c r="Y49" s="128" t="s">
        <v>245</v>
      </c>
      <c r="Z49" t="str">
        <f t="shared" ca="1" si="13"/>
        <v>RA</v>
      </c>
      <c r="AA49" s="129">
        <f ca="1">IF($C49="S",IF($Z49="CP",$X49,IF($Z49="RA",(($X49)*QCI!$AA$3),0)),SomaAgrup)</f>
        <v>69.88</v>
      </c>
      <c r="AB49" s="130">
        <f t="shared" ca="1" si="14"/>
        <v>0</v>
      </c>
      <c r="AC49" s="131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t="str">
        <f ca="1">IF(C49&lt;=CRONO.NivelExibicao,MAX($AD$15:OFFSET(AD49,-1,0))+IF($C49&lt;&gt;1,1,MAX(1,COUNTIF(QCI!$A$13:$A$24,OFFSET($E49,-1,0)))),"")</f>
        <v/>
      </c>
      <c r="AE49" s="7" t="str">
        <f ca="1">IF(AND($C49="S",ORÇAMENTO.CodBarra&lt;&gt;""),IF(ORÇAMENTO.Fonte="",ORÇAMENTO.CodBarra,CONCATENATE(ORÇAMENTO.Fonte," ",ORÇAMENTO.CodBarra)))</f>
        <v>Composição 13</v>
      </c>
      <c r="AF49" s="13" t="str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03-2024.xlsm)</v>
      </c>
      <c r="AG49" s="498">
        <f ca="1">ROUND(IF(DESONERACAO="sim",REFERENCIA.Desonerado,REFERENCIA.NaoDesonerado),2)</f>
        <v>0</v>
      </c>
      <c r="AH49" s="499">
        <f t="shared" ca="1" si="15"/>
        <v>0.28170000000000001</v>
      </c>
      <c r="AJ49" s="501">
        <v>4.97</v>
      </c>
      <c r="AL49" s="527"/>
      <c r="AM49" s="381">
        <f t="shared" ca="1" si="0"/>
        <v>69.88</v>
      </c>
      <c r="AN49" s="566">
        <f t="shared" ca="1" si="16"/>
        <v>14.06</v>
      </c>
    </row>
    <row r="50" spans="1:40" ht="25.5" x14ac:dyDescent="0.2">
      <c r="A50" t="str">
        <f t="shared" si="1"/>
        <v>S</v>
      </c>
      <c r="B50">
        <f t="shared" ca="1" si="2"/>
        <v>3</v>
      </c>
      <c r="C50" t="str">
        <f t="shared" ca="1" si="3"/>
        <v>S</v>
      </c>
      <c r="D50">
        <f t="shared" ca="1" si="4"/>
        <v>0</v>
      </c>
      <c r="E50">
        <f ca="1">IF($C50=1,OFFSET(E50,-1,0)+MAX(1,COUNTIF(QCI!$A$13:$A$24,OFFSET(ORÇAMENTO!E50,-1,0))),OFFSET(E50,-1,0))</f>
        <v>1</v>
      </c>
      <c r="F50">
        <f t="shared" ca="1" si="5"/>
        <v>3</v>
      </c>
      <c r="G50">
        <f t="shared" ca="1" si="6"/>
        <v>1</v>
      </c>
      <c r="H50">
        <f t="shared" ca="1" si="7"/>
        <v>0</v>
      </c>
      <c r="I50">
        <f t="shared" ca="1" si="8"/>
        <v>8</v>
      </c>
      <c r="J50">
        <f t="shared" ca="1" si="9"/>
        <v>0</v>
      </c>
      <c r="K50">
        <f ca="1">IF(OR($C50="S",$C50=0),0,MATCH(OFFSET($D50,0,$C50)+IF($C50&lt;&gt;1,1,COUNTIF(QCI!$A$13:$A$24,ORÇAMENTO!E50)),OFFSET($D50,1,$C50,ROW($C$290)-ROW($C50)),0))</f>
        <v>0</v>
      </c>
      <c r="L50" s="116" t="str">
        <f t="shared" ca="1" si="10"/>
        <v>F</v>
      </c>
      <c r="M50" s="117" t="s">
        <v>199</v>
      </c>
      <c r="N50" s="118" t="str">
        <f t="shared" ca="1" si="11"/>
        <v>Serviço</v>
      </c>
      <c r="O50" s="119" t="str">
        <f t="shared" ca="1" si="12"/>
        <v>1.3.1.8.</v>
      </c>
      <c r="P50" s="120" t="s">
        <v>462</v>
      </c>
      <c r="Q50" s="121" t="s">
        <v>478</v>
      </c>
      <c r="R50" s="122" t="str">
        <f ca="1">IF($C50="S",REFERENCIA.Descricao,"(digite a descrição aqui)")</f>
        <v>(abra o arquivo 'Referência 03-2024.xlsm)</v>
      </c>
      <c r="S50" s="123" t="str">
        <f ca="1">REFERENCIA.Unidade</f>
        <v>-</v>
      </c>
      <c r="T50" s="124">
        <f ca="1">OFFSET(CÁLCULO!H$15,ROW($T50)-ROW(T$15),0)</f>
        <v>0.52</v>
      </c>
      <c r="U50" s="125">
        <v>29.58</v>
      </c>
      <c r="V50" s="126" t="s">
        <v>156</v>
      </c>
      <c r="W50" s="124">
        <f ca="1">IF($C50="S",ROUND(IF(TIPOORCAMENTO="Proposto",ORÇAMENTO.CustoUnitario*(1+$AH50),ORÇAMENTO.PrecoUnitarioLicitado),15-13*$AF$10),0)</f>
        <v>37.909999999999997</v>
      </c>
      <c r="X50" s="127">
        <f ca="1">IF($C50="S",IF(Import.TipoArredondamento&lt;&gt;"TransfereGOV",VTOTAL1,SUM(OFFSET(CÁLCULO!$AA$15,ROW($X50)-ROW($X$15),1):OFFSET(CÁLCULO!$AL$15,ROW($X50)-ROW($X$15),-1))),IF($C50=0,0,ROUND(SomaAgrup,15-13*$AF$11)))</f>
        <v>19.71</v>
      </c>
      <c r="Y50" s="128" t="s">
        <v>245</v>
      </c>
      <c r="Z50" t="str">
        <f t="shared" ca="1" si="13"/>
        <v>RA</v>
      </c>
      <c r="AA50" s="129">
        <f ca="1">IF($C50="S",IF($Z50="CP",$X50,IF($Z50="RA",(($X50)*QCI!$AA$3),0)),SomaAgrup)</f>
        <v>19.71</v>
      </c>
      <c r="AB50" s="130">
        <f t="shared" ca="1" si="14"/>
        <v>0</v>
      </c>
      <c r="AC50" s="131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t="str">
        <f ca="1">IF(C50&lt;=CRONO.NivelExibicao,MAX($AD$15:OFFSET(AD50,-1,0))+IF($C50&lt;&gt;1,1,MAX(1,COUNTIF(QCI!$A$13:$A$24,OFFSET($E50,-1,0)))),"")</f>
        <v/>
      </c>
      <c r="AE50" s="7" t="str">
        <f ca="1">IF(AND($C50="S",ORÇAMENTO.CodBarra&lt;&gt;""),IF(ORÇAMENTO.Fonte="",ORÇAMENTO.CodBarra,CONCATENATE(ORÇAMENTO.Fonte," ",ORÇAMENTO.CodBarra)))</f>
        <v>Composição 14</v>
      </c>
      <c r="AF50" s="13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03-2024.xlsm)</v>
      </c>
      <c r="AG50" s="498">
        <f ca="1">ROUND(IF(DESONERACAO="sim",REFERENCIA.Desonerado,REFERENCIA.NaoDesonerado),2)</f>
        <v>0</v>
      </c>
      <c r="AH50" s="499">
        <f t="shared" ca="1" si="15"/>
        <v>0.28170000000000001</v>
      </c>
      <c r="AJ50" s="501">
        <v>0.52</v>
      </c>
      <c r="AL50" s="527"/>
      <c r="AM50" s="381">
        <f t="shared" ca="1" si="0"/>
        <v>19.71</v>
      </c>
      <c r="AN50" s="566">
        <f t="shared" ca="1" si="16"/>
        <v>37.909999999999997</v>
      </c>
    </row>
    <row r="51" spans="1:40" ht="38.25" x14ac:dyDescent="0.2">
      <c r="A51" t="str">
        <f t="shared" si="1"/>
        <v>S</v>
      </c>
      <c r="B51">
        <f t="shared" ca="1" si="2"/>
        <v>3</v>
      </c>
      <c r="C51" t="str">
        <f t="shared" ca="1" si="3"/>
        <v>S</v>
      </c>
      <c r="D51">
        <f t="shared" ca="1" si="4"/>
        <v>0</v>
      </c>
      <c r="E51">
        <f ca="1">IF($C51=1,OFFSET(E51,-1,0)+MAX(1,COUNTIF(QCI!$A$13:$A$24,OFFSET(ORÇAMENTO!E51,-1,0))),OFFSET(E51,-1,0))</f>
        <v>1</v>
      </c>
      <c r="F51">
        <f t="shared" ca="1" si="5"/>
        <v>3</v>
      </c>
      <c r="G51">
        <f t="shared" ca="1" si="6"/>
        <v>1</v>
      </c>
      <c r="H51">
        <f t="shared" ca="1" si="7"/>
        <v>0</v>
      </c>
      <c r="I51">
        <f t="shared" ca="1" si="8"/>
        <v>9</v>
      </c>
      <c r="J51">
        <f t="shared" ca="1" si="9"/>
        <v>0</v>
      </c>
      <c r="K51">
        <f ca="1">IF(OR($C51="S",$C51=0),0,MATCH(OFFSET($D51,0,$C51)+IF($C51&lt;&gt;1,1,COUNTIF(QCI!$A$13:$A$24,ORÇAMENTO!E51)),OFFSET($D51,1,$C51,ROW($C$290)-ROW($C51)),0))</f>
        <v>0</v>
      </c>
      <c r="L51" s="116" t="str">
        <f t="shared" ca="1" si="10"/>
        <v>F</v>
      </c>
      <c r="M51" s="117" t="s">
        <v>199</v>
      </c>
      <c r="N51" s="118" t="str">
        <f t="shared" ca="1" si="11"/>
        <v>Serviço</v>
      </c>
      <c r="O51" s="119" t="str">
        <f t="shared" ca="1" si="12"/>
        <v>1.3.1.9.</v>
      </c>
      <c r="P51" s="120" t="s">
        <v>247</v>
      </c>
      <c r="Q51" s="121" t="s">
        <v>479</v>
      </c>
      <c r="R51" s="122" t="str">
        <f ca="1">IF($C51="S",REFERENCIA.Descricao,"(digite a descrição aqui)")</f>
        <v>(abra o arquivo 'Referência 03-2024.xlsm)</v>
      </c>
      <c r="S51" s="123" t="str">
        <f ca="1">REFERENCIA.Unidade</f>
        <v>-</v>
      </c>
      <c r="T51" s="124">
        <f ca="1">OFFSET(CÁLCULO!H$15,ROW($T51)-ROW(T$15),0)</f>
        <v>3.9</v>
      </c>
      <c r="U51" s="125">
        <v>52.65</v>
      </c>
      <c r="V51" s="126" t="s">
        <v>156</v>
      </c>
      <c r="W51" s="124">
        <f ca="1">IF($C51="S",ROUND(IF(TIPOORCAMENTO="Proposto",ORÇAMENTO.CustoUnitario*(1+$AH51),ORÇAMENTO.PrecoUnitarioLicitado),15-13*$AF$10),0)</f>
        <v>67.48</v>
      </c>
      <c r="X51" s="127">
        <f ca="1">IF($C51="S",IF(Import.TipoArredondamento&lt;&gt;"TransfereGOV",VTOTAL1,SUM(OFFSET(CÁLCULO!$AA$15,ROW($X51)-ROW($X$15),1):OFFSET(CÁLCULO!$AL$15,ROW($X51)-ROW($X$15),-1))),IF($C51=0,0,ROUND(SomaAgrup,15-13*$AF$11)))</f>
        <v>263.17</v>
      </c>
      <c r="Y51" s="128" t="s">
        <v>245</v>
      </c>
      <c r="Z51" t="str">
        <f t="shared" ca="1" si="13"/>
        <v>RA</v>
      </c>
      <c r="AA51" s="129">
        <f ca="1">IF($C51="S",IF($Z51="CP",$X51,IF($Z51="RA",(($X51)*QCI!$AA$3),0)),SomaAgrup)</f>
        <v>263.17</v>
      </c>
      <c r="AB51" s="130">
        <f t="shared" ca="1" si="14"/>
        <v>0</v>
      </c>
      <c r="AC51" s="131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IF(C51&lt;=CRONO.NivelExibicao,MAX($AD$15:OFFSET(AD51,-1,0))+IF($C51&lt;&gt;1,1,MAX(1,COUNTIF(QCI!$A$13:$A$24,OFFSET($E51,-1,0)))),"")</f>
        <v/>
      </c>
      <c r="AE51" s="7" t="str">
        <f ca="1">IF(AND($C51="S",ORÇAMENTO.CodBarra&lt;&gt;""),IF(ORÇAMENTO.Fonte="",ORÇAMENTO.CodBarra,CONCATENATE(ORÇAMENTO.Fonte," ",ORÇAMENTO.CodBarra)))</f>
        <v>SINAPI 103356</v>
      </c>
      <c r="AF51" s="13" t="str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03-2024.xlsm)</v>
      </c>
      <c r="AG51" s="498">
        <f ca="1">ROUND(IF(DESONERACAO="sim",REFERENCIA.Desonerado,REFERENCIA.NaoDesonerado),2)</f>
        <v>0</v>
      </c>
      <c r="AH51" s="499">
        <f t="shared" ca="1" si="15"/>
        <v>0.28170000000000001</v>
      </c>
      <c r="AJ51" s="501">
        <v>3.9</v>
      </c>
      <c r="AL51" s="527"/>
      <c r="AM51" s="381">
        <f t="shared" ca="1" si="0"/>
        <v>263.17</v>
      </c>
      <c r="AN51" s="566">
        <f t="shared" ca="1" si="16"/>
        <v>67.48</v>
      </c>
    </row>
    <row r="52" spans="1:40" ht="51" x14ac:dyDescent="0.2">
      <c r="A52" t="str">
        <f t="shared" si="1"/>
        <v>S</v>
      </c>
      <c r="B52">
        <f t="shared" ca="1" si="2"/>
        <v>3</v>
      </c>
      <c r="C52" t="str">
        <f t="shared" ca="1" si="3"/>
        <v>S</v>
      </c>
      <c r="D52">
        <f t="shared" ca="1" si="4"/>
        <v>0</v>
      </c>
      <c r="E52">
        <f ca="1">IF($C52=1,OFFSET(E52,-1,0)+MAX(1,COUNTIF(QCI!$A$13:$A$24,OFFSET(ORÇAMENTO!E52,-1,0))),OFFSET(E52,-1,0))</f>
        <v>1</v>
      </c>
      <c r="F52">
        <f t="shared" ca="1" si="5"/>
        <v>3</v>
      </c>
      <c r="G52">
        <f t="shared" ca="1" si="6"/>
        <v>1</v>
      </c>
      <c r="H52">
        <f t="shared" ca="1" si="7"/>
        <v>0</v>
      </c>
      <c r="I52">
        <f t="shared" ca="1" si="8"/>
        <v>10</v>
      </c>
      <c r="J52">
        <f t="shared" ca="1" si="9"/>
        <v>0</v>
      </c>
      <c r="K52">
        <f ca="1">IF(OR($C52="S",$C52=0),0,MATCH(OFFSET($D52,0,$C52)+IF($C52&lt;&gt;1,1,COUNTIF(QCI!$A$13:$A$24,ORÇAMENTO!E52)),OFFSET($D52,1,$C52,ROW($C$290)-ROW($C52)),0))</f>
        <v>0</v>
      </c>
      <c r="L52" s="116" t="str">
        <f t="shared" ca="1" si="10"/>
        <v>F</v>
      </c>
      <c r="M52" s="117" t="s">
        <v>199</v>
      </c>
      <c r="N52" s="118" t="str">
        <f t="shared" ca="1" si="11"/>
        <v>Serviço</v>
      </c>
      <c r="O52" s="119" t="str">
        <f t="shared" ca="1" si="12"/>
        <v>1.3.1.10.</v>
      </c>
      <c r="P52" s="120" t="s">
        <v>462</v>
      </c>
      <c r="Q52" s="121" t="s">
        <v>465</v>
      </c>
      <c r="R52" s="122" t="str">
        <f ca="1">IF($C52="S",REFERENCIA.Descricao,"(digite a descrição aqui)")</f>
        <v>(abra o arquivo 'Referência 03-2024.xlsm)</v>
      </c>
      <c r="S52" s="123" t="str">
        <f ca="1">REFERENCIA.Unidade</f>
        <v>-</v>
      </c>
      <c r="T52" s="124">
        <f ca="1">OFFSET(CÁLCULO!H$15,ROW($T52)-ROW(T$15),0)</f>
        <v>3.9</v>
      </c>
      <c r="U52" s="125">
        <v>5.47</v>
      </c>
      <c r="V52" s="126" t="s">
        <v>156</v>
      </c>
      <c r="W52" s="124">
        <f ca="1">IF($C52="S",ROUND(IF(TIPOORCAMENTO="Proposto",ORÇAMENTO.CustoUnitario*(1+$AH52),ORÇAMENTO.PrecoUnitarioLicitado),15-13*$AF$10),0)</f>
        <v>7.01</v>
      </c>
      <c r="X52" s="127">
        <f ca="1">IF($C52="S",IF(Import.TipoArredondamento&lt;&gt;"TransfereGOV",VTOTAL1,SUM(OFFSET(CÁLCULO!$AA$15,ROW($X52)-ROW($X$15),1):OFFSET(CÁLCULO!$AL$15,ROW($X52)-ROW($X$15),-1))),IF($C52=0,0,ROUND(SomaAgrup,15-13*$AF$11)))</f>
        <v>27.34</v>
      </c>
      <c r="Y52" s="128" t="s">
        <v>245</v>
      </c>
      <c r="Z52" t="str">
        <f t="shared" ca="1" si="13"/>
        <v>RA</v>
      </c>
      <c r="AA52" s="129">
        <f ca="1">IF($C52="S",IF($Z52="CP",$X52,IF($Z52="RA",(($X52)*QCI!$AA$3),0)),SomaAgrup)</f>
        <v>27.34</v>
      </c>
      <c r="AB52" s="130">
        <f t="shared" ca="1" si="14"/>
        <v>0</v>
      </c>
      <c r="AC52" s="131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" t="str">
        <f ca="1">IF(AND($C52="S",ORÇAMENTO.CodBarra&lt;&gt;""),IF(ORÇAMENTO.Fonte="",ORÇAMENTO.CodBarra,CONCATENATE(ORÇAMENTO.Fonte," ",ORÇAMENTO.CodBarra)))</f>
        <v>Composição 2</v>
      </c>
      <c r="AF52" s="13" t="str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03-2024.xlsm)</v>
      </c>
      <c r="AG52" s="498">
        <f ca="1">ROUND(IF(DESONERACAO="sim",REFERENCIA.Desonerado,REFERENCIA.NaoDesonerado),2)</f>
        <v>0</v>
      </c>
      <c r="AH52" s="499">
        <f t="shared" ca="1" si="15"/>
        <v>0.28170000000000001</v>
      </c>
      <c r="AJ52" s="501">
        <v>3.9</v>
      </c>
      <c r="AL52" s="527"/>
      <c r="AM52" s="381">
        <f t="shared" ca="1" si="0"/>
        <v>27.34</v>
      </c>
      <c r="AN52" s="566">
        <f t="shared" ca="1" si="16"/>
        <v>7.01</v>
      </c>
    </row>
    <row r="53" spans="1:40" ht="51" x14ac:dyDescent="0.2">
      <c r="A53" t="str">
        <f t="shared" si="1"/>
        <v>S</v>
      </c>
      <c r="B53">
        <f t="shared" ca="1" si="2"/>
        <v>3</v>
      </c>
      <c r="C53" t="str">
        <f t="shared" ca="1" si="3"/>
        <v>S</v>
      </c>
      <c r="D53">
        <f t="shared" ca="1" si="4"/>
        <v>0</v>
      </c>
      <c r="E53">
        <f ca="1">IF($C53=1,OFFSET(E53,-1,0)+MAX(1,COUNTIF(QCI!$A$13:$A$24,OFFSET(ORÇAMENTO!E53,-1,0))),OFFSET(E53,-1,0))</f>
        <v>1</v>
      </c>
      <c r="F53">
        <f t="shared" ca="1" si="5"/>
        <v>3</v>
      </c>
      <c r="G53">
        <f t="shared" ca="1" si="6"/>
        <v>1</v>
      </c>
      <c r="H53">
        <f t="shared" ca="1" si="7"/>
        <v>0</v>
      </c>
      <c r="I53">
        <f t="shared" ca="1" si="8"/>
        <v>11</v>
      </c>
      <c r="J53">
        <f t="shared" ca="1" si="9"/>
        <v>0</v>
      </c>
      <c r="K53">
        <f ca="1">IF(OR($C53="S",$C53=0),0,MATCH(OFFSET($D53,0,$C53)+IF($C53&lt;&gt;1,1,COUNTIF(QCI!$A$13:$A$24,ORÇAMENTO!E53)),OFFSET($D53,1,$C53,ROW($C$290)-ROW($C53)),0))</f>
        <v>0</v>
      </c>
      <c r="L53" s="116" t="str">
        <f t="shared" ca="1" si="10"/>
        <v>F</v>
      </c>
      <c r="M53" s="117" t="s">
        <v>199</v>
      </c>
      <c r="N53" s="118" t="str">
        <f t="shared" ca="1" si="11"/>
        <v>Serviço</v>
      </c>
      <c r="O53" s="119" t="str">
        <f t="shared" ca="1" si="12"/>
        <v>1.3.1.11.</v>
      </c>
      <c r="P53" s="120" t="s">
        <v>462</v>
      </c>
      <c r="Q53" s="121" t="s">
        <v>466</v>
      </c>
      <c r="R53" s="122" t="str">
        <f ca="1">IF($C53="S",REFERENCIA.Descricao,"(digite a descrição aqui)")</f>
        <v>(abra o arquivo 'Referência 03-2024.xlsm)</v>
      </c>
      <c r="S53" s="123" t="str">
        <f ca="1">REFERENCIA.Unidade</f>
        <v>-</v>
      </c>
      <c r="T53" s="124">
        <f ca="1">OFFSET(CÁLCULO!H$15,ROW($T53)-ROW(T$15),0)</f>
        <v>3.9</v>
      </c>
      <c r="U53" s="125">
        <v>26.04</v>
      </c>
      <c r="V53" s="126" t="s">
        <v>156</v>
      </c>
      <c r="W53" s="124">
        <f ca="1">IF($C53="S",ROUND(IF(TIPOORCAMENTO="Proposto",ORÇAMENTO.CustoUnitario*(1+$AH53),ORÇAMENTO.PrecoUnitarioLicitado),15-13*$AF$10),0)</f>
        <v>33.380000000000003</v>
      </c>
      <c r="X53" s="127">
        <f ca="1">IF($C53="S",IF(Import.TipoArredondamento&lt;&gt;"TransfereGOV",VTOTAL1,SUM(OFFSET(CÁLCULO!$AA$15,ROW($X53)-ROW($X$15),1):OFFSET(CÁLCULO!$AL$15,ROW($X53)-ROW($X$15),-1))),IF($C53=0,0,ROUND(SomaAgrup,15-13*$AF$11)))</f>
        <v>130.18</v>
      </c>
      <c r="Y53" s="128" t="s">
        <v>245</v>
      </c>
      <c r="Z53" t="str">
        <f t="shared" ca="1" si="13"/>
        <v>RA</v>
      </c>
      <c r="AA53" s="129">
        <f ca="1">IF($C53="S",IF($Z53="CP",$X53,IF($Z53="RA",(($X53)*QCI!$AA$3),0)),SomaAgrup)</f>
        <v>130.18</v>
      </c>
      <c r="AB53" s="130">
        <f t="shared" ca="1" si="14"/>
        <v>0</v>
      </c>
      <c r="AC53" s="131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t="str">
        <f ca="1">IF(C53&lt;=CRONO.NivelExibicao,MAX($AD$15:OFFSET(AD53,-1,0))+IF($C53&lt;&gt;1,1,MAX(1,COUNTIF(QCI!$A$13:$A$24,OFFSET($E53,-1,0)))),"")</f>
        <v/>
      </c>
      <c r="AE53" s="7" t="str">
        <f ca="1">IF(AND($C53="S",ORÇAMENTO.CodBarra&lt;&gt;""),IF(ORÇAMENTO.Fonte="",ORÇAMENTO.CodBarra,CONCATENATE(ORÇAMENTO.Fonte," ",ORÇAMENTO.CodBarra)))</f>
        <v>Composição 3</v>
      </c>
      <c r="AF53" s="13" t="str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03-2024.xlsm)</v>
      </c>
      <c r="AG53" s="498">
        <f ca="1">ROUND(IF(DESONERACAO="sim",REFERENCIA.Desonerado,REFERENCIA.NaoDesonerado),2)</f>
        <v>0</v>
      </c>
      <c r="AH53" s="499">
        <f t="shared" ca="1" si="15"/>
        <v>0.28170000000000001</v>
      </c>
      <c r="AJ53" s="501">
        <v>3.9</v>
      </c>
      <c r="AL53" s="527"/>
      <c r="AM53" s="381">
        <f t="shared" ca="1" si="0"/>
        <v>130.18</v>
      </c>
      <c r="AN53" s="566">
        <f t="shared" ca="1" si="16"/>
        <v>33.380000000000003</v>
      </c>
    </row>
    <row r="54" spans="1:40" ht="25.5" x14ac:dyDescent="0.2">
      <c r="A54" t="str">
        <f t="shared" si="1"/>
        <v>S</v>
      </c>
      <c r="B54">
        <f t="shared" ca="1" si="2"/>
        <v>3</v>
      </c>
      <c r="C54" t="str">
        <f t="shared" ca="1" si="3"/>
        <v>S</v>
      </c>
      <c r="D54">
        <f t="shared" ca="1" si="4"/>
        <v>0</v>
      </c>
      <c r="E54">
        <f ca="1">IF($C54=1,OFFSET(E54,-1,0)+MAX(1,COUNTIF(QCI!$A$13:$A$24,OFFSET(ORÇAMENTO!E54,-1,0))),OFFSET(E54,-1,0))</f>
        <v>1</v>
      </c>
      <c r="F54">
        <f t="shared" ca="1" si="5"/>
        <v>3</v>
      </c>
      <c r="G54">
        <f t="shared" ca="1" si="6"/>
        <v>1</v>
      </c>
      <c r="H54">
        <f t="shared" ca="1" si="7"/>
        <v>0</v>
      </c>
      <c r="I54">
        <f t="shared" ca="1" si="8"/>
        <v>12</v>
      </c>
      <c r="J54">
        <f t="shared" ca="1" si="9"/>
        <v>0</v>
      </c>
      <c r="K54">
        <f ca="1">IF(OR($C54="S",$C54=0),0,MATCH(OFFSET($D54,0,$C54)+IF($C54&lt;&gt;1,1,COUNTIF(QCI!$A$13:$A$24,ORÇAMENTO!E54)),OFFSET($D54,1,$C54,ROW($C$290)-ROW($C54)),0))</f>
        <v>0</v>
      </c>
      <c r="L54" s="116" t="str">
        <f t="shared" ca="1" si="10"/>
        <v>F</v>
      </c>
      <c r="M54" s="117" t="s">
        <v>199</v>
      </c>
      <c r="N54" s="118" t="str">
        <f t="shared" ca="1" si="11"/>
        <v>Serviço</v>
      </c>
      <c r="O54" s="119" t="str">
        <f t="shared" ca="1" si="12"/>
        <v>1.3.1.12.</v>
      </c>
      <c r="P54" s="120" t="s">
        <v>462</v>
      </c>
      <c r="Q54" s="121" t="s">
        <v>467</v>
      </c>
      <c r="R54" s="122" t="str">
        <f ca="1">IF($C54="S",REFERENCIA.Descricao,"(digite a descrição aqui)")</f>
        <v>(abra o arquivo 'Referência 03-2024.xlsm)</v>
      </c>
      <c r="S54" s="123" t="str">
        <f ca="1">REFERENCIA.Unidade</f>
        <v>-</v>
      </c>
      <c r="T54" s="124">
        <f ca="1">OFFSET(CÁLCULO!H$15,ROW($T54)-ROW(T$15),0)</f>
        <v>3.9</v>
      </c>
      <c r="U54" s="125">
        <v>3.04</v>
      </c>
      <c r="V54" s="126" t="s">
        <v>156</v>
      </c>
      <c r="W54" s="124">
        <f ca="1">IF($C54="S",ROUND(IF(TIPOORCAMENTO="Proposto",ORÇAMENTO.CustoUnitario*(1+$AH54),ORÇAMENTO.PrecoUnitarioLicitado),15-13*$AF$10),0)</f>
        <v>3.9</v>
      </c>
      <c r="X54" s="127">
        <f ca="1">IF($C54="S",IF(Import.TipoArredondamento&lt;&gt;"TransfereGOV",VTOTAL1,SUM(OFFSET(CÁLCULO!$AA$15,ROW($X54)-ROW($X$15),1):OFFSET(CÁLCULO!$AL$15,ROW($X54)-ROW($X$15),-1))),IF($C54=0,0,ROUND(SomaAgrup,15-13*$AF$11)))</f>
        <v>15.21</v>
      </c>
      <c r="Y54" s="128" t="s">
        <v>245</v>
      </c>
      <c r="Z54" t="str">
        <f t="shared" ca="1" si="13"/>
        <v>RA</v>
      </c>
      <c r="AA54" s="129">
        <f ca="1">IF($C54="S",IF($Z54="CP",$X54,IF($Z54="RA",(($X54)*QCI!$AA$3),0)),SomaAgrup)</f>
        <v>15.21</v>
      </c>
      <c r="AB54" s="130">
        <f t="shared" ca="1" si="14"/>
        <v>0</v>
      </c>
      <c r="AC54" s="131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IF(C54&lt;=CRONO.NivelExibicao,MAX($AD$15:OFFSET(AD54,-1,0))+IF($C54&lt;&gt;1,1,MAX(1,COUNTIF(QCI!$A$13:$A$24,OFFSET($E54,-1,0)))),"")</f>
        <v/>
      </c>
      <c r="AE54" s="7" t="str">
        <f ca="1">IF(AND($C54="S",ORÇAMENTO.CodBarra&lt;&gt;""),IF(ORÇAMENTO.Fonte="",ORÇAMENTO.CodBarra,CONCATENATE(ORÇAMENTO.Fonte," ",ORÇAMENTO.CodBarra)))</f>
        <v>Composição 4</v>
      </c>
      <c r="AF54" s="13" t="str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03-2024.xlsm)</v>
      </c>
      <c r="AG54" s="498">
        <f ca="1">ROUND(IF(DESONERACAO="sim",REFERENCIA.Desonerado,REFERENCIA.NaoDesonerado),2)</f>
        <v>0</v>
      </c>
      <c r="AH54" s="499">
        <f t="shared" ca="1" si="15"/>
        <v>0.28170000000000001</v>
      </c>
      <c r="AJ54" s="501">
        <v>3.9</v>
      </c>
      <c r="AL54" s="527"/>
      <c r="AM54" s="381">
        <f t="shared" ca="1" si="0"/>
        <v>15.21</v>
      </c>
      <c r="AN54" s="566">
        <f t="shared" ca="1" si="16"/>
        <v>3.9</v>
      </c>
    </row>
    <row r="55" spans="1:40" ht="25.5" x14ac:dyDescent="0.2">
      <c r="A55" t="str">
        <f t="shared" si="1"/>
        <v>S</v>
      </c>
      <c r="B55">
        <f t="shared" ca="1" si="2"/>
        <v>3</v>
      </c>
      <c r="C55" t="str">
        <f t="shared" ca="1" si="3"/>
        <v>S</v>
      </c>
      <c r="D55">
        <f t="shared" ca="1" si="4"/>
        <v>0</v>
      </c>
      <c r="E55">
        <f ca="1">IF($C55=1,OFFSET(E55,-1,0)+MAX(1,COUNTIF(QCI!$A$13:$A$24,OFFSET(ORÇAMENTO!E55,-1,0))),OFFSET(E55,-1,0))</f>
        <v>1</v>
      </c>
      <c r="F55">
        <f t="shared" ca="1" si="5"/>
        <v>3</v>
      </c>
      <c r="G55">
        <f t="shared" ca="1" si="6"/>
        <v>1</v>
      </c>
      <c r="H55">
        <f t="shared" ca="1" si="7"/>
        <v>0</v>
      </c>
      <c r="I55">
        <f t="shared" ca="1" si="8"/>
        <v>13</v>
      </c>
      <c r="J55">
        <f t="shared" ca="1" si="9"/>
        <v>0</v>
      </c>
      <c r="K55">
        <f ca="1">IF(OR($C55="S",$C55=0),0,MATCH(OFFSET($D55,0,$C55)+IF($C55&lt;&gt;1,1,COUNTIF(QCI!$A$13:$A$24,ORÇAMENTO!E55)),OFFSET($D55,1,$C55,ROW($C$290)-ROW($C55)),0))</f>
        <v>0</v>
      </c>
      <c r="L55" s="116" t="str">
        <f t="shared" ca="1" si="10"/>
        <v>F</v>
      </c>
      <c r="M55" s="117" t="s">
        <v>199</v>
      </c>
      <c r="N55" s="118" t="str">
        <f t="shared" ca="1" si="11"/>
        <v>Serviço</v>
      </c>
      <c r="O55" s="119" t="str">
        <f t="shared" ca="1" si="12"/>
        <v>1.3.1.13.</v>
      </c>
      <c r="P55" s="120" t="s">
        <v>462</v>
      </c>
      <c r="Q55" s="121" t="s">
        <v>468</v>
      </c>
      <c r="R55" s="122" t="str">
        <f ca="1">IF($C55="S",REFERENCIA.Descricao,"(digite a descrição aqui)")</f>
        <v>(abra o arquivo 'Referência 03-2024.xlsm)</v>
      </c>
      <c r="S55" s="123" t="str">
        <f ca="1">REFERENCIA.Unidade</f>
        <v>-</v>
      </c>
      <c r="T55" s="124">
        <f ca="1">OFFSET(CÁLCULO!H$15,ROW($T55)-ROW(T$15),0)</f>
        <v>3.9</v>
      </c>
      <c r="U55" s="125">
        <v>16.100000000000001</v>
      </c>
      <c r="V55" s="126" t="s">
        <v>156</v>
      </c>
      <c r="W55" s="124">
        <f ca="1">IF($C55="S",ROUND(IF(TIPOORCAMENTO="Proposto",ORÇAMENTO.CustoUnitario*(1+$AH55),ORÇAMENTO.PrecoUnitarioLicitado),15-13*$AF$10),0)</f>
        <v>20.64</v>
      </c>
      <c r="X55" s="127">
        <f ca="1">IF($C55="S",IF(Import.TipoArredondamento&lt;&gt;"TransfereGOV",VTOTAL1,SUM(OFFSET(CÁLCULO!$AA$15,ROW($X55)-ROW($X$15),1):OFFSET(CÁLCULO!$AL$15,ROW($X55)-ROW($X$15),-1))),IF($C55=0,0,ROUND(SomaAgrup,15-13*$AF$11)))</f>
        <v>80.5</v>
      </c>
      <c r="Y55" s="128" t="s">
        <v>245</v>
      </c>
      <c r="Z55" t="str">
        <f t="shared" ca="1" si="13"/>
        <v>RA</v>
      </c>
      <c r="AA55" s="129">
        <f ca="1">IF($C55="S",IF($Z55="CP",$X55,IF($Z55="RA",(($X55)*QCI!$AA$3),0)),SomaAgrup)</f>
        <v>80.5</v>
      </c>
      <c r="AB55" s="130">
        <f t="shared" ca="1" si="14"/>
        <v>0</v>
      </c>
      <c r="AC55" s="131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t="str">
        <f ca="1">IF(C55&lt;=CRONO.NivelExibicao,MAX($AD$15:OFFSET(AD55,-1,0))+IF($C55&lt;&gt;1,1,MAX(1,COUNTIF(QCI!$A$13:$A$24,OFFSET($E55,-1,0)))),"")</f>
        <v/>
      </c>
      <c r="AE55" s="7" t="str">
        <f ca="1">IF(AND($C55="S",ORÇAMENTO.CodBarra&lt;&gt;""),IF(ORÇAMENTO.Fonte="",ORÇAMENTO.CodBarra,CONCATENATE(ORÇAMENTO.Fonte," ",ORÇAMENTO.CodBarra)))</f>
        <v>Composição 5</v>
      </c>
      <c r="AF55" s="13" t="str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03-2024.xlsm)</v>
      </c>
      <c r="AG55" s="498">
        <f ca="1">ROUND(IF(DESONERACAO="sim",REFERENCIA.Desonerado,REFERENCIA.NaoDesonerado),2)</f>
        <v>0</v>
      </c>
      <c r="AH55" s="499">
        <f t="shared" ca="1" si="15"/>
        <v>0.28170000000000001</v>
      </c>
      <c r="AJ55" s="501">
        <v>3.9</v>
      </c>
      <c r="AL55" s="527"/>
      <c r="AM55" s="381">
        <f t="shared" ca="1" si="0"/>
        <v>80.5</v>
      </c>
      <c r="AN55" s="566">
        <f t="shared" ca="1" si="16"/>
        <v>20.64</v>
      </c>
    </row>
    <row r="56" spans="1:40" ht="51" x14ac:dyDescent="0.2">
      <c r="A56" t="str">
        <f t="shared" si="1"/>
        <v>S</v>
      </c>
      <c r="B56">
        <f t="shared" ca="1" si="2"/>
        <v>3</v>
      </c>
      <c r="C56" t="str">
        <f t="shared" ca="1" si="3"/>
        <v>S</v>
      </c>
      <c r="D56">
        <f t="shared" ca="1" si="4"/>
        <v>0</v>
      </c>
      <c r="E56">
        <f ca="1">IF($C56=1,OFFSET(E56,-1,0)+MAX(1,COUNTIF(QCI!$A$13:$A$24,OFFSET(ORÇAMENTO!E56,-1,0))),OFFSET(E56,-1,0))</f>
        <v>1</v>
      </c>
      <c r="F56">
        <f t="shared" ca="1" si="5"/>
        <v>3</v>
      </c>
      <c r="G56">
        <f t="shared" ca="1" si="6"/>
        <v>1</v>
      </c>
      <c r="H56">
        <f t="shared" ca="1" si="7"/>
        <v>0</v>
      </c>
      <c r="I56">
        <f t="shared" ca="1" si="8"/>
        <v>14</v>
      </c>
      <c r="J56">
        <f t="shared" ca="1" si="9"/>
        <v>0</v>
      </c>
      <c r="K56">
        <f ca="1">IF(OR($C56="S",$C56=0),0,MATCH(OFFSET($D56,0,$C56)+IF($C56&lt;&gt;1,1,COUNTIF(QCI!$A$13:$A$24,ORÇAMENTO!E56)),OFFSET($D56,1,$C56,ROW($C$290)-ROW($C56)),0))</f>
        <v>0</v>
      </c>
      <c r="L56" s="116" t="str">
        <f t="shared" ca="1" si="10"/>
        <v>F</v>
      </c>
      <c r="M56" s="117" t="s">
        <v>199</v>
      </c>
      <c r="N56" s="118" t="str">
        <f t="shared" ca="1" si="11"/>
        <v>Serviço</v>
      </c>
      <c r="O56" s="119" t="str">
        <f t="shared" ca="1" si="12"/>
        <v>1.3.1.14.</v>
      </c>
      <c r="P56" s="120" t="s">
        <v>462</v>
      </c>
      <c r="Q56" s="121" t="s">
        <v>480</v>
      </c>
      <c r="R56" s="122" t="str">
        <f ca="1">IF($C56="S",REFERENCIA.Descricao,"(digite a descrição aqui)")</f>
        <v>(abra o arquivo 'Referência 03-2024.xlsm)</v>
      </c>
      <c r="S56" s="123" t="str">
        <f ca="1">REFERENCIA.Unidade</f>
        <v>-</v>
      </c>
      <c r="T56" s="124">
        <f ca="1">OFFSET(CÁLCULO!H$15,ROW($T56)-ROW(T$15),0)</f>
        <v>1</v>
      </c>
      <c r="U56" s="125">
        <v>543.79</v>
      </c>
      <c r="V56" s="126" t="s">
        <v>156</v>
      </c>
      <c r="W56" s="124">
        <f ca="1">IF($C56="S",ROUND(IF(TIPOORCAMENTO="Proposto",ORÇAMENTO.CustoUnitario*(1+$AH56),ORÇAMENTO.PrecoUnitarioLicitado),15-13*$AF$10),0)</f>
        <v>696.98</v>
      </c>
      <c r="X56" s="127">
        <f ca="1">IF($C56="S",IF(Import.TipoArredondamento&lt;&gt;"TransfereGOV",VTOTAL1,SUM(OFFSET(CÁLCULO!$AA$15,ROW($X56)-ROW($X$15),1):OFFSET(CÁLCULO!$AL$15,ROW($X56)-ROW($X$15),-1))),IF($C56=0,0,ROUND(SomaAgrup,15-13*$AF$11)))</f>
        <v>696.98</v>
      </c>
      <c r="Y56" s="128" t="s">
        <v>245</v>
      </c>
      <c r="Z56" t="str">
        <f t="shared" ca="1" si="13"/>
        <v>RA</v>
      </c>
      <c r="AA56" s="129">
        <f ca="1">IF($C56="S",IF($Z56="CP",$X56,IF($Z56="RA",(($X56)*QCI!$AA$3),0)),SomaAgrup)</f>
        <v>696.98</v>
      </c>
      <c r="AB56" s="130">
        <f t="shared" ca="1" si="14"/>
        <v>0</v>
      </c>
      <c r="AC56" s="131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t="str">
        <f ca="1">IF(C56&lt;=CRONO.NivelExibicao,MAX($AD$15:OFFSET(AD56,-1,0))+IF($C56&lt;&gt;1,1,MAX(1,COUNTIF(QCI!$A$13:$A$24,OFFSET($E56,-1,0)))),"")</f>
        <v/>
      </c>
      <c r="AE56" s="7" t="str">
        <f ca="1">IF(AND($C56="S",ORÇAMENTO.CodBarra&lt;&gt;""),IF(ORÇAMENTO.Fonte="",ORÇAMENTO.CodBarra,CONCATENATE(ORÇAMENTO.Fonte," ",ORÇAMENTO.CodBarra)))</f>
        <v>Composição 15</v>
      </c>
      <c r="AF56" s="13" t="str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03-2024.xlsm)</v>
      </c>
      <c r="AG56" s="498">
        <f ca="1">ROUND(IF(DESONERACAO="sim",REFERENCIA.Desonerado,REFERENCIA.NaoDesonerado),2)</f>
        <v>0</v>
      </c>
      <c r="AH56" s="499">
        <f t="shared" ca="1" si="15"/>
        <v>0.28170000000000001</v>
      </c>
      <c r="AJ56" s="501">
        <v>1</v>
      </c>
      <c r="AL56" s="527"/>
      <c r="AM56" s="381">
        <f t="shared" ca="1" si="0"/>
        <v>696.98</v>
      </c>
      <c r="AN56" s="566">
        <f t="shared" ca="1" si="16"/>
        <v>696.98</v>
      </c>
    </row>
    <row r="57" spans="1:40" ht="25.5" x14ac:dyDescent="0.2">
      <c r="A57" t="str">
        <f t="shared" si="1"/>
        <v>S</v>
      </c>
      <c r="B57">
        <f t="shared" ca="1" si="2"/>
        <v>3</v>
      </c>
      <c r="C57" t="str">
        <f t="shared" ca="1" si="3"/>
        <v>S</v>
      </c>
      <c r="D57">
        <f t="shared" ca="1" si="4"/>
        <v>0</v>
      </c>
      <c r="E57">
        <f ca="1">IF($C57=1,OFFSET(E57,-1,0)+MAX(1,COUNTIF(QCI!$A$13:$A$24,OFFSET(ORÇAMENTO!E57,-1,0))),OFFSET(E57,-1,0))</f>
        <v>1</v>
      </c>
      <c r="F57">
        <f t="shared" ca="1" si="5"/>
        <v>3</v>
      </c>
      <c r="G57">
        <f t="shared" ca="1" si="6"/>
        <v>1</v>
      </c>
      <c r="H57">
        <f t="shared" ca="1" si="7"/>
        <v>0</v>
      </c>
      <c r="I57">
        <f t="shared" ca="1" si="8"/>
        <v>15</v>
      </c>
      <c r="J57">
        <f t="shared" ca="1" si="9"/>
        <v>0</v>
      </c>
      <c r="K57">
        <f ca="1">IF(OR($C57="S",$C57=0),0,MATCH(OFFSET($D57,0,$C57)+IF($C57&lt;&gt;1,1,COUNTIF(QCI!$A$13:$A$24,ORÇAMENTO!E57)),OFFSET($D57,1,$C57,ROW($C$290)-ROW($C57)),0))</f>
        <v>0</v>
      </c>
      <c r="L57" s="116" t="str">
        <f t="shared" ca="1" si="10"/>
        <v>F</v>
      </c>
      <c r="M57" s="117" t="s">
        <v>199</v>
      </c>
      <c r="N57" s="118" t="str">
        <f t="shared" ca="1" si="11"/>
        <v>Serviço</v>
      </c>
      <c r="O57" s="119" t="str">
        <f t="shared" ca="1" si="12"/>
        <v>1.3.1.15.</v>
      </c>
      <c r="P57" s="120" t="s">
        <v>247</v>
      </c>
      <c r="Q57" s="121" t="s">
        <v>481</v>
      </c>
      <c r="R57" s="122" t="str">
        <f ca="1">IF($C57="S",REFERENCIA.Descricao,"(digite a descrição aqui)")</f>
        <v>(abra o arquivo 'Referência 03-2024.xlsm)</v>
      </c>
      <c r="S57" s="123" t="str">
        <f ca="1">REFERENCIA.Unidade</f>
        <v>-</v>
      </c>
      <c r="T57" s="124">
        <f ca="1">OFFSET(CÁLCULO!H$15,ROW($T57)-ROW(T$15),0)</f>
        <v>1</v>
      </c>
      <c r="U57" s="125">
        <v>12.52</v>
      </c>
      <c r="V57" s="126" t="s">
        <v>156</v>
      </c>
      <c r="W57" s="124">
        <f ca="1">IF($C57="S",ROUND(IF(TIPOORCAMENTO="Proposto",ORÇAMENTO.CustoUnitario*(1+$AH57),ORÇAMENTO.PrecoUnitarioLicitado),15-13*$AF$10),0)</f>
        <v>16.05</v>
      </c>
      <c r="X57" s="127">
        <f ca="1">IF($C57="S",IF(Import.TipoArredondamento&lt;&gt;"TransfereGOV",VTOTAL1,SUM(OFFSET(CÁLCULO!$AA$15,ROW($X57)-ROW($X$15),1):OFFSET(CÁLCULO!$AL$15,ROW($X57)-ROW($X$15),-1))),IF($C57=0,0,ROUND(SomaAgrup,15-13*$AF$11)))</f>
        <v>16.05</v>
      </c>
      <c r="Y57" s="128" t="s">
        <v>245</v>
      </c>
      <c r="Z57" t="str">
        <f t="shared" ca="1" si="13"/>
        <v>RA</v>
      </c>
      <c r="AA57" s="129">
        <f ca="1">IF($C57="S",IF($Z57="CP",$X57,IF($Z57="RA",(($X57)*QCI!$AA$3),0)),SomaAgrup)</f>
        <v>16.05</v>
      </c>
      <c r="AB57" s="130">
        <f t="shared" ca="1" si="14"/>
        <v>0</v>
      </c>
      <c r="AC57" s="131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t="str">
        <f ca="1">IF(C57&lt;=CRONO.NivelExibicao,MAX($AD$15:OFFSET(AD57,-1,0))+IF($C57&lt;&gt;1,1,MAX(1,COUNTIF(QCI!$A$13:$A$24,OFFSET($E57,-1,0)))),"")</f>
        <v/>
      </c>
      <c r="AE57" s="7" t="str">
        <f ca="1">IF(AND($C57="S",ORÇAMENTO.CodBarra&lt;&gt;""),IF(ORÇAMENTO.Fonte="",ORÇAMENTO.CodBarra,CONCATENATE(ORÇAMENTO.Fonte," ",ORÇAMENTO.CodBarra)))</f>
        <v>SINAPI 93655</v>
      </c>
      <c r="AF57" s="13" t="str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(abra o arquivo 'Referência 03-2024.xlsm)</v>
      </c>
      <c r="AG57" s="498">
        <f ca="1">ROUND(IF(DESONERACAO="sim",REFERENCIA.Desonerado,REFERENCIA.NaoDesonerado),2)</f>
        <v>0</v>
      </c>
      <c r="AH57" s="499">
        <f t="shared" ca="1" si="15"/>
        <v>0.28170000000000001</v>
      </c>
      <c r="AJ57" s="501">
        <v>1</v>
      </c>
      <c r="AL57" s="527"/>
      <c r="AM57" s="381">
        <f t="shared" ca="1" si="0"/>
        <v>16.05</v>
      </c>
      <c r="AN57" s="566">
        <f t="shared" ca="1" si="16"/>
        <v>16.05</v>
      </c>
    </row>
    <row r="58" spans="1:40" ht="25.5" x14ac:dyDescent="0.2">
      <c r="A58" t="str">
        <f t="shared" si="1"/>
        <v>S</v>
      </c>
      <c r="B58">
        <f t="shared" ca="1" si="2"/>
        <v>3</v>
      </c>
      <c r="C58" t="str">
        <f t="shared" ca="1" si="3"/>
        <v>S</v>
      </c>
      <c r="D58">
        <f t="shared" ca="1" si="4"/>
        <v>0</v>
      </c>
      <c r="E58">
        <f ca="1">IF($C58=1,OFFSET(E58,-1,0)+MAX(1,COUNTIF(QCI!$A$13:$A$24,OFFSET(ORÇAMENTO!E58,-1,0))),OFFSET(E58,-1,0))</f>
        <v>1</v>
      </c>
      <c r="F58">
        <f t="shared" ca="1" si="5"/>
        <v>3</v>
      </c>
      <c r="G58">
        <f t="shared" ca="1" si="6"/>
        <v>1</v>
      </c>
      <c r="H58">
        <f t="shared" ca="1" si="7"/>
        <v>0</v>
      </c>
      <c r="I58">
        <f t="shared" ca="1" si="8"/>
        <v>16</v>
      </c>
      <c r="J58">
        <f t="shared" ca="1" si="9"/>
        <v>0</v>
      </c>
      <c r="K58">
        <f ca="1">IF(OR($C58="S",$C58=0),0,MATCH(OFFSET($D58,0,$C58)+IF($C58&lt;&gt;1,1,COUNTIF(QCI!$A$13:$A$24,ORÇAMENTO!E58)),OFFSET($D58,1,$C58,ROW($C$290)-ROW($C58)),0))</f>
        <v>0</v>
      </c>
      <c r="L58" s="116" t="str">
        <f t="shared" ca="1" si="10"/>
        <v>F</v>
      </c>
      <c r="M58" s="117" t="s">
        <v>199</v>
      </c>
      <c r="N58" s="118" t="str">
        <f t="shared" ca="1" si="11"/>
        <v>Serviço</v>
      </c>
      <c r="O58" s="119" t="str">
        <f t="shared" ca="1" si="12"/>
        <v>1.3.1.16.</v>
      </c>
      <c r="P58" s="120" t="s">
        <v>247</v>
      </c>
      <c r="Q58" s="121" t="s">
        <v>482</v>
      </c>
      <c r="R58" s="122" t="str">
        <f ca="1">IF($C58="S",REFERENCIA.Descricao,"(digite a descrição aqui)")</f>
        <v>(abra o arquivo 'Referência 03-2024.xlsm)</v>
      </c>
      <c r="S58" s="123" t="str">
        <f ca="1">REFERENCIA.Unidade</f>
        <v>-</v>
      </c>
      <c r="T58" s="124">
        <f ca="1">OFFSET(CÁLCULO!H$15,ROW($T58)-ROW(T$15),0)</f>
        <v>1</v>
      </c>
      <c r="U58" s="125">
        <v>10.7</v>
      </c>
      <c r="V58" s="126" t="s">
        <v>156</v>
      </c>
      <c r="W58" s="124">
        <f ca="1">IF($C58="S",ROUND(IF(TIPOORCAMENTO="Proposto",ORÇAMENTO.CustoUnitario*(1+$AH58),ORÇAMENTO.PrecoUnitarioLicitado),15-13*$AF$10),0)</f>
        <v>13.71</v>
      </c>
      <c r="X58" s="127">
        <f ca="1">IF($C58="S",IF(Import.TipoArredondamento&lt;&gt;"TransfereGOV",VTOTAL1,SUM(OFFSET(CÁLCULO!$AA$15,ROW($X58)-ROW($X$15),1):OFFSET(CÁLCULO!$AL$15,ROW($X58)-ROW($X$15),-1))),IF($C58=0,0,ROUND(SomaAgrup,15-13*$AF$11)))</f>
        <v>13.71</v>
      </c>
      <c r="Y58" s="128" t="s">
        <v>245</v>
      </c>
      <c r="Z58" t="str">
        <f t="shared" ca="1" si="13"/>
        <v>RA</v>
      </c>
      <c r="AA58" s="129">
        <f ca="1">IF($C58="S",IF($Z58="CP",$X58,IF($Z58="RA",(($X58)*QCI!$AA$3),0)),SomaAgrup)</f>
        <v>13.71</v>
      </c>
      <c r="AB58" s="130">
        <f t="shared" ca="1" si="14"/>
        <v>0</v>
      </c>
      <c r="AC58" s="131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t="str">
        <f ca="1">IF(C58&lt;=CRONO.NivelExibicao,MAX($AD$15:OFFSET(AD58,-1,0))+IF($C58&lt;&gt;1,1,MAX(1,COUNTIF(QCI!$A$13:$A$24,OFFSET($E58,-1,0)))),"")</f>
        <v/>
      </c>
      <c r="AE58" s="7" t="str">
        <f ca="1">IF(AND($C58="S",ORÇAMENTO.CodBarra&lt;&gt;""),IF(ORÇAMENTO.Fonte="",ORÇAMENTO.CodBarra,CONCATENATE(ORÇAMENTO.Fonte," ",ORÇAMENTO.CodBarra)))</f>
        <v>SINAPI 93653</v>
      </c>
      <c r="AF58" s="13" t="str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(abra o arquivo 'Referência 03-2024.xlsm)</v>
      </c>
      <c r="AG58" s="498">
        <f ca="1">ROUND(IF(DESONERACAO="sim",REFERENCIA.Desonerado,REFERENCIA.NaoDesonerado),2)</f>
        <v>0</v>
      </c>
      <c r="AH58" s="499">
        <f t="shared" ca="1" si="15"/>
        <v>0.28170000000000001</v>
      </c>
      <c r="AJ58" s="501">
        <v>1</v>
      </c>
      <c r="AL58" s="527"/>
      <c r="AM58" s="381">
        <f t="shared" ca="1" si="0"/>
        <v>13.71</v>
      </c>
      <c r="AN58" s="566">
        <f t="shared" ca="1" si="16"/>
        <v>13.71</v>
      </c>
    </row>
    <row r="59" spans="1:40" ht="25.5" x14ac:dyDescent="0.2">
      <c r="A59" t="str">
        <f t="shared" si="1"/>
        <v>S</v>
      </c>
      <c r="B59">
        <f t="shared" ca="1" si="2"/>
        <v>3</v>
      </c>
      <c r="C59" t="str">
        <f t="shared" ca="1" si="3"/>
        <v>S</v>
      </c>
      <c r="D59">
        <f t="shared" ca="1" si="4"/>
        <v>0</v>
      </c>
      <c r="E59">
        <f ca="1">IF($C59=1,OFFSET(E59,-1,0)+MAX(1,COUNTIF(QCI!$A$13:$A$24,OFFSET(ORÇAMENTO!E59,-1,0))),OFFSET(E59,-1,0))</f>
        <v>1</v>
      </c>
      <c r="F59">
        <f t="shared" ca="1" si="5"/>
        <v>3</v>
      </c>
      <c r="G59">
        <f t="shared" ca="1" si="6"/>
        <v>1</v>
      </c>
      <c r="H59">
        <f t="shared" ca="1" si="7"/>
        <v>0</v>
      </c>
      <c r="I59">
        <f t="shared" ca="1" si="8"/>
        <v>17</v>
      </c>
      <c r="J59">
        <f t="shared" ca="1" si="9"/>
        <v>0</v>
      </c>
      <c r="K59">
        <f ca="1">IF(OR($C59="S",$C59=0),0,MATCH(OFFSET($D59,0,$C59)+IF($C59&lt;&gt;1,1,COUNTIF(QCI!$A$13:$A$24,ORÇAMENTO!E59)),OFFSET($D59,1,$C59,ROW($C$290)-ROW($C59)),0))</f>
        <v>0</v>
      </c>
      <c r="L59" s="116" t="str">
        <f t="shared" ca="1" si="10"/>
        <v>F</v>
      </c>
      <c r="M59" s="117" t="s">
        <v>199</v>
      </c>
      <c r="N59" s="118" t="str">
        <f t="shared" ca="1" si="11"/>
        <v>Serviço</v>
      </c>
      <c r="O59" s="119" t="str">
        <f t="shared" ca="1" si="12"/>
        <v>1.3.1.17.</v>
      </c>
      <c r="P59" s="120" t="s">
        <v>462</v>
      </c>
      <c r="Q59" s="121" t="s">
        <v>483</v>
      </c>
      <c r="R59" s="122" t="str">
        <f ca="1">IF($C59="S",REFERENCIA.Descricao,"(digite a descrição aqui)")</f>
        <v>(abra o arquivo 'Referência 03-2024.xlsm)</v>
      </c>
      <c r="S59" s="123" t="str">
        <f ca="1">REFERENCIA.Unidade</f>
        <v>-</v>
      </c>
      <c r="T59" s="124">
        <f ca="1">OFFSET(CÁLCULO!H$15,ROW($T59)-ROW(T$15),0)</f>
        <v>1</v>
      </c>
      <c r="U59" s="125">
        <v>97.24</v>
      </c>
      <c r="V59" s="126" t="s">
        <v>156</v>
      </c>
      <c r="W59" s="124">
        <f ca="1">IF($C59="S",ROUND(IF(TIPOORCAMENTO="Proposto",ORÇAMENTO.CustoUnitario*(1+$AH59),ORÇAMENTO.PrecoUnitarioLicitado),15-13*$AF$10),0)</f>
        <v>124.63</v>
      </c>
      <c r="X59" s="127">
        <f ca="1">IF($C59="S",IF(Import.TipoArredondamento&lt;&gt;"TransfereGOV",VTOTAL1,SUM(OFFSET(CÁLCULO!$AA$15,ROW($X59)-ROW($X$15),1):OFFSET(CÁLCULO!$AL$15,ROW($X59)-ROW($X$15),-1))),IF($C59=0,0,ROUND(SomaAgrup,15-13*$AF$11)))</f>
        <v>124.63</v>
      </c>
      <c r="Y59" s="128" t="s">
        <v>245</v>
      </c>
      <c r="Z59" t="str">
        <f t="shared" ca="1" si="13"/>
        <v>RA</v>
      </c>
      <c r="AA59" s="129">
        <f ca="1">IF($C59="S",IF($Z59="CP",$X59,IF($Z59="RA",(($X59)*QCI!$AA$3),0)),SomaAgrup)</f>
        <v>124.63</v>
      </c>
      <c r="AB59" s="130">
        <f t="shared" ca="1" si="14"/>
        <v>0</v>
      </c>
      <c r="AC59" s="131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t="str">
        <f ca="1">IF(C59&lt;=CRONO.NivelExibicao,MAX($AD$15:OFFSET(AD59,-1,0))+IF($C59&lt;&gt;1,1,MAX(1,COUNTIF(QCI!$A$13:$A$24,OFFSET($E59,-1,0)))),"")</f>
        <v/>
      </c>
      <c r="AE59" s="7" t="str">
        <f ca="1">IF(AND($C59="S",ORÇAMENTO.CodBarra&lt;&gt;""),IF(ORÇAMENTO.Fonte="",ORÇAMENTO.CodBarra,CONCATENATE(ORÇAMENTO.Fonte," ",ORÇAMENTO.CodBarra)))</f>
        <v>Composição 16</v>
      </c>
      <c r="AF59" s="13" t="str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(abra o arquivo 'Referência 03-2024.xlsm)</v>
      </c>
      <c r="AG59" s="498">
        <f ca="1">ROUND(IF(DESONERACAO="sim",REFERENCIA.Desonerado,REFERENCIA.NaoDesonerado),2)</f>
        <v>0</v>
      </c>
      <c r="AH59" s="499">
        <f t="shared" ca="1" si="15"/>
        <v>0.28170000000000001</v>
      </c>
      <c r="AJ59" s="501">
        <v>1</v>
      </c>
      <c r="AL59" s="527"/>
      <c r="AM59" s="381">
        <f t="shared" ca="1" si="0"/>
        <v>124.63</v>
      </c>
      <c r="AN59" s="566">
        <f t="shared" ca="1" si="16"/>
        <v>124.63</v>
      </c>
    </row>
    <row r="60" spans="1:40" ht="25.5" x14ac:dyDescent="0.2">
      <c r="A60" t="str">
        <f t="shared" si="1"/>
        <v>S</v>
      </c>
      <c r="B60">
        <f t="shared" ca="1" si="2"/>
        <v>3</v>
      </c>
      <c r="C60" t="str">
        <f t="shared" ca="1" si="3"/>
        <v>S</v>
      </c>
      <c r="D60">
        <f t="shared" ca="1" si="4"/>
        <v>0</v>
      </c>
      <c r="E60">
        <f ca="1">IF($C60=1,OFFSET(E60,-1,0)+MAX(1,COUNTIF(QCI!$A$13:$A$24,OFFSET(ORÇAMENTO!E60,-1,0))),OFFSET(E60,-1,0))</f>
        <v>1</v>
      </c>
      <c r="F60">
        <f t="shared" ca="1" si="5"/>
        <v>3</v>
      </c>
      <c r="G60">
        <f t="shared" ca="1" si="6"/>
        <v>1</v>
      </c>
      <c r="H60">
        <f t="shared" ca="1" si="7"/>
        <v>0</v>
      </c>
      <c r="I60">
        <f t="shared" ca="1" si="8"/>
        <v>18</v>
      </c>
      <c r="J60">
        <f t="shared" ca="1" si="9"/>
        <v>0</v>
      </c>
      <c r="K60">
        <f ca="1">IF(OR($C60="S",$C60=0),0,MATCH(OFFSET($D60,0,$C60)+IF($C60&lt;&gt;1,1,COUNTIF(QCI!$A$13:$A$24,ORÇAMENTO!E60)),OFFSET($D60,1,$C60,ROW($C$290)-ROW($C60)),0))</f>
        <v>0</v>
      </c>
      <c r="L60" s="116" t="str">
        <f t="shared" ca="1" si="10"/>
        <v>F</v>
      </c>
      <c r="M60" s="117" t="s">
        <v>199</v>
      </c>
      <c r="N60" s="118" t="str">
        <f t="shared" ca="1" si="11"/>
        <v>Serviço</v>
      </c>
      <c r="O60" s="119" t="str">
        <f t="shared" ca="1" si="12"/>
        <v>1.3.1.18.</v>
      </c>
      <c r="P60" s="120" t="s">
        <v>462</v>
      </c>
      <c r="Q60" s="121" t="s">
        <v>484</v>
      </c>
      <c r="R60" s="122" t="str">
        <f ca="1">IF($C60="S",REFERENCIA.Descricao,"(digite a descrição aqui)")</f>
        <v>(abra o arquivo 'Referência 03-2024.xlsm)</v>
      </c>
      <c r="S60" s="123" t="str">
        <f ca="1">REFERENCIA.Unidade</f>
        <v>-</v>
      </c>
      <c r="T60" s="124">
        <f ca="1">OFFSET(CÁLCULO!H$15,ROW($T60)-ROW(T$15),0)</f>
        <v>1</v>
      </c>
      <c r="U60" s="125">
        <v>154</v>
      </c>
      <c r="V60" s="126" t="s">
        <v>156</v>
      </c>
      <c r="W60" s="124">
        <f ca="1">IF($C60="S",ROUND(IF(TIPOORCAMENTO="Proposto",ORÇAMENTO.CustoUnitario*(1+$AH60),ORÇAMENTO.PrecoUnitarioLicitado),15-13*$AF$10),0)</f>
        <v>197.38</v>
      </c>
      <c r="X60" s="127">
        <f ca="1">IF($C60="S",IF(Import.TipoArredondamento&lt;&gt;"TransfereGOV",VTOTAL1,SUM(OFFSET(CÁLCULO!$AA$15,ROW($X60)-ROW($X$15),1):OFFSET(CÁLCULO!$AL$15,ROW($X60)-ROW($X$15),-1))),IF($C60=0,0,ROUND(SomaAgrup,15-13*$AF$11)))</f>
        <v>197.38</v>
      </c>
      <c r="Y60" s="128" t="s">
        <v>245</v>
      </c>
      <c r="Z60" t="str">
        <f t="shared" ca="1" si="13"/>
        <v>RA</v>
      </c>
      <c r="AA60" s="129">
        <f ca="1">IF($C60="S",IF($Z60="CP",$X60,IF($Z60="RA",(($X60)*QCI!$AA$3),0)),SomaAgrup)</f>
        <v>197.38</v>
      </c>
      <c r="AB60" s="130">
        <f t="shared" ca="1" si="14"/>
        <v>0</v>
      </c>
      <c r="AC60" s="131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 t="str">
        <f ca="1">IF(C60&lt;=CRONO.NivelExibicao,MAX($AD$15:OFFSET(AD60,-1,0))+IF($C60&lt;&gt;1,1,MAX(1,COUNTIF(QCI!$A$13:$A$24,OFFSET($E60,-1,0)))),"")</f>
        <v/>
      </c>
      <c r="AE60" s="7" t="str">
        <f ca="1">IF(AND($C60="S",ORÇAMENTO.CodBarra&lt;&gt;""),IF(ORÇAMENTO.Fonte="",ORÇAMENTO.CodBarra,CONCATENATE(ORÇAMENTO.Fonte," ",ORÇAMENTO.CodBarra)))</f>
        <v>Composição 17</v>
      </c>
      <c r="AF60" s="13" t="str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(abra o arquivo 'Referência 03-2024.xlsm)</v>
      </c>
      <c r="AG60" s="498">
        <f ca="1">ROUND(IF(DESONERACAO="sim",REFERENCIA.Desonerado,REFERENCIA.NaoDesonerado),2)</f>
        <v>0</v>
      </c>
      <c r="AH60" s="499">
        <f t="shared" ca="1" si="15"/>
        <v>0.28170000000000001</v>
      </c>
      <c r="AJ60" s="501">
        <v>1</v>
      </c>
      <c r="AL60" s="527"/>
      <c r="AM60" s="381">
        <f t="shared" ca="1" si="0"/>
        <v>197.38</v>
      </c>
      <c r="AN60" s="566">
        <f t="shared" ca="1" si="16"/>
        <v>197.38</v>
      </c>
    </row>
    <row r="61" spans="1:40" ht="25.5" x14ac:dyDescent="0.2">
      <c r="A61" t="str">
        <f>CHOOSE(1+LOG(1+2*(ORÇAMENTO.Nivel="Meta")+4*(ORÇAMENTO.Nivel="Nível 2")+8*(ORÇAMENTO.Nivel="Nível 3")+16*(ORÇAMENTO.Nivel="Nível 4")+32*(ORÇAMENTO.Nivel="Serviço"),2),0,1,2,3,4,"S")</f>
        <v>S</v>
      </c>
      <c r="B61">
        <f ca="1">IF(OR(C61="s",C61=0),OFFSET(B61,-1,0),C61)</f>
        <v>3</v>
      </c>
      <c r="C61" t="str">
        <f ca="1">IF(OFFSET(C61,-1,0)="L",1,IF(OFFSET(C61,-1,0)=1,2,IF(OR(A61="s",A61=0),"S",IF(AND(OFFSET(C61,-1,0)=2,A61=4),3,IF(AND(OR(OFFSET(C61,-1,0)="s",OFFSET(C61,-1,0)=0),A61&lt;&gt;"s",A61&gt;OFFSET(B61,-1,0)),OFFSET(B61,-1,0),A61)))))</f>
        <v>S</v>
      </c>
      <c r="D61">
        <f ca="1">IF(OR(C61="S",C61=0),0,IF(ISERROR(K61),J61,SMALL(J61:K61,1)))</f>
        <v>0</v>
      </c>
      <c r="E61">
        <f ca="1">IF($C61=1,OFFSET(E61,-1,0)+MAX(1,COUNTIF(QCI!$A$13:$A$24,OFFSET(ORÇAMENTO!E61,-1,0))),OFFSET(E61,-1,0))</f>
        <v>1</v>
      </c>
      <c r="F61">
        <f ca="1">IF($C61=1,0,IF($C61=2,OFFSET(F61,-1,0)+1,OFFSET(F61,-1,0)))</f>
        <v>3</v>
      </c>
      <c r="G61">
        <f ca="1">IF(AND($C61&lt;=2,$C61&lt;&gt;0),0,IF($C61=3,OFFSET(G61,-1,0)+1,OFFSET(G61,-1,0)))</f>
        <v>1</v>
      </c>
      <c r="H61">
        <f ca="1">IF(AND($C61&lt;=3,$C61&lt;&gt;0),0,IF($C61=4,OFFSET(H61,-1,0)+1,OFFSET(H61,-1,0)))</f>
        <v>0</v>
      </c>
      <c r="I61">
        <f ca="1">IF(AND($C61&lt;=4,$C61&lt;&gt;0),0,IF(AND($C61="S",$X61&gt;0),OFFSET(I61,-1,0)+1,OFFSET(I61,-1,0)))</f>
        <v>19</v>
      </c>
      <c r="J61">
        <f t="shared" ca="1" si="9"/>
        <v>0</v>
      </c>
      <c r="K61">
        <f ca="1">IF(OR($C61="S",$C61=0),0,MATCH(OFFSET($D61,0,$C61)+IF($C61&lt;&gt;1,1,COUNTIF(QCI!$A$13:$A$24,ORÇAMENTO!E61)),OFFSET($D61,1,$C61,ROW($C$290)-ROW($C61)),0))</f>
        <v>0</v>
      </c>
      <c r="L61" s="116" t="str">
        <f ca="1">IF(OR($X61&gt;0,$C61=1,$C61=2,$C61=3,$C61=4),"F","")</f>
        <v>F</v>
      </c>
      <c r="M61" s="117" t="s">
        <v>199</v>
      </c>
      <c r="N61" s="118" t="str">
        <f ca="1">CHOOSE(1+LOG(1+2*(C61=1)+4*(C61=2)+8*(C61=3)+16*(C61=4)+32*(C61="S"),2),"","Meta","Nível 2","Nível 3","Nível 4","Serviço")</f>
        <v>Serviço</v>
      </c>
      <c r="O61" s="119" t="str">
        <f ca="1">IF(OR($C61=0,$L61=""),"-",CONCATENATE(E61&amp;".",IF(AND($A$5&gt;=2,$C61&gt;=2),F61&amp;".",""),IF(AND($A$5&gt;=3,$C61&gt;=3),G61&amp;".",""),IF(AND($A$5&gt;=4,$C61&gt;=4),H61&amp;".",""),IF($C61="S",I61&amp;".","")))</f>
        <v>1.3.1.19.</v>
      </c>
      <c r="P61" s="120" t="s">
        <v>462</v>
      </c>
      <c r="Q61" s="121" t="s">
        <v>486</v>
      </c>
      <c r="R61" s="122" t="str">
        <f ca="1">IF($C61="S",REFERENCIA.Descricao,"(digite a descrição aqui)")</f>
        <v>(abra o arquivo 'Referência 03-2024.xlsm)</v>
      </c>
      <c r="S61" s="123" t="str">
        <f ca="1">REFERENCIA.Unidade</f>
        <v>-</v>
      </c>
      <c r="T61" s="124">
        <f ca="1">OFFSET(CÁLCULO!H$15,ROW($T61)-ROW(T$15),0)</f>
        <v>2</v>
      </c>
      <c r="U61" s="125">
        <v>45.27</v>
      </c>
      <c r="V61" s="126" t="s">
        <v>156</v>
      </c>
      <c r="W61" s="124">
        <f ca="1">IF($C61="S",ROUND(IF(TIPOORCAMENTO="Proposto",ORÇAMENTO.CustoUnitario*(1+$AH61),ORÇAMENTO.PrecoUnitarioLicitado),15-13*$AF$10),0)</f>
        <v>58.02</v>
      </c>
      <c r="X61" s="127">
        <f ca="1">IF($C61="S",IF(Import.TipoArredondamento&lt;&gt;"TransfereGOV",VTOTAL1,SUM(OFFSET(CÁLCULO!$AA$15,ROW($X61)-ROW($X$15),1):OFFSET(CÁLCULO!$AL$15,ROW($X61)-ROW($X$15),-1))),IF($C61=0,0,ROUND(SomaAgrup,15-13*$AF$11)))</f>
        <v>116.04</v>
      </c>
      <c r="Y61" s="128" t="s">
        <v>245</v>
      </c>
      <c r="Z61" t="str">
        <f ca="1">IF(AND($C61="S",$X61&gt;0),IF(ISBLANK($Y61),"RA",LEFT($Y61,2)),"")</f>
        <v>RA</v>
      </c>
      <c r="AA61" s="129">
        <f ca="1">IF($C61="S",IF($Z61="CP",$X61,IF($Z61="RA",(($X61)*QCI!$AA$3),0)),SomaAgrup)</f>
        <v>116.04</v>
      </c>
      <c r="AB61" s="130">
        <f ca="1">IF($C61="S",IF($Z61="OU",ROUND($X61,2),0),SomaAgrup)</f>
        <v>0</v>
      </c>
      <c r="AC61" s="131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 t="str">
        <f ca="1">IF(C61&lt;=CRONO.NivelExibicao,MAX($AD$15:OFFSET(AD61,-1,0))+IF($C61&lt;&gt;1,1,MAX(1,COUNTIF(QCI!$A$13:$A$24,OFFSET($E61,-1,0)))),"")</f>
        <v/>
      </c>
      <c r="AE61" s="7" t="str">
        <f ca="1">IF(AND($C61="S",ORÇAMENTO.CodBarra&lt;&gt;""),IF(ORÇAMENTO.Fonte="",ORÇAMENTO.CodBarra,CONCATENATE(ORÇAMENTO.Fonte," ",ORÇAMENTO.CodBarra)))</f>
        <v>Composição 19</v>
      </c>
      <c r="AF61" s="13" t="str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(abra o arquivo 'Referência 03-2024.xlsm)</v>
      </c>
      <c r="AG61" s="498">
        <f ca="1">ROUND(IF(DESONERACAO="sim",REFERENCIA.Desonerado,REFERENCIA.NaoDesonerado),2)</f>
        <v>0</v>
      </c>
      <c r="AH61" s="499">
        <f ca="1">ROUND(IF(ISNUMBER(ORÇAMENTO.OpcaoBDI),ORÇAMENTO.OpcaoBDI,IF(LEFT(ORÇAMENTO.OpcaoBDI,3)="BDI",HLOOKUP(ORÇAMENTO.OpcaoBDI,$F$4:$H$5,2,FALSE),0)),15-11*$AF$9)</f>
        <v>0.28170000000000001</v>
      </c>
      <c r="AJ61" s="501">
        <v>2</v>
      </c>
      <c r="AL61" s="527"/>
      <c r="AM61" s="381">
        <f t="shared" ca="1" si="0"/>
        <v>116.04</v>
      </c>
      <c r="AN61" s="566">
        <f ca="1">ROUND(ORÇAMENTO.CustoUnitario*(1+$AH61),2)</f>
        <v>58.02</v>
      </c>
    </row>
    <row r="62" spans="1:40" ht="38.25" x14ac:dyDescent="0.2">
      <c r="A62" t="str">
        <f t="shared" si="1"/>
        <v>S</v>
      </c>
      <c r="B62">
        <f t="shared" ca="1" si="2"/>
        <v>3</v>
      </c>
      <c r="C62" t="str">
        <f t="shared" ca="1" si="3"/>
        <v>S</v>
      </c>
      <c r="D62">
        <f t="shared" ca="1" si="4"/>
        <v>0</v>
      </c>
      <c r="E62">
        <f ca="1">IF($C62=1,OFFSET(E62,-1,0)+MAX(1,COUNTIF(QCI!$A$13:$A$24,OFFSET(ORÇAMENTO!E62,-1,0))),OFFSET(E62,-1,0))</f>
        <v>1</v>
      </c>
      <c r="F62">
        <f t="shared" ca="1" si="5"/>
        <v>3</v>
      </c>
      <c r="G62">
        <f t="shared" ca="1" si="6"/>
        <v>1</v>
      </c>
      <c r="H62">
        <f t="shared" ca="1" si="7"/>
        <v>0</v>
      </c>
      <c r="I62">
        <f t="shared" ca="1" si="8"/>
        <v>20</v>
      </c>
      <c r="J62">
        <f t="shared" ca="1" si="9"/>
        <v>0</v>
      </c>
      <c r="K62">
        <f ca="1">IF(OR($C62="S",$C62=0),0,MATCH(OFFSET($D62,0,$C62)+IF($C62&lt;&gt;1,1,COUNTIF(QCI!$A$13:$A$24,ORÇAMENTO!E62)),OFFSET($D62,1,$C62,ROW($C$290)-ROW($C62)),0))</f>
        <v>0</v>
      </c>
      <c r="L62" s="116" t="str">
        <f t="shared" ca="1" si="10"/>
        <v>F</v>
      </c>
      <c r="M62" s="117" t="s">
        <v>199</v>
      </c>
      <c r="N62" s="118" t="str">
        <f t="shared" ca="1" si="11"/>
        <v>Serviço</v>
      </c>
      <c r="O62" s="119" t="str">
        <f t="shared" ca="1" si="12"/>
        <v>1.3.1.20.</v>
      </c>
      <c r="P62" s="120" t="s">
        <v>462</v>
      </c>
      <c r="Q62" s="121" t="s">
        <v>485</v>
      </c>
      <c r="R62" s="122" t="str">
        <f ca="1">IF($C62="S",REFERENCIA.Descricao,"(digite a descrição aqui)")</f>
        <v>(abra o arquivo 'Referência 03-2024.xlsm)</v>
      </c>
      <c r="S62" s="123" t="str">
        <f ca="1">REFERENCIA.Unidade</f>
        <v>-</v>
      </c>
      <c r="T62" s="124">
        <f ca="1">OFFSET(CÁLCULO!H$15,ROW($T62)-ROW(T$15),0)</f>
        <v>1</v>
      </c>
      <c r="U62" s="125">
        <v>3242.76</v>
      </c>
      <c r="V62" s="126" t="s">
        <v>156</v>
      </c>
      <c r="W62" s="124">
        <f ca="1">IF($C62="S",ROUND(IF(TIPOORCAMENTO="Proposto",ORÇAMENTO.CustoUnitario*(1+$AH62),ORÇAMENTO.PrecoUnitarioLicitado),15-13*$AF$10),0)</f>
        <v>4156.25</v>
      </c>
      <c r="X62" s="127">
        <f ca="1">IF($C62="S",IF(Import.TipoArredondamento&lt;&gt;"TransfereGOV",VTOTAL1,SUM(OFFSET(CÁLCULO!$AA$15,ROW($X62)-ROW($X$15),1):OFFSET(CÁLCULO!$AL$15,ROW($X62)-ROW($X$15),-1))),IF($C62=0,0,ROUND(SomaAgrup,15-13*$AF$11)))</f>
        <v>4156.25</v>
      </c>
      <c r="Y62" s="128" t="s">
        <v>245</v>
      </c>
      <c r="Z62" t="str">
        <f t="shared" ca="1" si="13"/>
        <v>RA</v>
      </c>
      <c r="AA62" s="129">
        <f ca="1">IF($C62="S",IF($Z62="CP",$X62,IF($Z62="RA",(($X62)*QCI!$AA$3),0)),SomaAgrup)</f>
        <v>4156.25</v>
      </c>
      <c r="AB62" s="130">
        <f t="shared" ca="1" si="14"/>
        <v>0</v>
      </c>
      <c r="AC62" s="131" t="str">
        <f ca="1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 t="str">
        <f ca="1">IF(C62&lt;=CRONO.NivelExibicao,MAX($AD$15:OFFSET(AD62,-1,0))+IF($C62&lt;&gt;1,1,MAX(1,COUNTIF(QCI!$A$13:$A$24,OFFSET($E62,-1,0)))),"")</f>
        <v/>
      </c>
      <c r="AE62" s="7" t="str">
        <f ca="1">IF(AND($C62="S",ORÇAMENTO.CodBarra&lt;&gt;""),IF(ORÇAMENTO.Fonte="",ORÇAMENTO.CodBarra,CONCATENATE(ORÇAMENTO.Fonte," ",ORÇAMENTO.CodBarra)))</f>
        <v>Composição 18</v>
      </c>
      <c r="AF62" s="13" t="str">
        <f ca="1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(abra o arquivo 'Referência 03-2024.xlsm)</v>
      </c>
      <c r="AG62" s="498">
        <f ca="1">ROUND(IF(DESONERACAO="sim",REFERENCIA.Desonerado,REFERENCIA.NaoDesonerado),2)</f>
        <v>0</v>
      </c>
      <c r="AH62" s="499">
        <f t="shared" ca="1" si="15"/>
        <v>0.28170000000000001</v>
      </c>
      <c r="AJ62" s="501">
        <v>1</v>
      </c>
      <c r="AL62" s="527"/>
      <c r="AM62" s="381">
        <f t="shared" ca="1" si="0"/>
        <v>4156.25</v>
      </c>
      <c r="AN62" s="566">
        <f t="shared" ca="1" si="16"/>
        <v>4156.25</v>
      </c>
    </row>
    <row r="63" spans="1:40" ht="38.25" x14ac:dyDescent="0.2">
      <c r="A63" t="str">
        <f t="shared" si="1"/>
        <v>S</v>
      </c>
      <c r="B63">
        <f t="shared" ca="1" si="2"/>
        <v>3</v>
      </c>
      <c r="C63" t="str">
        <f t="shared" ca="1" si="3"/>
        <v>S</v>
      </c>
      <c r="D63">
        <f t="shared" ca="1" si="4"/>
        <v>0</v>
      </c>
      <c r="E63">
        <f ca="1">IF($C63=1,OFFSET(E63,-1,0)+MAX(1,COUNTIF(QCI!$A$13:$A$24,OFFSET(ORÇAMENTO!E63,-1,0))),OFFSET(E63,-1,0))</f>
        <v>1</v>
      </c>
      <c r="F63">
        <f t="shared" ca="1" si="5"/>
        <v>3</v>
      </c>
      <c r="G63">
        <f t="shared" ca="1" si="6"/>
        <v>1</v>
      </c>
      <c r="H63">
        <f t="shared" ca="1" si="7"/>
        <v>0</v>
      </c>
      <c r="I63">
        <f t="shared" ca="1" si="8"/>
        <v>21</v>
      </c>
      <c r="J63">
        <f t="shared" ca="1" si="9"/>
        <v>0</v>
      </c>
      <c r="K63">
        <f ca="1">IF(OR($C63="S",$C63=0),0,MATCH(OFFSET($D63,0,$C63)+IF($C63&lt;&gt;1,1,COUNTIF(QCI!$A$13:$A$24,ORÇAMENTO!E63)),OFFSET($D63,1,$C63,ROW($C$290)-ROW($C63)),0))</f>
        <v>0</v>
      </c>
      <c r="L63" s="116" t="str">
        <f t="shared" ca="1" si="10"/>
        <v>F</v>
      </c>
      <c r="M63" s="117" t="s">
        <v>199</v>
      </c>
      <c r="N63" s="118" t="str">
        <f t="shared" ca="1" si="11"/>
        <v>Serviço</v>
      </c>
      <c r="O63" s="119" t="str">
        <f t="shared" ca="1" si="12"/>
        <v>1.3.1.21.</v>
      </c>
      <c r="P63" s="120" t="s">
        <v>462</v>
      </c>
      <c r="Q63" s="121" t="s">
        <v>487</v>
      </c>
      <c r="R63" s="122" t="str">
        <f ca="1">IF($C63="S",REFERENCIA.Descricao,"(digite a descrição aqui)")</f>
        <v>(abra o arquivo 'Referência 03-2024.xlsm)</v>
      </c>
      <c r="S63" s="123" t="str">
        <f ca="1">REFERENCIA.Unidade</f>
        <v>-</v>
      </c>
      <c r="T63" s="124">
        <f ca="1">OFFSET(CÁLCULO!H$15,ROW($T63)-ROW(T$15),0)</f>
        <v>2</v>
      </c>
      <c r="U63" s="125">
        <v>13.19</v>
      </c>
      <c r="V63" s="126" t="s">
        <v>156</v>
      </c>
      <c r="W63" s="124">
        <f ca="1">IF($C63="S",ROUND(IF(TIPOORCAMENTO="Proposto",ORÇAMENTO.CustoUnitario*(1+$AH63),ORÇAMENTO.PrecoUnitarioLicitado),15-13*$AF$10),0)</f>
        <v>16.91</v>
      </c>
      <c r="X63" s="127">
        <f ca="1">IF($C63="S",IF(Import.TipoArredondamento&lt;&gt;"TransfereGOV",VTOTAL1,SUM(OFFSET(CÁLCULO!$AA$15,ROW($X63)-ROW($X$15),1):OFFSET(CÁLCULO!$AL$15,ROW($X63)-ROW($X$15),-1))),IF($C63=0,0,ROUND(SomaAgrup,15-13*$AF$11)))</f>
        <v>33.82</v>
      </c>
      <c r="Y63" s="128" t="s">
        <v>245</v>
      </c>
      <c r="Z63" t="str">
        <f t="shared" ca="1" si="13"/>
        <v>RA</v>
      </c>
      <c r="AA63" s="129">
        <f ca="1">IF($C63="S",IF($Z63="CP",$X63,IF($Z63="RA",(($X63)*QCI!$AA$3),0)),SomaAgrup)</f>
        <v>33.82</v>
      </c>
      <c r="AB63" s="130">
        <f t="shared" ca="1" si="14"/>
        <v>0</v>
      </c>
      <c r="AC63" s="131" t="str">
        <f ca="1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 t="str">
        <f ca="1">IF(C63&lt;=CRONO.NivelExibicao,MAX($AD$15:OFFSET(AD63,-1,0))+IF($C63&lt;&gt;1,1,MAX(1,COUNTIF(QCI!$A$13:$A$24,OFFSET($E63,-1,0)))),"")</f>
        <v/>
      </c>
      <c r="AE63" s="7" t="str">
        <f ca="1">IF(AND($C63="S",ORÇAMENTO.CodBarra&lt;&gt;""),IF(ORÇAMENTO.Fonte="",ORÇAMENTO.CodBarra,CONCATENATE(ORÇAMENTO.Fonte," ",ORÇAMENTO.CodBarra)))</f>
        <v>Composição 20</v>
      </c>
      <c r="AF63" s="13" t="str">
        <f ca="1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(abra o arquivo 'Referência 03-2024.xlsm)</v>
      </c>
      <c r="AG63" s="498">
        <f ca="1">ROUND(IF(DESONERACAO="sim",REFERENCIA.Desonerado,REFERENCIA.NaoDesonerado),2)</f>
        <v>0</v>
      </c>
      <c r="AH63" s="499">
        <f t="shared" ca="1" si="15"/>
        <v>0.28170000000000001</v>
      </c>
      <c r="AJ63" s="501">
        <v>2</v>
      </c>
      <c r="AL63" s="527"/>
      <c r="AM63" s="381">
        <f t="shared" ca="1" si="0"/>
        <v>33.82</v>
      </c>
      <c r="AN63" s="566">
        <f t="shared" ca="1" si="16"/>
        <v>16.91</v>
      </c>
    </row>
    <row r="64" spans="1:40" x14ac:dyDescent="0.2">
      <c r="A64">
        <f t="shared" si="1"/>
        <v>3</v>
      </c>
      <c r="B64">
        <f t="shared" ca="1" si="2"/>
        <v>3</v>
      </c>
      <c r="C64">
        <f t="shared" ca="1" si="3"/>
        <v>3</v>
      </c>
      <c r="D64">
        <f t="shared" ca="1" si="4"/>
        <v>5</v>
      </c>
      <c r="E64">
        <f ca="1">IF($C64=1,OFFSET(E64,-1,0)+MAX(1,COUNTIF(QCI!$A$13:$A$24,OFFSET(ORÇAMENTO!E64,-1,0))),OFFSET(E64,-1,0))</f>
        <v>1</v>
      </c>
      <c r="F64">
        <f t="shared" ca="1" si="5"/>
        <v>3</v>
      </c>
      <c r="G64">
        <f t="shared" ca="1" si="6"/>
        <v>2</v>
      </c>
      <c r="H64">
        <f t="shared" ca="1" si="7"/>
        <v>0</v>
      </c>
      <c r="I64">
        <f t="shared" ca="1" si="8"/>
        <v>0</v>
      </c>
      <c r="J64">
        <f t="shared" ca="1" si="9"/>
        <v>5</v>
      </c>
      <c r="K64">
        <f ca="1">IF(OR($C64="S",$C64=0),0,MATCH(OFFSET($D64,0,$C64)+IF($C64&lt;&gt;1,1,COUNTIF(QCI!$A$13:$A$24,ORÇAMENTO!E64)),OFFSET($D64,1,$C64,ROW($C$290)-ROW($C64)),0))</f>
        <v>38</v>
      </c>
      <c r="L64" s="116" t="str">
        <f t="shared" ca="1" si="10"/>
        <v>F</v>
      </c>
      <c r="M64" s="117" t="s">
        <v>197</v>
      </c>
      <c r="N64" s="118" t="str">
        <f t="shared" ca="1" si="11"/>
        <v>Nível 3</v>
      </c>
      <c r="O64" s="119" t="str">
        <f t="shared" ca="1" si="12"/>
        <v>1.3.2.</v>
      </c>
      <c r="P64" s="120" t="s">
        <v>247</v>
      </c>
      <c r="Q64" s="121"/>
      <c r="R64" s="122" t="s">
        <v>488</v>
      </c>
      <c r="S64" s="123" t="str">
        <f ca="1">REFERENCIA.Unidade</f>
        <v>-</v>
      </c>
      <c r="T64" s="124">
        <f ca="1">OFFSET(CÁLCULO!H$15,ROW($T64)-ROW(T$15),0)</f>
        <v>0</v>
      </c>
      <c r="U64" s="125">
        <v>0</v>
      </c>
      <c r="V64" s="126" t="s">
        <v>156</v>
      </c>
      <c r="W64" s="124">
        <f ca="1">IF($C64="S",ROUND(IF(TIPOORCAMENTO="Proposto",ORÇAMENTO.CustoUnitario*(1+$AH64),ORÇAMENTO.PrecoUnitarioLicitado),15-13*$AF$10),0)</f>
        <v>0</v>
      </c>
      <c r="X64" s="127">
        <f ca="1">IF($C64="S",IF(Import.TipoArredondamento&lt;&gt;"TransfereGOV",VTOTAL1,SUM(OFFSET(CÁLCULO!$AA$15,ROW($X64)-ROW($X$15),1):OFFSET(CÁLCULO!$AL$15,ROW($X64)-ROW($X$15),-1))),IF($C64=0,0,ROUND(SomaAgrup,15-13*$AF$11)))</f>
        <v>1783.62</v>
      </c>
      <c r="Y64" s="128" t="s">
        <v>245</v>
      </c>
      <c r="Z64" t="str">
        <f t="shared" ca="1" si="13"/>
        <v/>
      </c>
      <c r="AA64" s="129">
        <f ca="1">IF($C64="S",IF($Z64="CP",$X64,IF($Z64="RA",(($X64)*QCI!$AA$3),0)),SomaAgrup)</f>
        <v>1783.62</v>
      </c>
      <c r="AB64" s="130">
        <f t="shared" ca="1" si="14"/>
        <v>0</v>
      </c>
      <c r="AC64" s="131" t="str">
        <f ca="1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>
        <f ca="1">IF(C64&lt;=CRONO.NivelExibicao,MAX($AD$15:OFFSET(AD64,-1,0))+IF($C64&lt;&gt;1,1,MAX(1,COUNTIF(QCI!$A$13:$A$24,OFFSET($E64,-1,0)))),"")</f>
        <v>6</v>
      </c>
      <c r="AE64" s="7" t="b">
        <f ca="1">IF(AND($C64="S",ORÇAMENTO.CodBarra&lt;&gt;""),IF(ORÇAMENTO.Fonte="",ORÇAMENTO.CodBarra,CONCATENATE(ORÇAMENTO.Fonte," ",ORÇAMENTO.CodBarra)))</f>
        <v>0</v>
      </c>
      <c r="AF64" s="13" t="str">
        <f ca="1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(abra o arquivo 'Referência 03-2024.xlsm)</v>
      </c>
      <c r="AG64" s="498">
        <f ca="1">ROUND(IF(DESONERACAO="sim",REFERENCIA.Desonerado,REFERENCIA.NaoDesonerado),2)</f>
        <v>0</v>
      </c>
      <c r="AH64" s="499">
        <f t="shared" ca="1" si="15"/>
        <v>0.28170000000000001</v>
      </c>
      <c r="AJ64" s="501"/>
      <c r="AL64" s="527"/>
      <c r="AM64" s="381">
        <f t="shared" ca="1" si="0"/>
        <v>1783.62</v>
      </c>
      <c r="AN64" s="566">
        <f t="shared" ca="1" si="16"/>
        <v>0</v>
      </c>
    </row>
    <row r="65" spans="1:40" ht="25.5" x14ac:dyDescent="0.2">
      <c r="A65" t="str">
        <f t="shared" si="1"/>
        <v>S</v>
      </c>
      <c r="B65">
        <f t="shared" ca="1" si="2"/>
        <v>3</v>
      </c>
      <c r="C65" t="str">
        <f t="shared" ca="1" si="3"/>
        <v>S</v>
      </c>
      <c r="D65">
        <f t="shared" ca="1" si="4"/>
        <v>0</v>
      </c>
      <c r="E65">
        <f ca="1">IF($C65=1,OFFSET(E65,-1,0)+MAX(1,COUNTIF(QCI!$A$13:$A$24,OFFSET(ORÇAMENTO!E65,-1,0))),OFFSET(E65,-1,0))</f>
        <v>1</v>
      </c>
      <c r="F65">
        <f t="shared" ca="1" si="5"/>
        <v>3</v>
      </c>
      <c r="G65">
        <f t="shared" ca="1" si="6"/>
        <v>2</v>
      </c>
      <c r="H65">
        <f t="shared" ca="1" si="7"/>
        <v>0</v>
      </c>
      <c r="I65">
        <f t="shared" ca="1" si="8"/>
        <v>1</v>
      </c>
      <c r="J65">
        <f t="shared" ca="1" si="9"/>
        <v>0</v>
      </c>
      <c r="K65">
        <f ca="1">IF(OR($C65="S",$C65=0),0,MATCH(OFFSET($D65,0,$C65)+IF($C65&lt;&gt;1,1,COUNTIF(QCI!$A$13:$A$24,ORÇAMENTO!E65)),OFFSET($D65,1,$C65,ROW($C$290)-ROW($C65)),0))</f>
        <v>0</v>
      </c>
      <c r="L65" s="116" t="str">
        <f t="shared" ca="1" si="10"/>
        <v>F</v>
      </c>
      <c r="M65" s="117" t="s">
        <v>199</v>
      </c>
      <c r="N65" s="118" t="str">
        <f t="shared" ca="1" si="11"/>
        <v>Serviço</v>
      </c>
      <c r="O65" s="119" t="str">
        <f t="shared" ca="1" si="12"/>
        <v>1.3.2.1.</v>
      </c>
      <c r="P65" s="120" t="s">
        <v>247</v>
      </c>
      <c r="Q65" s="121" t="s">
        <v>459</v>
      </c>
      <c r="R65" s="122" t="str">
        <f ca="1">IF($C65="S",REFERENCIA.Descricao,"(digite a descrição aqui)")</f>
        <v>(abra o arquivo 'Referência 03-2024.xlsm)</v>
      </c>
      <c r="S65" s="123" t="str">
        <f ca="1">REFERENCIA.Unidade</f>
        <v>-</v>
      </c>
      <c r="T65" s="124">
        <f ca="1">OFFSET(CÁLCULO!H$15,ROW($T65)-ROW(T$15),0)</f>
        <v>0.72</v>
      </c>
      <c r="U65" s="125">
        <v>79.430000000000007</v>
      </c>
      <c r="V65" s="126" t="s">
        <v>156</v>
      </c>
      <c r="W65" s="124">
        <f ca="1">IF($C65="S",ROUND(IF(TIPOORCAMENTO="Proposto",ORÇAMENTO.CustoUnitario*(1+$AH65),ORÇAMENTO.PrecoUnitarioLicitado),15-13*$AF$10),0)</f>
        <v>101.81</v>
      </c>
      <c r="X65" s="127">
        <f ca="1">IF($C65="S",IF(Import.TipoArredondamento&lt;&gt;"TransfereGOV",VTOTAL1,SUM(OFFSET(CÁLCULO!$AA$15,ROW($X65)-ROW($X$15),1):OFFSET(CÁLCULO!$AL$15,ROW($X65)-ROW($X$15),-1))),IF($C65=0,0,ROUND(SomaAgrup,15-13*$AF$11)))</f>
        <v>73.3</v>
      </c>
      <c r="Y65" s="128" t="s">
        <v>245</v>
      </c>
      <c r="Z65" t="str">
        <f t="shared" ca="1" si="13"/>
        <v>RA</v>
      </c>
      <c r="AA65" s="129">
        <f ca="1">IF($C65="S",IF($Z65="CP",$X65,IF($Z65="RA",(($X65)*QCI!$AA$3),0)),SomaAgrup)</f>
        <v>73.3</v>
      </c>
      <c r="AB65" s="130">
        <f t="shared" ca="1" si="14"/>
        <v>0</v>
      </c>
      <c r="AC65" s="131" t="str">
        <f ca="1">IF($N65="","",IF(ORÇAMENTO.Descricao="","DESCRIÇÃO",IF(AND($C65="S",ORÇAMENTO.Unidade=""),"UNIDADE",IF($X65&lt;0,"VALOR NEGATIVO",IF(OR(AND(TIPOORCAMENTO="Proposto",$AG65&lt;&gt;"",$AG65&gt;0,ORÇAMENTO.CustoUnitario&gt;$AG65),AND(TIPOORCAMENTO="LICITADO",ORÇAMENTO.PrecoUnitarioLicitado&gt;$AN65)),"ACIMA REF.","")))))</f>
        <v/>
      </c>
      <c r="AD65" t="str">
        <f ca="1">IF(C65&lt;=CRONO.NivelExibicao,MAX($AD$15:OFFSET(AD65,-1,0))+IF($C65&lt;&gt;1,1,MAX(1,COUNTIF(QCI!$A$13:$A$24,OFFSET($E65,-1,0)))),"")</f>
        <v/>
      </c>
      <c r="AE65" s="7" t="str">
        <f ca="1">IF(AND($C65="S",ORÇAMENTO.CodBarra&lt;&gt;""),IF(ORÇAMENTO.Fonte="",ORÇAMENTO.CodBarra,CONCATENATE(ORÇAMENTO.Fonte," ",ORÇAMENTO.CodBarra)))</f>
        <v>SINAPI 93358</v>
      </c>
      <c r="AF65" s="13" t="str">
        <f ca="1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(abra o arquivo 'Referência 03-2024.xlsm)</v>
      </c>
      <c r="AG65" s="498">
        <f ca="1">ROUND(IF(DESONERACAO="sim",REFERENCIA.Desonerado,REFERENCIA.NaoDesonerado),2)</f>
        <v>0</v>
      </c>
      <c r="AH65" s="499">
        <f t="shared" ca="1" si="15"/>
        <v>0.28170000000000001</v>
      </c>
      <c r="AJ65" s="501">
        <v>0.72</v>
      </c>
      <c r="AL65" s="527"/>
      <c r="AM65" s="381">
        <f t="shared" ca="1" si="0"/>
        <v>73.3</v>
      </c>
      <c r="AN65" s="566">
        <f t="shared" ca="1" si="16"/>
        <v>101.81</v>
      </c>
    </row>
    <row r="66" spans="1:40" ht="25.5" x14ac:dyDescent="0.2">
      <c r="A66" t="str">
        <f t="shared" si="1"/>
        <v>S</v>
      </c>
      <c r="B66">
        <f t="shared" ca="1" si="2"/>
        <v>3</v>
      </c>
      <c r="C66" t="str">
        <f t="shared" ca="1" si="3"/>
        <v>S</v>
      </c>
      <c r="D66">
        <f t="shared" ca="1" si="4"/>
        <v>0</v>
      </c>
      <c r="E66">
        <f ca="1">IF($C66=1,OFFSET(E66,-1,0)+MAX(1,COUNTIF(QCI!$A$13:$A$24,OFFSET(ORÇAMENTO!E66,-1,0))),OFFSET(E66,-1,0))</f>
        <v>1</v>
      </c>
      <c r="F66">
        <f t="shared" ca="1" si="5"/>
        <v>3</v>
      </c>
      <c r="G66">
        <f t="shared" ca="1" si="6"/>
        <v>2</v>
      </c>
      <c r="H66">
        <f t="shared" ca="1" si="7"/>
        <v>0</v>
      </c>
      <c r="I66">
        <f t="shared" ca="1" si="8"/>
        <v>2</v>
      </c>
      <c r="J66">
        <f t="shared" ca="1" si="9"/>
        <v>0</v>
      </c>
      <c r="K66">
        <f ca="1">IF(OR($C66="S",$C66=0),0,MATCH(OFFSET($D66,0,$C66)+IF($C66&lt;&gt;1,1,COUNTIF(QCI!$A$13:$A$24,ORÇAMENTO!E66)),OFFSET($D66,1,$C66,ROW($C$290)-ROW($C66)),0))</f>
        <v>0</v>
      </c>
      <c r="L66" s="116" t="str">
        <f t="shared" ca="1" si="10"/>
        <v>F</v>
      </c>
      <c r="M66" s="117" t="s">
        <v>199</v>
      </c>
      <c r="N66" s="118" t="str">
        <f t="shared" ca="1" si="11"/>
        <v>Serviço</v>
      </c>
      <c r="O66" s="119" t="str">
        <f t="shared" ca="1" si="12"/>
        <v>1.3.2.2.</v>
      </c>
      <c r="P66" s="120" t="s">
        <v>247</v>
      </c>
      <c r="Q66" s="121" t="s">
        <v>490</v>
      </c>
      <c r="R66" s="122" t="str">
        <f ca="1">IF($C66="S",REFERENCIA.Descricao,"(digite a descrição aqui)")</f>
        <v>(abra o arquivo 'Referência 03-2024.xlsm)</v>
      </c>
      <c r="S66" s="123" t="str">
        <f ca="1">REFERENCIA.Unidade</f>
        <v>-</v>
      </c>
      <c r="T66" s="124">
        <f ca="1">OFFSET(CÁLCULO!H$15,ROW($T66)-ROW(T$15),0)</f>
        <v>12</v>
      </c>
      <c r="U66" s="125">
        <v>51.09</v>
      </c>
      <c r="V66" s="126" t="s">
        <v>156</v>
      </c>
      <c r="W66" s="124">
        <f ca="1">IF($C66="S",ROUND(IF(TIPOORCAMENTO="Proposto",ORÇAMENTO.CustoUnitario*(1+$AH66),ORÇAMENTO.PrecoUnitarioLicitado),15-13*$AF$10),0)</f>
        <v>65.48</v>
      </c>
      <c r="X66" s="127">
        <f ca="1">IF($C66="S",IF(Import.TipoArredondamento&lt;&gt;"TransfereGOV",VTOTAL1,SUM(OFFSET(CÁLCULO!$AA$15,ROW($X66)-ROW($X$15),1):OFFSET(CÁLCULO!$AL$15,ROW($X66)-ROW($X$15),-1))),IF($C66=0,0,ROUND(SomaAgrup,15-13*$AF$11)))</f>
        <v>785.76</v>
      </c>
      <c r="Y66" s="128" t="s">
        <v>245</v>
      </c>
      <c r="Z66" t="str">
        <f t="shared" ca="1" si="13"/>
        <v>RA</v>
      </c>
      <c r="AA66" s="129">
        <f ca="1">IF($C66="S",IF($Z66="CP",$X66,IF($Z66="RA",(($X66)*QCI!$AA$3),0)),SomaAgrup)</f>
        <v>785.76</v>
      </c>
      <c r="AB66" s="130">
        <f t="shared" ca="1" si="14"/>
        <v>0</v>
      </c>
      <c r="AC66" s="131" t="str">
        <f ca="1">IF($N66="","",IF(ORÇAMENTO.Descricao="","DESCRIÇÃO",IF(AND($C66="S",ORÇAMENTO.Unidade=""),"UNIDADE",IF($X66&lt;0,"VALOR NEGATIVO",IF(OR(AND(TIPOORCAMENTO="Proposto",$AG66&lt;&gt;"",$AG66&gt;0,ORÇAMENTO.CustoUnitario&gt;$AG66),AND(TIPOORCAMENTO="LICITADO",ORÇAMENTO.PrecoUnitarioLicitado&gt;$AN66)),"ACIMA REF.","")))))</f>
        <v/>
      </c>
      <c r="AD66" t="str">
        <f ca="1">IF(C66&lt;=CRONO.NivelExibicao,MAX($AD$15:OFFSET(AD66,-1,0))+IF($C66&lt;&gt;1,1,MAX(1,COUNTIF(QCI!$A$13:$A$24,OFFSET($E66,-1,0)))),"")</f>
        <v/>
      </c>
      <c r="AE66" s="7" t="str">
        <f ca="1">IF(AND($C66="S",ORÇAMENTO.CodBarra&lt;&gt;""),IF(ORÇAMENTO.Fonte="",ORÇAMENTO.CodBarra,CONCATENATE(ORÇAMENTO.Fonte," ",ORÇAMENTO.CodBarra)))</f>
        <v>SINAPI 96977</v>
      </c>
      <c r="AF66" s="13" t="str">
        <f ca="1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(abra o arquivo 'Referência 03-2024.xlsm)</v>
      </c>
      <c r="AG66" s="498">
        <f ca="1">ROUND(IF(DESONERACAO="sim",REFERENCIA.Desonerado,REFERENCIA.NaoDesonerado),2)</f>
        <v>0</v>
      </c>
      <c r="AH66" s="499">
        <f t="shared" ca="1" si="15"/>
        <v>0.28170000000000001</v>
      </c>
      <c r="AJ66" s="501">
        <v>12</v>
      </c>
      <c r="AL66" s="527"/>
      <c r="AM66" s="381">
        <f t="shared" ca="1" si="0"/>
        <v>785.76</v>
      </c>
      <c r="AN66" s="566">
        <f t="shared" ca="1" si="16"/>
        <v>65.48</v>
      </c>
    </row>
    <row r="67" spans="1:40" ht="25.5" x14ac:dyDescent="0.2">
      <c r="A67" t="str">
        <f t="shared" si="1"/>
        <v>S</v>
      </c>
      <c r="B67">
        <f t="shared" ca="1" si="2"/>
        <v>3</v>
      </c>
      <c r="C67" t="str">
        <f t="shared" ca="1" si="3"/>
        <v>S</v>
      </c>
      <c r="D67">
        <f t="shared" ca="1" si="4"/>
        <v>0</v>
      </c>
      <c r="E67">
        <f ca="1">IF($C67=1,OFFSET(E67,-1,0)+MAX(1,COUNTIF(QCI!$A$13:$A$24,OFFSET(ORÇAMENTO!E67,-1,0))),OFFSET(E67,-1,0))</f>
        <v>1</v>
      </c>
      <c r="F67">
        <f t="shared" ca="1" si="5"/>
        <v>3</v>
      </c>
      <c r="G67">
        <f t="shared" ca="1" si="6"/>
        <v>2</v>
      </c>
      <c r="H67">
        <f t="shared" ca="1" si="7"/>
        <v>0</v>
      </c>
      <c r="I67">
        <f t="shared" ca="1" si="8"/>
        <v>3</v>
      </c>
      <c r="J67">
        <f t="shared" ca="1" si="9"/>
        <v>0</v>
      </c>
      <c r="K67">
        <f ca="1">IF(OR($C67="S",$C67=0),0,MATCH(OFFSET($D67,0,$C67)+IF($C67&lt;&gt;1,1,COUNTIF(QCI!$A$13:$A$24,ORÇAMENTO!E67)),OFFSET($D67,1,$C67,ROW($C$290)-ROW($C67)),0))</f>
        <v>0</v>
      </c>
      <c r="L67" s="116" t="str">
        <f t="shared" ca="1" si="10"/>
        <v>F</v>
      </c>
      <c r="M67" s="117" t="s">
        <v>199</v>
      </c>
      <c r="N67" s="118" t="str">
        <f t="shared" ca="1" si="11"/>
        <v>Serviço</v>
      </c>
      <c r="O67" s="119" t="str">
        <f t="shared" ca="1" si="12"/>
        <v>1.3.2.3.</v>
      </c>
      <c r="P67" s="120" t="s">
        <v>462</v>
      </c>
      <c r="Q67" s="121" t="s">
        <v>491</v>
      </c>
      <c r="R67" s="122" t="str">
        <f ca="1">IF($C67="S",REFERENCIA.Descricao,"(digite a descrição aqui)")</f>
        <v>(abra o arquivo 'Referência 03-2024.xlsm)</v>
      </c>
      <c r="S67" s="123" t="str">
        <f ca="1">REFERENCIA.Unidade</f>
        <v>-</v>
      </c>
      <c r="T67" s="124">
        <f ca="1">OFFSET(CÁLCULO!H$15,ROW($T67)-ROW(T$15),0)</f>
        <v>4</v>
      </c>
      <c r="U67" s="125">
        <v>135.07</v>
      </c>
      <c r="V67" s="126" t="s">
        <v>156</v>
      </c>
      <c r="W67" s="124">
        <f ca="1">IF($C67="S",ROUND(IF(TIPOORCAMENTO="Proposto",ORÇAMENTO.CustoUnitario*(1+$AH67),ORÇAMENTO.PrecoUnitarioLicitado),15-13*$AF$10),0)</f>
        <v>173.12</v>
      </c>
      <c r="X67" s="127">
        <f ca="1">IF($C67="S",IF(Import.TipoArredondamento&lt;&gt;"TransfereGOV",VTOTAL1,SUM(OFFSET(CÁLCULO!$AA$15,ROW($X67)-ROW($X$15),1):OFFSET(CÁLCULO!$AL$15,ROW($X67)-ROW($X$15),-1))),IF($C67=0,0,ROUND(SomaAgrup,15-13*$AF$11)))</f>
        <v>692.48</v>
      </c>
      <c r="Y67" s="128" t="s">
        <v>245</v>
      </c>
      <c r="Z67" t="str">
        <f t="shared" ca="1" si="13"/>
        <v>RA</v>
      </c>
      <c r="AA67" s="129">
        <f ca="1">IF($C67="S",IF($Z67="CP",$X67,IF($Z67="RA",(($X67)*QCI!$AA$3),0)),SomaAgrup)</f>
        <v>692.48</v>
      </c>
      <c r="AB67" s="130">
        <f t="shared" ca="1" si="14"/>
        <v>0</v>
      </c>
      <c r="AC67" s="131" t="str">
        <f ca="1">IF($N67="","",IF(ORÇAMENTO.Descricao="","DESCRIÇÃO",IF(AND($C67="S",ORÇAMENTO.Unidade=""),"UNIDADE",IF($X67&lt;0,"VALOR NEGATIVO",IF(OR(AND(TIPOORCAMENTO="Proposto",$AG67&lt;&gt;"",$AG67&gt;0,ORÇAMENTO.CustoUnitario&gt;$AG67),AND(TIPOORCAMENTO="LICITADO",ORÇAMENTO.PrecoUnitarioLicitado&gt;$AN67)),"ACIMA REF.","")))))</f>
        <v/>
      </c>
      <c r="AD67" t="str">
        <f ca="1">IF(C67&lt;=CRONO.NivelExibicao,MAX($AD$15:OFFSET(AD67,-1,0))+IF($C67&lt;&gt;1,1,MAX(1,COUNTIF(QCI!$A$13:$A$24,OFFSET($E67,-1,0)))),"")</f>
        <v/>
      </c>
      <c r="AE67" s="7" t="str">
        <f ca="1">IF(AND($C67="S",ORÇAMENTO.CodBarra&lt;&gt;""),IF(ORÇAMENTO.Fonte="",ORÇAMENTO.CodBarra,CONCATENATE(ORÇAMENTO.Fonte," ",ORÇAMENTO.CodBarra)))</f>
        <v>Composição 21</v>
      </c>
      <c r="AF67" s="13" t="str">
        <f ca="1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(abra o arquivo 'Referência 03-2024.xlsm)</v>
      </c>
      <c r="AG67" s="498">
        <f ca="1">ROUND(IF(DESONERACAO="sim",REFERENCIA.Desonerado,REFERENCIA.NaoDesonerado),2)</f>
        <v>0</v>
      </c>
      <c r="AH67" s="499">
        <f t="shared" ca="1" si="15"/>
        <v>0.28170000000000001</v>
      </c>
      <c r="AJ67" s="501">
        <v>4</v>
      </c>
      <c r="AL67" s="527"/>
      <c r="AM67" s="381">
        <f t="shared" ca="1" si="0"/>
        <v>692.48</v>
      </c>
      <c r="AN67" s="566">
        <f t="shared" ca="1" si="16"/>
        <v>173.12</v>
      </c>
    </row>
    <row r="68" spans="1:40" ht="25.5" x14ac:dyDescent="0.2">
      <c r="A68" t="str">
        <f t="shared" si="1"/>
        <v>S</v>
      </c>
      <c r="B68">
        <f t="shared" ca="1" si="2"/>
        <v>3</v>
      </c>
      <c r="C68" t="str">
        <f t="shared" ca="1" si="3"/>
        <v>S</v>
      </c>
      <c r="D68">
        <f t="shared" ca="1" si="4"/>
        <v>0</v>
      </c>
      <c r="E68">
        <f ca="1">IF($C68=1,OFFSET(E68,-1,0)+MAX(1,COUNTIF(QCI!$A$13:$A$24,OFFSET(ORÇAMENTO!E68,-1,0))),OFFSET(E68,-1,0))</f>
        <v>1</v>
      </c>
      <c r="F68">
        <f t="shared" ca="1" si="5"/>
        <v>3</v>
      </c>
      <c r="G68">
        <f t="shared" ca="1" si="6"/>
        <v>2</v>
      </c>
      <c r="H68">
        <f t="shared" ca="1" si="7"/>
        <v>0</v>
      </c>
      <c r="I68">
        <f t="shared" ca="1" si="8"/>
        <v>4</v>
      </c>
      <c r="J68">
        <f t="shared" ca="1" si="9"/>
        <v>0</v>
      </c>
      <c r="K68">
        <f ca="1">IF(OR($C68="S",$C68=0),0,MATCH(OFFSET($D68,0,$C68)+IF($C68&lt;&gt;1,1,COUNTIF(QCI!$A$13:$A$24,ORÇAMENTO!E68)),OFFSET($D68,1,$C68,ROW($C$290)-ROW($C68)),0))</f>
        <v>0</v>
      </c>
      <c r="L68" s="116" t="str">
        <f t="shared" ca="1" si="10"/>
        <v>F</v>
      </c>
      <c r="M68" s="117" t="s">
        <v>199</v>
      </c>
      <c r="N68" s="118" t="str">
        <f t="shared" ca="1" si="11"/>
        <v>Serviço</v>
      </c>
      <c r="O68" s="119" t="str">
        <f t="shared" ca="1" si="12"/>
        <v>1.3.2.4.</v>
      </c>
      <c r="P68" s="120" t="s">
        <v>462</v>
      </c>
      <c r="Q68" s="121" t="s">
        <v>486</v>
      </c>
      <c r="R68" s="122" t="str">
        <f ca="1">IF($C68="S",REFERENCIA.Descricao,"(digite a descrição aqui)")</f>
        <v>(abra o arquivo 'Referência 03-2024.xlsm)</v>
      </c>
      <c r="S68" s="123" t="str">
        <f ca="1">REFERENCIA.Unidade</f>
        <v>-</v>
      </c>
      <c r="T68" s="124">
        <f ca="1">OFFSET(CÁLCULO!H$15,ROW($T68)-ROW(T$15),0)</f>
        <v>4</v>
      </c>
      <c r="U68" s="125">
        <v>45.27</v>
      </c>
      <c r="V68" s="126" t="s">
        <v>156</v>
      </c>
      <c r="W68" s="124">
        <f ca="1">IF($C68="S",ROUND(IF(TIPOORCAMENTO="Proposto",ORÇAMENTO.CustoUnitario*(1+$AH68),ORÇAMENTO.PrecoUnitarioLicitado),15-13*$AF$10),0)</f>
        <v>58.02</v>
      </c>
      <c r="X68" s="127">
        <f ca="1">IF($C68="S",IF(Import.TipoArredondamento&lt;&gt;"TransfereGOV",VTOTAL1,SUM(OFFSET(CÁLCULO!$AA$15,ROW($X68)-ROW($X$15),1):OFFSET(CÁLCULO!$AL$15,ROW($X68)-ROW($X$15),-1))),IF($C68=0,0,ROUND(SomaAgrup,15-13*$AF$11)))</f>
        <v>232.08</v>
      </c>
      <c r="Y68" s="128" t="s">
        <v>245</v>
      </c>
      <c r="Z68" t="str">
        <f t="shared" ca="1" si="13"/>
        <v>RA</v>
      </c>
      <c r="AA68" s="129">
        <f ca="1">IF($C68="S",IF($Z68="CP",$X68,IF($Z68="RA",(($X68)*QCI!$AA$3),0)),SomaAgrup)</f>
        <v>232.08</v>
      </c>
      <c r="AB68" s="130">
        <f t="shared" ca="1" si="14"/>
        <v>0</v>
      </c>
      <c r="AC68" s="131" t="str">
        <f ca="1">IF($N68="","",IF(ORÇAMENTO.Descricao="","DESCRIÇÃO",IF(AND($C68="S",ORÇAMENTO.Unidade=""),"UNIDADE",IF($X68&lt;0,"VALOR NEGATIVO",IF(OR(AND(TIPOORCAMENTO="Proposto",$AG68&lt;&gt;"",$AG68&gt;0,ORÇAMENTO.CustoUnitario&gt;$AG68),AND(TIPOORCAMENTO="LICITADO",ORÇAMENTO.PrecoUnitarioLicitado&gt;$AN68)),"ACIMA REF.","")))))</f>
        <v/>
      </c>
      <c r="AD68" t="str">
        <f ca="1">IF(C68&lt;=CRONO.NivelExibicao,MAX($AD$15:OFFSET(AD68,-1,0))+IF($C68&lt;&gt;1,1,MAX(1,COUNTIF(QCI!$A$13:$A$24,OFFSET($E68,-1,0)))),"")</f>
        <v/>
      </c>
      <c r="AE68" s="7" t="str">
        <f ca="1">IF(AND($C68="S",ORÇAMENTO.CodBarra&lt;&gt;""),IF(ORÇAMENTO.Fonte="",ORÇAMENTO.CodBarra,CONCATENATE(ORÇAMENTO.Fonte," ",ORÇAMENTO.CodBarra)))</f>
        <v>Composição 19</v>
      </c>
      <c r="AF68" s="13" t="str">
        <f ca="1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(abra o arquivo 'Referência 03-2024.xlsm)</v>
      </c>
      <c r="AG68" s="498">
        <f ca="1">ROUND(IF(DESONERACAO="sim",REFERENCIA.Desonerado,REFERENCIA.NaoDesonerado),2)</f>
        <v>0</v>
      </c>
      <c r="AH68" s="499">
        <f t="shared" ca="1" si="15"/>
        <v>0.28170000000000001</v>
      </c>
      <c r="AJ68" s="501">
        <v>4</v>
      </c>
      <c r="AL68" s="527"/>
      <c r="AM68" s="381">
        <f t="shared" ca="1" si="0"/>
        <v>232.08</v>
      </c>
      <c r="AN68" s="566">
        <f t="shared" ca="1" si="16"/>
        <v>58.02</v>
      </c>
    </row>
    <row r="69" spans="1:40" ht="25.5" x14ac:dyDescent="0.2">
      <c r="A69">
        <f t="shared" si="1"/>
        <v>2</v>
      </c>
      <c r="B69">
        <f t="shared" ca="1" si="2"/>
        <v>2</v>
      </c>
      <c r="C69">
        <f t="shared" ca="1" si="3"/>
        <v>2</v>
      </c>
      <c r="D69">
        <f t="shared" ca="1" si="4"/>
        <v>12</v>
      </c>
      <c r="E69">
        <f ca="1">IF($C69=1,OFFSET(E69,-1,0)+MAX(1,COUNTIF(QCI!$A$13:$A$24,OFFSET(ORÇAMENTO!E69,-1,0))),OFFSET(E69,-1,0))</f>
        <v>1</v>
      </c>
      <c r="F69">
        <f t="shared" ca="1" si="5"/>
        <v>4</v>
      </c>
      <c r="G69">
        <f t="shared" ca="1" si="6"/>
        <v>0</v>
      </c>
      <c r="H69">
        <f t="shared" ca="1" si="7"/>
        <v>0</v>
      </c>
      <c r="I69">
        <f t="shared" ca="1" si="8"/>
        <v>0</v>
      </c>
      <c r="J69">
        <f t="shared" ca="1" si="9"/>
        <v>221</v>
      </c>
      <c r="K69">
        <f ca="1">IF(OR($C69="S",$C69=0),0,MATCH(OFFSET($D69,0,$C69)+IF($C69&lt;&gt;1,1,COUNTIF(QCI!$A$13:$A$24,ORÇAMENTO!E69)),OFFSET($D69,1,$C69,ROW($C$290)-ROW($C69)),0))</f>
        <v>12</v>
      </c>
      <c r="L69" s="116" t="str">
        <f t="shared" ca="1" si="10"/>
        <v>F</v>
      </c>
      <c r="M69" s="117" t="s">
        <v>196</v>
      </c>
      <c r="N69" s="118" t="str">
        <f t="shared" ca="1" si="11"/>
        <v>Nível 2</v>
      </c>
      <c r="O69" s="119" t="str">
        <f t="shared" ca="1" si="12"/>
        <v>1.4.</v>
      </c>
      <c r="P69" s="120" t="s">
        <v>247</v>
      </c>
      <c r="Q69" s="121"/>
      <c r="R69" s="122" t="s">
        <v>500</v>
      </c>
      <c r="S69" s="123" t="str">
        <f ca="1">REFERENCIA.Unidade</f>
        <v>-</v>
      </c>
      <c r="T69" s="124">
        <f ca="1">OFFSET(CÁLCULO!H$15,ROW($T69)-ROW(T$15),0)</f>
        <v>0</v>
      </c>
      <c r="U69" s="125">
        <v>0</v>
      </c>
      <c r="V69" s="126" t="s">
        <v>156</v>
      </c>
      <c r="W69" s="124">
        <f ca="1">IF($C69="S",ROUND(IF(TIPOORCAMENTO="Proposto",ORÇAMENTO.CustoUnitario*(1+$AH69),ORÇAMENTO.PrecoUnitarioLicitado),15-13*$AF$10),0)</f>
        <v>0</v>
      </c>
      <c r="X69" s="127">
        <f ca="1">IF($C69="S",IF(Import.TipoArredondamento&lt;&gt;"TransfereGOV",VTOTAL1,SUM(OFFSET(CÁLCULO!$AA$15,ROW($X69)-ROW($X$15),1):OFFSET(CÁLCULO!$AL$15,ROW($X69)-ROW($X$15),-1))),IF($C69=0,0,ROUND(SomaAgrup,15-13*$AF$11)))</f>
        <v>50681.16</v>
      </c>
      <c r="Y69" s="128" t="s">
        <v>245</v>
      </c>
      <c r="Z69" t="str">
        <f t="shared" ca="1" si="13"/>
        <v/>
      </c>
      <c r="AA69" s="129">
        <f ca="1">IF($C69="S",IF($Z69="CP",$X69,IF($Z69="RA",(($X69)*QCI!$AA$3),0)),SomaAgrup)</f>
        <v>50681.159999999989</v>
      </c>
      <c r="AB69" s="130">
        <f t="shared" ca="1" si="14"/>
        <v>0</v>
      </c>
      <c r="AC69" s="131" t="str">
        <f ca="1">IF($N69="","",IF(ORÇAMENTO.Descricao="","DESCRIÇÃO",IF(AND($C69="S",ORÇAMENTO.Unidade=""),"UNIDADE",IF($X69&lt;0,"VALOR NEGATIVO",IF(OR(AND(TIPOORCAMENTO="Proposto",$AG69&lt;&gt;"",$AG69&gt;0,ORÇAMENTO.CustoUnitario&gt;$AG69),AND(TIPOORCAMENTO="LICITADO",ORÇAMENTO.PrecoUnitarioLicitado&gt;$AN69)),"ACIMA REF.","")))))</f>
        <v/>
      </c>
      <c r="AD69">
        <f ca="1">IF(C69&lt;=CRONO.NivelExibicao,MAX($AD$15:OFFSET(AD69,-1,0))+IF($C69&lt;&gt;1,1,MAX(1,COUNTIF(QCI!$A$13:$A$24,OFFSET($E69,-1,0)))),"")</f>
        <v>7</v>
      </c>
      <c r="AE69" s="7" t="b">
        <f ca="1">IF(AND($C69="S",ORÇAMENTO.CodBarra&lt;&gt;""),IF(ORÇAMENTO.Fonte="",ORÇAMENTO.CodBarra,CONCATENATE(ORÇAMENTO.Fonte," ",ORÇAMENTO.CodBarra)))</f>
        <v>0</v>
      </c>
      <c r="AF69" s="13" t="str">
        <f ca="1">IF(ISERROR(INDIRECT(ORÇAMENTO.BancoRef)),"(abra o arquivo 'Referência "&amp;Excel_BuiltIn_Database&amp;".xlsm)",IF(OR($C69&lt;&gt;"S",ORÇAMENTO.CodBarra=""),"(Sem Código)",IF(ISERROR(MATCH($AE69,INDIRECT(ORÇAMENTO.BancoRef),0)),"(Código não identificado nas referências)",MATCH($AE69,INDIRECT(ORÇAMENTO.BancoRef),0))))</f>
        <v>(abra o arquivo 'Referência 03-2024.xlsm)</v>
      </c>
      <c r="AG69" s="498">
        <f ca="1">ROUND(IF(DESONERACAO="sim",REFERENCIA.Desonerado,REFERENCIA.NaoDesonerado),2)</f>
        <v>0</v>
      </c>
      <c r="AH69" s="499">
        <f t="shared" ca="1" si="15"/>
        <v>0.28170000000000001</v>
      </c>
      <c r="AJ69" s="501"/>
      <c r="AL69" s="527"/>
      <c r="AM69" s="381">
        <f t="shared" ca="1" si="0"/>
        <v>50681.16</v>
      </c>
      <c r="AN69" s="566">
        <f t="shared" ca="1" si="16"/>
        <v>0</v>
      </c>
    </row>
    <row r="70" spans="1:40" ht="63.75" x14ac:dyDescent="0.2">
      <c r="A70" t="str">
        <f t="shared" si="1"/>
        <v>S</v>
      </c>
      <c r="B70">
        <f t="shared" ca="1" si="2"/>
        <v>2</v>
      </c>
      <c r="C70" t="str">
        <f t="shared" ca="1" si="3"/>
        <v>S</v>
      </c>
      <c r="D70">
        <f t="shared" ca="1" si="4"/>
        <v>0</v>
      </c>
      <c r="E70">
        <f ca="1">IF($C70=1,OFFSET(E70,-1,0)+MAX(1,COUNTIF(QCI!$A$13:$A$24,OFFSET(ORÇAMENTO!E70,-1,0))),OFFSET(E70,-1,0))</f>
        <v>1</v>
      </c>
      <c r="F70">
        <f t="shared" ca="1" si="5"/>
        <v>4</v>
      </c>
      <c r="G70">
        <f t="shared" ca="1" si="6"/>
        <v>0</v>
      </c>
      <c r="H70">
        <f t="shared" ca="1" si="7"/>
        <v>0</v>
      </c>
      <c r="I70">
        <f t="shared" ca="1" si="8"/>
        <v>1</v>
      </c>
      <c r="J70">
        <f t="shared" ca="1" si="9"/>
        <v>0</v>
      </c>
      <c r="K70">
        <f ca="1">IF(OR($C70="S",$C70=0),0,MATCH(OFFSET($D70,0,$C70)+IF($C70&lt;&gt;1,1,COUNTIF(QCI!$A$13:$A$24,ORÇAMENTO!E70)),OFFSET($D70,1,$C70,ROW($C$290)-ROW($C70)),0))</f>
        <v>0</v>
      </c>
      <c r="L70" s="116" t="str">
        <f t="shared" ca="1" si="10"/>
        <v>F</v>
      </c>
      <c r="M70" s="117" t="s">
        <v>199</v>
      </c>
      <c r="N70" s="118" t="str">
        <f t="shared" ca="1" si="11"/>
        <v>Serviço</v>
      </c>
      <c r="O70" s="119" t="str">
        <f t="shared" ca="1" si="12"/>
        <v>1.4.0.1.</v>
      </c>
      <c r="P70" s="120" t="s">
        <v>462</v>
      </c>
      <c r="Q70" s="121" t="s">
        <v>501</v>
      </c>
      <c r="R70" s="122" t="str">
        <f ca="1">IF($C70="S",REFERENCIA.Descricao,"(digite a descrição aqui)")</f>
        <v>(abra o arquivo 'Referência 03-2024.xlsm)</v>
      </c>
      <c r="S70" s="123" t="str">
        <f ca="1">REFERENCIA.Unidade</f>
        <v>-</v>
      </c>
      <c r="T70" s="124">
        <f ca="1">OFFSET(CÁLCULO!H$15,ROW($T70)-ROW(T$15),0)</f>
        <v>12</v>
      </c>
      <c r="U70" s="125">
        <v>250.17</v>
      </c>
      <c r="V70" s="126" t="s">
        <v>156</v>
      </c>
      <c r="W70" s="124">
        <f ca="1">IF($C70="S",ROUND(IF(TIPOORCAMENTO="Proposto",ORÇAMENTO.CustoUnitario*(1+$AH70),ORÇAMENTO.PrecoUnitarioLicitado),15-13*$AF$10),0)</f>
        <v>320.64</v>
      </c>
      <c r="X70" s="127">
        <f ca="1">IF($C70="S",IF(Import.TipoArredondamento&lt;&gt;"TransfereGOV",VTOTAL1,SUM(OFFSET(CÁLCULO!$AA$15,ROW($X70)-ROW($X$15),1):OFFSET(CÁLCULO!$AL$15,ROW($X70)-ROW($X$15),-1))),IF($C70=0,0,ROUND(SomaAgrup,15-13*$AF$11)))</f>
        <v>3847.68</v>
      </c>
      <c r="Y70" s="128" t="s">
        <v>245</v>
      </c>
      <c r="Z70" t="str">
        <f t="shared" ca="1" si="13"/>
        <v>RA</v>
      </c>
      <c r="AA70" s="129">
        <f ca="1">IF($C70="S",IF($Z70="CP",$X70,IF($Z70="RA",(($X70)*QCI!$AA$3),0)),SomaAgrup)</f>
        <v>3847.68</v>
      </c>
      <c r="AB70" s="130">
        <f t="shared" ca="1" si="14"/>
        <v>0</v>
      </c>
      <c r="AC70" s="131" t="str">
        <f ca="1">IF($N70="","",IF(ORÇAMENTO.Descricao="","DESCRIÇÃO",IF(AND($C70="S",ORÇAMENTO.Unidade=""),"UNIDADE",IF($X70&lt;0,"VALOR NEGATIVO",IF(OR(AND(TIPOORCAMENTO="Proposto",$AG70&lt;&gt;"",$AG70&gt;0,ORÇAMENTO.CustoUnitario&gt;$AG70),AND(TIPOORCAMENTO="LICITADO",ORÇAMENTO.PrecoUnitarioLicitado&gt;$AN70)),"ACIMA REF.","")))))</f>
        <v/>
      </c>
      <c r="AD70" t="str">
        <f ca="1">IF(C70&lt;=CRONO.NivelExibicao,MAX($AD$15:OFFSET(AD70,-1,0))+IF($C70&lt;&gt;1,1,MAX(1,COUNTIF(QCI!$A$13:$A$24,OFFSET($E70,-1,0)))),"")</f>
        <v/>
      </c>
      <c r="AE70" s="7" t="str">
        <f ca="1">IF(AND($C70="S",ORÇAMENTO.CodBarra&lt;&gt;""),IF(ORÇAMENTO.Fonte="",ORÇAMENTO.CodBarra,CONCATENATE(ORÇAMENTO.Fonte," ",ORÇAMENTO.CodBarra)))</f>
        <v>Composição 28</v>
      </c>
      <c r="AF70" s="13" t="str">
        <f ca="1">IF(ISERROR(INDIRECT(ORÇAMENTO.BancoRef)),"(abra o arquivo 'Referência "&amp;Excel_BuiltIn_Database&amp;".xlsm)",IF(OR($C70&lt;&gt;"S",ORÇAMENTO.CodBarra=""),"(Sem Código)",IF(ISERROR(MATCH($AE70,INDIRECT(ORÇAMENTO.BancoRef),0)),"(Código não identificado nas referências)",MATCH($AE70,INDIRECT(ORÇAMENTO.BancoRef),0))))</f>
        <v>(abra o arquivo 'Referência 03-2024.xlsm)</v>
      </c>
      <c r="AG70" s="498">
        <f ca="1">ROUND(IF(DESONERACAO="sim",REFERENCIA.Desonerado,REFERENCIA.NaoDesonerado),2)</f>
        <v>0</v>
      </c>
      <c r="AH70" s="499">
        <f t="shared" ca="1" si="15"/>
        <v>0.28170000000000001</v>
      </c>
      <c r="AJ70" s="501">
        <v>12</v>
      </c>
      <c r="AL70" s="527"/>
      <c r="AM70" s="381">
        <f t="shared" ca="1" si="0"/>
        <v>3847.68</v>
      </c>
      <c r="AN70" s="566">
        <f t="shared" ca="1" si="16"/>
        <v>320.64</v>
      </c>
    </row>
    <row r="71" spans="1:40" ht="51" x14ac:dyDescent="0.2">
      <c r="A71" t="str">
        <f t="shared" si="1"/>
        <v>S</v>
      </c>
      <c r="B71">
        <f t="shared" ca="1" si="2"/>
        <v>2</v>
      </c>
      <c r="C71" t="str">
        <f t="shared" ca="1" si="3"/>
        <v>S</v>
      </c>
      <c r="D71">
        <f t="shared" ca="1" si="4"/>
        <v>0</v>
      </c>
      <c r="E71">
        <f ca="1">IF($C71=1,OFFSET(E71,-1,0)+MAX(1,COUNTIF(QCI!$A$13:$A$24,OFFSET(ORÇAMENTO!E71,-1,0))),OFFSET(E71,-1,0))</f>
        <v>1</v>
      </c>
      <c r="F71">
        <f t="shared" ca="1" si="5"/>
        <v>4</v>
      </c>
      <c r="G71">
        <f t="shared" ca="1" si="6"/>
        <v>0</v>
      </c>
      <c r="H71">
        <f t="shared" ca="1" si="7"/>
        <v>0</v>
      </c>
      <c r="I71">
        <f t="shared" ca="1" si="8"/>
        <v>2</v>
      </c>
      <c r="J71">
        <f t="shared" ca="1" si="9"/>
        <v>0</v>
      </c>
      <c r="K71">
        <f ca="1">IF(OR($C71="S",$C71=0),0,MATCH(OFFSET($D71,0,$C71)+IF($C71&lt;&gt;1,1,COUNTIF(QCI!$A$13:$A$24,ORÇAMENTO!E71)),OFFSET($D71,1,$C71,ROW($C$290)-ROW($C71)),0))</f>
        <v>0</v>
      </c>
      <c r="L71" s="116" t="str">
        <f t="shared" ca="1" si="10"/>
        <v>F</v>
      </c>
      <c r="M71" s="117" t="s">
        <v>199</v>
      </c>
      <c r="N71" s="118" t="str">
        <f t="shared" ca="1" si="11"/>
        <v>Serviço</v>
      </c>
      <c r="O71" s="119" t="str">
        <f t="shared" ca="1" si="12"/>
        <v>1.4.0.2.</v>
      </c>
      <c r="P71" s="120" t="s">
        <v>462</v>
      </c>
      <c r="Q71" s="121" t="s">
        <v>502</v>
      </c>
      <c r="R71" s="122" t="str">
        <f ca="1">IF($C71="S",REFERENCIA.Descricao,"(digite a descrição aqui)")</f>
        <v>(abra o arquivo 'Referência 03-2024.xlsm)</v>
      </c>
      <c r="S71" s="123" t="str">
        <f ca="1">REFERENCIA.Unidade</f>
        <v>-</v>
      </c>
      <c r="T71" s="124">
        <f ca="1">OFFSET(CÁLCULO!H$15,ROW($T71)-ROW(T$15),0)</f>
        <v>5</v>
      </c>
      <c r="U71" s="125">
        <v>1849.95</v>
      </c>
      <c r="V71" s="126" t="s">
        <v>156</v>
      </c>
      <c r="W71" s="124">
        <f ca="1">IF($C71="S",ROUND(IF(TIPOORCAMENTO="Proposto",ORÇAMENTO.CustoUnitario*(1+$AH71),ORÇAMENTO.PrecoUnitarioLicitado),15-13*$AF$10),0)</f>
        <v>2371.08</v>
      </c>
      <c r="X71" s="127">
        <f ca="1">IF($C71="S",IF(Import.TipoArredondamento&lt;&gt;"TransfereGOV",VTOTAL1,SUM(OFFSET(CÁLCULO!$AA$15,ROW($X71)-ROW($X$15),1):OFFSET(CÁLCULO!$AL$15,ROW($X71)-ROW($X$15),-1))),IF($C71=0,0,ROUND(SomaAgrup,15-13*$AF$11)))</f>
        <v>11855.4</v>
      </c>
      <c r="Y71" s="128" t="s">
        <v>245</v>
      </c>
      <c r="Z71" t="str">
        <f t="shared" ca="1" si="13"/>
        <v>RA</v>
      </c>
      <c r="AA71" s="129">
        <f ca="1">IF($C71="S",IF($Z71="CP",$X71,IF($Z71="RA",(($X71)*QCI!$AA$3),0)),SomaAgrup)</f>
        <v>11855.4</v>
      </c>
      <c r="AB71" s="130">
        <f t="shared" ca="1" si="14"/>
        <v>0</v>
      </c>
      <c r="AC71" s="131" t="str">
        <f ca="1">IF($N71="","",IF(ORÇAMENTO.Descricao="","DESCRIÇÃO",IF(AND($C71="S",ORÇAMENTO.Unidade=""),"UNIDADE",IF($X71&lt;0,"VALOR NEGATIVO",IF(OR(AND(TIPOORCAMENTO="Proposto",$AG71&lt;&gt;"",$AG71&gt;0,ORÇAMENTO.CustoUnitario&gt;$AG71),AND(TIPOORCAMENTO="LICITADO",ORÇAMENTO.PrecoUnitarioLicitado&gt;$AN71)),"ACIMA REF.","")))))</f>
        <v/>
      </c>
      <c r="AD71" t="str">
        <f ca="1">IF(C71&lt;=CRONO.NivelExibicao,MAX($AD$15:OFFSET(AD71,-1,0))+IF($C71&lt;&gt;1,1,MAX(1,COUNTIF(QCI!$A$13:$A$24,OFFSET($E71,-1,0)))),"")</f>
        <v/>
      </c>
      <c r="AE71" s="7" t="str">
        <f ca="1">IF(AND($C71="S",ORÇAMENTO.CodBarra&lt;&gt;""),IF(ORÇAMENTO.Fonte="",ORÇAMENTO.CodBarra,CONCATENATE(ORÇAMENTO.Fonte," ",ORÇAMENTO.CodBarra)))</f>
        <v>Composição 29</v>
      </c>
      <c r="AF71" s="13" t="str">
        <f ca="1">IF(ISERROR(INDIRECT(ORÇAMENTO.BancoRef)),"(abra o arquivo 'Referência "&amp;Excel_BuiltIn_Database&amp;".xlsm)",IF(OR($C71&lt;&gt;"S",ORÇAMENTO.CodBarra=""),"(Sem Código)",IF(ISERROR(MATCH($AE71,INDIRECT(ORÇAMENTO.BancoRef),0)),"(Código não identificado nas referências)",MATCH($AE71,INDIRECT(ORÇAMENTO.BancoRef),0))))</f>
        <v>(abra o arquivo 'Referência 03-2024.xlsm)</v>
      </c>
      <c r="AG71" s="498">
        <f ca="1">ROUND(IF(DESONERACAO="sim",REFERENCIA.Desonerado,REFERENCIA.NaoDesonerado),2)</f>
        <v>0</v>
      </c>
      <c r="AH71" s="499">
        <f t="shared" ca="1" si="15"/>
        <v>0.28170000000000001</v>
      </c>
      <c r="AJ71" s="501">
        <v>5</v>
      </c>
      <c r="AL71" s="527"/>
      <c r="AM71" s="381">
        <f t="shared" ca="1" si="0"/>
        <v>11855.4</v>
      </c>
      <c r="AN71" s="566">
        <f t="shared" ca="1" si="16"/>
        <v>2371.08</v>
      </c>
    </row>
    <row r="72" spans="1:40" ht="51" x14ac:dyDescent="0.2">
      <c r="A72" t="str">
        <f t="shared" si="1"/>
        <v>S</v>
      </c>
      <c r="B72">
        <f t="shared" ca="1" si="2"/>
        <v>2</v>
      </c>
      <c r="C72" t="str">
        <f t="shared" ca="1" si="3"/>
        <v>S</v>
      </c>
      <c r="D72">
        <f t="shared" ca="1" si="4"/>
        <v>0</v>
      </c>
      <c r="E72">
        <f ca="1">IF($C72=1,OFFSET(E72,-1,0)+MAX(1,COUNTIF(QCI!$A$13:$A$24,OFFSET(ORÇAMENTO!E72,-1,0))),OFFSET(E72,-1,0))</f>
        <v>1</v>
      </c>
      <c r="F72">
        <f t="shared" ca="1" si="5"/>
        <v>4</v>
      </c>
      <c r="G72">
        <f t="shared" ca="1" si="6"/>
        <v>0</v>
      </c>
      <c r="H72">
        <f t="shared" ca="1" si="7"/>
        <v>0</v>
      </c>
      <c r="I72">
        <f t="shared" ca="1" si="8"/>
        <v>3</v>
      </c>
      <c r="J72">
        <f t="shared" ca="1" si="9"/>
        <v>0</v>
      </c>
      <c r="K72">
        <f ca="1">IF(OR($C72="S",$C72=0),0,MATCH(OFFSET($D72,0,$C72)+IF($C72&lt;&gt;1,1,COUNTIF(QCI!$A$13:$A$24,ORÇAMENTO!E72)),OFFSET($D72,1,$C72,ROW($C$290)-ROW($C72)),0))</f>
        <v>0</v>
      </c>
      <c r="L72" s="116" t="str">
        <f t="shared" ca="1" si="10"/>
        <v>F</v>
      </c>
      <c r="M72" s="117" t="s">
        <v>199</v>
      </c>
      <c r="N72" s="118" t="str">
        <f t="shared" ca="1" si="11"/>
        <v>Serviço</v>
      </c>
      <c r="O72" s="119" t="str">
        <f t="shared" ca="1" si="12"/>
        <v>1.4.0.3.</v>
      </c>
      <c r="P72" s="120" t="s">
        <v>462</v>
      </c>
      <c r="Q72" s="121" t="s">
        <v>503</v>
      </c>
      <c r="R72" s="122" t="str">
        <f ca="1">IF($C72="S",REFERENCIA.Descricao,"(digite a descrição aqui)")</f>
        <v>(abra o arquivo 'Referência 03-2024.xlsm)</v>
      </c>
      <c r="S72" s="123" t="str">
        <f ca="1">REFERENCIA.Unidade</f>
        <v>-</v>
      </c>
      <c r="T72" s="124">
        <f ca="1">OFFSET(CÁLCULO!H$15,ROW($T72)-ROW(T$15),0)</f>
        <v>6</v>
      </c>
      <c r="U72" s="125">
        <v>2549.3200000000002</v>
      </c>
      <c r="V72" s="126" t="s">
        <v>156</v>
      </c>
      <c r="W72" s="124">
        <f ca="1">IF($C72="S",ROUND(IF(TIPOORCAMENTO="Proposto",ORÇAMENTO.CustoUnitario*(1+$AH72),ORÇAMENTO.PrecoUnitarioLicitado),15-13*$AF$10),0)</f>
        <v>3267.46</v>
      </c>
      <c r="X72" s="127">
        <f ca="1">IF($C72="S",IF(Import.TipoArredondamento&lt;&gt;"TransfereGOV",VTOTAL1,SUM(OFFSET(CÁLCULO!$AA$15,ROW($X72)-ROW($X$15),1):OFFSET(CÁLCULO!$AL$15,ROW($X72)-ROW($X$15),-1))),IF($C72=0,0,ROUND(SomaAgrup,15-13*$AF$11)))</f>
        <v>19604.759999999998</v>
      </c>
      <c r="Y72" s="128" t="s">
        <v>245</v>
      </c>
      <c r="Z72" t="str">
        <f t="shared" ca="1" si="13"/>
        <v>RA</v>
      </c>
      <c r="AA72" s="129">
        <f ca="1">IF($C72="S",IF($Z72="CP",$X72,IF($Z72="RA",(($X72)*QCI!$AA$3),0)),SomaAgrup)</f>
        <v>19604.759999999998</v>
      </c>
      <c r="AB72" s="130">
        <f t="shared" ca="1" si="14"/>
        <v>0</v>
      </c>
      <c r="AC72" s="131" t="str">
        <f ca="1">IF($N72="","",IF(ORÇAMENTO.Descricao="","DESCRIÇÃO",IF(AND($C72="S",ORÇAMENTO.Unidade=""),"UNIDADE",IF($X72&lt;0,"VALOR NEGATIVO",IF(OR(AND(TIPOORCAMENTO="Proposto",$AG72&lt;&gt;"",$AG72&gt;0,ORÇAMENTO.CustoUnitario&gt;$AG72),AND(TIPOORCAMENTO="LICITADO",ORÇAMENTO.PrecoUnitarioLicitado&gt;$AN72)),"ACIMA REF.","")))))</f>
        <v/>
      </c>
      <c r="AD72" t="str">
        <f ca="1">IF(C72&lt;=CRONO.NivelExibicao,MAX($AD$15:OFFSET(AD72,-1,0))+IF($C72&lt;&gt;1,1,MAX(1,COUNTIF(QCI!$A$13:$A$24,OFFSET($E72,-1,0)))),"")</f>
        <v/>
      </c>
      <c r="AE72" s="7" t="str">
        <f ca="1">IF(AND($C72="S",ORÇAMENTO.CodBarra&lt;&gt;""),IF(ORÇAMENTO.Fonte="",ORÇAMENTO.CodBarra,CONCATENATE(ORÇAMENTO.Fonte," ",ORÇAMENTO.CodBarra)))</f>
        <v>Composição 30</v>
      </c>
      <c r="AF72" s="13" t="str">
        <f ca="1">IF(ISERROR(INDIRECT(ORÇAMENTO.BancoRef)),"(abra o arquivo 'Referência "&amp;Excel_BuiltIn_Database&amp;".xlsm)",IF(OR($C72&lt;&gt;"S",ORÇAMENTO.CodBarra=""),"(Sem Código)",IF(ISERROR(MATCH($AE72,INDIRECT(ORÇAMENTO.BancoRef),0)),"(Código não identificado nas referências)",MATCH($AE72,INDIRECT(ORÇAMENTO.BancoRef),0))))</f>
        <v>(abra o arquivo 'Referência 03-2024.xlsm)</v>
      </c>
      <c r="AG72" s="498">
        <f ca="1">ROUND(IF(DESONERACAO="sim",REFERENCIA.Desonerado,REFERENCIA.NaoDesonerado),2)</f>
        <v>0</v>
      </c>
      <c r="AH72" s="499">
        <f t="shared" ca="1" si="15"/>
        <v>0.28170000000000001</v>
      </c>
      <c r="AJ72" s="501">
        <v>6</v>
      </c>
      <c r="AL72" s="527"/>
      <c r="AM72" s="381">
        <f t="shared" ca="1" si="0"/>
        <v>19604.759999999998</v>
      </c>
      <c r="AN72" s="566">
        <f t="shared" ca="1" si="16"/>
        <v>3267.46</v>
      </c>
    </row>
    <row r="73" spans="1:40" ht="51" x14ac:dyDescent="0.2">
      <c r="A73" t="str">
        <f t="shared" si="1"/>
        <v>S</v>
      </c>
      <c r="B73">
        <f t="shared" ca="1" si="2"/>
        <v>2</v>
      </c>
      <c r="C73" t="str">
        <f t="shared" ca="1" si="3"/>
        <v>S</v>
      </c>
      <c r="D73">
        <f t="shared" ca="1" si="4"/>
        <v>0</v>
      </c>
      <c r="E73">
        <f ca="1">IF($C73=1,OFFSET(E73,-1,0)+MAX(1,COUNTIF(QCI!$A$13:$A$24,OFFSET(ORÇAMENTO!E73,-1,0))),OFFSET(E73,-1,0))</f>
        <v>1</v>
      </c>
      <c r="F73">
        <f t="shared" ca="1" si="5"/>
        <v>4</v>
      </c>
      <c r="G73">
        <f t="shared" ca="1" si="6"/>
        <v>0</v>
      </c>
      <c r="H73">
        <f t="shared" ca="1" si="7"/>
        <v>0</v>
      </c>
      <c r="I73">
        <f t="shared" ca="1" si="8"/>
        <v>4</v>
      </c>
      <c r="J73">
        <f t="shared" ca="1" si="9"/>
        <v>0</v>
      </c>
      <c r="K73">
        <f ca="1">IF(OR($C73="S",$C73=0),0,MATCH(OFFSET($D73,0,$C73)+IF($C73&lt;&gt;1,1,COUNTIF(QCI!$A$13:$A$24,ORÇAMENTO!E73)),OFFSET($D73,1,$C73,ROW($C$290)-ROW($C73)),0))</f>
        <v>0</v>
      </c>
      <c r="L73" s="116" t="str">
        <f t="shared" ca="1" si="10"/>
        <v>F</v>
      </c>
      <c r="M73" s="117" t="s">
        <v>199</v>
      </c>
      <c r="N73" s="118" t="str">
        <f t="shared" ca="1" si="11"/>
        <v>Serviço</v>
      </c>
      <c r="O73" s="119" t="str">
        <f t="shared" ca="1" si="12"/>
        <v>1.4.0.4.</v>
      </c>
      <c r="P73" s="120" t="s">
        <v>462</v>
      </c>
      <c r="Q73" s="121" t="s">
        <v>504</v>
      </c>
      <c r="R73" s="122" t="str">
        <f ca="1">IF($C73="S",REFERENCIA.Descricao,"(digite a descrição aqui)")</f>
        <v>(abra o arquivo 'Referência 03-2024.xlsm)</v>
      </c>
      <c r="S73" s="123" t="str">
        <f ca="1">REFERENCIA.Unidade</f>
        <v>-</v>
      </c>
      <c r="T73" s="124">
        <f ca="1">OFFSET(CÁLCULO!H$15,ROW($T73)-ROW(T$15),0)</f>
        <v>1</v>
      </c>
      <c r="U73" s="125">
        <v>5059.3</v>
      </c>
      <c r="V73" s="126" t="s">
        <v>156</v>
      </c>
      <c r="W73" s="124">
        <f ca="1">IF($C73="S",ROUND(IF(TIPOORCAMENTO="Proposto",ORÇAMENTO.CustoUnitario*(1+$AH73),ORÇAMENTO.PrecoUnitarioLicitado),15-13*$AF$10),0)</f>
        <v>6484.5</v>
      </c>
      <c r="X73" s="127">
        <f ca="1">IF($C73="S",IF(Import.TipoArredondamento&lt;&gt;"TransfereGOV",VTOTAL1,SUM(OFFSET(CÁLCULO!$AA$15,ROW($X73)-ROW($X$15),1):OFFSET(CÁLCULO!$AL$15,ROW($X73)-ROW($X$15),-1))),IF($C73=0,0,ROUND(SomaAgrup,15-13*$AF$11)))</f>
        <v>6484.5</v>
      </c>
      <c r="Y73" s="128" t="s">
        <v>245</v>
      </c>
      <c r="Z73" t="str">
        <f t="shared" ca="1" si="13"/>
        <v>RA</v>
      </c>
      <c r="AA73" s="129">
        <f ca="1">IF($C73="S",IF($Z73="CP",$X73,IF($Z73="RA",(($X73)*QCI!$AA$3),0)),SomaAgrup)</f>
        <v>6484.5</v>
      </c>
      <c r="AB73" s="130">
        <f t="shared" ca="1" si="14"/>
        <v>0</v>
      </c>
      <c r="AC73" s="131" t="str">
        <f ca="1">IF($N73="","",IF(ORÇAMENTO.Descricao="","DESCRIÇÃO",IF(AND($C73="S",ORÇAMENTO.Unidade=""),"UNIDADE",IF($X73&lt;0,"VALOR NEGATIVO",IF(OR(AND(TIPOORCAMENTO="Proposto",$AG73&lt;&gt;"",$AG73&gt;0,ORÇAMENTO.CustoUnitario&gt;$AG73),AND(TIPOORCAMENTO="LICITADO",ORÇAMENTO.PrecoUnitarioLicitado&gt;$AN73)),"ACIMA REF.","")))))</f>
        <v/>
      </c>
      <c r="AD73" t="str">
        <f ca="1">IF(C73&lt;=CRONO.NivelExibicao,MAX($AD$15:OFFSET(AD73,-1,0))+IF($C73&lt;&gt;1,1,MAX(1,COUNTIF(QCI!$A$13:$A$24,OFFSET($E73,-1,0)))),"")</f>
        <v/>
      </c>
      <c r="AE73" s="7" t="str">
        <f ca="1">IF(AND($C73="S",ORÇAMENTO.CodBarra&lt;&gt;""),IF(ORÇAMENTO.Fonte="",ORÇAMENTO.CodBarra,CONCATENATE(ORÇAMENTO.Fonte," ",ORÇAMENTO.CodBarra)))</f>
        <v>Composição 31</v>
      </c>
      <c r="AF73" s="13" t="str">
        <f ca="1">IF(ISERROR(INDIRECT(ORÇAMENTO.BancoRef)),"(abra o arquivo 'Referência "&amp;Excel_BuiltIn_Database&amp;".xlsm)",IF(OR($C73&lt;&gt;"S",ORÇAMENTO.CodBarra=""),"(Sem Código)",IF(ISERROR(MATCH($AE73,INDIRECT(ORÇAMENTO.BancoRef),0)),"(Código não identificado nas referências)",MATCH($AE73,INDIRECT(ORÇAMENTO.BancoRef),0))))</f>
        <v>(abra o arquivo 'Referência 03-2024.xlsm)</v>
      </c>
      <c r="AG73" s="498">
        <f ca="1">ROUND(IF(DESONERACAO="sim",REFERENCIA.Desonerado,REFERENCIA.NaoDesonerado),2)</f>
        <v>0</v>
      </c>
      <c r="AH73" s="499">
        <f t="shared" ca="1" si="15"/>
        <v>0.28170000000000001</v>
      </c>
      <c r="AJ73" s="501">
        <v>1</v>
      </c>
      <c r="AL73" s="527"/>
      <c r="AM73" s="381">
        <f t="shared" ca="1" si="0"/>
        <v>6484.5</v>
      </c>
      <c r="AN73" s="566">
        <f t="shared" ca="1" si="16"/>
        <v>6484.5</v>
      </c>
    </row>
    <row r="74" spans="1:40" ht="25.5" x14ac:dyDescent="0.2">
      <c r="A74" t="str">
        <f t="shared" si="1"/>
        <v>S</v>
      </c>
      <c r="B74">
        <f t="shared" ca="1" si="2"/>
        <v>2</v>
      </c>
      <c r="C74" t="str">
        <f t="shared" ca="1" si="3"/>
        <v>S</v>
      </c>
      <c r="D74">
        <f t="shared" ca="1" si="4"/>
        <v>0</v>
      </c>
      <c r="E74">
        <f ca="1">IF($C74=1,OFFSET(E74,-1,0)+MAX(1,COUNTIF(QCI!$A$13:$A$24,OFFSET(ORÇAMENTO!E74,-1,0))),OFFSET(E74,-1,0))</f>
        <v>1</v>
      </c>
      <c r="F74">
        <f t="shared" ca="1" si="5"/>
        <v>4</v>
      </c>
      <c r="G74">
        <f t="shared" ca="1" si="6"/>
        <v>0</v>
      </c>
      <c r="H74">
        <f t="shared" ca="1" si="7"/>
        <v>0</v>
      </c>
      <c r="I74">
        <f t="shared" ca="1" si="8"/>
        <v>5</v>
      </c>
      <c r="J74">
        <f t="shared" ca="1" si="9"/>
        <v>0</v>
      </c>
      <c r="K74">
        <f ca="1">IF(OR($C74="S",$C74=0),0,MATCH(OFFSET($D74,0,$C74)+IF($C74&lt;&gt;1,1,COUNTIF(QCI!$A$13:$A$24,ORÇAMENTO!E74)),OFFSET($D74,1,$C74,ROW($C$290)-ROW($C74)),0))</f>
        <v>0</v>
      </c>
      <c r="L74" s="116" t="str">
        <f t="shared" ca="1" si="10"/>
        <v>F</v>
      </c>
      <c r="M74" s="117" t="s">
        <v>199</v>
      </c>
      <c r="N74" s="118" t="str">
        <f t="shared" ca="1" si="11"/>
        <v>Serviço</v>
      </c>
      <c r="O74" s="119" t="str">
        <f t="shared" ca="1" si="12"/>
        <v>1.4.0.5.</v>
      </c>
      <c r="P74" s="120" t="s">
        <v>462</v>
      </c>
      <c r="Q74" s="121" t="s">
        <v>486</v>
      </c>
      <c r="R74" s="122" t="str">
        <f ca="1">IF($C74="S",REFERENCIA.Descricao,"(digite a descrição aqui)")</f>
        <v>(abra o arquivo 'Referência 03-2024.xlsm)</v>
      </c>
      <c r="S74" s="123" t="str">
        <f ca="1">REFERENCIA.Unidade</f>
        <v>-</v>
      </c>
      <c r="T74" s="124">
        <f ca="1">OFFSET(CÁLCULO!H$15,ROW($T74)-ROW(T$15),0)</f>
        <v>12</v>
      </c>
      <c r="U74" s="125">
        <v>45.27</v>
      </c>
      <c r="V74" s="126" t="s">
        <v>156</v>
      </c>
      <c r="W74" s="124">
        <f ca="1">IF($C74="S",ROUND(IF(TIPOORCAMENTO="Proposto",ORÇAMENTO.CustoUnitario*(1+$AH74),ORÇAMENTO.PrecoUnitarioLicitado),15-13*$AF$10),0)</f>
        <v>58.02</v>
      </c>
      <c r="X74" s="127">
        <f ca="1">IF($C74="S",IF(Import.TipoArredondamento&lt;&gt;"TransfereGOV",VTOTAL1,SUM(OFFSET(CÁLCULO!$AA$15,ROW($X74)-ROW($X$15),1):OFFSET(CÁLCULO!$AL$15,ROW($X74)-ROW($X$15),-1))),IF($C74=0,0,ROUND(SomaAgrup,15-13*$AF$11)))</f>
        <v>696.24</v>
      </c>
      <c r="Y74" s="128" t="s">
        <v>245</v>
      </c>
      <c r="Z74" t="str">
        <f t="shared" ca="1" si="13"/>
        <v>RA</v>
      </c>
      <c r="AA74" s="129">
        <f ca="1">IF($C74="S",IF($Z74="CP",$X74,IF($Z74="RA",(($X74)*QCI!$AA$3),0)),SomaAgrup)</f>
        <v>696.24</v>
      </c>
      <c r="AB74" s="130">
        <f t="shared" ca="1" si="14"/>
        <v>0</v>
      </c>
      <c r="AC74" s="131" t="str">
        <f ca="1">IF($N74="","",IF(ORÇAMENTO.Descricao="","DESCRIÇÃO",IF(AND($C74="S",ORÇAMENTO.Unidade=""),"UNIDADE",IF($X74&lt;0,"VALOR NEGATIVO",IF(OR(AND(TIPOORCAMENTO="Proposto",$AG74&lt;&gt;"",$AG74&gt;0,ORÇAMENTO.CustoUnitario&gt;$AG74),AND(TIPOORCAMENTO="LICITADO",ORÇAMENTO.PrecoUnitarioLicitado&gt;$AN74)),"ACIMA REF.","")))))</f>
        <v/>
      </c>
      <c r="AD74" t="str">
        <f ca="1">IF(C74&lt;=CRONO.NivelExibicao,MAX($AD$15:OFFSET(AD74,-1,0))+IF($C74&lt;&gt;1,1,MAX(1,COUNTIF(QCI!$A$13:$A$24,OFFSET($E74,-1,0)))),"")</f>
        <v/>
      </c>
      <c r="AE74" s="7" t="str">
        <f ca="1">IF(AND($C74="S",ORÇAMENTO.CodBarra&lt;&gt;""),IF(ORÇAMENTO.Fonte="",ORÇAMENTO.CodBarra,CONCATENATE(ORÇAMENTO.Fonte," ",ORÇAMENTO.CodBarra)))</f>
        <v>Composição 19</v>
      </c>
      <c r="AF74" s="13" t="str">
        <f ca="1">IF(ISERROR(INDIRECT(ORÇAMENTO.BancoRef)),"(abra o arquivo 'Referência "&amp;Excel_BuiltIn_Database&amp;".xlsm)",IF(OR($C74&lt;&gt;"S",ORÇAMENTO.CodBarra=""),"(Sem Código)",IF(ISERROR(MATCH($AE74,INDIRECT(ORÇAMENTO.BancoRef),0)),"(Código não identificado nas referências)",MATCH($AE74,INDIRECT(ORÇAMENTO.BancoRef),0))))</f>
        <v>(abra o arquivo 'Referência 03-2024.xlsm)</v>
      </c>
      <c r="AG74" s="498">
        <f ca="1">ROUND(IF(DESONERACAO="sim",REFERENCIA.Desonerado,REFERENCIA.NaoDesonerado),2)</f>
        <v>0</v>
      </c>
      <c r="AH74" s="499">
        <f t="shared" ca="1" si="15"/>
        <v>0.28170000000000001</v>
      </c>
      <c r="AJ74" s="501">
        <v>12</v>
      </c>
      <c r="AL74" s="527"/>
      <c r="AM74" s="381">
        <f t="shared" ca="1" si="0"/>
        <v>696.24</v>
      </c>
      <c r="AN74" s="566">
        <f t="shared" ca="1" si="16"/>
        <v>58.02</v>
      </c>
    </row>
    <row r="75" spans="1:40" ht="63.75" x14ac:dyDescent="0.2">
      <c r="A75" t="str">
        <f t="shared" si="1"/>
        <v>S</v>
      </c>
      <c r="B75">
        <f t="shared" ca="1" si="2"/>
        <v>2</v>
      </c>
      <c r="C75" t="str">
        <f t="shared" ca="1" si="3"/>
        <v>S</v>
      </c>
      <c r="D75">
        <f t="shared" ca="1" si="4"/>
        <v>0</v>
      </c>
      <c r="E75">
        <f ca="1">IF($C75=1,OFFSET(E75,-1,0)+MAX(1,COUNTIF(QCI!$A$13:$A$24,OFFSET(ORÇAMENTO!E75,-1,0))),OFFSET(E75,-1,0))</f>
        <v>1</v>
      </c>
      <c r="F75">
        <f t="shared" ca="1" si="5"/>
        <v>4</v>
      </c>
      <c r="G75">
        <f t="shared" ca="1" si="6"/>
        <v>0</v>
      </c>
      <c r="H75">
        <f t="shared" ca="1" si="7"/>
        <v>0</v>
      </c>
      <c r="I75">
        <f t="shared" ca="1" si="8"/>
        <v>6</v>
      </c>
      <c r="J75">
        <f t="shared" ca="1" si="9"/>
        <v>0</v>
      </c>
      <c r="K75">
        <f ca="1">IF(OR($C75="S",$C75=0),0,MATCH(OFFSET($D75,0,$C75)+IF($C75&lt;&gt;1,1,COUNTIF(QCI!$A$13:$A$24,ORÇAMENTO!E75)),OFFSET($D75,1,$C75,ROW($C$290)-ROW($C75)),0))</f>
        <v>0</v>
      </c>
      <c r="L75" s="116" t="str">
        <f t="shared" ca="1" si="10"/>
        <v>F</v>
      </c>
      <c r="M75" s="117" t="s">
        <v>199</v>
      </c>
      <c r="N75" s="118" t="str">
        <f t="shared" ca="1" si="11"/>
        <v>Serviço</v>
      </c>
      <c r="O75" s="119" t="str">
        <f t="shared" ca="1" si="12"/>
        <v>1.4.0.6.</v>
      </c>
      <c r="P75" s="120" t="s">
        <v>247</v>
      </c>
      <c r="Q75" s="121" t="s">
        <v>492</v>
      </c>
      <c r="R75" s="122" t="str">
        <f ca="1">IF($C75="S",REFERENCIA.Descricao,"(digite a descrição aqui)")</f>
        <v>(abra o arquivo 'Referência 03-2024.xlsm)</v>
      </c>
      <c r="S75" s="123" t="str">
        <f ca="1">REFERENCIA.Unidade</f>
        <v>-</v>
      </c>
      <c r="T75" s="124">
        <f ca="1">OFFSET(CÁLCULO!H$15,ROW($T75)-ROW(T$15),0)</f>
        <v>48.4</v>
      </c>
      <c r="U75" s="125">
        <v>6.45</v>
      </c>
      <c r="V75" s="126" t="s">
        <v>156</v>
      </c>
      <c r="W75" s="124">
        <f ca="1">IF($C75="S",ROUND(IF(TIPOORCAMENTO="Proposto",ORÇAMENTO.CustoUnitario*(1+$AH75),ORÇAMENTO.PrecoUnitarioLicitado),15-13*$AF$10),0)</f>
        <v>8.27</v>
      </c>
      <c r="X75" s="127">
        <f ca="1">IF($C75="S",IF(Import.TipoArredondamento&lt;&gt;"TransfereGOV",VTOTAL1,SUM(OFFSET(CÁLCULO!$AA$15,ROW($X75)-ROW($X$15),1):OFFSET(CÁLCULO!$AL$15,ROW($X75)-ROW($X$15),-1))),IF($C75=0,0,ROUND(SomaAgrup,15-13*$AF$11)))</f>
        <v>400.27</v>
      </c>
      <c r="Y75" s="128" t="s">
        <v>245</v>
      </c>
      <c r="Z75" t="str">
        <f t="shared" ca="1" si="13"/>
        <v>RA</v>
      </c>
      <c r="AA75" s="129">
        <f ca="1">IF($C75="S",IF($Z75="CP",$X75,IF($Z75="RA",(($X75)*QCI!$AA$3),0)),SomaAgrup)</f>
        <v>400.27</v>
      </c>
      <c r="AB75" s="130">
        <f t="shared" ca="1" si="14"/>
        <v>0</v>
      </c>
      <c r="AC75" s="131" t="str">
        <f ca="1">IF($N75="","",IF(ORÇAMENTO.Descricao="","DESCRIÇÃO",IF(AND($C75="S",ORÇAMENTO.Unidade=""),"UNIDADE",IF($X75&lt;0,"VALOR NEGATIVO",IF(OR(AND(TIPOORCAMENTO="Proposto",$AG75&lt;&gt;"",$AG75&gt;0,ORÇAMENTO.CustoUnitario&gt;$AG75),AND(TIPOORCAMENTO="LICITADO",ORÇAMENTO.PrecoUnitarioLicitado&gt;$AN75)),"ACIMA REF.","")))))</f>
        <v/>
      </c>
      <c r="AD75" t="str">
        <f ca="1">IF(C75&lt;=CRONO.NivelExibicao,MAX($AD$15:OFFSET(AD75,-1,0))+IF($C75&lt;&gt;1,1,MAX(1,COUNTIF(QCI!$A$13:$A$24,OFFSET($E75,-1,0)))),"")</f>
        <v/>
      </c>
      <c r="AE75" s="7" t="str">
        <f ca="1">IF(AND($C75="S",ORÇAMENTO.CodBarra&lt;&gt;""),IF(ORÇAMENTO.Fonte="",ORÇAMENTO.CodBarra,CONCATENATE(ORÇAMENTO.Fonte," ",ORÇAMENTO.CodBarra)))</f>
        <v>SINAPI 90091</v>
      </c>
      <c r="AF75" s="13" t="str">
        <f ca="1">IF(ISERROR(INDIRECT(ORÇAMENTO.BancoRef)),"(abra o arquivo 'Referência "&amp;Excel_BuiltIn_Database&amp;".xlsm)",IF(OR($C75&lt;&gt;"S",ORÇAMENTO.CodBarra=""),"(Sem Código)",IF(ISERROR(MATCH($AE75,INDIRECT(ORÇAMENTO.BancoRef),0)),"(Código não identificado nas referências)",MATCH($AE75,INDIRECT(ORÇAMENTO.BancoRef),0))))</f>
        <v>(abra o arquivo 'Referência 03-2024.xlsm)</v>
      </c>
      <c r="AG75" s="498">
        <f ca="1">ROUND(IF(DESONERACAO="sim",REFERENCIA.Desonerado,REFERENCIA.NaoDesonerado),2)</f>
        <v>0</v>
      </c>
      <c r="AH75" s="499">
        <f t="shared" ca="1" si="15"/>
        <v>0.28170000000000001</v>
      </c>
      <c r="AJ75" s="501">
        <v>48.4</v>
      </c>
      <c r="AL75" s="527"/>
      <c r="AM75" s="381">
        <f t="shared" ca="1" si="0"/>
        <v>400.27</v>
      </c>
      <c r="AN75" s="566">
        <f t="shared" ca="1" si="16"/>
        <v>8.27</v>
      </c>
    </row>
    <row r="76" spans="1:40" ht="51" x14ac:dyDescent="0.2">
      <c r="A76" t="str">
        <f t="shared" si="1"/>
        <v>S</v>
      </c>
      <c r="B76">
        <f t="shared" ca="1" si="2"/>
        <v>2</v>
      </c>
      <c r="C76" t="str">
        <f t="shared" ca="1" si="3"/>
        <v>S</v>
      </c>
      <c r="D76">
        <f t="shared" ca="1" si="4"/>
        <v>0</v>
      </c>
      <c r="E76">
        <f ca="1">IF($C76=1,OFFSET(E76,-1,0)+MAX(1,COUNTIF(QCI!$A$13:$A$24,OFFSET(ORÇAMENTO!E76,-1,0))),OFFSET(E76,-1,0))</f>
        <v>1</v>
      </c>
      <c r="F76">
        <f t="shared" ca="1" si="5"/>
        <v>4</v>
      </c>
      <c r="G76">
        <f t="shared" ca="1" si="6"/>
        <v>0</v>
      </c>
      <c r="H76">
        <f t="shared" ca="1" si="7"/>
        <v>0</v>
      </c>
      <c r="I76">
        <f t="shared" ca="1" si="8"/>
        <v>7</v>
      </c>
      <c r="J76">
        <f t="shared" ca="1" si="9"/>
        <v>0</v>
      </c>
      <c r="K76">
        <f ca="1">IF(OR($C76="S",$C76=0),0,MATCH(OFFSET($D76,0,$C76)+IF($C76&lt;&gt;1,1,COUNTIF(QCI!$A$13:$A$24,ORÇAMENTO!E76)),OFFSET($D76,1,$C76,ROW($C$290)-ROW($C76)),0))</f>
        <v>0</v>
      </c>
      <c r="L76" s="116" t="str">
        <f t="shared" ca="1" si="10"/>
        <v>F</v>
      </c>
      <c r="M76" s="117" t="s">
        <v>199</v>
      </c>
      <c r="N76" s="118" t="str">
        <f t="shared" ca="1" si="11"/>
        <v>Serviço</v>
      </c>
      <c r="O76" s="119" t="str">
        <f t="shared" ca="1" si="12"/>
        <v>1.4.0.7.</v>
      </c>
      <c r="P76" s="120" t="s">
        <v>462</v>
      </c>
      <c r="Q76" s="121" t="s">
        <v>493</v>
      </c>
      <c r="R76" s="122" t="str">
        <f ca="1">IF($C76="S",REFERENCIA.Descricao,"(digite a descrição aqui)")</f>
        <v>(abra o arquivo 'Referência 03-2024.xlsm)</v>
      </c>
      <c r="S76" s="123" t="str">
        <f ca="1">REFERENCIA.Unidade</f>
        <v>-</v>
      </c>
      <c r="T76" s="124">
        <f ca="1">OFFSET(CÁLCULO!H$15,ROW($T76)-ROW(T$15),0)</f>
        <v>45</v>
      </c>
      <c r="U76" s="125">
        <v>9.16</v>
      </c>
      <c r="V76" s="126" t="s">
        <v>156</v>
      </c>
      <c r="W76" s="124">
        <f ca="1">IF($C76="S",ROUND(IF(TIPOORCAMENTO="Proposto",ORÇAMENTO.CustoUnitario*(1+$AH76),ORÇAMENTO.PrecoUnitarioLicitado),15-13*$AF$10),0)</f>
        <v>11.74</v>
      </c>
      <c r="X76" s="127">
        <f ca="1">IF($C76="S",IF(Import.TipoArredondamento&lt;&gt;"TransfereGOV",VTOTAL1,SUM(OFFSET(CÁLCULO!$AA$15,ROW($X76)-ROW($X$15),1):OFFSET(CÁLCULO!$AL$15,ROW($X76)-ROW($X$15),-1))),IF($C76=0,0,ROUND(SomaAgrup,15-13*$AF$11)))</f>
        <v>528.29999999999995</v>
      </c>
      <c r="Y76" s="128" t="s">
        <v>245</v>
      </c>
      <c r="Z76" t="str">
        <f t="shared" ca="1" si="13"/>
        <v>RA</v>
      </c>
      <c r="AA76" s="129">
        <f ca="1">IF($C76="S",IF($Z76="CP",$X76,IF($Z76="RA",(($X76)*QCI!$AA$3),0)),SomaAgrup)</f>
        <v>528.29999999999995</v>
      </c>
      <c r="AB76" s="130">
        <f t="shared" ca="1" si="14"/>
        <v>0</v>
      </c>
      <c r="AC76" s="131" t="str">
        <f ca="1">IF($N76="","",IF(ORÇAMENTO.Descricao="","DESCRIÇÃO",IF(AND($C76="S",ORÇAMENTO.Unidade=""),"UNIDADE",IF($X76&lt;0,"VALOR NEGATIVO",IF(OR(AND(TIPOORCAMENTO="Proposto",$AG76&lt;&gt;"",$AG76&gt;0,ORÇAMENTO.CustoUnitario&gt;$AG76),AND(TIPOORCAMENTO="LICITADO",ORÇAMENTO.PrecoUnitarioLicitado&gt;$AN76)),"ACIMA REF.","")))))</f>
        <v/>
      </c>
      <c r="AD76" t="str">
        <f ca="1">IF(C76&lt;=CRONO.NivelExibicao,MAX($AD$15:OFFSET(AD76,-1,0))+IF($C76&lt;&gt;1,1,MAX(1,COUNTIF(QCI!$A$13:$A$24,OFFSET($E76,-1,0)))),"")</f>
        <v/>
      </c>
      <c r="AE76" s="7" t="str">
        <f ca="1">IF(AND($C76="S",ORÇAMENTO.CodBarra&lt;&gt;""),IF(ORÇAMENTO.Fonte="",ORÇAMENTO.CodBarra,CONCATENATE(ORÇAMENTO.Fonte," ",ORÇAMENTO.CodBarra)))</f>
        <v>Composição 22</v>
      </c>
      <c r="AF76" s="13" t="str">
        <f ca="1">IF(ISERROR(INDIRECT(ORÇAMENTO.BancoRef)),"(abra o arquivo 'Referência "&amp;Excel_BuiltIn_Database&amp;".xlsm)",IF(OR($C76&lt;&gt;"S",ORÇAMENTO.CodBarra=""),"(Sem Código)",IF(ISERROR(MATCH($AE76,INDIRECT(ORÇAMENTO.BancoRef),0)),"(Código não identificado nas referências)",MATCH($AE76,INDIRECT(ORÇAMENTO.BancoRef),0))))</f>
        <v>(abra o arquivo 'Referência 03-2024.xlsm)</v>
      </c>
      <c r="AG76" s="498">
        <f ca="1">ROUND(IF(DESONERACAO="sim",REFERENCIA.Desonerado,REFERENCIA.NaoDesonerado),2)</f>
        <v>0</v>
      </c>
      <c r="AH76" s="499">
        <f t="shared" ca="1" si="15"/>
        <v>0.28170000000000001</v>
      </c>
      <c r="AJ76" s="501">
        <v>45</v>
      </c>
      <c r="AL76" s="527"/>
      <c r="AM76" s="381">
        <f t="shared" ca="1" si="0"/>
        <v>528.29999999999995</v>
      </c>
      <c r="AN76" s="566">
        <f t="shared" ca="1" si="16"/>
        <v>11.74</v>
      </c>
    </row>
    <row r="77" spans="1:40" ht="38.25" x14ac:dyDescent="0.2">
      <c r="A77" t="str">
        <f t="shared" si="1"/>
        <v>S</v>
      </c>
      <c r="B77">
        <f t="shared" ca="1" si="2"/>
        <v>2</v>
      </c>
      <c r="C77" t="str">
        <f t="shared" ca="1" si="3"/>
        <v>S</v>
      </c>
      <c r="D77">
        <f t="shared" ca="1" si="4"/>
        <v>0</v>
      </c>
      <c r="E77">
        <f ca="1">IF($C77=1,OFFSET(E77,-1,0)+MAX(1,COUNTIF(QCI!$A$13:$A$24,OFFSET(ORÇAMENTO!E77,-1,0))),OFFSET(E77,-1,0))</f>
        <v>1</v>
      </c>
      <c r="F77">
        <f t="shared" ca="1" si="5"/>
        <v>4</v>
      </c>
      <c r="G77">
        <f t="shared" ca="1" si="6"/>
        <v>0</v>
      </c>
      <c r="H77">
        <f t="shared" ca="1" si="7"/>
        <v>0</v>
      </c>
      <c r="I77">
        <f t="shared" ca="1" si="8"/>
        <v>8</v>
      </c>
      <c r="J77">
        <f t="shared" ca="1" si="9"/>
        <v>0</v>
      </c>
      <c r="K77">
        <f ca="1">IF(OR($C77="S",$C77=0),0,MATCH(OFFSET($D77,0,$C77)+IF($C77&lt;&gt;1,1,COUNTIF(QCI!$A$13:$A$24,ORÇAMENTO!E77)),OFFSET($D77,1,$C77,ROW($C$290)-ROW($C77)),0))</f>
        <v>0</v>
      </c>
      <c r="L77" s="116" t="str">
        <f t="shared" ca="1" si="10"/>
        <v>F</v>
      </c>
      <c r="M77" s="117" t="s">
        <v>199</v>
      </c>
      <c r="N77" s="118" t="str">
        <f t="shared" ca="1" si="11"/>
        <v>Serviço</v>
      </c>
      <c r="O77" s="119" t="str">
        <f t="shared" ca="1" si="12"/>
        <v>1.4.0.8.</v>
      </c>
      <c r="P77" s="120" t="s">
        <v>462</v>
      </c>
      <c r="Q77" s="121" t="s">
        <v>487</v>
      </c>
      <c r="R77" s="122" t="str">
        <f ca="1">IF($C77="S",REFERENCIA.Descricao,"(digite a descrição aqui)")</f>
        <v>(abra o arquivo 'Referência 03-2024.xlsm)</v>
      </c>
      <c r="S77" s="123" t="str">
        <f ca="1">REFERENCIA.Unidade</f>
        <v>-</v>
      </c>
      <c r="T77" s="124">
        <f ca="1">OFFSET(CÁLCULO!H$15,ROW($T77)-ROW(T$15),0)</f>
        <v>193.6</v>
      </c>
      <c r="U77" s="125">
        <v>13.19</v>
      </c>
      <c r="V77" s="126" t="s">
        <v>156</v>
      </c>
      <c r="W77" s="124">
        <f ca="1">IF($C77="S",ROUND(IF(TIPOORCAMENTO="Proposto",ORÇAMENTO.CustoUnitario*(1+$AH77),ORÇAMENTO.PrecoUnitarioLicitado),15-13*$AF$10),0)</f>
        <v>16.91</v>
      </c>
      <c r="X77" s="127">
        <f ca="1">IF($C77="S",IF(Import.TipoArredondamento&lt;&gt;"TransfereGOV",VTOTAL1,SUM(OFFSET(CÁLCULO!$AA$15,ROW($X77)-ROW($X$15),1):OFFSET(CÁLCULO!$AL$15,ROW($X77)-ROW($X$15),-1))),IF($C77=0,0,ROUND(SomaAgrup,15-13*$AF$11)))</f>
        <v>3273.78</v>
      </c>
      <c r="Y77" s="128" t="s">
        <v>245</v>
      </c>
      <c r="Z77" t="str">
        <f t="shared" ca="1" si="13"/>
        <v>RA</v>
      </c>
      <c r="AA77" s="129">
        <f ca="1">IF($C77="S",IF($Z77="CP",$X77,IF($Z77="RA",(($X77)*QCI!$AA$3),0)),SomaAgrup)</f>
        <v>3273.78</v>
      </c>
      <c r="AB77" s="130">
        <f t="shared" ca="1" si="14"/>
        <v>0</v>
      </c>
      <c r="AC77" s="131" t="str">
        <f ca="1">IF($N77="","",IF(ORÇAMENTO.Descricao="","DESCRIÇÃO",IF(AND($C77="S",ORÇAMENTO.Unidade=""),"UNIDADE",IF($X77&lt;0,"VALOR NEGATIVO",IF(OR(AND(TIPOORCAMENTO="Proposto",$AG77&lt;&gt;"",$AG77&gt;0,ORÇAMENTO.CustoUnitario&gt;$AG77),AND(TIPOORCAMENTO="LICITADO",ORÇAMENTO.PrecoUnitarioLicitado&gt;$AN77)),"ACIMA REF.","")))))</f>
        <v/>
      </c>
      <c r="AD77" t="str">
        <f ca="1">IF(C77&lt;=CRONO.NivelExibicao,MAX($AD$15:OFFSET(AD77,-1,0))+IF($C77&lt;&gt;1,1,MAX(1,COUNTIF(QCI!$A$13:$A$24,OFFSET($E77,-1,0)))),"")</f>
        <v/>
      </c>
      <c r="AE77" s="7" t="str">
        <f ca="1">IF(AND($C77="S",ORÇAMENTO.CodBarra&lt;&gt;""),IF(ORÇAMENTO.Fonte="",ORÇAMENTO.CodBarra,CONCATENATE(ORÇAMENTO.Fonte," ",ORÇAMENTO.CodBarra)))</f>
        <v>Composição 20</v>
      </c>
      <c r="AF77" s="13" t="str">
        <f ca="1">IF(ISERROR(INDIRECT(ORÇAMENTO.BancoRef)),"(abra o arquivo 'Referência "&amp;Excel_BuiltIn_Database&amp;".xlsm)",IF(OR($C77&lt;&gt;"S",ORÇAMENTO.CodBarra=""),"(Sem Código)",IF(ISERROR(MATCH($AE77,INDIRECT(ORÇAMENTO.BancoRef),0)),"(Código não identificado nas referências)",MATCH($AE77,INDIRECT(ORÇAMENTO.BancoRef),0))))</f>
        <v>(abra o arquivo 'Referência 03-2024.xlsm)</v>
      </c>
      <c r="AG77" s="498">
        <f ca="1">ROUND(IF(DESONERACAO="sim",REFERENCIA.Desonerado,REFERENCIA.NaoDesonerado),2)</f>
        <v>0</v>
      </c>
      <c r="AH77" s="499">
        <f t="shared" ca="1" si="15"/>
        <v>0.28170000000000001</v>
      </c>
      <c r="AJ77" s="501">
        <v>193.6</v>
      </c>
      <c r="AL77" s="527"/>
      <c r="AM77" s="381">
        <f t="shared" ca="1" si="0"/>
        <v>3273.78</v>
      </c>
      <c r="AN77" s="566">
        <f t="shared" ca="1" si="16"/>
        <v>16.91</v>
      </c>
    </row>
    <row r="78" spans="1:40" ht="38.25" x14ac:dyDescent="0.2">
      <c r="A78" t="str">
        <f t="shared" si="1"/>
        <v>S</v>
      </c>
      <c r="B78">
        <f t="shared" ca="1" si="2"/>
        <v>2</v>
      </c>
      <c r="C78" t="str">
        <f t="shared" ca="1" si="3"/>
        <v>S</v>
      </c>
      <c r="D78">
        <f t="shared" ca="1" si="4"/>
        <v>0</v>
      </c>
      <c r="E78">
        <f ca="1">IF($C78=1,OFFSET(E78,-1,0)+MAX(1,COUNTIF(QCI!$A$13:$A$24,OFFSET(ORÇAMENTO!E78,-1,0))),OFFSET(E78,-1,0))</f>
        <v>1</v>
      </c>
      <c r="F78">
        <f t="shared" ca="1" si="5"/>
        <v>4</v>
      </c>
      <c r="G78">
        <f t="shared" ca="1" si="6"/>
        <v>0</v>
      </c>
      <c r="H78">
        <f t="shared" ca="1" si="7"/>
        <v>0</v>
      </c>
      <c r="I78">
        <f t="shared" ca="1" si="8"/>
        <v>9</v>
      </c>
      <c r="J78">
        <f t="shared" ca="1" si="9"/>
        <v>0</v>
      </c>
      <c r="K78">
        <f ca="1">IF(OR($C78="S",$C78=0),0,MATCH(OFFSET($D78,0,$C78)+IF($C78&lt;&gt;1,1,COUNTIF(QCI!$A$13:$A$24,ORÇAMENTO!E78)),OFFSET($D78,1,$C78,ROW($C$290)-ROW($C78)),0))</f>
        <v>0</v>
      </c>
      <c r="L78" s="116" t="str">
        <f t="shared" ca="1" si="10"/>
        <v>F</v>
      </c>
      <c r="M78" s="117" t="s">
        <v>199</v>
      </c>
      <c r="N78" s="118" t="str">
        <f t="shared" ca="1" si="11"/>
        <v>Serviço</v>
      </c>
      <c r="O78" s="119" t="str">
        <f t="shared" ca="1" si="12"/>
        <v>1.4.0.9.</v>
      </c>
      <c r="P78" s="120" t="s">
        <v>462</v>
      </c>
      <c r="Q78" s="121" t="s">
        <v>505</v>
      </c>
      <c r="R78" s="122" t="str">
        <f ca="1">IF($C78="S",REFERENCIA.Descricao,"(digite a descrição aqui)")</f>
        <v>(abra o arquivo 'Referência 03-2024.xlsm)</v>
      </c>
      <c r="S78" s="123" t="str">
        <f ca="1">REFERENCIA.Unidade</f>
        <v>-</v>
      </c>
      <c r="T78" s="124">
        <f ca="1">OFFSET(CÁLCULO!H$15,ROW($T78)-ROW(T$15),0)</f>
        <v>213.6</v>
      </c>
      <c r="U78" s="125">
        <v>8.0500000000000007</v>
      </c>
      <c r="V78" s="126" t="s">
        <v>156</v>
      </c>
      <c r="W78" s="124">
        <f ca="1">IF($C78="S",ROUND(IF(TIPOORCAMENTO="Proposto",ORÇAMENTO.CustoUnitario*(1+$AH78),ORÇAMENTO.PrecoUnitarioLicitado),15-13*$AF$10),0)</f>
        <v>10.32</v>
      </c>
      <c r="X78" s="127">
        <f ca="1">IF($C78="S",IF(Import.TipoArredondamento&lt;&gt;"TransfereGOV",VTOTAL1,SUM(OFFSET(CÁLCULO!$AA$15,ROW($X78)-ROW($X$15),1):OFFSET(CÁLCULO!$AL$15,ROW($X78)-ROW($X$15),-1))),IF($C78=0,0,ROUND(SomaAgrup,15-13*$AF$11)))</f>
        <v>2204.35</v>
      </c>
      <c r="Y78" s="128" t="s">
        <v>245</v>
      </c>
      <c r="Z78" t="str">
        <f t="shared" ca="1" si="13"/>
        <v>RA</v>
      </c>
      <c r="AA78" s="129">
        <f ca="1">IF($C78="S",IF($Z78="CP",$X78,IF($Z78="RA",(($X78)*QCI!$AA$3),0)),SomaAgrup)</f>
        <v>2204.35</v>
      </c>
      <c r="AB78" s="130">
        <f t="shared" ca="1" si="14"/>
        <v>0</v>
      </c>
      <c r="AC78" s="131" t="str">
        <f ca="1">IF($N78="","",IF(ORÇAMENTO.Descricao="","DESCRIÇÃO",IF(AND($C78="S",ORÇAMENTO.Unidade=""),"UNIDADE",IF($X78&lt;0,"VALOR NEGATIVO",IF(OR(AND(TIPOORCAMENTO="Proposto",$AG78&lt;&gt;"",$AG78&gt;0,ORÇAMENTO.CustoUnitario&gt;$AG78),AND(TIPOORCAMENTO="LICITADO",ORÇAMENTO.PrecoUnitarioLicitado&gt;$AN78)),"ACIMA REF.","")))))</f>
        <v/>
      </c>
      <c r="AD78" t="str">
        <f ca="1">IF(C78&lt;=CRONO.NivelExibicao,MAX($AD$15:OFFSET(AD78,-1,0))+IF($C78&lt;&gt;1,1,MAX(1,COUNTIF(QCI!$A$13:$A$24,OFFSET($E78,-1,0)))),"")</f>
        <v/>
      </c>
      <c r="AE78" s="7" t="str">
        <f ca="1">IF(AND($C78="S",ORÇAMENTO.CodBarra&lt;&gt;""),IF(ORÇAMENTO.Fonte="",ORÇAMENTO.CodBarra,CONCATENATE(ORÇAMENTO.Fonte," ",ORÇAMENTO.CodBarra)))</f>
        <v>Composição 32</v>
      </c>
      <c r="AF78" s="13" t="str">
        <f ca="1">IF(ISERROR(INDIRECT(ORÇAMENTO.BancoRef)),"(abra o arquivo 'Referência "&amp;Excel_BuiltIn_Database&amp;".xlsm)",IF(OR($C78&lt;&gt;"S",ORÇAMENTO.CodBarra=""),"(Sem Código)",IF(ISERROR(MATCH($AE78,INDIRECT(ORÇAMENTO.BancoRef),0)),"(Código não identificado nas referências)",MATCH($AE78,INDIRECT(ORÇAMENTO.BancoRef),0))))</f>
        <v>(abra o arquivo 'Referência 03-2024.xlsm)</v>
      </c>
      <c r="AG78" s="498">
        <f ca="1">ROUND(IF(DESONERACAO="sim",REFERENCIA.Desonerado,REFERENCIA.NaoDesonerado),2)</f>
        <v>0</v>
      </c>
      <c r="AH78" s="499">
        <f t="shared" ca="1" si="15"/>
        <v>0.28170000000000001</v>
      </c>
      <c r="AJ78" s="501">
        <v>213.6</v>
      </c>
      <c r="AL78" s="527"/>
      <c r="AM78" s="381">
        <f t="shared" ca="1" si="0"/>
        <v>2204.35</v>
      </c>
      <c r="AN78" s="566">
        <f t="shared" ca="1" si="16"/>
        <v>10.32</v>
      </c>
    </row>
    <row r="79" spans="1:40" ht="38.25" x14ac:dyDescent="0.2">
      <c r="A79" t="str">
        <f t="shared" si="1"/>
        <v>S</v>
      </c>
      <c r="B79">
        <f t="shared" ca="1" si="2"/>
        <v>2</v>
      </c>
      <c r="C79" t="str">
        <f t="shared" ca="1" si="3"/>
        <v>S</v>
      </c>
      <c r="D79">
        <f t="shared" ca="1" si="4"/>
        <v>0</v>
      </c>
      <c r="E79">
        <f ca="1">IF($C79=1,OFFSET(E79,-1,0)+MAX(1,COUNTIF(QCI!$A$13:$A$24,OFFSET(ORÇAMENTO!E79,-1,0))),OFFSET(E79,-1,0))</f>
        <v>1</v>
      </c>
      <c r="F79">
        <f t="shared" ca="1" si="5"/>
        <v>4</v>
      </c>
      <c r="G79">
        <f t="shared" ca="1" si="6"/>
        <v>0</v>
      </c>
      <c r="H79">
        <f t="shared" ca="1" si="7"/>
        <v>0</v>
      </c>
      <c r="I79">
        <f t="shared" ca="1" si="8"/>
        <v>10</v>
      </c>
      <c r="J79">
        <f t="shared" ca="1" si="9"/>
        <v>0</v>
      </c>
      <c r="K79">
        <f ca="1">IF(OR($C79="S",$C79=0),0,MATCH(OFFSET($D79,0,$C79)+IF($C79&lt;&gt;1,1,COUNTIF(QCI!$A$13:$A$24,ORÇAMENTO!E79)),OFFSET($D79,1,$C79,ROW($C$290)-ROW($C79)),0))</f>
        <v>0</v>
      </c>
      <c r="L79" s="116" t="str">
        <f t="shared" ca="1" si="10"/>
        <v>F</v>
      </c>
      <c r="M79" s="117" t="s">
        <v>199</v>
      </c>
      <c r="N79" s="118" t="str">
        <f t="shared" ca="1" si="11"/>
        <v>Serviço</v>
      </c>
      <c r="O79" s="119" t="str">
        <f t="shared" ca="1" si="12"/>
        <v>1.4.0.10.</v>
      </c>
      <c r="P79" s="120" t="s">
        <v>462</v>
      </c>
      <c r="Q79" s="121" t="s">
        <v>506</v>
      </c>
      <c r="R79" s="122" t="str">
        <f ca="1">IF($C79="S",REFERENCIA.Descricao,"(digite a descrição aqui)")</f>
        <v>(abra o arquivo 'Referência 03-2024.xlsm)</v>
      </c>
      <c r="S79" s="123" t="str">
        <f ca="1">REFERENCIA.Unidade</f>
        <v>-</v>
      </c>
      <c r="T79" s="124">
        <f ca="1">OFFSET(CÁLCULO!H$15,ROW($T79)-ROW(T$15),0)</f>
        <v>50</v>
      </c>
      <c r="U79" s="125">
        <v>18.37</v>
      </c>
      <c r="V79" s="126" t="s">
        <v>156</v>
      </c>
      <c r="W79" s="124">
        <f ca="1">IF($C79="S",ROUND(IF(TIPOORCAMENTO="Proposto",ORÇAMENTO.CustoUnitario*(1+$AH79),ORÇAMENTO.PrecoUnitarioLicitado),15-13*$AF$10),0)</f>
        <v>23.54</v>
      </c>
      <c r="X79" s="127">
        <f ca="1">IF($C79="S",IF(Import.TipoArredondamento&lt;&gt;"TransfereGOV",VTOTAL1,SUM(OFFSET(CÁLCULO!$AA$15,ROW($X79)-ROW($X$15),1):OFFSET(CÁLCULO!$AL$15,ROW($X79)-ROW($X$15),-1))),IF($C79=0,0,ROUND(SomaAgrup,15-13*$AF$11)))</f>
        <v>1177</v>
      </c>
      <c r="Y79" s="128" t="s">
        <v>245</v>
      </c>
      <c r="Z79" t="str">
        <f t="shared" ca="1" si="13"/>
        <v>RA</v>
      </c>
      <c r="AA79" s="129">
        <f ca="1">IF($C79="S",IF($Z79="CP",$X79,IF($Z79="RA",(($X79)*QCI!$AA$3),0)),SomaAgrup)</f>
        <v>1177</v>
      </c>
      <c r="AB79" s="130">
        <f t="shared" ca="1" si="14"/>
        <v>0</v>
      </c>
      <c r="AC79" s="131" t="str">
        <f ca="1">IF($N79="","",IF(ORÇAMENTO.Descricao="","DESCRIÇÃO",IF(AND($C79="S",ORÇAMENTO.Unidade=""),"UNIDADE",IF($X79&lt;0,"VALOR NEGATIVO",IF(OR(AND(TIPOORCAMENTO="Proposto",$AG79&lt;&gt;"",$AG79&gt;0,ORÇAMENTO.CustoUnitario&gt;$AG79),AND(TIPOORCAMENTO="LICITADO",ORÇAMENTO.PrecoUnitarioLicitado&gt;$AN79)),"ACIMA REF.","")))))</f>
        <v/>
      </c>
      <c r="AD79" t="str">
        <f ca="1">IF(C79&lt;=CRONO.NivelExibicao,MAX($AD$15:OFFSET(AD79,-1,0))+IF($C79&lt;&gt;1,1,MAX(1,COUNTIF(QCI!$A$13:$A$24,OFFSET($E79,-1,0)))),"")</f>
        <v/>
      </c>
      <c r="AE79" s="7" t="str">
        <f ca="1">IF(AND($C79="S",ORÇAMENTO.CodBarra&lt;&gt;""),IF(ORÇAMENTO.Fonte="",ORÇAMENTO.CodBarra,CONCATENATE(ORÇAMENTO.Fonte," ",ORÇAMENTO.CodBarra)))</f>
        <v>Composição 33</v>
      </c>
      <c r="AF79" s="13" t="str">
        <f ca="1">IF(ISERROR(INDIRECT(ORÇAMENTO.BancoRef)),"(abra o arquivo 'Referência "&amp;Excel_BuiltIn_Database&amp;".xlsm)",IF(OR($C79&lt;&gt;"S",ORÇAMENTO.CodBarra=""),"(Sem Código)",IF(ISERROR(MATCH($AE79,INDIRECT(ORÇAMENTO.BancoRef),0)),"(Código não identificado nas referências)",MATCH($AE79,INDIRECT(ORÇAMENTO.BancoRef),0))))</f>
        <v>(abra o arquivo 'Referência 03-2024.xlsm)</v>
      </c>
      <c r="AG79" s="498">
        <f ca="1">ROUND(IF(DESONERACAO="sim",REFERENCIA.Desonerado,REFERENCIA.NaoDesonerado),2)</f>
        <v>0</v>
      </c>
      <c r="AH79" s="499">
        <f t="shared" ca="1" si="15"/>
        <v>0.28170000000000001</v>
      </c>
      <c r="AJ79" s="501">
        <v>50</v>
      </c>
      <c r="AL79" s="527"/>
      <c r="AM79" s="381">
        <f t="shared" ca="1" si="0"/>
        <v>1177</v>
      </c>
      <c r="AN79" s="566">
        <f t="shared" ca="1" si="16"/>
        <v>23.54</v>
      </c>
    </row>
    <row r="80" spans="1:40" ht="25.5" x14ac:dyDescent="0.2">
      <c r="A80" t="str">
        <f t="shared" si="1"/>
        <v>S</v>
      </c>
      <c r="B80">
        <f t="shared" ca="1" si="2"/>
        <v>2</v>
      </c>
      <c r="C80" t="str">
        <f t="shared" ca="1" si="3"/>
        <v>S</v>
      </c>
      <c r="D80">
        <f t="shared" ca="1" si="4"/>
        <v>0</v>
      </c>
      <c r="E80">
        <f ca="1">IF($C80=1,OFFSET(E80,-1,0)+MAX(1,COUNTIF(QCI!$A$13:$A$24,OFFSET(ORÇAMENTO!E80,-1,0))),OFFSET(E80,-1,0))</f>
        <v>1</v>
      </c>
      <c r="F80">
        <f t="shared" ca="1" si="5"/>
        <v>4</v>
      </c>
      <c r="G80">
        <f t="shared" ca="1" si="6"/>
        <v>0</v>
      </c>
      <c r="H80">
        <f t="shared" ca="1" si="7"/>
        <v>0</v>
      </c>
      <c r="I80">
        <f t="shared" ca="1" si="8"/>
        <v>11</v>
      </c>
      <c r="J80">
        <f t="shared" ref="J80:J143" ca="1" si="17">IF(OR($C80="S",$C80=0),0,MATCH(0,OFFSET($D80,1,$C80,ROW($C$290)-ROW($C80)),0))</f>
        <v>0</v>
      </c>
      <c r="K80">
        <f ca="1">IF(OR($C80="S",$C80=0),0,MATCH(OFFSET($D80,0,$C80)+IF($C80&lt;&gt;1,1,COUNTIF(QCI!$A$13:$A$24,ORÇAMENTO!E80)),OFFSET($D80,1,$C80,ROW($C$290)-ROW($C80)),0))</f>
        <v>0</v>
      </c>
      <c r="L80" s="116" t="str">
        <f t="shared" ca="1" si="10"/>
        <v>F</v>
      </c>
      <c r="M80" s="117" t="s">
        <v>199</v>
      </c>
      <c r="N80" s="118" t="str">
        <f t="shared" ca="1" si="11"/>
        <v>Serviço</v>
      </c>
      <c r="O80" s="119" t="str">
        <f t="shared" ca="1" si="12"/>
        <v>1.4.0.11.</v>
      </c>
      <c r="P80" s="120" t="s">
        <v>462</v>
      </c>
      <c r="Q80" s="121" t="s">
        <v>507</v>
      </c>
      <c r="R80" s="122" t="str">
        <f ca="1">IF($C80="S",REFERENCIA.Descricao,"(digite a descrição aqui)")</f>
        <v>(abra o arquivo 'Referência 03-2024.xlsm)</v>
      </c>
      <c r="S80" s="123" t="str">
        <f ca="1">REFERENCIA.Unidade</f>
        <v>-</v>
      </c>
      <c r="T80" s="124">
        <f ca="1">OFFSET(CÁLCULO!H$15,ROW($T80)-ROW(T$15),0)</f>
        <v>12</v>
      </c>
      <c r="U80" s="125">
        <v>39.590000000000003</v>
      </c>
      <c r="V80" s="126" t="s">
        <v>156</v>
      </c>
      <c r="W80" s="124">
        <f ca="1">IF($C80="S",ROUND(IF(TIPOORCAMENTO="Proposto",ORÇAMENTO.CustoUnitario*(1+$AH80),ORÇAMENTO.PrecoUnitarioLicitado),15-13*$AF$10),0)</f>
        <v>50.74</v>
      </c>
      <c r="X80" s="127">
        <f ca="1">IF($C80="S",IF(Import.TipoArredondamento&lt;&gt;"TransfereGOV",VTOTAL1,SUM(OFFSET(CÁLCULO!$AA$15,ROW($X80)-ROW($X$15),1):OFFSET(CÁLCULO!$AL$15,ROW($X80)-ROW($X$15),-1))),IF($C80=0,0,ROUND(SomaAgrup,15-13*$AF$11)))</f>
        <v>608.88</v>
      </c>
      <c r="Y80" s="128" t="s">
        <v>245</v>
      </c>
      <c r="Z80" t="str">
        <f t="shared" ca="1" si="13"/>
        <v>RA</v>
      </c>
      <c r="AA80" s="129">
        <f ca="1">IF($C80="S",IF($Z80="CP",$X80,IF($Z80="RA",(($X80)*QCI!$AA$3),0)),SomaAgrup)</f>
        <v>608.88</v>
      </c>
      <c r="AB80" s="130">
        <f t="shared" ca="1" si="14"/>
        <v>0</v>
      </c>
      <c r="AC80" s="131" t="str">
        <f ca="1">IF($N80="","",IF(ORÇAMENTO.Descricao="","DESCRIÇÃO",IF(AND($C80="S",ORÇAMENTO.Unidade=""),"UNIDADE",IF($X80&lt;0,"VALOR NEGATIVO",IF(OR(AND(TIPOORCAMENTO="Proposto",$AG80&lt;&gt;"",$AG80&gt;0,ORÇAMENTO.CustoUnitario&gt;$AG80),AND(TIPOORCAMENTO="LICITADO",ORÇAMENTO.PrecoUnitarioLicitado&gt;$AN80)),"ACIMA REF.","")))))</f>
        <v/>
      </c>
      <c r="AD80" t="str">
        <f ca="1">IF(C80&lt;=CRONO.NivelExibicao,MAX($AD$15:OFFSET(AD80,-1,0))+IF($C80&lt;&gt;1,1,MAX(1,COUNTIF(QCI!$A$13:$A$24,OFFSET($E80,-1,0)))),"")</f>
        <v/>
      </c>
      <c r="AE80" s="7" t="str">
        <f ca="1">IF(AND($C80="S",ORÇAMENTO.CodBarra&lt;&gt;""),IF(ORÇAMENTO.Fonte="",ORÇAMENTO.CodBarra,CONCATENATE(ORÇAMENTO.Fonte," ",ORÇAMENTO.CodBarra)))</f>
        <v>Composição 34</v>
      </c>
      <c r="AF80" s="13" t="str">
        <f ca="1">IF(ISERROR(INDIRECT(ORÇAMENTO.BancoRef)),"(abra o arquivo 'Referência "&amp;Excel_BuiltIn_Database&amp;".xlsm)",IF(OR($C80&lt;&gt;"S",ORÇAMENTO.CodBarra=""),"(Sem Código)",IF(ISERROR(MATCH($AE80,INDIRECT(ORÇAMENTO.BancoRef),0)),"(Código não identificado nas referências)",MATCH($AE80,INDIRECT(ORÇAMENTO.BancoRef),0))))</f>
        <v>(abra o arquivo 'Referência 03-2024.xlsm)</v>
      </c>
      <c r="AG80" s="498">
        <f ca="1">ROUND(IF(DESONERACAO="sim",REFERENCIA.Desonerado,REFERENCIA.NaoDesonerado),2)</f>
        <v>0</v>
      </c>
      <c r="AH80" s="499">
        <f t="shared" ca="1" si="15"/>
        <v>0.28170000000000001</v>
      </c>
      <c r="AJ80" s="501">
        <v>12</v>
      </c>
      <c r="AL80" s="527"/>
      <c r="AM80" s="381">
        <f t="shared" ca="1" si="0"/>
        <v>608.88</v>
      </c>
      <c r="AN80" s="566">
        <f t="shared" ca="1" si="16"/>
        <v>50.74</v>
      </c>
    </row>
    <row r="81" spans="1:40" x14ac:dyDescent="0.2">
      <c r="A81">
        <f t="shared" si="1"/>
        <v>2</v>
      </c>
      <c r="B81">
        <f t="shared" ca="1" si="2"/>
        <v>2</v>
      </c>
      <c r="C81">
        <f t="shared" ca="1" si="3"/>
        <v>2</v>
      </c>
      <c r="D81">
        <f t="shared" ca="1" si="4"/>
        <v>5</v>
      </c>
      <c r="E81">
        <f ca="1">IF($C81=1,OFFSET(E81,-1,0)+MAX(1,COUNTIF(QCI!$A$13:$A$24,OFFSET(ORÇAMENTO!E81,-1,0))),OFFSET(E81,-1,0))</f>
        <v>1</v>
      </c>
      <c r="F81">
        <f t="shared" ca="1" si="5"/>
        <v>5</v>
      </c>
      <c r="G81">
        <f t="shared" ca="1" si="6"/>
        <v>0</v>
      </c>
      <c r="H81">
        <f t="shared" ca="1" si="7"/>
        <v>0</v>
      </c>
      <c r="I81">
        <f t="shared" ca="1" si="8"/>
        <v>0</v>
      </c>
      <c r="J81">
        <f t="shared" ca="1" si="17"/>
        <v>209</v>
      </c>
      <c r="K81">
        <f ca="1">IF(OR($C81="S",$C81=0),0,MATCH(OFFSET($D81,0,$C81)+IF($C81&lt;&gt;1,1,COUNTIF(QCI!$A$13:$A$24,ORÇAMENTO!E81)),OFFSET($D81,1,$C81,ROW($C$290)-ROW($C81)),0))</f>
        <v>5</v>
      </c>
      <c r="L81" s="116" t="str">
        <f t="shared" ca="1" si="10"/>
        <v>F</v>
      </c>
      <c r="M81" s="117" t="s">
        <v>196</v>
      </c>
      <c r="N81" s="118" t="str">
        <f t="shared" ca="1" si="11"/>
        <v>Nível 2</v>
      </c>
      <c r="O81" s="119" t="str">
        <f t="shared" ca="1" si="12"/>
        <v>1.5.</v>
      </c>
      <c r="P81" s="120" t="s">
        <v>247</v>
      </c>
      <c r="Q81" s="121"/>
      <c r="R81" s="122" t="s">
        <v>508</v>
      </c>
      <c r="S81" s="123" t="str">
        <f ca="1">REFERENCIA.Unidade</f>
        <v>-</v>
      </c>
      <c r="T81" s="124">
        <f ca="1">OFFSET(CÁLCULO!H$15,ROW($T81)-ROW(T$15),0)</f>
        <v>0</v>
      </c>
      <c r="U81" s="125">
        <v>0</v>
      </c>
      <c r="V81" s="126" t="s">
        <v>156</v>
      </c>
      <c r="W81" s="124">
        <f ca="1">IF($C81="S",ROUND(IF(TIPOORCAMENTO="Proposto",ORÇAMENTO.CustoUnitario*(1+$AH81),ORÇAMENTO.PrecoUnitarioLicitado),15-13*$AF$10),0)</f>
        <v>0</v>
      </c>
      <c r="X81" s="127">
        <f ca="1">IF($C81="S",IF(Import.TipoArredondamento&lt;&gt;"TransfereGOV",VTOTAL1,SUM(OFFSET(CÁLCULO!$AA$15,ROW($X81)-ROW($X$15),1):OFFSET(CÁLCULO!$AL$15,ROW($X81)-ROW($X$15),-1))),IF($C81=0,0,ROUND(SomaAgrup,15-13*$AF$11)))</f>
        <v>2973.27</v>
      </c>
      <c r="Y81" s="128" t="s">
        <v>245</v>
      </c>
      <c r="Z81" t="str">
        <f t="shared" ca="1" si="13"/>
        <v/>
      </c>
      <c r="AA81" s="129">
        <f ca="1">IF($C81="S",IF($Z81="CP",$X81,IF($Z81="RA",(($X81)*QCI!$AA$3),0)),SomaAgrup)</f>
        <v>2973.27</v>
      </c>
      <c r="AB81" s="130">
        <f t="shared" ca="1" si="14"/>
        <v>0</v>
      </c>
      <c r="AC81" s="131" t="str">
        <f ca="1">IF($N81="","",IF(ORÇAMENTO.Descricao="","DESCRIÇÃO",IF(AND($C81="S",ORÇAMENTO.Unidade=""),"UNIDADE",IF($X81&lt;0,"VALOR NEGATIVO",IF(OR(AND(TIPOORCAMENTO="Proposto",$AG81&lt;&gt;"",$AG81&gt;0,ORÇAMENTO.CustoUnitario&gt;$AG81),AND(TIPOORCAMENTO="LICITADO",ORÇAMENTO.PrecoUnitarioLicitado&gt;$AN81)),"ACIMA REF.","")))))</f>
        <v/>
      </c>
      <c r="AD81">
        <f ca="1">IF(C81&lt;=CRONO.NivelExibicao,MAX($AD$15:OFFSET(AD81,-1,0))+IF($C81&lt;&gt;1,1,MAX(1,COUNTIF(QCI!$A$13:$A$24,OFFSET($E81,-1,0)))),"")</f>
        <v>8</v>
      </c>
      <c r="AE81" s="7" t="b">
        <f ca="1">IF(AND($C81="S",ORÇAMENTO.CodBarra&lt;&gt;""),IF(ORÇAMENTO.Fonte="",ORÇAMENTO.CodBarra,CONCATENATE(ORÇAMENTO.Fonte," ",ORÇAMENTO.CodBarra)))</f>
        <v>0</v>
      </c>
      <c r="AF81" s="13" t="str">
        <f ca="1">IF(ISERROR(INDIRECT(ORÇAMENTO.BancoRef)),"(abra o arquivo 'Referência "&amp;Excel_BuiltIn_Database&amp;".xlsm)",IF(OR($C81&lt;&gt;"S",ORÇAMENTO.CodBarra=""),"(Sem Código)",IF(ISERROR(MATCH($AE81,INDIRECT(ORÇAMENTO.BancoRef),0)),"(Código não identificado nas referências)",MATCH($AE81,INDIRECT(ORÇAMENTO.BancoRef),0))))</f>
        <v>(abra o arquivo 'Referência 03-2024.xlsm)</v>
      </c>
      <c r="AG81" s="498">
        <f ca="1">ROUND(IF(DESONERACAO="sim",REFERENCIA.Desonerado,REFERENCIA.NaoDesonerado),2)</f>
        <v>0</v>
      </c>
      <c r="AH81" s="499">
        <f t="shared" ca="1" si="15"/>
        <v>0.28170000000000001</v>
      </c>
      <c r="AJ81" s="501"/>
      <c r="AL81" s="527"/>
      <c r="AM81" s="381">
        <f t="shared" ca="1" si="0"/>
        <v>2973.27</v>
      </c>
      <c r="AN81" s="566">
        <f t="shared" ca="1" si="16"/>
        <v>0</v>
      </c>
    </row>
    <row r="82" spans="1:40" ht="63.75" x14ac:dyDescent="0.2">
      <c r="A82" t="str">
        <f t="shared" si="1"/>
        <v>S</v>
      </c>
      <c r="B82">
        <f t="shared" ca="1" si="2"/>
        <v>2</v>
      </c>
      <c r="C82" t="str">
        <f t="shared" ca="1" si="3"/>
        <v>S</v>
      </c>
      <c r="D82">
        <f t="shared" ca="1" si="4"/>
        <v>0</v>
      </c>
      <c r="E82">
        <f ca="1">IF($C82=1,OFFSET(E82,-1,0)+MAX(1,COUNTIF(QCI!$A$13:$A$24,OFFSET(ORÇAMENTO!E82,-1,0))),OFFSET(E82,-1,0))</f>
        <v>1</v>
      </c>
      <c r="F82">
        <f t="shared" ca="1" si="5"/>
        <v>5</v>
      </c>
      <c r="G82">
        <f t="shared" ca="1" si="6"/>
        <v>0</v>
      </c>
      <c r="H82">
        <f t="shared" ca="1" si="7"/>
        <v>0</v>
      </c>
      <c r="I82">
        <f t="shared" ca="1" si="8"/>
        <v>1</v>
      </c>
      <c r="J82">
        <f t="shared" ca="1" si="17"/>
        <v>0</v>
      </c>
      <c r="K82">
        <f ca="1">IF(OR($C82="S",$C82=0),0,MATCH(OFFSET($D82,0,$C82)+IF($C82&lt;&gt;1,1,COUNTIF(QCI!$A$13:$A$24,ORÇAMENTO!E82)),OFFSET($D82,1,$C82,ROW($C$290)-ROW($C82)),0))</f>
        <v>0</v>
      </c>
      <c r="L82" s="116" t="str">
        <f t="shared" ca="1" si="10"/>
        <v>F</v>
      </c>
      <c r="M82" s="117" t="s">
        <v>199</v>
      </c>
      <c r="N82" s="118" t="str">
        <f t="shared" ca="1" si="11"/>
        <v>Serviço</v>
      </c>
      <c r="O82" s="119" t="str">
        <f t="shared" ca="1" si="12"/>
        <v>1.5.0.1.</v>
      </c>
      <c r="P82" s="120" t="s">
        <v>247</v>
      </c>
      <c r="Q82" s="121" t="s">
        <v>492</v>
      </c>
      <c r="R82" s="122" t="str">
        <f ca="1">IF($C82="S",REFERENCIA.Descricao,"(digite a descrição aqui)")</f>
        <v>(abra o arquivo 'Referência 03-2024.xlsm)</v>
      </c>
      <c r="S82" s="123" t="str">
        <f ca="1">REFERENCIA.Unidade</f>
        <v>-</v>
      </c>
      <c r="T82" s="124">
        <f ca="1">OFFSET(CÁLCULO!H$15,ROW($T82)-ROW(T$15),0)</f>
        <v>33</v>
      </c>
      <c r="U82" s="125">
        <v>6.45</v>
      </c>
      <c r="V82" s="126" t="s">
        <v>156</v>
      </c>
      <c r="W82" s="124">
        <f ca="1">IF($C82="S",ROUND(IF(TIPOORCAMENTO="Proposto",ORÇAMENTO.CustoUnitario*(1+$AH82),ORÇAMENTO.PrecoUnitarioLicitado),15-13*$AF$10),0)</f>
        <v>8.27</v>
      </c>
      <c r="X82" s="127">
        <f ca="1">IF($C82="S",IF(Import.TipoArredondamento&lt;&gt;"TransfereGOV",VTOTAL1,SUM(OFFSET(CÁLCULO!$AA$15,ROW($X82)-ROW($X$15),1):OFFSET(CÁLCULO!$AL$15,ROW($X82)-ROW($X$15),-1))),IF($C82=0,0,ROUND(SomaAgrup,15-13*$AF$11)))</f>
        <v>272.91000000000003</v>
      </c>
      <c r="Y82" s="128" t="s">
        <v>245</v>
      </c>
      <c r="Z82" t="str">
        <f t="shared" ca="1" si="13"/>
        <v>RA</v>
      </c>
      <c r="AA82" s="129">
        <f ca="1">IF($C82="S",IF($Z82="CP",$X82,IF($Z82="RA",(($X82)*QCI!$AA$3),0)),SomaAgrup)</f>
        <v>272.91000000000003</v>
      </c>
      <c r="AB82" s="130">
        <f t="shared" ca="1" si="14"/>
        <v>0</v>
      </c>
      <c r="AC82" s="131" t="str">
        <f ca="1">IF($N82="","",IF(ORÇAMENTO.Descricao="","DESCRIÇÃO",IF(AND($C82="S",ORÇAMENTO.Unidade=""),"UNIDADE",IF($X82&lt;0,"VALOR NEGATIVO",IF(OR(AND(TIPOORCAMENTO="Proposto",$AG82&lt;&gt;"",$AG82&gt;0,ORÇAMENTO.CustoUnitario&gt;$AG82),AND(TIPOORCAMENTO="LICITADO",ORÇAMENTO.PrecoUnitarioLicitado&gt;$AN82)),"ACIMA REF.","")))))</f>
        <v/>
      </c>
      <c r="AD82" t="str">
        <f ca="1">IF(C82&lt;=CRONO.NivelExibicao,MAX($AD$15:OFFSET(AD82,-1,0))+IF($C82&lt;&gt;1,1,MAX(1,COUNTIF(QCI!$A$13:$A$24,OFFSET($E82,-1,0)))),"")</f>
        <v/>
      </c>
      <c r="AE82" s="7" t="str">
        <f ca="1">IF(AND($C82="S",ORÇAMENTO.CodBarra&lt;&gt;""),IF(ORÇAMENTO.Fonte="",ORÇAMENTO.CodBarra,CONCATENATE(ORÇAMENTO.Fonte," ",ORÇAMENTO.CodBarra)))</f>
        <v>SINAPI 90091</v>
      </c>
      <c r="AF82" s="13" t="str">
        <f ca="1">IF(ISERROR(INDIRECT(ORÇAMENTO.BancoRef)),"(abra o arquivo 'Referência "&amp;Excel_BuiltIn_Database&amp;".xlsm)",IF(OR($C82&lt;&gt;"S",ORÇAMENTO.CodBarra=""),"(Sem Código)",IF(ISERROR(MATCH($AE82,INDIRECT(ORÇAMENTO.BancoRef),0)),"(Código não identificado nas referências)",MATCH($AE82,INDIRECT(ORÇAMENTO.BancoRef),0))))</f>
        <v>(abra o arquivo 'Referência 03-2024.xlsm)</v>
      </c>
      <c r="AG82" s="498">
        <f ca="1">ROUND(IF(DESONERACAO="sim",REFERENCIA.Desonerado,REFERENCIA.NaoDesonerado),2)</f>
        <v>0</v>
      </c>
      <c r="AH82" s="499">
        <f t="shared" ca="1" si="15"/>
        <v>0.28170000000000001</v>
      </c>
      <c r="AJ82" s="501">
        <v>33</v>
      </c>
      <c r="AL82" s="527"/>
      <c r="AM82" s="381">
        <f t="shared" ca="1" si="0"/>
        <v>272.91000000000003</v>
      </c>
      <c r="AN82" s="566">
        <f t="shared" ca="1" si="16"/>
        <v>8.27</v>
      </c>
    </row>
    <row r="83" spans="1:40" ht="51" x14ac:dyDescent="0.2">
      <c r="A83" t="str">
        <f t="shared" si="1"/>
        <v>S</v>
      </c>
      <c r="B83">
        <f t="shared" ca="1" si="2"/>
        <v>2</v>
      </c>
      <c r="C83" t="str">
        <f t="shared" ca="1" si="3"/>
        <v>S</v>
      </c>
      <c r="D83">
        <f t="shared" ca="1" si="4"/>
        <v>0</v>
      </c>
      <c r="E83">
        <f ca="1">IF($C83=1,OFFSET(E83,-1,0)+MAX(1,COUNTIF(QCI!$A$13:$A$24,OFFSET(ORÇAMENTO!E83,-1,0))),OFFSET(E83,-1,0))</f>
        <v>1</v>
      </c>
      <c r="F83">
        <f t="shared" ca="1" si="5"/>
        <v>5</v>
      </c>
      <c r="G83">
        <f t="shared" ca="1" si="6"/>
        <v>0</v>
      </c>
      <c r="H83">
        <f t="shared" ca="1" si="7"/>
        <v>0</v>
      </c>
      <c r="I83">
        <f t="shared" ca="1" si="8"/>
        <v>2</v>
      </c>
      <c r="J83">
        <f t="shared" ca="1" si="17"/>
        <v>0</v>
      </c>
      <c r="K83">
        <f ca="1">IF(OR($C83="S",$C83=0),0,MATCH(OFFSET($D83,0,$C83)+IF($C83&lt;&gt;1,1,COUNTIF(QCI!$A$13:$A$24,ORÇAMENTO!E83)),OFFSET($D83,1,$C83,ROW($C$290)-ROW($C83)),0))</f>
        <v>0</v>
      </c>
      <c r="L83" s="116" t="str">
        <f t="shared" ca="1" si="10"/>
        <v>F</v>
      </c>
      <c r="M83" s="117" t="s">
        <v>199</v>
      </c>
      <c r="N83" s="118" t="str">
        <f t="shared" ca="1" si="11"/>
        <v>Serviço</v>
      </c>
      <c r="O83" s="119" t="str">
        <f t="shared" ca="1" si="12"/>
        <v>1.5.0.2.</v>
      </c>
      <c r="P83" s="120" t="s">
        <v>462</v>
      </c>
      <c r="Q83" s="121" t="s">
        <v>493</v>
      </c>
      <c r="R83" s="122" t="str">
        <f ca="1">IF($C83="S",REFERENCIA.Descricao,"(digite a descrição aqui)")</f>
        <v>(abra o arquivo 'Referência 03-2024.xlsm)</v>
      </c>
      <c r="S83" s="123" t="str">
        <f ca="1">REFERENCIA.Unidade</f>
        <v>-</v>
      </c>
      <c r="T83" s="124">
        <f ca="1">OFFSET(CÁLCULO!H$15,ROW($T83)-ROW(T$15),0)</f>
        <v>30</v>
      </c>
      <c r="U83" s="125">
        <v>9.16</v>
      </c>
      <c r="V83" s="126" t="s">
        <v>156</v>
      </c>
      <c r="W83" s="124">
        <f ca="1">IF($C83="S",ROUND(IF(TIPOORCAMENTO="Proposto",ORÇAMENTO.CustoUnitario*(1+$AH83),ORÇAMENTO.PrecoUnitarioLicitado),15-13*$AF$10),0)</f>
        <v>11.74</v>
      </c>
      <c r="X83" s="127">
        <f ca="1">IF($C83="S",IF(Import.TipoArredondamento&lt;&gt;"TransfereGOV",VTOTAL1,SUM(OFFSET(CÁLCULO!$AA$15,ROW($X83)-ROW($X$15),1):OFFSET(CÁLCULO!$AL$15,ROW($X83)-ROW($X$15),-1))),IF($C83=0,0,ROUND(SomaAgrup,15-13*$AF$11)))</f>
        <v>352.2</v>
      </c>
      <c r="Y83" s="128" t="s">
        <v>245</v>
      </c>
      <c r="Z83" t="str">
        <f t="shared" ca="1" si="13"/>
        <v>RA</v>
      </c>
      <c r="AA83" s="129">
        <f ca="1">IF($C83="S",IF($Z83="CP",$X83,IF($Z83="RA",(($X83)*QCI!$AA$3),0)),SomaAgrup)</f>
        <v>352.2</v>
      </c>
      <c r="AB83" s="130">
        <f t="shared" ca="1" si="14"/>
        <v>0</v>
      </c>
      <c r="AC83" s="131" t="str">
        <f ca="1">IF($N83="","",IF(ORÇAMENTO.Descricao="","DESCRIÇÃO",IF(AND($C83="S",ORÇAMENTO.Unidade=""),"UNIDADE",IF($X83&lt;0,"VALOR NEGATIVO",IF(OR(AND(TIPOORCAMENTO="Proposto",$AG83&lt;&gt;"",$AG83&gt;0,ORÇAMENTO.CustoUnitario&gt;$AG83),AND(TIPOORCAMENTO="LICITADO",ORÇAMENTO.PrecoUnitarioLicitado&gt;$AN83)),"ACIMA REF.","")))))</f>
        <v/>
      </c>
      <c r="AD83" t="str">
        <f ca="1">IF(C83&lt;=CRONO.NivelExibicao,MAX($AD$15:OFFSET(AD83,-1,0))+IF($C83&lt;&gt;1,1,MAX(1,COUNTIF(QCI!$A$13:$A$24,OFFSET($E83,-1,0)))),"")</f>
        <v/>
      </c>
      <c r="AE83" s="7" t="str">
        <f ca="1">IF(AND($C83="S",ORÇAMENTO.CodBarra&lt;&gt;""),IF(ORÇAMENTO.Fonte="",ORÇAMENTO.CodBarra,CONCATENATE(ORÇAMENTO.Fonte," ",ORÇAMENTO.CodBarra)))</f>
        <v>Composição 22</v>
      </c>
      <c r="AF83" s="13" t="str">
        <f ca="1">IF(ISERROR(INDIRECT(ORÇAMENTO.BancoRef)),"(abra o arquivo 'Referência "&amp;Excel_BuiltIn_Database&amp;".xlsm)",IF(OR($C83&lt;&gt;"S",ORÇAMENTO.CodBarra=""),"(Sem Código)",IF(ISERROR(MATCH($AE83,INDIRECT(ORÇAMENTO.BancoRef),0)),"(Código não identificado nas referências)",MATCH($AE83,INDIRECT(ORÇAMENTO.BancoRef),0))))</f>
        <v>(abra o arquivo 'Referência 03-2024.xlsm)</v>
      </c>
      <c r="AG83" s="498">
        <f ca="1">ROUND(IF(DESONERACAO="sim",REFERENCIA.Desonerado,REFERENCIA.NaoDesonerado),2)</f>
        <v>0</v>
      </c>
      <c r="AH83" s="499">
        <f t="shared" ca="1" si="15"/>
        <v>0.28170000000000001</v>
      </c>
      <c r="AJ83" s="501">
        <v>30</v>
      </c>
      <c r="AL83" s="527"/>
      <c r="AM83" s="381">
        <f t="shared" ca="1" si="0"/>
        <v>352.2</v>
      </c>
      <c r="AN83" s="566">
        <f t="shared" ca="1" si="16"/>
        <v>11.74</v>
      </c>
    </row>
    <row r="84" spans="1:40" ht="25.5" x14ac:dyDescent="0.2">
      <c r="A84" t="str">
        <f t="shared" si="1"/>
        <v>S</v>
      </c>
      <c r="B84">
        <f t="shared" ca="1" si="2"/>
        <v>2</v>
      </c>
      <c r="C84" t="str">
        <f t="shared" ca="1" si="3"/>
        <v>S</v>
      </c>
      <c r="D84">
        <f t="shared" ca="1" si="4"/>
        <v>0</v>
      </c>
      <c r="E84">
        <f ca="1">IF($C84=1,OFFSET(E84,-1,0)+MAX(1,COUNTIF(QCI!$A$13:$A$24,OFFSET(ORÇAMENTO!E84,-1,0))),OFFSET(E84,-1,0))</f>
        <v>1</v>
      </c>
      <c r="F84">
        <f t="shared" ca="1" si="5"/>
        <v>5</v>
      </c>
      <c r="G84">
        <f t="shared" ca="1" si="6"/>
        <v>0</v>
      </c>
      <c r="H84">
        <f t="shared" ca="1" si="7"/>
        <v>0</v>
      </c>
      <c r="I84">
        <f t="shared" ca="1" si="8"/>
        <v>3</v>
      </c>
      <c r="J84">
        <f t="shared" ca="1" si="17"/>
        <v>0</v>
      </c>
      <c r="K84">
        <f ca="1">IF(OR($C84="S",$C84=0),0,MATCH(OFFSET($D84,0,$C84)+IF($C84&lt;&gt;1,1,COUNTIF(QCI!$A$13:$A$24,ORÇAMENTO!E84)),OFFSET($D84,1,$C84,ROW($C$290)-ROW($C84)),0))</f>
        <v>0</v>
      </c>
      <c r="L84" s="116" t="str">
        <f t="shared" ca="1" si="10"/>
        <v>F</v>
      </c>
      <c r="M84" s="117" t="s">
        <v>199</v>
      </c>
      <c r="N84" s="118" t="str">
        <f t="shared" ca="1" si="11"/>
        <v>Serviço</v>
      </c>
      <c r="O84" s="119" t="str">
        <f t="shared" ca="1" si="12"/>
        <v>1.5.0.3.</v>
      </c>
      <c r="P84" s="120" t="s">
        <v>462</v>
      </c>
      <c r="Q84" s="121" t="s">
        <v>486</v>
      </c>
      <c r="R84" s="122" t="str">
        <f ca="1">IF($C84="S",REFERENCIA.Descricao,"(digite a descrição aqui)")</f>
        <v>(abra o arquivo 'Referência 03-2024.xlsm)</v>
      </c>
      <c r="S84" s="123" t="str">
        <f ca="1">REFERENCIA.Unidade</f>
        <v>-</v>
      </c>
      <c r="T84" s="124">
        <f ca="1">OFFSET(CÁLCULO!H$15,ROW($T84)-ROW(T$15),0)</f>
        <v>2</v>
      </c>
      <c r="U84" s="125">
        <v>45.27</v>
      </c>
      <c r="V84" s="126" t="s">
        <v>156</v>
      </c>
      <c r="W84" s="124">
        <f ca="1">IF($C84="S",ROUND(IF(TIPOORCAMENTO="Proposto",ORÇAMENTO.CustoUnitario*(1+$AH84),ORÇAMENTO.PrecoUnitarioLicitado),15-13*$AF$10),0)</f>
        <v>58.02</v>
      </c>
      <c r="X84" s="127">
        <f ca="1">IF($C84="S",IF(Import.TipoArredondamento&lt;&gt;"TransfereGOV",VTOTAL1,SUM(OFFSET(CÁLCULO!$AA$15,ROW($X84)-ROW($X$15),1):OFFSET(CÁLCULO!$AL$15,ROW($X84)-ROW($X$15),-1))),IF($C84=0,0,ROUND(SomaAgrup,15-13*$AF$11)))</f>
        <v>116.04</v>
      </c>
      <c r="Y84" s="128" t="s">
        <v>245</v>
      </c>
      <c r="Z84" t="str">
        <f t="shared" ca="1" si="13"/>
        <v>RA</v>
      </c>
      <c r="AA84" s="129">
        <f ca="1">IF($C84="S",IF($Z84="CP",$X84,IF($Z84="RA",(($X84)*QCI!$AA$3),0)),SomaAgrup)</f>
        <v>116.04</v>
      </c>
      <c r="AB84" s="130">
        <f t="shared" ca="1" si="14"/>
        <v>0</v>
      </c>
      <c r="AC84" s="131" t="str">
        <f ca="1">IF($N84="","",IF(ORÇAMENTO.Descricao="","DESCRIÇÃO",IF(AND($C84="S",ORÇAMENTO.Unidade=""),"UNIDADE",IF($X84&lt;0,"VALOR NEGATIVO",IF(OR(AND(TIPOORCAMENTO="Proposto",$AG84&lt;&gt;"",$AG84&gt;0,ORÇAMENTO.CustoUnitario&gt;$AG84),AND(TIPOORCAMENTO="LICITADO",ORÇAMENTO.PrecoUnitarioLicitado&gt;$AN84)),"ACIMA REF.","")))))</f>
        <v/>
      </c>
      <c r="AD84" t="str">
        <f ca="1">IF(C84&lt;=CRONO.NivelExibicao,MAX($AD$15:OFFSET(AD84,-1,0))+IF($C84&lt;&gt;1,1,MAX(1,COUNTIF(QCI!$A$13:$A$24,OFFSET($E84,-1,0)))),"")</f>
        <v/>
      </c>
      <c r="AE84" s="7" t="str">
        <f ca="1">IF(AND($C84="S",ORÇAMENTO.CodBarra&lt;&gt;""),IF(ORÇAMENTO.Fonte="",ORÇAMENTO.CodBarra,CONCATENATE(ORÇAMENTO.Fonte," ",ORÇAMENTO.CodBarra)))</f>
        <v>Composição 19</v>
      </c>
      <c r="AF84" s="13" t="str">
        <f ca="1">IF(ISERROR(INDIRECT(ORÇAMENTO.BancoRef)),"(abra o arquivo 'Referência "&amp;Excel_BuiltIn_Database&amp;".xlsm)",IF(OR($C84&lt;&gt;"S",ORÇAMENTO.CodBarra=""),"(Sem Código)",IF(ISERROR(MATCH($AE84,INDIRECT(ORÇAMENTO.BancoRef),0)),"(Código não identificado nas referências)",MATCH($AE84,INDIRECT(ORÇAMENTO.BancoRef),0))))</f>
        <v>(abra o arquivo 'Referência 03-2024.xlsm)</v>
      </c>
      <c r="AG84" s="498">
        <f ca="1">ROUND(IF(DESONERACAO="sim",REFERENCIA.Desonerado,REFERENCIA.NaoDesonerado),2)</f>
        <v>0</v>
      </c>
      <c r="AH84" s="499">
        <f t="shared" ca="1" si="15"/>
        <v>0.28170000000000001</v>
      </c>
      <c r="AJ84" s="501">
        <v>2</v>
      </c>
      <c r="AL84" s="527"/>
      <c r="AM84" s="381">
        <f t="shared" ca="1" si="0"/>
        <v>116.04</v>
      </c>
      <c r="AN84" s="566">
        <f t="shared" ca="1" si="16"/>
        <v>58.02</v>
      </c>
    </row>
    <row r="85" spans="1:40" ht="38.25" x14ac:dyDescent="0.2">
      <c r="A85" t="str">
        <f t="shared" si="1"/>
        <v>S</v>
      </c>
      <c r="B85">
        <f t="shared" ca="1" si="2"/>
        <v>2</v>
      </c>
      <c r="C85" t="str">
        <f t="shared" ca="1" si="3"/>
        <v>S</v>
      </c>
      <c r="D85">
        <f t="shared" ca="1" si="4"/>
        <v>0</v>
      </c>
      <c r="E85">
        <f ca="1">IF($C85=1,OFFSET(E85,-1,0)+MAX(1,COUNTIF(QCI!$A$13:$A$24,OFFSET(ORÇAMENTO!E85,-1,0))),OFFSET(E85,-1,0))</f>
        <v>1</v>
      </c>
      <c r="F85">
        <f t="shared" ca="1" si="5"/>
        <v>5</v>
      </c>
      <c r="G85">
        <f t="shared" ca="1" si="6"/>
        <v>0</v>
      </c>
      <c r="H85">
        <f t="shared" ca="1" si="7"/>
        <v>0</v>
      </c>
      <c r="I85">
        <f t="shared" ca="1" si="8"/>
        <v>4</v>
      </c>
      <c r="J85">
        <f t="shared" ca="1" si="17"/>
        <v>0</v>
      </c>
      <c r="K85">
        <f ca="1">IF(OR($C85="S",$C85=0),0,MATCH(OFFSET($D85,0,$C85)+IF($C85&lt;&gt;1,1,COUNTIF(QCI!$A$13:$A$24,ORÇAMENTO!E85)),OFFSET($D85,1,$C85,ROW($C$290)-ROW($C85)),0))</f>
        <v>0</v>
      </c>
      <c r="L85" s="116" t="str">
        <f t="shared" ca="1" si="10"/>
        <v>F</v>
      </c>
      <c r="M85" s="117" t="s">
        <v>199</v>
      </c>
      <c r="N85" s="118" t="str">
        <f t="shared" ca="1" si="11"/>
        <v>Serviço</v>
      </c>
      <c r="O85" s="119" t="str">
        <f t="shared" ca="1" si="12"/>
        <v>1.5.0.4.</v>
      </c>
      <c r="P85" s="120" t="s">
        <v>462</v>
      </c>
      <c r="Q85" s="121" t="s">
        <v>487</v>
      </c>
      <c r="R85" s="122" t="str">
        <f ca="1">IF($C85="S",REFERENCIA.Descricao,"(digite a descrição aqui)")</f>
        <v>(abra o arquivo 'Referência 03-2024.xlsm)</v>
      </c>
      <c r="S85" s="123" t="str">
        <f ca="1">REFERENCIA.Unidade</f>
        <v>-</v>
      </c>
      <c r="T85" s="124">
        <f ca="1">OFFSET(CÁLCULO!H$15,ROW($T85)-ROW(T$15),0)</f>
        <v>132</v>
      </c>
      <c r="U85" s="125">
        <v>13.19</v>
      </c>
      <c r="V85" s="126" t="s">
        <v>156</v>
      </c>
      <c r="W85" s="124">
        <f ca="1">IF($C85="S",ROUND(IF(TIPOORCAMENTO="Proposto",ORÇAMENTO.CustoUnitario*(1+$AH85),ORÇAMENTO.PrecoUnitarioLicitado),15-13*$AF$10),0)</f>
        <v>16.91</v>
      </c>
      <c r="X85" s="127">
        <f ca="1">IF($C85="S",IF(Import.TipoArredondamento&lt;&gt;"TransfereGOV",VTOTAL1,SUM(OFFSET(CÁLCULO!$AA$15,ROW($X85)-ROW($X$15),1):OFFSET(CÁLCULO!$AL$15,ROW($X85)-ROW($X$15),-1))),IF($C85=0,0,ROUND(SomaAgrup,15-13*$AF$11)))</f>
        <v>2232.12</v>
      </c>
      <c r="Y85" s="128" t="s">
        <v>245</v>
      </c>
      <c r="Z85" t="str">
        <f t="shared" ca="1" si="13"/>
        <v>RA</v>
      </c>
      <c r="AA85" s="129">
        <f ca="1">IF($C85="S",IF($Z85="CP",$X85,IF($Z85="RA",(($X85)*QCI!$AA$3),0)),SomaAgrup)</f>
        <v>2232.12</v>
      </c>
      <c r="AB85" s="130">
        <f t="shared" ca="1" si="14"/>
        <v>0</v>
      </c>
      <c r="AC85" s="131" t="str">
        <f ca="1">IF($N85="","",IF(ORÇAMENTO.Descricao="","DESCRIÇÃO",IF(AND($C85="S",ORÇAMENTO.Unidade=""),"UNIDADE",IF($X85&lt;0,"VALOR NEGATIVO",IF(OR(AND(TIPOORCAMENTO="Proposto",$AG85&lt;&gt;"",$AG85&gt;0,ORÇAMENTO.CustoUnitario&gt;$AG85),AND(TIPOORCAMENTO="LICITADO",ORÇAMENTO.PrecoUnitarioLicitado&gt;$AN85)),"ACIMA REF.","")))))</f>
        <v/>
      </c>
      <c r="AD85" t="str">
        <f ca="1">IF(C85&lt;=CRONO.NivelExibicao,MAX($AD$15:OFFSET(AD85,-1,0))+IF($C85&lt;&gt;1,1,MAX(1,COUNTIF(QCI!$A$13:$A$24,OFFSET($E85,-1,0)))),"")</f>
        <v/>
      </c>
      <c r="AE85" s="7" t="str">
        <f ca="1">IF(AND($C85="S",ORÇAMENTO.CodBarra&lt;&gt;""),IF(ORÇAMENTO.Fonte="",ORÇAMENTO.CodBarra,CONCATENATE(ORÇAMENTO.Fonte," ",ORÇAMENTO.CodBarra)))</f>
        <v>Composição 20</v>
      </c>
      <c r="AF85" s="13" t="str">
        <f ca="1">IF(ISERROR(INDIRECT(ORÇAMENTO.BancoRef)),"(abra o arquivo 'Referência "&amp;Excel_BuiltIn_Database&amp;".xlsm)",IF(OR($C85&lt;&gt;"S",ORÇAMENTO.CodBarra=""),"(Sem Código)",IF(ISERROR(MATCH($AE85,INDIRECT(ORÇAMENTO.BancoRef),0)),"(Código não identificado nas referências)",MATCH($AE85,INDIRECT(ORÇAMENTO.BancoRef),0))))</f>
        <v>(abra o arquivo 'Referência 03-2024.xlsm)</v>
      </c>
      <c r="AG85" s="498">
        <f ca="1">ROUND(IF(DESONERACAO="sim",REFERENCIA.Desonerado,REFERENCIA.NaoDesonerado),2)</f>
        <v>0</v>
      </c>
      <c r="AH85" s="499">
        <f t="shared" ca="1" si="15"/>
        <v>0.28170000000000001</v>
      </c>
      <c r="AJ85" s="501">
        <v>132</v>
      </c>
      <c r="AL85" s="527"/>
      <c r="AM85" s="381">
        <f t="shared" ref="AM85" ca="1" si="18">$X85</f>
        <v>2232.12</v>
      </c>
      <c r="AN85" s="566">
        <f t="shared" ca="1" si="16"/>
        <v>16.91</v>
      </c>
    </row>
    <row r="86" spans="1:40" x14ac:dyDescent="0.2">
      <c r="A86">
        <f t="shared" si="1"/>
        <v>2</v>
      </c>
      <c r="B86">
        <f t="shared" ca="1" si="2"/>
        <v>2</v>
      </c>
      <c r="C86">
        <f t="shared" ca="1" si="3"/>
        <v>2</v>
      </c>
      <c r="D86">
        <f t="shared" ca="1" si="4"/>
        <v>106</v>
      </c>
      <c r="E86">
        <f ca="1">IF($C86=1,OFFSET(E86,-1,0)+MAX(1,COUNTIF(QCI!$A$13:$A$24,OFFSET(ORÇAMENTO!E86,-1,0))),OFFSET(E86,-1,0))</f>
        <v>1</v>
      </c>
      <c r="F86">
        <f t="shared" ca="1" si="5"/>
        <v>6</v>
      </c>
      <c r="G86">
        <f t="shared" ca="1" si="6"/>
        <v>0</v>
      </c>
      <c r="H86">
        <f t="shared" ca="1" si="7"/>
        <v>0</v>
      </c>
      <c r="I86">
        <f t="shared" ca="1" si="8"/>
        <v>0</v>
      </c>
      <c r="J86">
        <f t="shared" ca="1" si="17"/>
        <v>204</v>
      </c>
      <c r="K86">
        <f ca="1">IF(OR($C86="S",$C86=0),0,MATCH(OFFSET($D86,0,$C86)+IF($C86&lt;&gt;1,1,COUNTIF(QCI!$A$13:$A$24,ORÇAMENTO!E86)),OFFSET($D86,1,$C86,ROW($C$290)-ROW($C86)),0))</f>
        <v>106</v>
      </c>
      <c r="L86" s="116" t="str">
        <f t="shared" ca="1" si="10"/>
        <v>F</v>
      </c>
      <c r="M86" s="117" t="s">
        <v>196</v>
      </c>
      <c r="N86" s="118" t="str">
        <f t="shared" ca="1" si="11"/>
        <v>Nível 2</v>
      </c>
      <c r="O86" s="119" t="str">
        <f t="shared" ca="1" si="12"/>
        <v>1.6.</v>
      </c>
      <c r="P86" s="120" t="s">
        <v>247</v>
      </c>
      <c r="Q86" s="121"/>
      <c r="R86" s="122" t="s">
        <v>509</v>
      </c>
      <c r="S86" s="123" t="str">
        <f ca="1">REFERENCIA.Unidade</f>
        <v>-</v>
      </c>
      <c r="T86" s="124">
        <f ca="1">OFFSET(CÁLCULO!H$15,ROW($T86)-ROW(T$15),0)</f>
        <v>0</v>
      </c>
      <c r="U86" s="125">
        <v>0</v>
      </c>
      <c r="V86" s="126" t="s">
        <v>156</v>
      </c>
      <c r="W86" s="124">
        <f ca="1">IF($C86="S",ROUND(IF(TIPOORCAMENTO="Proposto",ORÇAMENTO.CustoUnitario*(1+$AH86),ORÇAMENTO.PrecoUnitarioLicitado),15-13*$AF$10),0)</f>
        <v>0</v>
      </c>
      <c r="X86" s="127">
        <f ca="1">IF($C86="S",IF(Import.TipoArredondamento&lt;&gt;"TransfereGOV",VTOTAL1,SUM(OFFSET(CÁLCULO!$AA$15,ROW($X86)-ROW($X$15),1):OFFSET(CÁLCULO!$AL$15,ROW($X86)-ROW($X$15),-1))),IF($C86=0,0,ROUND(SomaAgrup,15-13*$AF$11)))</f>
        <v>54442.32</v>
      </c>
      <c r="Y86" s="128" t="s">
        <v>245</v>
      </c>
      <c r="Z86" t="str">
        <f t="shared" ca="1" si="13"/>
        <v/>
      </c>
      <c r="AA86" s="129">
        <f ca="1">IF($C86="S",IF($Z86="CP",$X86,IF($Z86="RA",(($X86)*QCI!$AA$3),0)),SomaAgrup)</f>
        <v>54442.320000000014</v>
      </c>
      <c r="AB86" s="130">
        <f t="shared" ca="1" si="14"/>
        <v>0</v>
      </c>
      <c r="AC86" s="131" t="str">
        <f ca="1">IF($N86="","",IF(ORÇAMENTO.Descricao="","DESCRIÇÃO",IF(AND($C86="S",ORÇAMENTO.Unidade=""),"UNIDADE",IF($X86&lt;0,"VALOR NEGATIVO",IF(OR(AND(TIPOORCAMENTO="Proposto",$AG86&lt;&gt;"",$AG86&gt;0,ORÇAMENTO.CustoUnitario&gt;$AG86),AND(TIPOORCAMENTO="LICITADO",ORÇAMENTO.PrecoUnitarioLicitado&gt;$AN86)),"ACIMA REF.","")))))</f>
        <v/>
      </c>
      <c r="AD86">
        <f ca="1">IF(C86&lt;=CRONO.NivelExibicao,MAX($AD$15:OFFSET(AD86,-1,0))+IF($C86&lt;&gt;1,1,MAX(1,COUNTIF(QCI!$A$13:$A$24,OFFSET($E86,-1,0)))),"")</f>
        <v>9</v>
      </c>
      <c r="AE86" s="7" t="b">
        <f ca="1">IF(AND($C86="S",ORÇAMENTO.CodBarra&lt;&gt;""),IF(ORÇAMENTO.Fonte="",ORÇAMENTO.CodBarra,CONCATENATE(ORÇAMENTO.Fonte," ",ORÇAMENTO.CodBarra)))</f>
        <v>0</v>
      </c>
      <c r="AF86" s="13" t="str">
        <f ca="1">IF(ISERROR(INDIRECT(ORÇAMENTO.BancoRef)),"(abra o arquivo 'Referência "&amp;Excel_BuiltIn_Database&amp;".xlsm)",IF(OR($C86&lt;&gt;"S",ORÇAMENTO.CodBarra=""),"(Sem Código)",IF(ISERROR(MATCH($AE86,INDIRECT(ORÇAMENTO.BancoRef),0)),"(Código não identificado nas referências)",MATCH($AE86,INDIRECT(ORÇAMENTO.BancoRef),0))))</f>
        <v>(abra o arquivo 'Referência 03-2024.xlsm)</v>
      </c>
      <c r="AG86" s="498">
        <f ca="1">ROUND(IF(DESONERACAO="sim",REFERENCIA.Desonerado,REFERENCIA.NaoDesonerado),2)</f>
        <v>0</v>
      </c>
      <c r="AH86" s="499">
        <f t="shared" ca="1" si="15"/>
        <v>0.28170000000000001</v>
      </c>
      <c r="AJ86" s="501"/>
      <c r="AL86" s="527"/>
      <c r="AM86" s="381">
        <f t="shared" ca="1" si="0"/>
        <v>54442.32</v>
      </c>
      <c r="AN86" s="566">
        <f t="shared" ca="1" si="16"/>
        <v>0</v>
      </c>
    </row>
    <row r="87" spans="1:40" x14ac:dyDescent="0.2">
      <c r="A87">
        <f>CHOOSE(1+LOG(1+2*(ORÇAMENTO.Nivel="Meta")+4*(ORÇAMENTO.Nivel="Nível 2")+8*(ORÇAMENTO.Nivel="Nível 3")+16*(ORÇAMENTO.Nivel="Nível 4")+32*(ORÇAMENTO.Nivel="Serviço"),2),0,1,2,3,4,"S")</f>
        <v>3</v>
      </c>
      <c r="B87">
        <f ca="1">IF(OR(C87="s",C87=0),OFFSET(B87,-1,0),C87)</f>
        <v>3</v>
      </c>
      <c r="C87">
        <f ca="1">IF(OFFSET(C87,-1,0)="L",1,IF(OFFSET(C87,-1,0)=1,2,IF(OR(A87="s",A87=0),"S",IF(AND(OFFSET(C87,-1,0)=2,A87=4),3,IF(AND(OR(OFFSET(C87,-1,0)="s",OFFSET(C87,-1,0)=0),A87&lt;&gt;"s",A87&gt;OFFSET(B87,-1,0)),OFFSET(B87,-1,0),A87)))))</f>
        <v>3</v>
      </c>
      <c r="D87">
        <f ca="1">IF(OR(C87="S",C87=0),0,IF(ISERROR(K87),J87,SMALL(J87:K87,1)))</f>
        <v>7</v>
      </c>
      <c r="E87">
        <f ca="1">IF($C87=1,OFFSET(E87,-1,0)+MAX(1,COUNTIF(QCI!$A$13:$A$24,OFFSET(ORÇAMENTO!E87,-1,0))),OFFSET(E87,-1,0))</f>
        <v>1</v>
      </c>
      <c r="F87">
        <f ca="1">IF($C87=1,0,IF($C87=2,OFFSET(F87,-1,0)+1,OFFSET(F87,-1,0)))</f>
        <v>6</v>
      </c>
      <c r="G87">
        <f ca="1">IF(AND($C87&lt;=2,$C87&lt;&gt;0),0,IF($C87=3,OFFSET(G87,-1,0)+1,OFFSET(G87,-1,0)))</f>
        <v>1</v>
      </c>
      <c r="H87">
        <f ca="1">IF(AND($C87&lt;=3,$C87&lt;&gt;0),0,IF($C87=4,OFFSET(H87,-1,0)+1,OFFSET(H87,-1,0)))</f>
        <v>0</v>
      </c>
      <c r="I87">
        <f ca="1">IF(AND($C87&lt;=4,$C87&lt;&gt;0),0,IF(AND($C87="S",$X87&gt;0),OFFSET(I87,-1,0)+1,OFFSET(I87,-1,0)))</f>
        <v>0</v>
      </c>
      <c r="J87">
        <f t="shared" ca="1" si="17"/>
        <v>105</v>
      </c>
      <c r="K87">
        <f ca="1">IF(OR($C87="S",$C87=0),0,MATCH(OFFSET($D87,0,$C87)+IF($C87&lt;&gt;1,1,COUNTIF(QCI!$A$13:$A$24,ORÇAMENTO!E87)),OFFSET($D87,1,$C87,ROW($C$290)-ROW($C87)),0))</f>
        <v>7</v>
      </c>
      <c r="L87" s="116" t="str">
        <f ca="1">IF(OR($X87&gt;0,$C87=1,$C87=2,$C87=3,$C87=4),"F","")</f>
        <v>F</v>
      </c>
      <c r="M87" s="117" t="s">
        <v>197</v>
      </c>
      <c r="N87" s="118" t="str">
        <f ca="1">CHOOSE(1+LOG(1+2*(C87=1)+4*(C87=2)+8*(C87=3)+16*(C87=4)+32*(C87="S"),2),"","Meta","Nível 2","Nível 3","Nível 4","Serviço")</f>
        <v>Nível 3</v>
      </c>
      <c r="O87" s="119" t="str">
        <f ca="1">IF(OR($C87=0,$L87=""),"-",CONCATENATE(E87&amp;".",IF(AND($A$5&gt;=2,$C87&gt;=2),F87&amp;".",""),IF(AND($A$5&gt;=3,$C87&gt;=3),G87&amp;".",""),IF(AND($A$5&gt;=4,$C87&gt;=4),H87&amp;".",""),IF($C87="S",I87&amp;".","")))</f>
        <v>1.6.1.</v>
      </c>
      <c r="P87" s="120" t="s">
        <v>247</v>
      </c>
      <c r="Q87" s="121"/>
      <c r="R87" s="122" t="s">
        <v>510</v>
      </c>
      <c r="S87" s="123" t="str">
        <f ca="1">REFERENCIA.Unidade</f>
        <v>-</v>
      </c>
      <c r="T87" s="124">
        <f ca="1">OFFSET(CÁLCULO!H$15,ROW($T87)-ROW(T$15),0)</f>
        <v>0</v>
      </c>
      <c r="U87" s="125">
        <v>0</v>
      </c>
      <c r="V87" s="126" t="s">
        <v>156</v>
      </c>
      <c r="W87" s="124">
        <f ca="1">IF($C87="S",ROUND(IF(TIPOORCAMENTO="Proposto",ORÇAMENTO.CustoUnitario*(1+$AH87),ORÇAMENTO.PrecoUnitarioLicitado),15-13*$AF$10),0)</f>
        <v>0</v>
      </c>
      <c r="X87" s="127">
        <f ca="1">IF($C87="S",IF(Import.TipoArredondamento&lt;&gt;"TransfereGOV",VTOTAL1,SUM(OFFSET(CÁLCULO!$AA$15,ROW($X87)-ROW($X$15),1):OFFSET(CÁLCULO!$AL$15,ROW($X87)-ROW($X$15),-1))),IF($C87=0,0,ROUND(SomaAgrup,15-13*$AF$11)))</f>
        <v>772.61</v>
      </c>
      <c r="Y87" s="128" t="s">
        <v>245</v>
      </c>
      <c r="Z87" t="str">
        <f ca="1">IF(AND($C87="S",$X87&gt;0),IF(ISBLANK($Y87),"RA",LEFT($Y87,2)),"")</f>
        <v/>
      </c>
      <c r="AA87" s="129">
        <f ca="1">IF($C87="S",IF($Z87="CP",$X87,IF($Z87="RA",(($X87)*QCI!$AA$3),0)),SomaAgrup)</f>
        <v>772.61</v>
      </c>
      <c r="AB87" s="130">
        <f ca="1">IF($C87="S",IF($Z87="OU",ROUND($X87,2),0),SomaAgrup)</f>
        <v>0</v>
      </c>
      <c r="AC87" s="131" t="str">
        <f ca="1">IF($N87="","",IF(ORÇAMENTO.Descricao="","DESCRIÇÃO",IF(AND($C87="S",ORÇAMENTO.Unidade=""),"UNIDADE",IF($X87&lt;0,"VALOR NEGATIVO",IF(OR(AND(TIPOORCAMENTO="Proposto",$AG87&lt;&gt;"",$AG87&gt;0,ORÇAMENTO.CustoUnitario&gt;$AG87),AND(TIPOORCAMENTO="LICITADO",ORÇAMENTO.PrecoUnitarioLicitado&gt;$AN87)),"ACIMA REF.","")))))</f>
        <v/>
      </c>
      <c r="AD87">
        <f ca="1">IF(C87&lt;=CRONO.NivelExibicao,MAX($AD$15:OFFSET(AD87,-1,0))+IF($C87&lt;&gt;1,1,MAX(1,COUNTIF(QCI!$A$13:$A$24,OFFSET($E87,-1,0)))),"")</f>
        <v>10</v>
      </c>
      <c r="AE87" s="7" t="b">
        <f ca="1">IF(AND($C87="S",ORÇAMENTO.CodBarra&lt;&gt;""),IF(ORÇAMENTO.Fonte="",ORÇAMENTO.CodBarra,CONCATENATE(ORÇAMENTO.Fonte," ",ORÇAMENTO.CodBarra)))</f>
        <v>0</v>
      </c>
      <c r="AF87" s="13" t="str">
        <f ca="1">IF(ISERROR(INDIRECT(ORÇAMENTO.BancoRef)),"(abra o arquivo 'Referência "&amp;Excel_BuiltIn_Database&amp;".xlsm)",IF(OR($C87&lt;&gt;"S",ORÇAMENTO.CodBarra=""),"(Sem Código)",IF(ISERROR(MATCH($AE87,INDIRECT(ORÇAMENTO.BancoRef),0)),"(Código não identificado nas referências)",MATCH($AE87,INDIRECT(ORÇAMENTO.BancoRef),0))))</f>
        <v>(abra o arquivo 'Referência 03-2024.xlsm)</v>
      </c>
      <c r="AG87" s="498">
        <f ca="1">ROUND(IF(DESONERACAO="sim",REFERENCIA.Desonerado,REFERENCIA.NaoDesonerado),2)</f>
        <v>0</v>
      </c>
      <c r="AH87" s="499">
        <f ca="1">ROUND(IF(ISNUMBER(ORÇAMENTO.OpcaoBDI),ORÇAMENTO.OpcaoBDI,IF(LEFT(ORÇAMENTO.OpcaoBDI,3)="BDI",HLOOKUP(ORÇAMENTO.OpcaoBDI,$F$4:$H$5,2,FALSE),0)),15-11*$AF$9)</f>
        <v>0.28170000000000001</v>
      </c>
      <c r="AJ87" s="501"/>
      <c r="AL87" s="527"/>
      <c r="AM87" s="381">
        <f t="shared" ca="1" si="0"/>
        <v>772.61</v>
      </c>
      <c r="AN87" s="566">
        <f ca="1">ROUND(ORÇAMENTO.CustoUnitario*(1+$AH87),2)</f>
        <v>0</v>
      </c>
    </row>
    <row r="88" spans="1:40" ht="63.75" x14ac:dyDescent="0.2">
      <c r="A88" t="str">
        <f t="shared" ref="A88:A155" si="19">CHOOSE(1+LOG(1+2*(ORÇAMENTO.Nivel="Meta")+4*(ORÇAMENTO.Nivel="Nível 2")+8*(ORÇAMENTO.Nivel="Nível 3")+16*(ORÇAMENTO.Nivel="Nível 4")+32*(ORÇAMENTO.Nivel="Serviço"),2),0,1,2,3,4,"S")</f>
        <v>S</v>
      </c>
      <c r="B88">
        <f t="shared" ref="B88:B155" ca="1" si="20">IF(OR(C88="s",C88=0),OFFSET(B88,-1,0),C88)</f>
        <v>3</v>
      </c>
      <c r="C88" t="str">
        <f t="shared" ref="C88:C155" ca="1" si="21">IF(OFFSET(C88,-1,0)="L",1,IF(OFFSET(C88,-1,0)=1,2,IF(OR(A88="s",A88=0),"S",IF(AND(OFFSET(C88,-1,0)=2,A88=4),3,IF(AND(OR(OFFSET(C88,-1,0)="s",OFFSET(C88,-1,0)=0),A88&lt;&gt;"s",A88&gt;OFFSET(B88,-1,0)),OFFSET(B88,-1,0),A88)))))</f>
        <v>S</v>
      </c>
      <c r="D88">
        <f t="shared" ref="D88:D155" ca="1" si="22">IF(OR(C88="S",C88=0),0,IF(ISERROR(K88),J88,SMALL(J88:K88,1)))</f>
        <v>0</v>
      </c>
      <c r="E88">
        <f ca="1">IF($C88=1,OFFSET(E88,-1,0)+MAX(1,COUNTIF(QCI!$A$13:$A$24,OFFSET(ORÇAMENTO!E88,-1,0))),OFFSET(E88,-1,0))</f>
        <v>1</v>
      </c>
      <c r="F88">
        <f t="shared" ref="F88:F155" ca="1" si="23">IF($C88=1,0,IF($C88=2,OFFSET(F88,-1,0)+1,OFFSET(F88,-1,0)))</f>
        <v>6</v>
      </c>
      <c r="G88">
        <f t="shared" ref="G88:G155" ca="1" si="24">IF(AND($C88&lt;=2,$C88&lt;&gt;0),0,IF($C88=3,OFFSET(G88,-1,0)+1,OFFSET(G88,-1,0)))</f>
        <v>1</v>
      </c>
      <c r="H88">
        <f t="shared" ref="H88:H155" ca="1" si="25">IF(AND($C88&lt;=3,$C88&lt;&gt;0),0,IF($C88=4,OFFSET(H88,-1,0)+1,OFFSET(H88,-1,0)))</f>
        <v>0</v>
      </c>
      <c r="I88">
        <f t="shared" ref="I88:I155" ca="1" si="26">IF(AND($C88&lt;=4,$C88&lt;&gt;0),0,IF(AND($C88="S",$X88&gt;0),OFFSET(I88,-1,0)+1,OFFSET(I88,-1,0)))</f>
        <v>1</v>
      </c>
      <c r="J88">
        <f t="shared" ca="1" si="17"/>
        <v>0</v>
      </c>
      <c r="K88">
        <f ca="1">IF(OR($C88="S",$C88=0),0,MATCH(OFFSET($D88,0,$C88)+IF($C88&lt;&gt;1,1,COUNTIF(QCI!$A$13:$A$24,ORÇAMENTO!E88)),OFFSET($D88,1,$C88,ROW($C$290)-ROW($C88)),0))</f>
        <v>0</v>
      </c>
      <c r="L88" s="116" t="str">
        <f t="shared" ref="L88:L155" ca="1" si="27">IF(OR($X88&gt;0,$C88=1,$C88=2,$C88=3,$C88=4),"F","")</f>
        <v>F</v>
      </c>
      <c r="M88" s="117" t="s">
        <v>199</v>
      </c>
      <c r="N88" s="118" t="str">
        <f t="shared" ref="N88:N155" ca="1" si="28">CHOOSE(1+LOG(1+2*(C88=1)+4*(C88=2)+8*(C88=3)+16*(C88=4)+32*(C88="S"),2),"","Meta","Nível 2","Nível 3","Nível 4","Serviço")</f>
        <v>Serviço</v>
      </c>
      <c r="O88" s="119" t="str">
        <f t="shared" ref="O88:O155" ca="1" si="29">IF(OR($C88=0,$L88=""),"-",CONCATENATE(E88&amp;".",IF(AND($A$5&gt;=2,$C88&gt;=2),F88&amp;".",""),IF(AND($A$5&gt;=3,$C88&gt;=3),G88&amp;".",""),IF(AND($A$5&gt;=4,$C88&gt;=4),H88&amp;".",""),IF($C88="S",I88&amp;".","")))</f>
        <v>1.6.1.1.</v>
      </c>
      <c r="P88" s="120" t="s">
        <v>247</v>
      </c>
      <c r="Q88" s="121" t="s">
        <v>492</v>
      </c>
      <c r="R88" s="122" t="str">
        <f ca="1">IF($C88="S",REFERENCIA.Descricao,"(digite a descrição aqui)")</f>
        <v>(abra o arquivo 'Referência 03-2024.xlsm)</v>
      </c>
      <c r="S88" s="123" t="str">
        <f ca="1">REFERENCIA.Unidade</f>
        <v>-</v>
      </c>
      <c r="T88" s="124">
        <f ca="1">OFFSET(CÁLCULO!H$15,ROW($T88)-ROW(T$15),0)</f>
        <v>0.9</v>
      </c>
      <c r="U88" s="125">
        <v>6.45</v>
      </c>
      <c r="V88" s="126" t="s">
        <v>156</v>
      </c>
      <c r="W88" s="124">
        <f ca="1">IF($C88="S",ROUND(IF(TIPOORCAMENTO="Proposto",ORÇAMENTO.CustoUnitario*(1+$AH88),ORÇAMENTO.PrecoUnitarioLicitado),15-13*$AF$10),0)</f>
        <v>8.27</v>
      </c>
      <c r="X88" s="127">
        <f ca="1">IF($C88="S",IF(Import.TipoArredondamento&lt;&gt;"TransfereGOV",VTOTAL1,SUM(OFFSET(CÁLCULO!$AA$15,ROW($X88)-ROW($X$15),1):OFFSET(CÁLCULO!$AL$15,ROW($X88)-ROW($X$15),-1))),IF($C88=0,0,ROUND(SomaAgrup,15-13*$AF$11)))</f>
        <v>7.44</v>
      </c>
      <c r="Y88" s="128" t="s">
        <v>245</v>
      </c>
      <c r="Z88" t="str">
        <f t="shared" ref="Z88:Z155" ca="1" si="30">IF(AND($C88="S",$X88&gt;0),IF(ISBLANK($Y88),"RA",LEFT($Y88,2)),"")</f>
        <v>RA</v>
      </c>
      <c r="AA88" s="129">
        <f ca="1">IF($C88="S",IF($Z88="CP",$X88,IF($Z88="RA",(($X88)*QCI!$AA$3),0)),SomaAgrup)</f>
        <v>7.44</v>
      </c>
      <c r="AB88" s="130">
        <f t="shared" ref="AB88:AB155" ca="1" si="31">IF($C88="S",IF($Z88="OU",ROUND($X88,2),0),SomaAgrup)</f>
        <v>0</v>
      </c>
      <c r="AC88" s="131" t="str">
        <f ca="1">IF($N88="","",IF(ORÇAMENTO.Descricao="","DESCRIÇÃO",IF(AND($C88="S",ORÇAMENTO.Unidade=""),"UNIDADE",IF($X88&lt;0,"VALOR NEGATIVO",IF(OR(AND(TIPOORCAMENTO="Proposto",$AG88&lt;&gt;"",$AG88&gt;0,ORÇAMENTO.CustoUnitario&gt;$AG88),AND(TIPOORCAMENTO="LICITADO",ORÇAMENTO.PrecoUnitarioLicitado&gt;$AN88)),"ACIMA REF.","")))))</f>
        <v/>
      </c>
      <c r="AD88" t="str">
        <f ca="1">IF(C88&lt;=CRONO.NivelExibicao,MAX($AD$15:OFFSET(AD88,-1,0))+IF($C88&lt;&gt;1,1,MAX(1,COUNTIF(QCI!$A$13:$A$24,OFFSET($E88,-1,0)))),"")</f>
        <v/>
      </c>
      <c r="AE88" s="7" t="str">
        <f ca="1">IF(AND($C88="S",ORÇAMENTO.CodBarra&lt;&gt;""),IF(ORÇAMENTO.Fonte="",ORÇAMENTO.CodBarra,CONCATENATE(ORÇAMENTO.Fonte," ",ORÇAMENTO.CodBarra)))</f>
        <v>SINAPI 90091</v>
      </c>
      <c r="AF88" s="13" t="str">
        <f ca="1">IF(ISERROR(INDIRECT(ORÇAMENTO.BancoRef)),"(abra o arquivo 'Referência "&amp;Excel_BuiltIn_Database&amp;".xlsm)",IF(OR($C88&lt;&gt;"S",ORÇAMENTO.CodBarra=""),"(Sem Código)",IF(ISERROR(MATCH($AE88,INDIRECT(ORÇAMENTO.BancoRef),0)),"(Código não identificado nas referências)",MATCH($AE88,INDIRECT(ORÇAMENTO.BancoRef),0))))</f>
        <v>(abra o arquivo 'Referência 03-2024.xlsm)</v>
      </c>
      <c r="AG88" s="498">
        <f ca="1">ROUND(IF(DESONERACAO="sim",REFERENCIA.Desonerado,REFERENCIA.NaoDesonerado),2)</f>
        <v>0</v>
      </c>
      <c r="AH88" s="499">
        <f t="shared" ref="AH88:AH155" ca="1" si="32">ROUND(IF(ISNUMBER(ORÇAMENTO.OpcaoBDI),ORÇAMENTO.OpcaoBDI,IF(LEFT(ORÇAMENTO.OpcaoBDI,3)="BDI",HLOOKUP(ORÇAMENTO.OpcaoBDI,$F$4:$H$5,2,FALSE),0)),15-11*$AF$9)</f>
        <v>0.28170000000000001</v>
      </c>
      <c r="AJ88" s="501">
        <v>0.9</v>
      </c>
      <c r="AL88" s="527"/>
      <c r="AM88" s="381">
        <f t="shared" ref="AM88:AM155" ca="1" si="33">$X88</f>
        <v>7.44</v>
      </c>
      <c r="AN88" s="566">
        <f t="shared" ref="AN88:AN155" ca="1" si="34">ROUND(ORÇAMENTO.CustoUnitario*(1+$AH88),2)</f>
        <v>8.27</v>
      </c>
    </row>
    <row r="89" spans="1:40" ht="25.5" x14ac:dyDescent="0.2">
      <c r="A89" t="str">
        <f t="shared" si="19"/>
        <v>S</v>
      </c>
      <c r="B89">
        <f t="shared" ca="1" si="20"/>
        <v>3</v>
      </c>
      <c r="C89" t="str">
        <f t="shared" ca="1" si="21"/>
        <v>S</v>
      </c>
      <c r="D89">
        <f t="shared" ca="1" si="22"/>
        <v>0</v>
      </c>
      <c r="E89">
        <f ca="1">IF($C89=1,OFFSET(E89,-1,0)+MAX(1,COUNTIF(QCI!$A$13:$A$24,OFFSET(ORÇAMENTO!E89,-1,0))),OFFSET(E89,-1,0))</f>
        <v>1</v>
      </c>
      <c r="F89">
        <f t="shared" ca="1" si="23"/>
        <v>6</v>
      </c>
      <c r="G89">
        <f t="shared" ca="1" si="24"/>
        <v>1</v>
      </c>
      <c r="H89">
        <f t="shared" ca="1" si="25"/>
        <v>0</v>
      </c>
      <c r="I89">
        <f t="shared" ca="1" si="26"/>
        <v>2</v>
      </c>
      <c r="J89">
        <f t="shared" ca="1" si="17"/>
        <v>0</v>
      </c>
      <c r="K89">
        <f ca="1">IF(OR($C89="S",$C89=0),0,MATCH(OFFSET($D89,0,$C89)+IF($C89&lt;&gt;1,1,COUNTIF(QCI!$A$13:$A$24,ORÇAMENTO!E89)),OFFSET($D89,1,$C89,ROW($C$290)-ROW($C89)),0))</f>
        <v>0</v>
      </c>
      <c r="L89" s="116" t="str">
        <f t="shared" ca="1" si="27"/>
        <v>F</v>
      </c>
      <c r="M89" s="117" t="s">
        <v>199</v>
      </c>
      <c r="N89" s="118" t="str">
        <f t="shared" ca="1" si="28"/>
        <v>Serviço</v>
      </c>
      <c r="O89" s="119" t="str">
        <f t="shared" ca="1" si="29"/>
        <v>1.6.1.2.</v>
      </c>
      <c r="P89" s="120" t="s">
        <v>462</v>
      </c>
      <c r="Q89" s="121" t="s">
        <v>463</v>
      </c>
      <c r="R89" s="122" t="str">
        <f ca="1">IF($C89="S",REFERENCIA.Descricao,"(digite a descrição aqui)")</f>
        <v>(abra o arquivo 'Referência 03-2024.xlsm)</v>
      </c>
      <c r="S89" s="123" t="str">
        <f ca="1">REFERENCIA.Unidade</f>
        <v>-</v>
      </c>
      <c r="T89" s="124">
        <f ca="1">OFFSET(CÁLCULO!H$15,ROW($T89)-ROW(T$15),0)</f>
        <v>0.4</v>
      </c>
      <c r="U89" s="125">
        <v>48.16</v>
      </c>
      <c r="V89" s="126" t="s">
        <v>156</v>
      </c>
      <c r="W89" s="124">
        <f ca="1">IF($C89="S",ROUND(IF(TIPOORCAMENTO="Proposto",ORÇAMENTO.CustoUnitario*(1+$AH89),ORÇAMENTO.PrecoUnitarioLicitado),15-13*$AF$10),0)</f>
        <v>61.73</v>
      </c>
      <c r="X89" s="127">
        <f ca="1">IF($C89="S",IF(Import.TipoArredondamento&lt;&gt;"TransfereGOV",VTOTAL1,SUM(OFFSET(CÁLCULO!$AA$15,ROW($X89)-ROW($X$15),1):OFFSET(CÁLCULO!$AL$15,ROW($X89)-ROW($X$15),-1))),IF($C89=0,0,ROUND(SomaAgrup,15-13*$AF$11)))</f>
        <v>24.69</v>
      </c>
      <c r="Y89" s="128" t="s">
        <v>245</v>
      </c>
      <c r="Z89" t="str">
        <f t="shared" ca="1" si="30"/>
        <v>RA</v>
      </c>
      <c r="AA89" s="129">
        <f ca="1">IF($C89="S",IF($Z89="CP",$X89,IF($Z89="RA",(($X89)*QCI!$AA$3),0)),SomaAgrup)</f>
        <v>24.69</v>
      </c>
      <c r="AB89" s="130">
        <f t="shared" ca="1" si="31"/>
        <v>0</v>
      </c>
      <c r="AC89" s="131" t="str">
        <f ca="1">IF($N89="","",IF(ORÇAMENTO.Descricao="","DESCRIÇÃO",IF(AND($C89="S",ORÇAMENTO.Unidade=""),"UNIDADE",IF($X89&lt;0,"VALOR NEGATIVO",IF(OR(AND(TIPOORCAMENTO="Proposto",$AG89&lt;&gt;"",$AG89&gt;0,ORÇAMENTO.CustoUnitario&gt;$AG89),AND(TIPOORCAMENTO="LICITADO",ORÇAMENTO.PrecoUnitarioLicitado&gt;$AN89)),"ACIMA REF.","")))))</f>
        <v/>
      </c>
      <c r="AD89" t="str">
        <f ca="1">IF(C89&lt;=CRONO.NivelExibicao,MAX($AD$15:OFFSET(AD89,-1,0))+IF($C89&lt;&gt;1,1,MAX(1,COUNTIF(QCI!$A$13:$A$24,OFFSET($E89,-1,0)))),"")</f>
        <v/>
      </c>
      <c r="AE89" s="7" t="str">
        <f ca="1">IF(AND($C89="S",ORÇAMENTO.CodBarra&lt;&gt;""),IF(ORÇAMENTO.Fonte="",ORÇAMENTO.CodBarra,CONCATENATE(ORÇAMENTO.Fonte," ",ORÇAMENTO.CodBarra)))</f>
        <v>Composição 1</v>
      </c>
      <c r="AF89" s="13" t="str">
        <f ca="1">IF(ISERROR(INDIRECT(ORÇAMENTO.BancoRef)),"(abra o arquivo 'Referência "&amp;Excel_BuiltIn_Database&amp;".xlsm)",IF(OR($C89&lt;&gt;"S",ORÇAMENTO.CodBarra=""),"(Sem Código)",IF(ISERROR(MATCH($AE89,INDIRECT(ORÇAMENTO.BancoRef),0)),"(Código não identificado nas referências)",MATCH($AE89,INDIRECT(ORÇAMENTO.BancoRef),0))))</f>
        <v>(abra o arquivo 'Referência 03-2024.xlsm)</v>
      </c>
      <c r="AG89" s="498">
        <f ca="1">ROUND(IF(DESONERACAO="sim",REFERENCIA.Desonerado,REFERENCIA.NaoDesonerado),2)</f>
        <v>0</v>
      </c>
      <c r="AH89" s="499">
        <f t="shared" ca="1" si="32"/>
        <v>0.28170000000000001</v>
      </c>
      <c r="AJ89" s="501">
        <v>0.4</v>
      </c>
      <c r="AL89" s="527"/>
      <c r="AM89" s="381">
        <f t="shared" ca="1" si="33"/>
        <v>24.69</v>
      </c>
      <c r="AN89" s="566">
        <f t="shared" ca="1" si="34"/>
        <v>61.73</v>
      </c>
    </row>
    <row r="90" spans="1:40" ht="25.5" x14ac:dyDescent="0.2">
      <c r="A90" t="str">
        <f t="shared" si="19"/>
        <v>S</v>
      </c>
      <c r="B90">
        <f t="shared" ca="1" si="20"/>
        <v>3</v>
      </c>
      <c r="C90" t="str">
        <f t="shared" ca="1" si="21"/>
        <v>S</v>
      </c>
      <c r="D90">
        <f t="shared" ca="1" si="22"/>
        <v>0</v>
      </c>
      <c r="E90">
        <f ca="1">IF($C90=1,OFFSET(E90,-1,0)+MAX(1,COUNTIF(QCI!$A$13:$A$24,OFFSET(ORÇAMENTO!E90,-1,0))),OFFSET(E90,-1,0))</f>
        <v>1</v>
      </c>
      <c r="F90">
        <f t="shared" ca="1" si="23"/>
        <v>6</v>
      </c>
      <c r="G90">
        <f t="shared" ca="1" si="24"/>
        <v>1</v>
      </c>
      <c r="H90">
        <f t="shared" ca="1" si="25"/>
        <v>0</v>
      </c>
      <c r="I90">
        <f t="shared" ca="1" si="26"/>
        <v>3</v>
      </c>
      <c r="J90">
        <f t="shared" ca="1" si="17"/>
        <v>0</v>
      </c>
      <c r="K90">
        <f ca="1">IF(OR($C90="S",$C90=0),0,MATCH(OFFSET($D90,0,$C90)+IF($C90&lt;&gt;1,1,COUNTIF(QCI!$A$13:$A$24,ORÇAMENTO!E90)),OFFSET($D90,1,$C90,ROW($C$290)-ROW($C90)),0))</f>
        <v>0</v>
      </c>
      <c r="L90" s="116" t="str">
        <f t="shared" ca="1" si="27"/>
        <v>F</v>
      </c>
      <c r="M90" s="117" t="s">
        <v>199</v>
      </c>
      <c r="N90" s="118" t="str">
        <f t="shared" ca="1" si="28"/>
        <v>Serviço</v>
      </c>
      <c r="O90" s="119" t="str">
        <f t="shared" ca="1" si="29"/>
        <v>1.6.1.3.</v>
      </c>
      <c r="P90" s="120" t="s">
        <v>247</v>
      </c>
      <c r="Q90" s="121" t="s">
        <v>460</v>
      </c>
      <c r="R90" s="122" t="str">
        <f ca="1">IF($C90="S",REFERENCIA.Descricao,"(digite a descrição aqui)")</f>
        <v>(abra o arquivo 'Referência 03-2024.xlsm)</v>
      </c>
      <c r="S90" s="123" t="str">
        <f ca="1">REFERENCIA.Unidade</f>
        <v>-</v>
      </c>
      <c r="T90" s="124">
        <f ca="1">OFFSET(CÁLCULO!H$15,ROW($T90)-ROW(T$15),0)</f>
        <v>1.36</v>
      </c>
      <c r="U90" s="125">
        <v>18.399999999999999</v>
      </c>
      <c r="V90" s="126" t="s">
        <v>156</v>
      </c>
      <c r="W90" s="124">
        <f ca="1">IF($C90="S",ROUND(IF(TIPOORCAMENTO="Proposto",ORÇAMENTO.CustoUnitario*(1+$AH90),ORÇAMENTO.PrecoUnitarioLicitado),15-13*$AF$10),0)</f>
        <v>23.58</v>
      </c>
      <c r="X90" s="127">
        <f ca="1">IF($C90="S",IF(Import.TipoArredondamento&lt;&gt;"TransfereGOV",VTOTAL1,SUM(OFFSET(CÁLCULO!$AA$15,ROW($X90)-ROW($X$15),1):OFFSET(CÁLCULO!$AL$15,ROW($X90)-ROW($X$15),-1))),IF($C90=0,0,ROUND(SomaAgrup,15-13*$AF$11)))</f>
        <v>32.07</v>
      </c>
      <c r="Y90" s="128" t="s">
        <v>245</v>
      </c>
      <c r="Z90" t="str">
        <f t="shared" ca="1" si="30"/>
        <v>RA</v>
      </c>
      <c r="AA90" s="129">
        <f ca="1">IF($C90="S",IF($Z90="CP",$X90,IF($Z90="RA",(($X90)*QCI!$AA$3),0)),SomaAgrup)</f>
        <v>32.07</v>
      </c>
      <c r="AB90" s="130">
        <f t="shared" ca="1" si="31"/>
        <v>0</v>
      </c>
      <c r="AC90" s="131" t="str">
        <f ca="1">IF($N90="","",IF(ORÇAMENTO.Descricao="","DESCRIÇÃO",IF(AND($C90="S",ORÇAMENTO.Unidade=""),"UNIDADE",IF($X90&lt;0,"VALOR NEGATIVO",IF(OR(AND(TIPOORCAMENTO="Proposto",$AG90&lt;&gt;"",$AG90&gt;0,ORÇAMENTO.CustoUnitario&gt;$AG90),AND(TIPOORCAMENTO="LICITADO",ORÇAMENTO.PrecoUnitarioLicitado&gt;$AN90)),"ACIMA REF.","")))))</f>
        <v/>
      </c>
      <c r="AD90" t="str">
        <f ca="1">IF(C90&lt;=CRONO.NivelExibicao,MAX($AD$15:OFFSET(AD90,-1,0))+IF($C90&lt;&gt;1,1,MAX(1,COUNTIF(QCI!$A$13:$A$24,OFFSET($E90,-1,0)))),"")</f>
        <v/>
      </c>
      <c r="AE90" s="7" t="str">
        <f ca="1">IF(AND($C90="S",ORÇAMENTO.CodBarra&lt;&gt;""),IF(ORÇAMENTO.Fonte="",ORÇAMENTO.CodBarra,CONCATENATE(ORÇAMENTO.Fonte," ",ORÇAMENTO.CodBarra)))</f>
        <v>SINAPI 96617</v>
      </c>
      <c r="AF90" s="13" t="str">
        <f ca="1">IF(ISERROR(INDIRECT(ORÇAMENTO.BancoRef)),"(abra o arquivo 'Referência "&amp;Excel_BuiltIn_Database&amp;".xlsm)",IF(OR($C90&lt;&gt;"S",ORÇAMENTO.CodBarra=""),"(Sem Código)",IF(ISERROR(MATCH($AE90,INDIRECT(ORÇAMENTO.BancoRef),0)),"(Código não identificado nas referências)",MATCH($AE90,INDIRECT(ORÇAMENTO.BancoRef),0))))</f>
        <v>(abra o arquivo 'Referência 03-2024.xlsm)</v>
      </c>
      <c r="AG90" s="498">
        <f ca="1">ROUND(IF(DESONERACAO="sim",REFERENCIA.Desonerado,REFERENCIA.NaoDesonerado),2)</f>
        <v>0</v>
      </c>
      <c r="AH90" s="499">
        <f t="shared" ca="1" si="32"/>
        <v>0.28170000000000001</v>
      </c>
      <c r="AJ90" s="501">
        <v>1.36</v>
      </c>
      <c r="AL90" s="527"/>
      <c r="AM90" s="381">
        <f t="shared" ca="1" si="33"/>
        <v>32.07</v>
      </c>
      <c r="AN90" s="566">
        <f t="shared" ca="1" si="34"/>
        <v>23.58</v>
      </c>
    </row>
    <row r="91" spans="1:40" ht="38.25" x14ac:dyDescent="0.2">
      <c r="A91" t="str">
        <f t="shared" si="19"/>
        <v>S</v>
      </c>
      <c r="B91">
        <f t="shared" ca="1" si="20"/>
        <v>3</v>
      </c>
      <c r="C91" t="str">
        <f t="shared" ca="1" si="21"/>
        <v>S</v>
      </c>
      <c r="D91">
        <f t="shared" ca="1" si="22"/>
        <v>0</v>
      </c>
      <c r="E91">
        <f ca="1">IF($C91=1,OFFSET(E91,-1,0)+MAX(1,COUNTIF(QCI!$A$13:$A$24,OFFSET(ORÇAMENTO!E91,-1,0))),OFFSET(E91,-1,0))</f>
        <v>1</v>
      </c>
      <c r="F91">
        <f t="shared" ca="1" si="23"/>
        <v>6</v>
      </c>
      <c r="G91">
        <f t="shared" ca="1" si="24"/>
        <v>1</v>
      </c>
      <c r="H91">
        <f t="shared" ca="1" si="25"/>
        <v>0</v>
      </c>
      <c r="I91">
        <f t="shared" ca="1" si="26"/>
        <v>4</v>
      </c>
      <c r="J91">
        <f t="shared" ca="1" si="17"/>
        <v>0</v>
      </c>
      <c r="K91">
        <f ca="1">IF(OR($C91="S",$C91=0),0,MATCH(OFFSET($D91,0,$C91)+IF($C91&lt;&gt;1,1,COUNTIF(QCI!$A$13:$A$24,ORÇAMENTO!E91)),OFFSET($D91,1,$C91,ROW($C$290)-ROW($C91)),0))</f>
        <v>0</v>
      </c>
      <c r="L91" s="116" t="str">
        <f t="shared" ca="1" si="27"/>
        <v>F</v>
      </c>
      <c r="M91" s="117" t="s">
        <v>199</v>
      </c>
      <c r="N91" s="118" t="str">
        <f t="shared" ca="1" si="28"/>
        <v>Serviço</v>
      </c>
      <c r="O91" s="119" t="str">
        <f t="shared" ca="1" si="29"/>
        <v>1.6.1.4.</v>
      </c>
      <c r="P91" s="120" t="s">
        <v>462</v>
      </c>
      <c r="Q91" s="121" t="s">
        <v>474</v>
      </c>
      <c r="R91" s="122" t="str">
        <f ca="1">IF($C91="S",REFERENCIA.Descricao,"(digite a descrição aqui)")</f>
        <v>(abra o arquivo 'Referência 03-2024.xlsm)</v>
      </c>
      <c r="S91" s="123" t="str">
        <f ca="1">REFERENCIA.Unidade</f>
        <v>-</v>
      </c>
      <c r="T91" s="124">
        <f ca="1">OFFSET(CÁLCULO!H$15,ROW($T91)-ROW(T$15),0)</f>
        <v>3.96</v>
      </c>
      <c r="U91" s="125">
        <v>50.64</v>
      </c>
      <c r="V91" s="126" t="s">
        <v>156</v>
      </c>
      <c r="W91" s="124">
        <f ca="1">IF($C91="S",ROUND(IF(TIPOORCAMENTO="Proposto",ORÇAMENTO.CustoUnitario*(1+$AH91),ORÇAMENTO.PrecoUnitarioLicitado),15-13*$AF$10),0)</f>
        <v>64.91</v>
      </c>
      <c r="X91" s="127">
        <f ca="1">IF($C91="S",IF(Import.TipoArredondamento&lt;&gt;"TransfereGOV",VTOTAL1,SUM(OFFSET(CÁLCULO!$AA$15,ROW($X91)-ROW($X$15),1):OFFSET(CÁLCULO!$AL$15,ROW($X91)-ROW($X$15),-1))),IF($C91=0,0,ROUND(SomaAgrup,15-13*$AF$11)))</f>
        <v>257.04000000000002</v>
      </c>
      <c r="Y91" s="128" t="s">
        <v>245</v>
      </c>
      <c r="Z91" t="str">
        <f t="shared" ca="1" si="30"/>
        <v>RA</v>
      </c>
      <c r="AA91" s="129">
        <f ca="1">IF($C91="S",IF($Z91="CP",$X91,IF($Z91="RA",(($X91)*QCI!$AA$3),0)),SomaAgrup)</f>
        <v>257.04000000000002</v>
      </c>
      <c r="AB91" s="130">
        <f t="shared" ca="1" si="31"/>
        <v>0</v>
      </c>
      <c r="AC91" s="131" t="str">
        <f ca="1">IF($N91="","",IF(ORÇAMENTO.Descricao="","DESCRIÇÃO",IF(AND($C91="S",ORÇAMENTO.Unidade=""),"UNIDADE",IF($X91&lt;0,"VALOR NEGATIVO",IF(OR(AND(TIPOORCAMENTO="Proposto",$AG91&lt;&gt;"",$AG91&gt;0,ORÇAMENTO.CustoUnitario&gt;$AG91),AND(TIPOORCAMENTO="LICITADO",ORÇAMENTO.PrecoUnitarioLicitado&gt;$AN91)),"ACIMA REF.","")))))</f>
        <v/>
      </c>
      <c r="AD91" t="str">
        <f ca="1">IF(C91&lt;=CRONO.NivelExibicao,MAX($AD$15:OFFSET(AD91,-1,0))+IF($C91&lt;&gt;1,1,MAX(1,COUNTIF(QCI!$A$13:$A$24,OFFSET($E91,-1,0)))),"")</f>
        <v/>
      </c>
      <c r="AE91" s="7" t="str">
        <f ca="1">IF(AND($C91="S",ORÇAMENTO.CodBarra&lt;&gt;""),IF(ORÇAMENTO.Fonte="",ORÇAMENTO.CodBarra,CONCATENATE(ORÇAMENTO.Fonte," ",ORÇAMENTO.CodBarra)))</f>
        <v>Composição 10</v>
      </c>
      <c r="AF91" s="13" t="str">
        <f ca="1">IF(ISERROR(INDIRECT(ORÇAMENTO.BancoRef)),"(abra o arquivo 'Referência "&amp;Excel_BuiltIn_Database&amp;".xlsm)",IF(OR($C91&lt;&gt;"S",ORÇAMENTO.CodBarra=""),"(Sem Código)",IF(ISERROR(MATCH($AE91,INDIRECT(ORÇAMENTO.BancoRef),0)),"(Código não identificado nas referências)",MATCH($AE91,INDIRECT(ORÇAMENTO.BancoRef),0))))</f>
        <v>(abra o arquivo 'Referência 03-2024.xlsm)</v>
      </c>
      <c r="AG91" s="498">
        <f ca="1">ROUND(IF(DESONERACAO="sim",REFERENCIA.Desonerado,REFERENCIA.NaoDesonerado),2)</f>
        <v>0</v>
      </c>
      <c r="AH91" s="499">
        <f t="shared" ca="1" si="32"/>
        <v>0.28170000000000001</v>
      </c>
      <c r="AJ91" s="501">
        <v>3.96</v>
      </c>
      <c r="AL91" s="527"/>
      <c r="AM91" s="381">
        <f t="shared" ca="1" si="33"/>
        <v>257.04000000000002</v>
      </c>
      <c r="AN91" s="566">
        <f t="shared" ca="1" si="34"/>
        <v>64.91</v>
      </c>
    </row>
    <row r="92" spans="1:40" ht="51" x14ac:dyDescent="0.2">
      <c r="A92" t="str">
        <f t="shared" si="19"/>
        <v>S</v>
      </c>
      <c r="B92">
        <f t="shared" ca="1" si="20"/>
        <v>3</v>
      </c>
      <c r="C92" t="str">
        <f t="shared" ca="1" si="21"/>
        <v>S</v>
      </c>
      <c r="D92">
        <f t="shared" ca="1" si="22"/>
        <v>0</v>
      </c>
      <c r="E92">
        <f ca="1">IF($C92=1,OFFSET(E92,-1,0)+MAX(1,COUNTIF(QCI!$A$13:$A$24,OFFSET(ORÇAMENTO!E92,-1,0))),OFFSET(E92,-1,0))</f>
        <v>1</v>
      </c>
      <c r="F92">
        <f t="shared" ca="1" si="23"/>
        <v>6</v>
      </c>
      <c r="G92">
        <f t="shared" ca="1" si="24"/>
        <v>1</v>
      </c>
      <c r="H92">
        <f t="shared" ca="1" si="25"/>
        <v>0</v>
      </c>
      <c r="I92">
        <f t="shared" ca="1" si="26"/>
        <v>5</v>
      </c>
      <c r="J92">
        <f t="shared" ca="1" si="17"/>
        <v>0</v>
      </c>
      <c r="K92">
        <f ca="1">IF(OR($C92="S",$C92=0),0,MATCH(OFFSET($D92,0,$C92)+IF($C92&lt;&gt;1,1,COUNTIF(QCI!$A$13:$A$24,ORÇAMENTO!E92)),OFFSET($D92,1,$C92,ROW($C$290)-ROW($C92)),0))</f>
        <v>0</v>
      </c>
      <c r="L92" s="116" t="str">
        <f t="shared" ca="1" si="27"/>
        <v>F</v>
      </c>
      <c r="M92" s="117" t="s">
        <v>199</v>
      </c>
      <c r="N92" s="118" t="str">
        <f t="shared" ca="1" si="28"/>
        <v>Serviço</v>
      </c>
      <c r="O92" s="119" t="str">
        <f t="shared" ca="1" si="29"/>
        <v>1.6.1.5.</v>
      </c>
      <c r="P92" s="120" t="s">
        <v>462</v>
      </c>
      <c r="Q92" s="121" t="s">
        <v>475</v>
      </c>
      <c r="R92" s="122" t="str">
        <f ca="1">IF($C92="S",REFERENCIA.Descricao,"(digite a descrição aqui)")</f>
        <v>(abra o arquivo 'Referência 03-2024.xlsm)</v>
      </c>
      <c r="S92" s="123" t="str">
        <f ca="1">REFERENCIA.Unidade</f>
        <v>-</v>
      </c>
      <c r="T92" s="124">
        <f ca="1">OFFSET(CÁLCULO!H$15,ROW($T92)-ROW(T$15),0)</f>
        <v>0.4</v>
      </c>
      <c r="U92" s="125">
        <v>502.29</v>
      </c>
      <c r="V92" s="126" t="s">
        <v>156</v>
      </c>
      <c r="W92" s="124">
        <f ca="1">IF($C92="S",ROUND(IF(TIPOORCAMENTO="Proposto",ORÇAMENTO.CustoUnitario*(1+$AH92),ORÇAMENTO.PrecoUnitarioLicitado),15-13*$AF$10),0)</f>
        <v>643.79</v>
      </c>
      <c r="X92" s="127">
        <f ca="1">IF($C92="S",IF(Import.TipoArredondamento&lt;&gt;"TransfereGOV",VTOTAL1,SUM(OFFSET(CÁLCULO!$AA$15,ROW($X92)-ROW($X$15),1):OFFSET(CÁLCULO!$AL$15,ROW($X92)-ROW($X$15),-1))),IF($C92=0,0,ROUND(SomaAgrup,15-13*$AF$11)))</f>
        <v>257.52</v>
      </c>
      <c r="Y92" s="128" t="s">
        <v>245</v>
      </c>
      <c r="Z92" t="str">
        <f t="shared" ca="1" si="30"/>
        <v>RA</v>
      </c>
      <c r="AA92" s="129">
        <f ca="1">IF($C92="S",IF($Z92="CP",$X92,IF($Z92="RA",(($X92)*QCI!$AA$3),0)),SomaAgrup)</f>
        <v>257.52</v>
      </c>
      <c r="AB92" s="130">
        <f t="shared" ca="1" si="31"/>
        <v>0</v>
      </c>
      <c r="AC92" s="131" t="str">
        <f ca="1">IF($N92="","",IF(ORÇAMENTO.Descricao="","DESCRIÇÃO",IF(AND($C92="S",ORÇAMENTO.Unidade=""),"UNIDADE",IF($X92&lt;0,"VALOR NEGATIVO",IF(OR(AND(TIPOORCAMENTO="Proposto",$AG92&lt;&gt;"",$AG92&gt;0,ORÇAMENTO.CustoUnitario&gt;$AG92),AND(TIPOORCAMENTO="LICITADO",ORÇAMENTO.PrecoUnitarioLicitado&gt;$AN92)),"ACIMA REF.","")))))</f>
        <v/>
      </c>
      <c r="AD92" t="str">
        <f ca="1">IF(C92&lt;=CRONO.NivelExibicao,MAX($AD$15:OFFSET(AD92,-1,0))+IF($C92&lt;&gt;1,1,MAX(1,COUNTIF(QCI!$A$13:$A$24,OFFSET($E92,-1,0)))),"")</f>
        <v/>
      </c>
      <c r="AE92" s="7" t="str">
        <f ca="1">IF(AND($C92="S",ORÇAMENTO.CodBarra&lt;&gt;""),IF(ORÇAMENTO.Fonte="",ORÇAMENTO.CodBarra,CONCATENATE(ORÇAMENTO.Fonte," ",ORÇAMENTO.CodBarra)))</f>
        <v>Composição 11</v>
      </c>
      <c r="AF92" s="13" t="str">
        <f ca="1">IF(ISERROR(INDIRECT(ORÇAMENTO.BancoRef)),"(abra o arquivo 'Referência "&amp;Excel_BuiltIn_Database&amp;".xlsm)",IF(OR($C92&lt;&gt;"S",ORÇAMENTO.CodBarra=""),"(Sem Código)",IF(ISERROR(MATCH($AE92,INDIRECT(ORÇAMENTO.BancoRef),0)),"(Código não identificado nas referências)",MATCH($AE92,INDIRECT(ORÇAMENTO.BancoRef),0))))</f>
        <v>(abra o arquivo 'Referência 03-2024.xlsm)</v>
      </c>
      <c r="AG92" s="498">
        <f ca="1">ROUND(IF(DESONERACAO="sim",REFERENCIA.Desonerado,REFERENCIA.NaoDesonerado),2)</f>
        <v>0</v>
      </c>
      <c r="AH92" s="499">
        <f t="shared" ca="1" si="32"/>
        <v>0.28170000000000001</v>
      </c>
      <c r="AJ92" s="501">
        <v>0.4</v>
      </c>
      <c r="AL92" s="527"/>
      <c r="AM92" s="381">
        <f t="shared" ca="1" si="33"/>
        <v>257.52</v>
      </c>
      <c r="AN92" s="566">
        <f t="shared" ca="1" si="34"/>
        <v>643.79</v>
      </c>
    </row>
    <row r="93" spans="1:40" ht="38.25" x14ac:dyDescent="0.2">
      <c r="A93" t="str">
        <f t="shared" si="19"/>
        <v>S</v>
      </c>
      <c r="B93">
        <f t="shared" ca="1" si="20"/>
        <v>3</v>
      </c>
      <c r="C93" t="str">
        <f t="shared" ca="1" si="21"/>
        <v>S</v>
      </c>
      <c r="D93">
        <f t="shared" ca="1" si="22"/>
        <v>0</v>
      </c>
      <c r="E93">
        <f ca="1">IF($C93=1,OFFSET(E93,-1,0)+MAX(1,COUNTIF(QCI!$A$13:$A$24,OFFSET(ORÇAMENTO!E93,-1,0))),OFFSET(E93,-1,0))</f>
        <v>1</v>
      </c>
      <c r="F93">
        <f t="shared" ca="1" si="23"/>
        <v>6</v>
      </c>
      <c r="G93">
        <f t="shared" ca="1" si="24"/>
        <v>1</v>
      </c>
      <c r="H93">
        <f t="shared" ca="1" si="25"/>
        <v>0</v>
      </c>
      <c r="I93">
        <f t="shared" ca="1" si="26"/>
        <v>6</v>
      </c>
      <c r="J93">
        <f t="shared" ca="1" si="17"/>
        <v>0</v>
      </c>
      <c r="K93">
        <f ca="1">IF(OR($C93="S",$C93=0),0,MATCH(OFFSET($D93,0,$C93)+IF($C93&lt;&gt;1,1,COUNTIF(QCI!$A$13:$A$24,ORÇAMENTO!E93)),OFFSET($D93,1,$C93,ROW($C$290)-ROW($C93)),0))</f>
        <v>0</v>
      </c>
      <c r="L93" s="116" t="str">
        <f t="shared" ca="1" si="27"/>
        <v>F</v>
      </c>
      <c r="M93" s="117" t="s">
        <v>199</v>
      </c>
      <c r="N93" s="118" t="str">
        <f t="shared" ca="1" si="28"/>
        <v>Serviço</v>
      </c>
      <c r="O93" s="119" t="str">
        <f t="shared" ca="1" si="29"/>
        <v>1.6.1.6.</v>
      </c>
      <c r="P93" s="120" t="s">
        <v>462</v>
      </c>
      <c r="Q93" s="121" t="s">
        <v>512</v>
      </c>
      <c r="R93" s="122" t="str">
        <f ca="1">IF($C93="S",REFERENCIA.Descricao,"(digite a descrição aqui)")</f>
        <v>(abra o arquivo 'Referência 03-2024.xlsm)</v>
      </c>
      <c r="S93" s="123" t="str">
        <f ca="1">REFERENCIA.Unidade</f>
        <v>-</v>
      </c>
      <c r="T93" s="124">
        <f ca="1">OFFSET(CÁLCULO!H$15,ROW($T93)-ROW(T$15),0)</f>
        <v>15.18</v>
      </c>
      <c r="U93" s="125">
        <v>9.9600000000000009</v>
      </c>
      <c r="V93" s="126" t="s">
        <v>156</v>
      </c>
      <c r="W93" s="124">
        <f ca="1">IF($C93="S",ROUND(IF(TIPOORCAMENTO="Proposto",ORÇAMENTO.CustoUnitario*(1+$AH93),ORÇAMENTO.PrecoUnitarioLicitado),15-13*$AF$10),0)</f>
        <v>12.77</v>
      </c>
      <c r="X93" s="127">
        <f ca="1">IF($C93="S",IF(Import.TipoArredondamento&lt;&gt;"TransfereGOV",VTOTAL1,SUM(OFFSET(CÁLCULO!$AA$15,ROW($X93)-ROW($X$15),1):OFFSET(CÁLCULO!$AL$15,ROW($X93)-ROW($X$15),-1))),IF($C93=0,0,ROUND(SomaAgrup,15-13*$AF$11)))</f>
        <v>193.85</v>
      </c>
      <c r="Y93" s="128" t="s">
        <v>245</v>
      </c>
      <c r="Z93" t="str">
        <f t="shared" ca="1" si="30"/>
        <v>RA</v>
      </c>
      <c r="AA93" s="129">
        <f ca="1">IF($C93="S",IF($Z93="CP",$X93,IF($Z93="RA",(($X93)*QCI!$AA$3),0)),SomaAgrup)</f>
        <v>193.85</v>
      </c>
      <c r="AB93" s="130">
        <f t="shared" ca="1" si="31"/>
        <v>0</v>
      </c>
      <c r="AC93" s="131" t="str">
        <f ca="1">IF($N93="","",IF(ORÇAMENTO.Descricao="","DESCRIÇÃO",IF(AND($C93="S",ORÇAMENTO.Unidade=""),"UNIDADE",IF($X93&lt;0,"VALOR NEGATIVO",IF(OR(AND(TIPOORCAMENTO="Proposto",$AG93&lt;&gt;"",$AG93&gt;0,ORÇAMENTO.CustoUnitario&gt;$AG93),AND(TIPOORCAMENTO="LICITADO",ORÇAMENTO.PrecoUnitarioLicitado&gt;$AN93)),"ACIMA REF.","")))))</f>
        <v/>
      </c>
      <c r="AD93" t="str">
        <f ca="1">IF(C93&lt;=CRONO.NivelExibicao,MAX($AD$15:OFFSET(AD93,-1,0))+IF($C93&lt;&gt;1,1,MAX(1,COUNTIF(QCI!$A$13:$A$24,OFFSET($E93,-1,0)))),"")</f>
        <v/>
      </c>
      <c r="AE93" s="7" t="str">
        <f ca="1">IF(AND($C93="S",ORÇAMENTO.CodBarra&lt;&gt;""),IF(ORÇAMENTO.Fonte="",ORÇAMENTO.CodBarra,CONCATENATE(ORÇAMENTO.Fonte," ",ORÇAMENTO.CodBarra)))</f>
        <v>Composição 35</v>
      </c>
      <c r="AF93" s="13" t="str">
        <f ca="1">IF(ISERROR(INDIRECT(ORÇAMENTO.BancoRef)),"(abra o arquivo 'Referência "&amp;Excel_BuiltIn_Database&amp;".xlsm)",IF(OR($C93&lt;&gt;"S",ORÇAMENTO.CodBarra=""),"(Sem Código)",IF(ISERROR(MATCH($AE93,INDIRECT(ORÇAMENTO.BancoRef),0)),"(Código não identificado nas referências)",MATCH($AE93,INDIRECT(ORÇAMENTO.BancoRef),0))))</f>
        <v>(abra o arquivo 'Referência 03-2024.xlsm)</v>
      </c>
      <c r="AG93" s="498">
        <f ca="1">ROUND(IF(DESONERACAO="sim",REFERENCIA.Desonerado,REFERENCIA.NaoDesonerado),2)</f>
        <v>0</v>
      </c>
      <c r="AH93" s="499">
        <f t="shared" ca="1" si="32"/>
        <v>0.28170000000000001</v>
      </c>
      <c r="AJ93" s="501">
        <v>15.18</v>
      </c>
      <c r="AL93" s="527"/>
      <c r="AM93" s="381">
        <f t="shared" ca="1" si="33"/>
        <v>193.85</v>
      </c>
      <c r="AN93" s="566">
        <f t="shared" ca="1" si="34"/>
        <v>12.77</v>
      </c>
    </row>
    <row r="94" spans="1:40" x14ac:dyDescent="0.2">
      <c r="A94">
        <f t="shared" si="19"/>
        <v>3</v>
      </c>
      <c r="B94">
        <f t="shared" ca="1" si="20"/>
        <v>3</v>
      </c>
      <c r="C94">
        <f t="shared" ca="1" si="21"/>
        <v>3</v>
      </c>
      <c r="D94">
        <f t="shared" ca="1" si="22"/>
        <v>8</v>
      </c>
      <c r="E94">
        <f ca="1">IF($C94=1,OFFSET(E94,-1,0)+MAX(1,COUNTIF(QCI!$A$13:$A$24,OFFSET(ORÇAMENTO!E94,-1,0))),OFFSET(E94,-1,0))</f>
        <v>1</v>
      </c>
      <c r="F94">
        <f t="shared" ca="1" si="23"/>
        <v>6</v>
      </c>
      <c r="G94">
        <f t="shared" ca="1" si="24"/>
        <v>2</v>
      </c>
      <c r="H94">
        <f t="shared" ca="1" si="25"/>
        <v>0</v>
      </c>
      <c r="I94">
        <f t="shared" ca="1" si="26"/>
        <v>0</v>
      </c>
      <c r="J94">
        <f t="shared" ca="1" si="17"/>
        <v>98</v>
      </c>
      <c r="K94">
        <f ca="1">IF(OR($C94="S",$C94=0),0,MATCH(OFFSET($D94,0,$C94)+IF($C94&lt;&gt;1,1,COUNTIF(QCI!$A$13:$A$24,ORÇAMENTO!E94)),OFFSET($D94,1,$C94,ROW($C$290)-ROW($C94)),0))</f>
        <v>8</v>
      </c>
      <c r="L94" s="116" t="str">
        <f t="shared" ca="1" si="27"/>
        <v>F</v>
      </c>
      <c r="M94" s="117" t="s">
        <v>197</v>
      </c>
      <c r="N94" s="118" t="str">
        <f t="shared" ca="1" si="28"/>
        <v>Nível 3</v>
      </c>
      <c r="O94" s="119" t="str">
        <f t="shared" ca="1" si="29"/>
        <v>1.6.2.</v>
      </c>
      <c r="P94" s="120" t="s">
        <v>247</v>
      </c>
      <c r="Q94" s="121"/>
      <c r="R94" s="122" t="s">
        <v>511</v>
      </c>
      <c r="S94" s="123" t="str">
        <f ca="1">REFERENCIA.Unidade</f>
        <v>-</v>
      </c>
      <c r="T94" s="124">
        <f ca="1">OFFSET(CÁLCULO!H$15,ROW($T94)-ROW(T$15),0)</f>
        <v>0</v>
      </c>
      <c r="U94" s="125">
        <v>0</v>
      </c>
      <c r="V94" s="126" t="s">
        <v>156</v>
      </c>
      <c r="W94" s="124">
        <f ca="1">IF($C94="S",ROUND(IF(TIPOORCAMENTO="Proposto",ORÇAMENTO.CustoUnitario*(1+$AH94),ORÇAMENTO.PrecoUnitarioLicitado),15-13*$AF$10),0)</f>
        <v>0</v>
      </c>
      <c r="X94" s="127">
        <f ca="1">IF($C94="S",IF(Import.TipoArredondamento&lt;&gt;"TransfereGOV",VTOTAL1,SUM(OFFSET(CÁLCULO!$AA$15,ROW($X94)-ROW($X$15),1):OFFSET(CÁLCULO!$AL$15,ROW($X94)-ROW($X$15),-1))),IF($C94=0,0,ROUND(SomaAgrup,15-13*$AF$11)))</f>
        <v>1645.38</v>
      </c>
      <c r="Y94" s="128" t="s">
        <v>245</v>
      </c>
      <c r="Z94" t="str">
        <f t="shared" ca="1" si="30"/>
        <v/>
      </c>
      <c r="AA94" s="129">
        <f ca="1">IF($C94="S",IF($Z94="CP",$X94,IF($Z94="RA",(($X94)*QCI!$AA$3),0)),SomaAgrup)</f>
        <v>1645.3799999999999</v>
      </c>
      <c r="AB94" s="130">
        <f t="shared" ca="1" si="31"/>
        <v>0</v>
      </c>
      <c r="AC94" s="131" t="str">
        <f ca="1">IF($N94="","",IF(ORÇAMENTO.Descricao="","DESCRIÇÃO",IF(AND($C94="S",ORÇAMENTO.Unidade=""),"UNIDADE",IF($X94&lt;0,"VALOR NEGATIVO",IF(OR(AND(TIPOORCAMENTO="Proposto",$AG94&lt;&gt;"",$AG94&gt;0,ORÇAMENTO.CustoUnitario&gt;$AG94),AND(TIPOORCAMENTO="LICITADO",ORÇAMENTO.PrecoUnitarioLicitado&gt;$AN94)),"ACIMA REF.","")))))</f>
        <v/>
      </c>
      <c r="AD94">
        <f ca="1">IF(C94&lt;=CRONO.NivelExibicao,MAX($AD$15:OFFSET(AD94,-1,0))+IF($C94&lt;&gt;1,1,MAX(1,COUNTIF(QCI!$A$13:$A$24,OFFSET($E94,-1,0)))),"")</f>
        <v>11</v>
      </c>
      <c r="AE94" s="7" t="b">
        <f ca="1">IF(AND($C94="S",ORÇAMENTO.CodBarra&lt;&gt;""),IF(ORÇAMENTO.Fonte="",ORÇAMENTO.CodBarra,CONCATENATE(ORÇAMENTO.Fonte," ",ORÇAMENTO.CodBarra)))</f>
        <v>0</v>
      </c>
      <c r="AF94" s="13" t="str">
        <f ca="1">IF(ISERROR(INDIRECT(ORÇAMENTO.BancoRef)),"(abra o arquivo 'Referência "&amp;Excel_BuiltIn_Database&amp;".xlsm)",IF(OR($C94&lt;&gt;"S",ORÇAMENTO.CodBarra=""),"(Sem Código)",IF(ISERROR(MATCH($AE94,INDIRECT(ORÇAMENTO.BancoRef),0)),"(Código não identificado nas referências)",MATCH($AE94,INDIRECT(ORÇAMENTO.BancoRef),0))))</f>
        <v>(abra o arquivo 'Referência 03-2024.xlsm)</v>
      </c>
      <c r="AG94" s="498">
        <f ca="1">ROUND(IF(DESONERACAO="sim",REFERENCIA.Desonerado,REFERENCIA.NaoDesonerado),2)</f>
        <v>0</v>
      </c>
      <c r="AH94" s="499">
        <f t="shared" ca="1" si="32"/>
        <v>0.28170000000000001</v>
      </c>
      <c r="AJ94" s="501"/>
      <c r="AL94" s="527"/>
      <c r="AM94" s="381">
        <f t="shared" ca="1" si="33"/>
        <v>1645.38</v>
      </c>
      <c r="AN94" s="566">
        <f t="shared" ca="1" si="34"/>
        <v>0</v>
      </c>
    </row>
    <row r="95" spans="1:40" ht="63.75" x14ac:dyDescent="0.2">
      <c r="A95" t="str">
        <f t="shared" si="19"/>
        <v>S</v>
      </c>
      <c r="B95">
        <f t="shared" ca="1" si="20"/>
        <v>3</v>
      </c>
      <c r="C95" t="str">
        <f t="shared" ca="1" si="21"/>
        <v>S</v>
      </c>
      <c r="D95">
        <f t="shared" ca="1" si="22"/>
        <v>0</v>
      </c>
      <c r="E95">
        <f ca="1">IF($C95=1,OFFSET(E95,-1,0)+MAX(1,COUNTIF(QCI!$A$13:$A$24,OFFSET(ORÇAMENTO!E95,-1,0))),OFFSET(E95,-1,0))</f>
        <v>1</v>
      </c>
      <c r="F95">
        <f t="shared" ca="1" si="23"/>
        <v>6</v>
      </c>
      <c r="G95">
        <f t="shared" ca="1" si="24"/>
        <v>2</v>
      </c>
      <c r="H95">
        <f t="shared" ca="1" si="25"/>
        <v>0</v>
      </c>
      <c r="I95">
        <f t="shared" ca="1" si="26"/>
        <v>1</v>
      </c>
      <c r="J95">
        <f t="shared" ca="1" si="17"/>
        <v>0</v>
      </c>
      <c r="K95">
        <f ca="1">IF(OR($C95="S",$C95=0),0,MATCH(OFFSET($D95,0,$C95)+IF($C95&lt;&gt;1,1,COUNTIF(QCI!$A$13:$A$24,ORÇAMENTO!E95)),OFFSET($D95,1,$C95,ROW($C$290)-ROW($C95)),0))</f>
        <v>0</v>
      </c>
      <c r="L95" s="116" t="str">
        <f t="shared" ca="1" si="27"/>
        <v>F</v>
      </c>
      <c r="M95" s="117" t="s">
        <v>199</v>
      </c>
      <c r="N95" s="118" t="str">
        <f t="shared" ca="1" si="28"/>
        <v>Serviço</v>
      </c>
      <c r="O95" s="119" t="str">
        <f t="shared" ca="1" si="29"/>
        <v>1.6.2.1.</v>
      </c>
      <c r="P95" s="120" t="s">
        <v>247</v>
      </c>
      <c r="Q95" s="121" t="s">
        <v>492</v>
      </c>
      <c r="R95" s="122" t="str">
        <f ca="1">IF($C95="S",REFERENCIA.Descricao,"(digite a descrição aqui)")</f>
        <v>(abra o arquivo 'Referência 03-2024.xlsm)</v>
      </c>
      <c r="S95" s="123" t="str">
        <f ca="1">REFERENCIA.Unidade</f>
        <v>-</v>
      </c>
      <c r="T95" s="124">
        <f ca="1">OFFSET(CÁLCULO!H$15,ROW($T95)-ROW(T$15),0)</f>
        <v>0.56999999999999995</v>
      </c>
      <c r="U95" s="125">
        <v>6.45</v>
      </c>
      <c r="V95" s="126" t="s">
        <v>156</v>
      </c>
      <c r="W95" s="124">
        <f ca="1">IF($C95="S",ROUND(IF(TIPOORCAMENTO="Proposto",ORÇAMENTO.CustoUnitario*(1+$AH95),ORÇAMENTO.PrecoUnitarioLicitado),15-13*$AF$10),0)</f>
        <v>8.27</v>
      </c>
      <c r="X95" s="127">
        <f ca="1">IF($C95="S",IF(Import.TipoArredondamento&lt;&gt;"TransfereGOV",VTOTAL1,SUM(OFFSET(CÁLCULO!$AA$15,ROW($X95)-ROW($X$15),1):OFFSET(CÁLCULO!$AL$15,ROW($X95)-ROW($X$15),-1))),IF($C95=0,0,ROUND(SomaAgrup,15-13*$AF$11)))</f>
        <v>4.71</v>
      </c>
      <c r="Y95" s="128" t="s">
        <v>245</v>
      </c>
      <c r="Z95" t="str">
        <f t="shared" ca="1" si="30"/>
        <v>RA</v>
      </c>
      <c r="AA95" s="129">
        <f ca="1">IF($C95="S",IF($Z95="CP",$X95,IF($Z95="RA",(($X95)*QCI!$AA$3),0)),SomaAgrup)</f>
        <v>4.71</v>
      </c>
      <c r="AB95" s="130">
        <f t="shared" ca="1" si="31"/>
        <v>0</v>
      </c>
      <c r="AC95" s="131" t="str">
        <f ca="1">IF($N95="","",IF(ORÇAMENTO.Descricao="","DESCRIÇÃO",IF(AND($C95="S",ORÇAMENTO.Unidade=""),"UNIDADE",IF($X95&lt;0,"VALOR NEGATIVO",IF(OR(AND(TIPOORCAMENTO="Proposto",$AG95&lt;&gt;"",$AG95&gt;0,ORÇAMENTO.CustoUnitario&gt;$AG95),AND(TIPOORCAMENTO="LICITADO",ORÇAMENTO.PrecoUnitarioLicitado&gt;$AN95)),"ACIMA REF.","")))))</f>
        <v/>
      </c>
      <c r="AD95" t="str">
        <f ca="1">IF(C95&lt;=CRONO.NivelExibicao,MAX($AD$15:OFFSET(AD95,-1,0))+IF($C95&lt;&gt;1,1,MAX(1,COUNTIF(QCI!$A$13:$A$24,OFFSET($E95,-1,0)))),"")</f>
        <v/>
      </c>
      <c r="AE95" s="7" t="str">
        <f ca="1">IF(AND($C95="S",ORÇAMENTO.CodBarra&lt;&gt;""),IF(ORÇAMENTO.Fonte="",ORÇAMENTO.CodBarra,CONCATENATE(ORÇAMENTO.Fonte," ",ORÇAMENTO.CodBarra)))</f>
        <v>SINAPI 90091</v>
      </c>
      <c r="AF95" s="13" t="str">
        <f ca="1">IF(ISERROR(INDIRECT(ORÇAMENTO.BancoRef)),"(abra o arquivo 'Referência "&amp;Excel_BuiltIn_Database&amp;".xlsm)",IF(OR($C95&lt;&gt;"S",ORÇAMENTO.CodBarra=""),"(Sem Código)",IF(ISERROR(MATCH($AE95,INDIRECT(ORÇAMENTO.BancoRef),0)),"(Código não identificado nas referências)",MATCH($AE95,INDIRECT(ORÇAMENTO.BancoRef),0))))</f>
        <v>(abra o arquivo 'Referência 03-2024.xlsm)</v>
      </c>
      <c r="AG95" s="498">
        <f ca="1">ROUND(IF(DESONERACAO="sim",REFERENCIA.Desonerado,REFERENCIA.NaoDesonerado),2)</f>
        <v>0</v>
      </c>
      <c r="AH95" s="499">
        <f t="shared" ca="1" si="32"/>
        <v>0.28170000000000001</v>
      </c>
      <c r="AJ95" s="501">
        <v>0.56999999999999995</v>
      </c>
      <c r="AL95" s="527"/>
      <c r="AM95" s="381">
        <f t="shared" ca="1" si="33"/>
        <v>4.71</v>
      </c>
      <c r="AN95" s="566">
        <f t="shared" ca="1" si="34"/>
        <v>8.27</v>
      </c>
    </row>
    <row r="96" spans="1:40" ht="25.5" x14ac:dyDescent="0.2">
      <c r="A96" t="str">
        <f t="shared" si="19"/>
        <v>S</v>
      </c>
      <c r="B96">
        <f t="shared" ca="1" si="20"/>
        <v>3</v>
      </c>
      <c r="C96" t="str">
        <f t="shared" ca="1" si="21"/>
        <v>S</v>
      </c>
      <c r="D96">
        <f t="shared" ca="1" si="22"/>
        <v>0</v>
      </c>
      <c r="E96">
        <f ca="1">IF($C96=1,OFFSET(E96,-1,0)+MAX(1,COUNTIF(QCI!$A$13:$A$24,OFFSET(ORÇAMENTO!E96,-1,0))),OFFSET(E96,-1,0))</f>
        <v>1</v>
      </c>
      <c r="F96">
        <f t="shared" ca="1" si="23"/>
        <v>6</v>
      </c>
      <c r="G96">
        <f t="shared" ca="1" si="24"/>
        <v>2</v>
      </c>
      <c r="H96">
        <f t="shared" ca="1" si="25"/>
        <v>0</v>
      </c>
      <c r="I96">
        <f t="shared" ca="1" si="26"/>
        <v>2</v>
      </c>
      <c r="J96">
        <f t="shared" ca="1" si="17"/>
        <v>0</v>
      </c>
      <c r="K96">
        <f ca="1">IF(OR($C96="S",$C96=0),0,MATCH(OFFSET($D96,0,$C96)+IF($C96&lt;&gt;1,1,COUNTIF(QCI!$A$13:$A$24,ORÇAMENTO!E96)),OFFSET($D96,1,$C96,ROW($C$290)-ROW($C96)),0))</f>
        <v>0</v>
      </c>
      <c r="L96" s="116" t="str">
        <f t="shared" ca="1" si="27"/>
        <v>F</v>
      </c>
      <c r="M96" s="117" t="s">
        <v>199</v>
      </c>
      <c r="N96" s="118" t="str">
        <f t="shared" ca="1" si="28"/>
        <v>Serviço</v>
      </c>
      <c r="O96" s="119" t="str">
        <f t="shared" ca="1" si="29"/>
        <v>1.6.2.2.</v>
      </c>
      <c r="P96" s="120" t="s">
        <v>462</v>
      </c>
      <c r="Q96" s="121" t="s">
        <v>463</v>
      </c>
      <c r="R96" s="122" t="str">
        <f ca="1">IF($C96="S",REFERENCIA.Descricao,"(digite a descrição aqui)")</f>
        <v>(abra o arquivo 'Referência 03-2024.xlsm)</v>
      </c>
      <c r="S96" s="123" t="str">
        <f ca="1">REFERENCIA.Unidade</f>
        <v>-</v>
      </c>
      <c r="T96" s="124">
        <f ca="1">OFFSET(CÁLCULO!H$15,ROW($T96)-ROW(T$15),0)</f>
        <v>0.28000000000000003</v>
      </c>
      <c r="U96" s="125">
        <v>48.16</v>
      </c>
      <c r="V96" s="126" t="s">
        <v>156</v>
      </c>
      <c r="W96" s="124">
        <f ca="1">IF($C96="S",ROUND(IF(TIPOORCAMENTO="Proposto",ORÇAMENTO.CustoUnitario*(1+$AH96),ORÇAMENTO.PrecoUnitarioLicitado),15-13*$AF$10),0)</f>
        <v>61.73</v>
      </c>
      <c r="X96" s="127">
        <f ca="1">IF($C96="S",IF(Import.TipoArredondamento&lt;&gt;"TransfereGOV",VTOTAL1,SUM(OFFSET(CÁLCULO!$AA$15,ROW($X96)-ROW($X$15),1):OFFSET(CÁLCULO!$AL$15,ROW($X96)-ROW($X$15),-1))),IF($C96=0,0,ROUND(SomaAgrup,15-13*$AF$11)))</f>
        <v>17.28</v>
      </c>
      <c r="Y96" s="128" t="s">
        <v>245</v>
      </c>
      <c r="Z96" t="str">
        <f t="shared" ca="1" si="30"/>
        <v>RA</v>
      </c>
      <c r="AA96" s="129">
        <f ca="1">IF($C96="S",IF($Z96="CP",$X96,IF($Z96="RA",(($X96)*QCI!$AA$3),0)),SomaAgrup)</f>
        <v>17.28</v>
      </c>
      <c r="AB96" s="130">
        <f t="shared" ca="1" si="31"/>
        <v>0</v>
      </c>
      <c r="AC96" s="131" t="str">
        <f ca="1">IF($N96="","",IF(ORÇAMENTO.Descricao="","DESCRIÇÃO",IF(AND($C96="S",ORÇAMENTO.Unidade=""),"UNIDADE",IF($X96&lt;0,"VALOR NEGATIVO",IF(OR(AND(TIPOORCAMENTO="Proposto",$AG96&lt;&gt;"",$AG96&gt;0,ORÇAMENTO.CustoUnitario&gt;$AG96),AND(TIPOORCAMENTO="LICITADO",ORÇAMENTO.PrecoUnitarioLicitado&gt;$AN96)),"ACIMA REF.","")))))</f>
        <v/>
      </c>
      <c r="AD96" t="str">
        <f ca="1">IF(C96&lt;=CRONO.NivelExibicao,MAX($AD$15:OFFSET(AD96,-1,0))+IF($C96&lt;&gt;1,1,MAX(1,COUNTIF(QCI!$A$13:$A$24,OFFSET($E96,-1,0)))),"")</f>
        <v/>
      </c>
      <c r="AE96" s="7" t="str">
        <f ca="1">IF(AND($C96="S",ORÇAMENTO.CodBarra&lt;&gt;""),IF(ORÇAMENTO.Fonte="",ORÇAMENTO.CodBarra,CONCATENATE(ORÇAMENTO.Fonte," ",ORÇAMENTO.CodBarra)))</f>
        <v>Composição 1</v>
      </c>
      <c r="AF96" s="13" t="str">
        <f ca="1">IF(ISERROR(INDIRECT(ORÇAMENTO.BancoRef)),"(abra o arquivo 'Referência "&amp;Excel_BuiltIn_Database&amp;".xlsm)",IF(OR($C96&lt;&gt;"S",ORÇAMENTO.CodBarra=""),"(Sem Código)",IF(ISERROR(MATCH($AE96,INDIRECT(ORÇAMENTO.BancoRef),0)),"(Código não identificado nas referências)",MATCH($AE96,INDIRECT(ORÇAMENTO.BancoRef),0))))</f>
        <v>(abra o arquivo 'Referência 03-2024.xlsm)</v>
      </c>
      <c r="AG96" s="498">
        <f ca="1">ROUND(IF(DESONERACAO="sim",REFERENCIA.Desonerado,REFERENCIA.NaoDesonerado),2)</f>
        <v>0</v>
      </c>
      <c r="AH96" s="499">
        <f t="shared" ca="1" si="32"/>
        <v>0.28170000000000001</v>
      </c>
      <c r="AJ96" s="501">
        <v>0.28000000000000003</v>
      </c>
      <c r="AL96" s="527"/>
      <c r="AM96" s="381">
        <f t="shared" ca="1" si="33"/>
        <v>17.28</v>
      </c>
      <c r="AN96" s="566">
        <f t="shared" ca="1" si="34"/>
        <v>61.73</v>
      </c>
    </row>
    <row r="97" spans="1:40" ht="25.5" x14ac:dyDescent="0.2">
      <c r="A97" t="str">
        <f t="shared" si="19"/>
        <v>S</v>
      </c>
      <c r="B97">
        <f t="shared" ca="1" si="20"/>
        <v>3</v>
      </c>
      <c r="C97" t="str">
        <f t="shared" ca="1" si="21"/>
        <v>S</v>
      </c>
      <c r="D97">
        <f t="shared" ca="1" si="22"/>
        <v>0</v>
      </c>
      <c r="E97">
        <f ca="1">IF($C97=1,OFFSET(E97,-1,0)+MAX(1,COUNTIF(QCI!$A$13:$A$24,OFFSET(ORÇAMENTO!E97,-1,0))),OFFSET(E97,-1,0))</f>
        <v>1</v>
      </c>
      <c r="F97">
        <f t="shared" ca="1" si="23"/>
        <v>6</v>
      </c>
      <c r="G97">
        <f t="shared" ca="1" si="24"/>
        <v>2</v>
      </c>
      <c r="H97">
        <f t="shared" ca="1" si="25"/>
        <v>0</v>
      </c>
      <c r="I97">
        <f t="shared" ca="1" si="26"/>
        <v>3</v>
      </c>
      <c r="J97">
        <f t="shared" ca="1" si="17"/>
        <v>0</v>
      </c>
      <c r="K97">
        <f ca="1">IF(OR($C97="S",$C97=0),0,MATCH(OFFSET($D97,0,$C97)+IF($C97&lt;&gt;1,1,COUNTIF(QCI!$A$13:$A$24,ORÇAMENTO!E97)),OFFSET($D97,1,$C97,ROW($C$290)-ROW($C97)),0))</f>
        <v>0</v>
      </c>
      <c r="L97" s="116" t="str">
        <f t="shared" ca="1" si="27"/>
        <v>F</v>
      </c>
      <c r="M97" s="117" t="s">
        <v>199</v>
      </c>
      <c r="N97" s="118" t="str">
        <f t="shared" ca="1" si="28"/>
        <v>Serviço</v>
      </c>
      <c r="O97" s="119" t="str">
        <f t="shared" ca="1" si="29"/>
        <v>1.6.2.3.</v>
      </c>
      <c r="P97" s="120" t="s">
        <v>247</v>
      </c>
      <c r="Q97" s="121" t="s">
        <v>460</v>
      </c>
      <c r="R97" s="122" t="str">
        <f ca="1">IF($C97="S",REFERENCIA.Descricao,"(digite a descrição aqui)")</f>
        <v>(abra o arquivo 'Referência 03-2024.xlsm)</v>
      </c>
      <c r="S97" s="123" t="str">
        <f ca="1">REFERENCIA.Unidade</f>
        <v>-</v>
      </c>
      <c r="T97" s="124">
        <f ca="1">OFFSET(CÁLCULO!H$15,ROW($T97)-ROW(T$15),0)</f>
        <v>2.12</v>
      </c>
      <c r="U97" s="125">
        <v>18.399999999999999</v>
      </c>
      <c r="V97" s="126" t="s">
        <v>156</v>
      </c>
      <c r="W97" s="124">
        <f ca="1">IF($C97="S",ROUND(IF(TIPOORCAMENTO="Proposto",ORÇAMENTO.CustoUnitario*(1+$AH97),ORÇAMENTO.PrecoUnitarioLicitado),15-13*$AF$10),0)</f>
        <v>23.58</v>
      </c>
      <c r="X97" s="127">
        <f ca="1">IF($C97="S",IF(Import.TipoArredondamento&lt;&gt;"TransfereGOV",VTOTAL1,SUM(OFFSET(CÁLCULO!$AA$15,ROW($X97)-ROW($X$15),1):OFFSET(CÁLCULO!$AL$15,ROW($X97)-ROW($X$15),-1))),IF($C97=0,0,ROUND(SomaAgrup,15-13*$AF$11)))</f>
        <v>49.99</v>
      </c>
      <c r="Y97" s="128" t="s">
        <v>245</v>
      </c>
      <c r="Z97" t="str">
        <f t="shared" ca="1" si="30"/>
        <v>RA</v>
      </c>
      <c r="AA97" s="129">
        <f ca="1">IF($C97="S",IF($Z97="CP",$X97,IF($Z97="RA",(($X97)*QCI!$AA$3),0)),SomaAgrup)</f>
        <v>49.99</v>
      </c>
      <c r="AB97" s="130">
        <f t="shared" ca="1" si="31"/>
        <v>0</v>
      </c>
      <c r="AC97" s="131" t="str">
        <f ca="1">IF($N97="","",IF(ORÇAMENTO.Descricao="","DESCRIÇÃO",IF(AND($C97="S",ORÇAMENTO.Unidade=""),"UNIDADE",IF($X97&lt;0,"VALOR NEGATIVO",IF(OR(AND(TIPOORCAMENTO="Proposto",$AG97&lt;&gt;"",$AG97&gt;0,ORÇAMENTO.CustoUnitario&gt;$AG97),AND(TIPOORCAMENTO="LICITADO",ORÇAMENTO.PrecoUnitarioLicitado&gt;$AN97)),"ACIMA REF.","")))))</f>
        <v/>
      </c>
      <c r="AD97" t="str">
        <f ca="1">IF(C97&lt;=CRONO.NivelExibicao,MAX($AD$15:OFFSET(AD97,-1,0))+IF($C97&lt;&gt;1,1,MAX(1,COUNTIF(QCI!$A$13:$A$24,OFFSET($E97,-1,0)))),"")</f>
        <v/>
      </c>
      <c r="AE97" s="7" t="str">
        <f ca="1">IF(AND($C97="S",ORÇAMENTO.CodBarra&lt;&gt;""),IF(ORÇAMENTO.Fonte="",ORÇAMENTO.CodBarra,CONCATENATE(ORÇAMENTO.Fonte," ",ORÇAMENTO.CodBarra)))</f>
        <v>SINAPI 96617</v>
      </c>
      <c r="AF97" s="13" t="str">
        <f ca="1">IF(ISERROR(INDIRECT(ORÇAMENTO.BancoRef)),"(abra o arquivo 'Referência "&amp;Excel_BuiltIn_Database&amp;".xlsm)",IF(OR($C97&lt;&gt;"S",ORÇAMENTO.CodBarra=""),"(Sem Código)",IF(ISERROR(MATCH($AE97,INDIRECT(ORÇAMENTO.BancoRef),0)),"(Código não identificado nas referências)",MATCH($AE97,INDIRECT(ORÇAMENTO.BancoRef),0))))</f>
        <v>(abra o arquivo 'Referência 03-2024.xlsm)</v>
      </c>
      <c r="AG97" s="498">
        <f ca="1">ROUND(IF(DESONERACAO="sim",REFERENCIA.Desonerado,REFERENCIA.NaoDesonerado),2)</f>
        <v>0</v>
      </c>
      <c r="AH97" s="499">
        <f t="shared" ca="1" si="32"/>
        <v>0.28170000000000001</v>
      </c>
      <c r="AJ97" s="501">
        <v>2.12</v>
      </c>
      <c r="AL97" s="527"/>
      <c r="AM97" s="381">
        <f t="shared" ca="1" si="33"/>
        <v>49.99</v>
      </c>
      <c r="AN97" s="566">
        <f t="shared" ca="1" si="34"/>
        <v>23.58</v>
      </c>
    </row>
    <row r="98" spans="1:40" ht="38.25" x14ac:dyDescent="0.2">
      <c r="A98" t="str">
        <f t="shared" si="19"/>
        <v>S</v>
      </c>
      <c r="B98">
        <f t="shared" ca="1" si="20"/>
        <v>3</v>
      </c>
      <c r="C98" t="str">
        <f t="shared" ca="1" si="21"/>
        <v>S</v>
      </c>
      <c r="D98">
        <f t="shared" ca="1" si="22"/>
        <v>0</v>
      </c>
      <c r="E98">
        <f ca="1">IF($C98=1,OFFSET(E98,-1,0)+MAX(1,COUNTIF(QCI!$A$13:$A$24,OFFSET(ORÇAMENTO!E98,-1,0))),OFFSET(E98,-1,0))</f>
        <v>1</v>
      </c>
      <c r="F98">
        <f t="shared" ca="1" si="23"/>
        <v>6</v>
      </c>
      <c r="G98">
        <f t="shared" ca="1" si="24"/>
        <v>2</v>
      </c>
      <c r="H98">
        <f t="shared" ca="1" si="25"/>
        <v>0</v>
      </c>
      <c r="I98">
        <f t="shared" ca="1" si="26"/>
        <v>4</v>
      </c>
      <c r="J98">
        <f t="shared" ca="1" si="17"/>
        <v>0</v>
      </c>
      <c r="K98">
        <f ca="1">IF(OR($C98="S",$C98=0),0,MATCH(OFFSET($D98,0,$C98)+IF($C98&lt;&gt;1,1,COUNTIF(QCI!$A$13:$A$24,ORÇAMENTO!E98)),OFFSET($D98,1,$C98,ROW($C$290)-ROW($C98)),0))</f>
        <v>0</v>
      </c>
      <c r="L98" s="116" t="str">
        <f t="shared" ca="1" si="27"/>
        <v>F</v>
      </c>
      <c r="M98" s="117" t="s">
        <v>199</v>
      </c>
      <c r="N98" s="118" t="str">
        <f t="shared" ca="1" si="28"/>
        <v>Serviço</v>
      </c>
      <c r="O98" s="119" t="str">
        <f t="shared" ca="1" si="29"/>
        <v>1.6.2.4.</v>
      </c>
      <c r="P98" s="120" t="s">
        <v>462</v>
      </c>
      <c r="Q98" s="121" t="s">
        <v>474</v>
      </c>
      <c r="R98" s="122" t="str">
        <f ca="1">IF($C98="S",REFERENCIA.Descricao,"(digite a descrição aqui)")</f>
        <v>(abra o arquivo 'Referência 03-2024.xlsm)</v>
      </c>
      <c r="S98" s="123" t="str">
        <f ca="1">REFERENCIA.Unidade</f>
        <v>-</v>
      </c>
      <c r="T98" s="124">
        <f ca="1">OFFSET(CÁLCULO!H$15,ROW($T98)-ROW(T$15),0)</f>
        <v>8.49</v>
      </c>
      <c r="U98" s="125">
        <v>50.64</v>
      </c>
      <c r="V98" s="126" t="s">
        <v>156</v>
      </c>
      <c r="W98" s="124">
        <f ca="1">IF($C98="S",ROUND(IF(TIPOORCAMENTO="Proposto",ORÇAMENTO.CustoUnitario*(1+$AH98),ORÇAMENTO.PrecoUnitarioLicitado),15-13*$AF$10),0)</f>
        <v>64.91</v>
      </c>
      <c r="X98" s="127">
        <f ca="1">IF($C98="S",IF(Import.TipoArredondamento&lt;&gt;"TransfereGOV",VTOTAL1,SUM(OFFSET(CÁLCULO!$AA$15,ROW($X98)-ROW($X$15),1):OFFSET(CÁLCULO!$AL$15,ROW($X98)-ROW($X$15),-1))),IF($C98=0,0,ROUND(SomaAgrup,15-13*$AF$11)))</f>
        <v>551.09</v>
      </c>
      <c r="Y98" s="128" t="s">
        <v>245</v>
      </c>
      <c r="Z98" t="str">
        <f t="shared" ca="1" si="30"/>
        <v>RA</v>
      </c>
      <c r="AA98" s="129">
        <f ca="1">IF($C98="S",IF($Z98="CP",$X98,IF($Z98="RA",(($X98)*QCI!$AA$3),0)),SomaAgrup)</f>
        <v>551.09</v>
      </c>
      <c r="AB98" s="130">
        <f t="shared" ca="1" si="31"/>
        <v>0</v>
      </c>
      <c r="AC98" s="131" t="str">
        <f ca="1">IF($N98="","",IF(ORÇAMENTO.Descricao="","DESCRIÇÃO",IF(AND($C98="S",ORÇAMENTO.Unidade=""),"UNIDADE",IF($X98&lt;0,"VALOR NEGATIVO",IF(OR(AND(TIPOORCAMENTO="Proposto",$AG98&lt;&gt;"",$AG98&gt;0,ORÇAMENTO.CustoUnitario&gt;$AG98),AND(TIPOORCAMENTO="LICITADO",ORÇAMENTO.PrecoUnitarioLicitado&gt;$AN98)),"ACIMA REF.","")))))</f>
        <v/>
      </c>
      <c r="AD98" t="str">
        <f ca="1">IF(C98&lt;=CRONO.NivelExibicao,MAX($AD$15:OFFSET(AD98,-1,0))+IF($C98&lt;&gt;1,1,MAX(1,COUNTIF(QCI!$A$13:$A$24,OFFSET($E98,-1,0)))),"")</f>
        <v/>
      </c>
      <c r="AE98" s="7" t="str">
        <f ca="1">IF(AND($C98="S",ORÇAMENTO.CodBarra&lt;&gt;""),IF(ORÇAMENTO.Fonte="",ORÇAMENTO.CodBarra,CONCATENATE(ORÇAMENTO.Fonte," ",ORÇAMENTO.CodBarra)))</f>
        <v>Composição 10</v>
      </c>
      <c r="AF98" s="13" t="str">
        <f ca="1">IF(ISERROR(INDIRECT(ORÇAMENTO.BancoRef)),"(abra o arquivo 'Referência "&amp;Excel_BuiltIn_Database&amp;".xlsm)",IF(OR($C98&lt;&gt;"S",ORÇAMENTO.CodBarra=""),"(Sem Código)",IF(ISERROR(MATCH($AE98,INDIRECT(ORÇAMENTO.BancoRef),0)),"(Código não identificado nas referências)",MATCH($AE98,INDIRECT(ORÇAMENTO.BancoRef),0))))</f>
        <v>(abra o arquivo 'Referência 03-2024.xlsm)</v>
      </c>
      <c r="AG98" s="498">
        <f ca="1">ROUND(IF(DESONERACAO="sim",REFERENCIA.Desonerado,REFERENCIA.NaoDesonerado),2)</f>
        <v>0</v>
      </c>
      <c r="AH98" s="499">
        <f t="shared" ca="1" si="32"/>
        <v>0.28170000000000001</v>
      </c>
      <c r="AJ98" s="501">
        <v>8.49</v>
      </c>
      <c r="AL98" s="527"/>
      <c r="AM98" s="381">
        <f t="shared" ca="1" si="33"/>
        <v>551.09</v>
      </c>
      <c r="AN98" s="566">
        <f t="shared" ca="1" si="34"/>
        <v>64.91</v>
      </c>
    </row>
    <row r="99" spans="1:40" ht="51" x14ac:dyDescent="0.2">
      <c r="A99" t="str">
        <f t="shared" si="19"/>
        <v>S</v>
      </c>
      <c r="B99">
        <f t="shared" ca="1" si="20"/>
        <v>3</v>
      </c>
      <c r="C99" t="str">
        <f t="shared" ca="1" si="21"/>
        <v>S</v>
      </c>
      <c r="D99">
        <f t="shared" ca="1" si="22"/>
        <v>0</v>
      </c>
      <c r="E99">
        <f ca="1">IF($C99=1,OFFSET(E99,-1,0)+MAX(1,COUNTIF(QCI!$A$13:$A$24,OFFSET(ORÇAMENTO!E99,-1,0))),OFFSET(E99,-1,0))</f>
        <v>1</v>
      </c>
      <c r="F99">
        <f t="shared" ca="1" si="23"/>
        <v>6</v>
      </c>
      <c r="G99">
        <f t="shared" ca="1" si="24"/>
        <v>2</v>
      </c>
      <c r="H99">
        <f t="shared" ca="1" si="25"/>
        <v>0</v>
      </c>
      <c r="I99">
        <f t="shared" ca="1" si="26"/>
        <v>5</v>
      </c>
      <c r="J99">
        <f t="shared" ca="1" si="17"/>
        <v>0</v>
      </c>
      <c r="K99">
        <f ca="1">IF(OR($C99="S",$C99=0),0,MATCH(OFFSET($D99,0,$C99)+IF($C99&lt;&gt;1,1,COUNTIF(QCI!$A$13:$A$24,ORÇAMENTO!E99)),OFFSET($D99,1,$C99,ROW($C$290)-ROW($C99)),0))</f>
        <v>0</v>
      </c>
      <c r="L99" s="116" t="str">
        <f t="shared" ca="1" si="27"/>
        <v>F</v>
      </c>
      <c r="M99" s="117" t="s">
        <v>199</v>
      </c>
      <c r="N99" s="118" t="str">
        <f t="shared" ca="1" si="28"/>
        <v>Serviço</v>
      </c>
      <c r="O99" s="119" t="str">
        <f t="shared" ca="1" si="29"/>
        <v>1.6.2.5.</v>
      </c>
      <c r="P99" s="120" t="s">
        <v>462</v>
      </c>
      <c r="Q99" s="121" t="s">
        <v>475</v>
      </c>
      <c r="R99" s="122" t="str">
        <f ca="1">IF($C99="S",REFERENCIA.Descricao,"(digite a descrição aqui)")</f>
        <v>(abra o arquivo 'Referência 03-2024.xlsm)</v>
      </c>
      <c r="S99" s="123" t="str">
        <f ca="1">REFERENCIA.Unidade</f>
        <v>-</v>
      </c>
      <c r="T99" s="124">
        <f ca="1">OFFSET(CÁLCULO!H$15,ROW($T99)-ROW(T$15),0)</f>
        <v>0.64</v>
      </c>
      <c r="U99" s="125">
        <v>502.29</v>
      </c>
      <c r="V99" s="126" t="s">
        <v>156</v>
      </c>
      <c r="W99" s="124">
        <f ca="1">IF($C99="S",ROUND(IF(TIPOORCAMENTO="Proposto",ORÇAMENTO.CustoUnitario*(1+$AH99),ORÇAMENTO.PrecoUnitarioLicitado),15-13*$AF$10),0)</f>
        <v>643.79</v>
      </c>
      <c r="X99" s="127">
        <f ca="1">IF($C99="S",IF(Import.TipoArredondamento&lt;&gt;"TransfereGOV",VTOTAL1,SUM(OFFSET(CÁLCULO!$AA$15,ROW($X99)-ROW($X$15),1):OFFSET(CÁLCULO!$AL$15,ROW($X99)-ROW($X$15),-1))),IF($C99=0,0,ROUND(SomaAgrup,15-13*$AF$11)))</f>
        <v>412.03</v>
      </c>
      <c r="Y99" s="128" t="s">
        <v>245</v>
      </c>
      <c r="Z99" t="str">
        <f t="shared" ca="1" si="30"/>
        <v>RA</v>
      </c>
      <c r="AA99" s="129">
        <f ca="1">IF($C99="S",IF($Z99="CP",$X99,IF($Z99="RA",(($X99)*QCI!$AA$3),0)),SomaAgrup)</f>
        <v>412.03</v>
      </c>
      <c r="AB99" s="130">
        <f t="shared" ca="1" si="31"/>
        <v>0</v>
      </c>
      <c r="AC99" s="131" t="str">
        <f ca="1">IF($N99="","",IF(ORÇAMENTO.Descricao="","DESCRIÇÃO",IF(AND($C99="S",ORÇAMENTO.Unidade=""),"UNIDADE",IF($X99&lt;0,"VALOR NEGATIVO",IF(OR(AND(TIPOORCAMENTO="Proposto",$AG99&lt;&gt;"",$AG99&gt;0,ORÇAMENTO.CustoUnitario&gt;$AG99),AND(TIPOORCAMENTO="LICITADO",ORÇAMENTO.PrecoUnitarioLicitado&gt;$AN99)),"ACIMA REF.","")))))</f>
        <v/>
      </c>
      <c r="AD99" t="str">
        <f ca="1">IF(C99&lt;=CRONO.NivelExibicao,MAX($AD$15:OFFSET(AD99,-1,0))+IF($C99&lt;&gt;1,1,MAX(1,COUNTIF(QCI!$A$13:$A$24,OFFSET($E99,-1,0)))),"")</f>
        <v/>
      </c>
      <c r="AE99" s="7" t="str">
        <f ca="1">IF(AND($C99="S",ORÇAMENTO.CodBarra&lt;&gt;""),IF(ORÇAMENTO.Fonte="",ORÇAMENTO.CodBarra,CONCATENATE(ORÇAMENTO.Fonte," ",ORÇAMENTO.CodBarra)))</f>
        <v>Composição 11</v>
      </c>
      <c r="AF99" s="13" t="str">
        <f ca="1">IF(ISERROR(INDIRECT(ORÇAMENTO.BancoRef)),"(abra o arquivo 'Referência "&amp;Excel_BuiltIn_Database&amp;".xlsm)",IF(OR($C99&lt;&gt;"S",ORÇAMENTO.CodBarra=""),"(Sem Código)",IF(ISERROR(MATCH($AE99,INDIRECT(ORÇAMENTO.BancoRef),0)),"(Código não identificado nas referências)",MATCH($AE99,INDIRECT(ORÇAMENTO.BancoRef),0))))</f>
        <v>(abra o arquivo 'Referência 03-2024.xlsm)</v>
      </c>
      <c r="AG99" s="498">
        <f ca="1">ROUND(IF(DESONERACAO="sim",REFERENCIA.Desonerado,REFERENCIA.NaoDesonerado),2)</f>
        <v>0</v>
      </c>
      <c r="AH99" s="499">
        <f t="shared" ca="1" si="32"/>
        <v>0.28170000000000001</v>
      </c>
      <c r="AJ99" s="501">
        <v>0.64</v>
      </c>
      <c r="AL99" s="527"/>
      <c r="AM99" s="381">
        <f t="shared" ca="1" si="33"/>
        <v>412.03</v>
      </c>
      <c r="AN99" s="566">
        <f t="shared" ca="1" si="34"/>
        <v>643.79</v>
      </c>
    </row>
    <row r="100" spans="1:40" ht="38.25" x14ac:dyDescent="0.2">
      <c r="A100" t="str">
        <f t="shared" si="19"/>
        <v>S</v>
      </c>
      <c r="B100">
        <f t="shared" ca="1" si="20"/>
        <v>3</v>
      </c>
      <c r="C100" t="str">
        <f t="shared" ca="1" si="21"/>
        <v>S</v>
      </c>
      <c r="D100">
        <f t="shared" ca="1" si="22"/>
        <v>0</v>
      </c>
      <c r="E100">
        <f ca="1">IF($C100=1,OFFSET(E100,-1,0)+MAX(1,COUNTIF(QCI!$A$13:$A$24,OFFSET(ORÇAMENTO!E100,-1,0))),OFFSET(E100,-1,0))</f>
        <v>1</v>
      </c>
      <c r="F100">
        <f t="shared" ca="1" si="23"/>
        <v>6</v>
      </c>
      <c r="G100">
        <f t="shared" ca="1" si="24"/>
        <v>2</v>
      </c>
      <c r="H100">
        <f t="shared" ca="1" si="25"/>
        <v>0</v>
      </c>
      <c r="I100">
        <f t="shared" ca="1" si="26"/>
        <v>6</v>
      </c>
      <c r="J100">
        <f t="shared" ca="1" si="17"/>
        <v>0</v>
      </c>
      <c r="K100">
        <f ca="1">IF(OR($C100="S",$C100=0),0,MATCH(OFFSET($D100,0,$C100)+IF($C100&lt;&gt;1,1,COUNTIF(QCI!$A$13:$A$24,ORÇAMENTO!E100)),OFFSET($D100,1,$C100,ROW($C$290)-ROW($C100)),0))</f>
        <v>0</v>
      </c>
      <c r="L100" s="116" t="str">
        <f t="shared" ca="1" si="27"/>
        <v>F</v>
      </c>
      <c r="M100" s="117" t="s">
        <v>199</v>
      </c>
      <c r="N100" s="118" t="str">
        <f t="shared" ca="1" si="28"/>
        <v>Serviço</v>
      </c>
      <c r="O100" s="119" t="str">
        <f t="shared" ca="1" si="29"/>
        <v>1.6.2.6.</v>
      </c>
      <c r="P100" s="120" t="s">
        <v>462</v>
      </c>
      <c r="Q100" s="121" t="s">
        <v>476</v>
      </c>
      <c r="R100" s="122" t="str">
        <f ca="1">IF($C100="S",REFERENCIA.Descricao,"(digite a descrição aqui)")</f>
        <v>(abra o arquivo 'Referência 03-2024.xlsm)</v>
      </c>
      <c r="S100" s="123" t="str">
        <f ca="1">REFERENCIA.Unidade</f>
        <v>-</v>
      </c>
      <c r="T100" s="124">
        <f ca="1">OFFSET(CÁLCULO!H$15,ROW($T100)-ROW(T$15),0)</f>
        <v>11.12</v>
      </c>
      <c r="U100" s="125">
        <v>11.53</v>
      </c>
      <c r="V100" s="126" t="s">
        <v>156</v>
      </c>
      <c r="W100" s="124">
        <f ca="1">IF($C100="S",ROUND(IF(TIPOORCAMENTO="Proposto",ORÇAMENTO.CustoUnitario*(1+$AH100),ORÇAMENTO.PrecoUnitarioLicitado),15-13*$AF$10),0)</f>
        <v>14.78</v>
      </c>
      <c r="X100" s="127">
        <f ca="1">IF($C100="S",IF(Import.TipoArredondamento&lt;&gt;"TransfereGOV",VTOTAL1,SUM(OFFSET(CÁLCULO!$AA$15,ROW($X100)-ROW($X$15),1):OFFSET(CÁLCULO!$AL$15,ROW($X100)-ROW($X$15),-1))),IF($C100=0,0,ROUND(SomaAgrup,15-13*$AF$11)))</f>
        <v>164.35</v>
      </c>
      <c r="Y100" s="128" t="s">
        <v>245</v>
      </c>
      <c r="Z100" t="str">
        <f t="shared" ca="1" si="30"/>
        <v>RA</v>
      </c>
      <c r="AA100" s="129">
        <f ca="1">IF($C100="S",IF($Z100="CP",$X100,IF($Z100="RA",(($X100)*QCI!$AA$3),0)),SomaAgrup)</f>
        <v>164.35</v>
      </c>
      <c r="AB100" s="130">
        <f t="shared" ca="1" si="31"/>
        <v>0</v>
      </c>
      <c r="AC100" s="131" t="str">
        <f ca="1">IF($N100="","",IF(ORÇAMENTO.Descricao="","DESCRIÇÃO",IF(AND($C100="S",ORÇAMENTO.Unidade=""),"UNIDADE",IF($X100&lt;0,"VALOR NEGATIVO",IF(OR(AND(TIPOORCAMENTO="Proposto",$AG100&lt;&gt;"",$AG100&gt;0,ORÇAMENTO.CustoUnitario&gt;$AG100),AND(TIPOORCAMENTO="LICITADO",ORÇAMENTO.PrecoUnitarioLicitado&gt;$AN100)),"ACIMA REF.","")))))</f>
        <v/>
      </c>
      <c r="AD100" t="str">
        <f ca="1">IF(C100&lt;=CRONO.NivelExibicao,MAX($AD$15:OFFSET(AD100,-1,0))+IF($C100&lt;&gt;1,1,MAX(1,COUNTIF(QCI!$A$13:$A$24,OFFSET($E100,-1,0)))),"")</f>
        <v/>
      </c>
      <c r="AE100" s="7" t="str">
        <f ca="1">IF(AND($C100="S",ORÇAMENTO.CodBarra&lt;&gt;""),IF(ORÇAMENTO.Fonte="",ORÇAMENTO.CodBarra,CONCATENATE(ORÇAMENTO.Fonte," ",ORÇAMENTO.CodBarra)))</f>
        <v>Composição 12</v>
      </c>
      <c r="AF100" s="13" t="str">
        <f ca="1">IF(ISERROR(INDIRECT(ORÇAMENTO.BancoRef)),"(abra o arquivo 'Referência "&amp;Excel_BuiltIn_Database&amp;".xlsm)",IF(OR($C100&lt;&gt;"S",ORÇAMENTO.CodBarra=""),"(Sem Código)",IF(ISERROR(MATCH($AE100,INDIRECT(ORÇAMENTO.BancoRef),0)),"(Código não identificado nas referências)",MATCH($AE100,INDIRECT(ORÇAMENTO.BancoRef),0))))</f>
        <v>(abra o arquivo 'Referência 03-2024.xlsm)</v>
      </c>
      <c r="AG100" s="498">
        <f ca="1">ROUND(IF(DESONERACAO="sim",REFERENCIA.Desonerado,REFERENCIA.NaoDesonerado),2)</f>
        <v>0</v>
      </c>
      <c r="AH100" s="499">
        <f t="shared" ca="1" si="32"/>
        <v>0.28170000000000001</v>
      </c>
      <c r="AJ100" s="501">
        <v>11.12</v>
      </c>
      <c r="AL100" s="527"/>
      <c r="AM100" s="381">
        <f t="shared" ca="1" si="33"/>
        <v>164.35</v>
      </c>
      <c r="AN100" s="566">
        <f t="shared" ca="1" si="34"/>
        <v>14.78</v>
      </c>
    </row>
    <row r="101" spans="1:40" ht="38.25" x14ac:dyDescent="0.2">
      <c r="A101" t="str">
        <f t="shared" si="19"/>
        <v>S</v>
      </c>
      <c r="B101">
        <f t="shared" ca="1" si="20"/>
        <v>3</v>
      </c>
      <c r="C101" t="str">
        <f t="shared" ca="1" si="21"/>
        <v>S</v>
      </c>
      <c r="D101">
        <f t="shared" ca="1" si="22"/>
        <v>0</v>
      </c>
      <c r="E101">
        <f ca="1">IF($C101=1,OFFSET(E101,-1,0)+MAX(1,COUNTIF(QCI!$A$13:$A$24,OFFSET(ORÇAMENTO!E101,-1,0))),OFFSET(E101,-1,0))</f>
        <v>1</v>
      </c>
      <c r="F101">
        <f t="shared" ca="1" si="23"/>
        <v>6</v>
      </c>
      <c r="G101">
        <f t="shared" ca="1" si="24"/>
        <v>2</v>
      </c>
      <c r="H101">
        <f t="shared" ca="1" si="25"/>
        <v>0</v>
      </c>
      <c r="I101">
        <f t="shared" ca="1" si="26"/>
        <v>7</v>
      </c>
      <c r="J101">
        <f t="shared" ca="1" si="17"/>
        <v>0</v>
      </c>
      <c r="K101">
        <f ca="1">IF(OR($C101="S",$C101=0),0,MATCH(OFFSET($D101,0,$C101)+IF($C101&lt;&gt;1,1,COUNTIF(QCI!$A$13:$A$24,ORÇAMENTO!E101)),OFFSET($D101,1,$C101,ROW($C$290)-ROW($C101)),0))</f>
        <v>0</v>
      </c>
      <c r="L101" s="116" t="str">
        <f t="shared" ca="1" si="27"/>
        <v>F</v>
      </c>
      <c r="M101" s="117" t="s">
        <v>199</v>
      </c>
      <c r="N101" s="118" t="str">
        <f t="shared" ca="1" si="28"/>
        <v>Serviço</v>
      </c>
      <c r="O101" s="119" t="str">
        <f t="shared" ca="1" si="29"/>
        <v>1.6.2.7.</v>
      </c>
      <c r="P101" s="120" t="s">
        <v>462</v>
      </c>
      <c r="Q101" s="121" t="s">
        <v>512</v>
      </c>
      <c r="R101" s="122" t="str">
        <f ca="1">IF($C101="S",REFERENCIA.Descricao,"(digite a descrição aqui)")</f>
        <v>(abra o arquivo 'Referência 03-2024.xlsm)</v>
      </c>
      <c r="S101" s="123" t="str">
        <f ca="1">REFERENCIA.Unidade</f>
        <v>-</v>
      </c>
      <c r="T101" s="124">
        <f ca="1">OFFSET(CÁLCULO!H$15,ROW($T101)-ROW(T$15),0)</f>
        <v>34.92</v>
      </c>
      <c r="U101" s="125">
        <v>9.9600000000000009</v>
      </c>
      <c r="V101" s="126" t="s">
        <v>156</v>
      </c>
      <c r="W101" s="124">
        <f ca="1">IF($C101="S",ROUND(IF(TIPOORCAMENTO="Proposto",ORÇAMENTO.CustoUnitario*(1+$AH101),ORÇAMENTO.PrecoUnitarioLicitado),15-13*$AF$10),0)</f>
        <v>12.77</v>
      </c>
      <c r="X101" s="127">
        <f ca="1">IF($C101="S",IF(Import.TipoArredondamento&lt;&gt;"TransfereGOV",VTOTAL1,SUM(OFFSET(CÁLCULO!$AA$15,ROW($X101)-ROW($X$15),1):OFFSET(CÁLCULO!$AL$15,ROW($X101)-ROW($X$15),-1))),IF($C101=0,0,ROUND(SomaAgrup,15-13*$AF$11)))</f>
        <v>445.93</v>
      </c>
      <c r="Y101" s="128" t="s">
        <v>245</v>
      </c>
      <c r="Z101" t="str">
        <f t="shared" ca="1" si="30"/>
        <v>RA</v>
      </c>
      <c r="AA101" s="129">
        <f ca="1">IF($C101="S",IF($Z101="CP",$X101,IF($Z101="RA",(($X101)*QCI!$AA$3),0)),SomaAgrup)</f>
        <v>445.93</v>
      </c>
      <c r="AB101" s="130">
        <f t="shared" ca="1" si="31"/>
        <v>0</v>
      </c>
      <c r="AC101" s="131" t="str">
        <f ca="1">IF($N101="","",IF(ORÇAMENTO.Descricao="","DESCRIÇÃO",IF(AND($C101="S",ORÇAMENTO.Unidade=""),"UNIDADE",IF($X101&lt;0,"VALOR NEGATIVO",IF(OR(AND(TIPOORCAMENTO="Proposto",$AG101&lt;&gt;"",$AG101&gt;0,ORÇAMENTO.CustoUnitario&gt;$AG101),AND(TIPOORCAMENTO="LICITADO",ORÇAMENTO.PrecoUnitarioLicitado&gt;$AN101)),"ACIMA REF.","")))))</f>
        <v/>
      </c>
      <c r="AD101" t="str">
        <f ca="1">IF(C101&lt;=CRONO.NivelExibicao,MAX($AD$15:OFFSET(AD101,-1,0))+IF($C101&lt;&gt;1,1,MAX(1,COUNTIF(QCI!$A$13:$A$24,OFFSET($E101,-1,0)))),"")</f>
        <v/>
      </c>
      <c r="AE101" s="7" t="str">
        <f ca="1">IF(AND($C101="S",ORÇAMENTO.CodBarra&lt;&gt;""),IF(ORÇAMENTO.Fonte="",ORÇAMENTO.CodBarra,CONCATENATE(ORÇAMENTO.Fonte," ",ORÇAMENTO.CodBarra)))</f>
        <v>Composição 35</v>
      </c>
      <c r="AF101" s="13" t="str">
        <f ca="1">IF(ISERROR(INDIRECT(ORÇAMENTO.BancoRef)),"(abra o arquivo 'Referência "&amp;Excel_BuiltIn_Database&amp;".xlsm)",IF(OR($C101&lt;&gt;"S",ORÇAMENTO.CodBarra=""),"(Sem Código)",IF(ISERROR(MATCH($AE101,INDIRECT(ORÇAMENTO.BancoRef),0)),"(Código não identificado nas referências)",MATCH($AE101,INDIRECT(ORÇAMENTO.BancoRef),0))))</f>
        <v>(abra o arquivo 'Referência 03-2024.xlsm)</v>
      </c>
      <c r="AG101" s="498">
        <f ca="1">ROUND(IF(DESONERACAO="sim",REFERENCIA.Desonerado,REFERENCIA.NaoDesonerado),2)</f>
        <v>0</v>
      </c>
      <c r="AH101" s="499">
        <f t="shared" ca="1" si="32"/>
        <v>0.28170000000000001</v>
      </c>
      <c r="AJ101" s="501">
        <v>34.92</v>
      </c>
      <c r="AL101" s="527"/>
      <c r="AM101" s="381">
        <f t="shared" ca="1" si="33"/>
        <v>445.93</v>
      </c>
      <c r="AN101" s="566">
        <f t="shared" ca="1" si="34"/>
        <v>12.77</v>
      </c>
    </row>
    <row r="102" spans="1:40" x14ac:dyDescent="0.2">
      <c r="A102">
        <f t="shared" si="19"/>
        <v>3</v>
      </c>
      <c r="B102">
        <f t="shared" ca="1" si="20"/>
        <v>3</v>
      </c>
      <c r="C102">
        <f t="shared" ca="1" si="21"/>
        <v>3</v>
      </c>
      <c r="D102">
        <f t="shared" ca="1" si="22"/>
        <v>2</v>
      </c>
      <c r="E102">
        <f ca="1">IF($C102=1,OFFSET(E102,-1,0)+MAX(1,COUNTIF(QCI!$A$13:$A$24,OFFSET(ORÇAMENTO!E102,-1,0))),OFFSET(E102,-1,0))</f>
        <v>1</v>
      </c>
      <c r="F102">
        <f t="shared" ca="1" si="23"/>
        <v>6</v>
      </c>
      <c r="G102">
        <f t="shared" ca="1" si="24"/>
        <v>3</v>
      </c>
      <c r="H102">
        <f t="shared" ca="1" si="25"/>
        <v>0</v>
      </c>
      <c r="I102">
        <f t="shared" ca="1" si="26"/>
        <v>0</v>
      </c>
      <c r="J102">
        <f t="shared" ca="1" si="17"/>
        <v>90</v>
      </c>
      <c r="K102">
        <f ca="1">IF(OR($C102="S",$C102=0),0,MATCH(OFFSET($D102,0,$C102)+IF($C102&lt;&gt;1,1,COUNTIF(QCI!$A$13:$A$24,ORÇAMENTO!E102)),OFFSET($D102,1,$C102,ROW($C$290)-ROW($C102)),0))</f>
        <v>2</v>
      </c>
      <c r="L102" s="116" t="str">
        <f t="shared" ca="1" si="27"/>
        <v>F</v>
      </c>
      <c r="M102" s="117" t="s">
        <v>197</v>
      </c>
      <c r="N102" s="118" t="str">
        <f t="shared" ca="1" si="28"/>
        <v>Nível 3</v>
      </c>
      <c r="O102" s="119" t="str">
        <f t="shared" ca="1" si="29"/>
        <v>1.6.3.</v>
      </c>
      <c r="P102" s="120" t="s">
        <v>247</v>
      </c>
      <c r="Q102" s="121"/>
      <c r="R102" s="122" t="s">
        <v>513</v>
      </c>
      <c r="S102" s="123" t="str">
        <f ca="1">REFERENCIA.Unidade</f>
        <v>-</v>
      </c>
      <c r="T102" s="124">
        <f ca="1">OFFSET(CÁLCULO!H$15,ROW($T102)-ROW(T$15),0)</f>
        <v>0</v>
      </c>
      <c r="U102" s="125">
        <v>0</v>
      </c>
      <c r="V102" s="126" t="s">
        <v>156</v>
      </c>
      <c r="W102" s="124">
        <f ca="1">IF($C102="S",ROUND(IF(TIPOORCAMENTO="Proposto",ORÇAMENTO.CustoUnitario*(1+$AH102),ORÇAMENTO.PrecoUnitarioLicitado),15-13*$AF$10),0)</f>
        <v>0</v>
      </c>
      <c r="X102" s="127">
        <f ca="1">IF($C102="S",IF(Import.TipoArredondamento&lt;&gt;"TransfereGOV",VTOTAL1,SUM(OFFSET(CÁLCULO!$AA$15,ROW($X102)-ROW($X$15),1):OFFSET(CÁLCULO!$AL$15,ROW($X102)-ROW($X$15),-1))),IF($C102=0,0,ROUND(SomaAgrup,15-13*$AF$11)))</f>
        <v>187.65</v>
      </c>
      <c r="Y102" s="128" t="s">
        <v>245</v>
      </c>
      <c r="Z102" t="str">
        <f t="shared" ca="1" si="30"/>
        <v/>
      </c>
      <c r="AA102" s="129">
        <f ca="1">IF($C102="S",IF($Z102="CP",$X102,IF($Z102="RA",(($X102)*QCI!$AA$3),0)),SomaAgrup)</f>
        <v>187.65</v>
      </c>
      <c r="AB102" s="130">
        <f t="shared" ca="1" si="31"/>
        <v>0</v>
      </c>
      <c r="AC102" s="131" t="str">
        <f ca="1">IF($N102="","",IF(ORÇAMENTO.Descricao="","DESCRIÇÃO",IF(AND($C102="S",ORÇAMENTO.Unidade=""),"UNIDADE",IF($X102&lt;0,"VALOR NEGATIVO",IF(OR(AND(TIPOORCAMENTO="Proposto",$AG102&lt;&gt;"",$AG102&gt;0,ORÇAMENTO.CustoUnitario&gt;$AG102),AND(TIPOORCAMENTO="LICITADO",ORÇAMENTO.PrecoUnitarioLicitado&gt;$AN102)),"ACIMA REF.","")))))</f>
        <v/>
      </c>
      <c r="AD102">
        <f ca="1">IF(C102&lt;=CRONO.NivelExibicao,MAX($AD$15:OFFSET(AD102,-1,0))+IF($C102&lt;&gt;1,1,MAX(1,COUNTIF(QCI!$A$13:$A$24,OFFSET($E102,-1,0)))),"")</f>
        <v>12</v>
      </c>
      <c r="AE102" s="7" t="b">
        <f ca="1">IF(AND($C102="S",ORÇAMENTO.CodBarra&lt;&gt;""),IF(ORÇAMENTO.Fonte="",ORÇAMENTO.CodBarra,CONCATENATE(ORÇAMENTO.Fonte," ",ORÇAMENTO.CodBarra)))</f>
        <v>0</v>
      </c>
      <c r="AF102" s="13" t="str">
        <f ca="1">IF(ISERROR(INDIRECT(ORÇAMENTO.BancoRef)),"(abra o arquivo 'Referência "&amp;Excel_BuiltIn_Database&amp;".xlsm)",IF(OR($C102&lt;&gt;"S",ORÇAMENTO.CodBarra=""),"(Sem Código)",IF(ISERROR(MATCH($AE102,INDIRECT(ORÇAMENTO.BancoRef),0)),"(Código não identificado nas referências)",MATCH($AE102,INDIRECT(ORÇAMENTO.BancoRef),0))))</f>
        <v>(abra o arquivo 'Referência 03-2024.xlsm)</v>
      </c>
      <c r="AG102" s="498">
        <f ca="1">ROUND(IF(DESONERACAO="sim",REFERENCIA.Desonerado,REFERENCIA.NaoDesonerado),2)</f>
        <v>0</v>
      </c>
      <c r="AH102" s="499">
        <f t="shared" ca="1" si="32"/>
        <v>0.28170000000000001</v>
      </c>
      <c r="AJ102" s="501"/>
      <c r="AL102" s="527"/>
      <c r="AM102" s="381">
        <f t="shared" ca="1" si="33"/>
        <v>187.65</v>
      </c>
      <c r="AN102" s="566">
        <f t="shared" ca="1" si="34"/>
        <v>0</v>
      </c>
    </row>
    <row r="103" spans="1:40" ht="25.5" x14ac:dyDescent="0.2">
      <c r="A103" t="str">
        <f t="shared" si="19"/>
        <v>S</v>
      </c>
      <c r="B103">
        <f t="shared" ca="1" si="20"/>
        <v>3</v>
      </c>
      <c r="C103" t="str">
        <f t="shared" ca="1" si="21"/>
        <v>S</v>
      </c>
      <c r="D103">
        <f t="shared" ca="1" si="22"/>
        <v>0</v>
      </c>
      <c r="E103">
        <f ca="1">IF($C103=1,OFFSET(E103,-1,0)+MAX(1,COUNTIF(QCI!$A$13:$A$24,OFFSET(ORÇAMENTO!E103,-1,0))),OFFSET(E103,-1,0))</f>
        <v>1</v>
      </c>
      <c r="F103">
        <f t="shared" ca="1" si="23"/>
        <v>6</v>
      </c>
      <c r="G103">
        <f t="shared" ca="1" si="24"/>
        <v>3</v>
      </c>
      <c r="H103">
        <f t="shared" ca="1" si="25"/>
        <v>0</v>
      </c>
      <c r="I103">
        <f t="shared" ca="1" si="26"/>
        <v>1</v>
      </c>
      <c r="J103">
        <f t="shared" ca="1" si="17"/>
        <v>0</v>
      </c>
      <c r="K103">
        <f ca="1">IF(OR($C103="S",$C103=0),0,MATCH(OFFSET($D103,0,$C103)+IF($C103&lt;&gt;1,1,COUNTIF(QCI!$A$13:$A$24,ORÇAMENTO!E103)),OFFSET($D103,1,$C103,ROW($C$290)-ROW($C103)),0))</f>
        <v>0</v>
      </c>
      <c r="L103" s="116" t="str">
        <f t="shared" ca="1" si="27"/>
        <v>F</v>
      </c>
      <c r="M103" s="117" t="s">
        <v>199</v>
      </c>
      <c r="N103" s="118" t="str">
        <f t="shared" ca="1" si="28"/>
        <v>Serviço</v>
      </c>
      <c r="O103" s="119" t="str">
        <f t="shared" ca="1" si="29"/>
        <v>1.6.3.1.</v>
      </c>
      <c r="P103" s="120" t="s">
        <v>462</v>
      </c>
      <c r="Q103" s="121" t="s">
        <v>478</v>
      </c>
      <c r="R103" s="122" t="str">
        <f ca="1">IF($C103="S",REFERENCIA.Descricao,"(digite a descrição aqui)")</f>
        <v>(abra o arquivo 'Referência 03-2024.xlsm)</v>
      </c>
      <c r="S103" s="123" t="str">
        <f ca="1">REFERENCIA.Unidade</f>
        <v>-</v>
      </c>
      <c r="T103" s="124">
        <f ca="1">OFFSET(CÁLCULO!H$15,ROW($T103)-ROW(T$15),0)</f>
        <v>4.95</v>
      </c>
      <c r="U103" s="125">
        <v>29.58</v>
      </c>
      <c r="V103" s="126" t="s">
        <v>156</v>
      </c>
      <c r="W103" s="124">
        <f ca="1">IF($C103="S",ROUND(IF(TIPOORCAMENTO="Proposto",ORÇAMENTO.CustoUnitario*(1+$AH103),ORÇAMENTO.PrecoUnitarioLicitado),15-13*$AF$10),0)</f>
        <v>37.909999999999997</v>
      </c>
      <c r="X103" s="127">
        <f ca="1">IF($C103="S",IF(Import.TipoArredondamento&lt;&gt;"TransfereGOV",VTOTAL1,SUM(OFFSET(CÁLCULO!$AA$15,ROW($X103)-ROW($X$15),1):OFFSET(CÁLCULO!$AL$15,ROW($X103)-ROW($X$15),-1))),IF($C103=0,0,ROUND(SomaAgrup,15-13*$AF$11)))</f>
        <v>187.65</v>
      </c>
      <c r="Y103" s="128" t="s">
        <v>245</v>
      </c>
      <c r="Z103" t="str">
        <f t="shared" ca="1" si="30"/>
        <v>RA</v>
      </c>
      <c r="AA103" s="129">
        <f ca="1">IF($C103="S",IF($Z103="CP",$X103,IF($Z103="RA",(($X103)*QCI!$AA$3),0)),SomaAgrup)</f>
        <v>187.65</v>
      </c>
      <c r="AB103" s="130">
        <f t="shared" ca="1" si="31"/>
        <v>0</v>
      </c>
      <c r="AC103" s="131" t="str">
        <f ca="1">IF($N103="","",IF(ORÇAMENTO.Descricao="","DESCRIÇÃO",IF(AND($C103="S",ORÇAMENTO.Unidade=""),"UNIDADE",IF($X103&lt;0,"VALOR NEGATIVO",IF(OR(AND(TIPOORCAMENTO="Proposto",$AG103&lt;&gt;"",$AG103&gt;0,ORÇAMENTO.CustoUnitario&gt;$AG103),AND(TIPOORCAMENTO="LICITADO",ORÇAMENTO.PrecoUnitarioLicitado&gt;$AN103)),"ACIMA REF.","")))))</f>
        <v/>
      </c>
      <c r="AD103" t="str">
        <f ca="1">IF(C103&lt;=CRONO.NivelExibicao,MAX($AD$15:OFFSET(AD103,-1,0))+IF($C103&lt;&gt;1,1,MAX(1,COUNTIF(QCI!$A$13:$A$24,OFFSET($E103,-1,0)))),"")</f>
        <v/>
      </c>
      <c r="AE103" s="7" t="str">
        <f ca="1">IF(AND($C103="S",ORÇAMENTO.CodBarra&lt;&gt;""),IF(ORÇAMENTO.Fonte="",ORÇAMENTO.CodBarra,CONCATENATE(ORÇAMENTO.Fonte," ",ORÇAMENTO.CodBarra)))</f>
        <v>Composição 14</v>
      </c>
      <c r="AF103" s="13" t="str">
        <f ca="1">IF(ISERROR(INDIRECT(ORÇAMENTO.BancoRef)),"(abra o arquivo 'Referência "&amp;Excel_BuiltIn_Database&amp;".xlsm)",IF(OR($C103&lt;&gt;"S",ORÇAMENTO.CodBarra=""),"(Sem Código)",IF(ISERROR(MATCH($AE103,INDIRECT(ORÇAMENTO.BancoRef),0)),"(Código não identificado nas referências)",MATCH($AE103,INDIRECT(ORÇAMENTO.BancoRef),0))))</f>
        <v>(abra o arquivo 'Referência 03-2024.xlsm)</v>
      </c>
      <c r="AG103" s="498">
        <f ca="1">ROUND(IF(DESONERACAO="sim",REFERENCIA.Desonerado,REFERENCIA.NaoDesonerado),2)</f>
        <v>0</v>
      </c>
      <c r="AH103" s="499">
        <f t="shared" ca="1" si="32"/>
        <v>0.28170000000000001</v>
      </c>
      <c r="AJ103" s="501">
        <v>4.95</v>
      </c>
      <c r="AL103" s="527"/>
      <c r="AM103" s="381">
        <f t="shared" ca="1" si="33"/>
        <v>187.65</v>
      </c>
      <c r="AN103" s="566">
        <f t="shared" ca="1" si="34"/>
        <v>37.909999999999997</v>
      </c>
    </row>
    <row r="104" spans="1:40" x14ac:dyDescent="0.2">
      <c r="A104">
        <f t="shared" si="19"/>
        <v>3</v>
      </c>
      <c r="B104">
        <f t="shared" ca="1" si="20"/>
        <v>3</v>
      </c>
      <c r="C104">
        <f t="shared" ca="1" si="21"/>
        <v>3</v>
      </c>
      <c r="D104">
        <f t="shared" ca="1" si="22"/>
        <v>5</v>
      </c>
      <c r="E104">
        <f ca="1">IF($C104=1,OFFSET(E104,-1,0)+MAX(1,COUNTIF(QCI!$A$13:$A$24,OFFSET(ORÇAMENTO!E104,-1,0))),OFFSET(E104,-1,0))</f>
        <v>1</v>
      </c>
      <c r="F104">
        <f t="shared" ca="1" si="23"/>
        <v>6</v>
      </c>
      <c r="G104">
        <f t="shared" ca="1" si="24"/>
        <v>4</v>
      </c>
      <c r="H104">
        <f t="shared" ca="1" si="25"/>
        <v>0</v>
      </c>
      <c r="I104">
        <f t="shared" ca="1" si="26"/>
        <v>0</v>
      </c>
      <c r="J104">
        <f t="shared" ca="1" si="17"/>
        <v>88</v>
      </c>
      <c r="K104">
        <f ca="1">IF(OR($C104="S",$C104=0),0,MATCH(OFFSET($D104,0,$C104)+IF($C104&lt;&gt;1,1,COUNTIF(QCI!$A$13:$A$24,ORÇAMENTO!E104)),OFFSET($D104,1,$C104,ROW($C$290)-ROW($C104)),0))</f>
        <v>5</v>
      </c>
      <c r="L104" s="116" t="str">
        <f t="shared" ca="1" si="27"/>
        <v>F</v>
      </c>
      <c r="M104" s="117" t="s">
        <v>197</v>
      </c>
      <c r="N104" s="118" t="str">
        <f t="shared" ca="1" si="28"/>
        <v>Nível 3</v>
      </c>
      <c r="O104" s="119" t="str">
        <f t="shared" ca="1" si="29"/>
        <v>1.6.4.</v>
      </c>
      <c r="P104" s="120" t="s">
        <v>247</v>
      </c>
      <c r="Q104" s="121"/>
      <c r="R104" s="122" t="s">
        <v>514</v>
      </c>
      <c r="S104" s="123" t="str">
        <f ca="1">REFERENCIA.Unidade</f>
        <v>-</v>
      </c>
      <c r="T104" s="124">
        <f ca="1">OFFSET(CÁLCULO!H$15,ROW($T104)-ROW(T$15),0)</f>
        <v>0</v>
      </c>
      <c r="U104" s="125">
        <v>0</v>
      </c>
      <c r="V104" s="126" t="s">
        <v>156</v>
      </c>
      <c r="W104" s="124">
        <f ca="1">IF($C104="S",ROUND(IF(TIPOORCAMENTO="Proposto",ORÇAMENTO.CustoUnitario*(1+$AH104),ORÇAMENTO.PrecoUnitarioLicitado),15-13*$AF$10),0)</f>
        <v>0</v>
      </c>
      <c r="X104" s="127">
        <f ca="1">IF($C104="S",IF(Import.TipoArredondamento&lt;&gt;"TransfereGOV",VTOTAL1,SUM(OFFSET(CÁLCULO!$AA$15,ROW($X104)-ROW($X$15),1):OFFSET(CÁLCULO!$AL$15,ROW($X104)-ROW($X$15),-1))),IF($C104=0,0,ROUND(SomaAgrup,15-13*$AF$11)))</f>
        <v>530.88</v>
      </c>
      <c r="Y104" s="128" t="s">
        <v>245</v>
      </c>
      <c r="Z104" t="str">
        <f t="shared" ca="1" si="30"/>
        <v/>
      </c>
      <c r="AA104" s="129">
        <f ca="1">IF($C104="S",IF($Z104="CP",$X104,IF($Z104="RA",(($X104)*QCI!$AA$3),0)),SomaAgrup)</f>
        <v>530.88</v>
      </c>
      <c r="AB104" s="130">
        <f t="shared" ca="1" si="31"/>
        <v>0</v>
      </c>
      <c r="AC104" s="131" t="str">
        <f ca="1">IF($N104="","",IF(ORÇAMENTO.Descricao="","DESCRIÇÃO",IF(AND($C104="S",ORÇAMENTO.Unidade=""),"UNIDADE",IF($X104&lt;0,"VALOR NEGATIVO",IF(OR(AND(TIPOORCAMENTO="Proposto",$AG104&lt;&gt;"",$AG104&gt;0,ORÇAMENTO.CustoUnitario&gt;$AG104),AND(TIPOORCAMENTO="LICITADO",ORÇAMENTO.PrecoUnitarioLicitado&gt;$AN104)),"ACIMA REF.","")))))</f>
        <v/>
      </c>
      <c r="AD104">
        <f ca="1">IF(C104&lt;=CRONO.NivelExibicao,MAX($AD$15:OFFSET(AD104,-1,0))+IF($C104&lt;&gt;1,1,MAX(1,COUNTIF(QCI!$A$13:$A$24,OFFSET($E104,-1,0)))),"")</f>
        <v>13</v>
      </c>
      <c r="AE104" s="7" t="b">
        <f ca="1">IF(AND($C104="S",ORÇAMENTO.CodBarra&lt;&gt;""),IF(ORÇAMENTO.Fonte="",ORÇAMENTO.CodBarra,CONCATENATE(ORÇAMENTO.Fonte," ",ORÇAMENTO.CodBarra)))</f>
        <v>0</v>
      </c>
      <c r="AF104" s="13" t="str">
        <f ca="1">IF(ISERROR(INDIRECT(ORÇAMENTO.BancoRef)),"(abra o arquivo 'Referência "&amp;Excel_BuiltIn_Database&amp;".xlsm)",IF(OR($C104&lt;&gt;"S",ORÇAMENTO.CodBarra=""),"(Sem Código)",IF(ISERROR(MATCH($AE104,INDIRECT(ORÇAMENTO.BancoRef),0)),"(Código não identificado nas referências)",MATCH($AE104,INDIRECT(ORÇAMENTO.BancoRef),0))))</f>
        <v>(abra o arquivo 'Referência 03-2024.xlsm)</v>
      </c>
      <c r="AG104" s="498">
        <f ca="1">ROUND(IF(DESONERACAO="sim",REFERENCIA.Desonerado,REFERENCIA.NaoDesonerado),2)</f>
        <v>0</v>
      </c>
      <c r="AH104" s="499">
        <f t="shared" ca="1" si="32"/>
        <v>0.28170000000000001</v>
      </c>
      <c r="AJ104" s="501"/>
      <c r="AL104" s="527"/>
      <c r="AM104" s="381">
        <f t="shared" ca="1" si="33"/>
        <v>530.88</v>
      </c>
      <c r="AN104" s="566">
        <f t="shared" ca="1" si="34"/>
        <v>0</v>
      </c>
    </row>
    <row r="105" spans="1:40" ht="38.25" x14ac:dyDescent="0.2">
      <c r="A105" t="str">
        <f t="shared" si="19"/>
        <v>S</v>
      </c>
      <c r="B105">
        <f t="shared" ca="1" si="20"/>
        <v>3</v>
      </c>
      <c r="C105" t="str">
        <f t="shared" ca="1" si="21"/>
        <v>S</v>
      </c>
      <c r="D105">
        <f t="shared" ca="1" si="22"/>
        <v>0</v>
      </c>
      <c r="E105">
        <f ca="1">IF($C105=1,OFFSET(E105,-1,0)+MAX(1,COUNTIF(QCI!$A$13:$A$24,OFFSET(ORÇAMENTO!E105,-1,0))),OFFSET(E105,-1,0))</f>
        <v>1</v>
      </c>
      <c r="F105">
        <f t="shared" ca="1" si="23"/>
        <v>6</v>
      </c>
      <c r="G105">
        <f t="shared" ca="1" si="24"/>
        <v>4</v>
      </c>
      <c r="H105">
        <f t="shared" ca="1" si="25"/>
        <v>0</v>
      </c>
      <c r="I105">
        <f t="shared" ca="1" si="26"/>
        <v>1</v>
      </c>
      <c r="J105">
        <f t="shared" ca="1" si="17"/>
        <v>0</v>
      </c>
      <c r="K105">
        <f ca="1">IF(OR($C105="S",$C105=0),0,MATCH(OFFSET($D105,0,$C105)+IF($C105&lt;&gt;1,1,COUNTIF(QCI!$A$13:$A$24,ORÇAMENTO!E105)),OFFSET($D105,1,$C105,ROW($C$290)-ROW($C105)),0))</f>
        <v>0</v>
      </c>
      <c r="L105" s="116" t="str">
        <f t="shared" ca="1" si="27"/>
        <v>F</v>
      </c>
      <c r="M105" s="117" t="s">
        <v>199</v>
      </c>
      <c r="N105" s="118" t="str">
        <f t="shared" ca="1" si="28"/>
        <v>Serviço</v>
      </c>
      <c r="O105" s="119" t="str">
        <f t="shared" ca="1" si="29"/>
        <v>1.6.4.1.</v>
      </c>
      <c r="P105" s="120" t="s">
        <v>462</v>
      </c>
      <c r="Q105" s="121" t="s">
        <v>474</v>
      </c>
      <c r="R105" s="122" t="str">
        <f ca="1">IF($C105="S",REFERENCIA.Descricao,"(digite a descrição aqui)")</f>
        <v>(abra o arquivo 'Referência 03-2024.xlsm)</v>
      </c>
      <c r="S105" s="123" t="str">
        <f ca="1">REFERENCIA.Unidade</f>
        <v>-</v>
      </c>
      <c r="T105" s="124">
        <f ca="1">OFFSET(CÁLCULO!H$15,ROW($T105)-ROW(T$15),0)</f>
        <v>3.6</v>
      </c>
      <c r="U105" s="125">
        <v>50.64</v>
      </c>
      <c r="V105" s="126" t="s">
        <v>156</v>
      </c>
      <c r="W105" s="124">
        <f ca="1">IF($C105="S",ROUND(IF(TIPOORCAMENTO="Proposto",ORÇAMENTO.CustoUnitario*(1+$AH105),ORÇAMENTO.PrecoUnitarioLicitado),15-13*$AF$10),0)</f>
        <v>64.91</v>
      </c>
      <c r="X105" s="127">
        <f ca="1">IF($C105="S",IF(Import.TipoArredondamento&lt;&gt;"TransfereGOV",VTOTAL1,SUM(OFFSET(CÁLCULO!$AA$15,ROW($X105)-ROW($X$15),1):OFFSET(CÁLCULO!$AL$15,ROW($X105)-ROW($X$15),-1))),IF($C105=0,0,ROUND(SomaAgrup,15-13*$AF$11)))</f>
        <v>233.68</v>
      </c>
      <c r="Y105" s="128" t="s">
        <v>245</v>
      </c>
      <c r="Z105" t="str">
        <f t="shared" ca="1" si="30"/>
        <v>RA</v>
      </c>
      <c r="AA105" s="129">
        <f ca="1">IF($C105="S",IF($Z105="CP",$X105,IF($Z105="RA",(($X105)*QCI!$AA$3),0)),SomaAgrup)</f>
        <v>233.68</v>
      </c>
      <c r="AB105" s="130">
        <f t="shared" ca="1" si="31"/>
        <v>0</v>
      </c>
      <c r="AC105" s="131" t="str">
        <f ca="1">IF($N105="","",IF(ORÇAMENTO.Descricao="","DESCRIÇÃO",IF(AND($C105="S",ORÇAMENTO.Unidade=""),"UNIDADE",IF($X105&lt;0,"VALOR NEGATIVO",IF(OR(AND(TIPOORCAMENTO="Proposto",$AG105&lt;&gt;"",$AG105&gt;0,ORÇAMENTO.CustoUnitario&gt;$AG105),AND(TIPOORCAMENTO="LICITADO",ORÇAMENTO.PrecoUnitarioLicitado&gt;$AN105)),"ACIMA REF.","")))))</f>
        <v/>
      </c>
      <c r="AD105" t="str">
        <f ca="1">IF(C105&lt;=CRONO.NivelExibicao,MAX($AD$15:OFFSET(AD105,-1,0))+IF($C105&lt;&gt;1,1,MAX(1,COUNTIF(QCI!$A$13:$A$24,OFFSET($E105,-1,0)))),"")</f>
        <v/>
      </c>
      <c r="AE105" s="7" t="str">
        <f ca="1">IF(AND($C105="S",ORÇAMENTO.CodBarra&lt;&gt;""),IF(ORÇAMENTO.Fonte="",ORÇAMENTO.CodBarra,CONCATENATE(ORÇAMENTO.Fonte," ",ORÇAMENTO.CodBarra)))</f>
        <v>Composição 10</v>
      </c>
      <c r="AF105" s="13" t="str">
        <f ca="1">IF(ISERROR(INDIRECT(ORÇAMENTO.BancoRef)),"(abra o arquivo 'Referência "&amp;Excel_BuiltIn_Database&amp;".xlsm)",IF(OR($C105&lt;&gt;"S",ORÇAMENTO.CodBarra=""),"(Sem Código)",IF(ISERROR(MATCH($AE105,INDIRECT(ORÇAMENTO.BancoRef),0)),"(Código não identificado nas referências)",MATCH($AE105,INDIRECT(ORÇAMENTO.BancoRef),0))))</f>
        <v>(abra o arquivo 'Referência 03-2024.xlsm)</v>
      </c>
      <c r="AG105" s="498">
        <f ca="1">ROUND(IF(DESONERACAO="sim",REFERENCIA.Desonerado,REFERENCIA.NaoDesonerado),2)</f>
        <v>0</v>
      </c>
      <c r="AH105" s="499">
        <f t="shared" ca="1" si="32"/>
        <v>0.28170000000000001</v>
      </c>
      <c r="AJ105" s="501">
        <v>3.6</v>
      </c>
      <c r="AL105" s="527"/>
      <c r="AM105" s="381">
        <f t="shared" ca="1" si="33"/>
        <v>233.68</v>
      </c>
      <c r="AN105" s="566">
        <f t="shared" ca="1" si="34"/>
        <v>64.91</v>
      </c>
    </row>
    <row r="106" spans="1:40" ht="51" x14ac:dyDescent="0.2">
      <c r="A106" t="str">
        <f t="shared" si="19"/>
        <v>S</v>
      </c>
      <c r="B106">
        <f t="shared" ca="1" si="20"/>
        <v>3</v>
      </c>
      <c r="C106" t="str">
        <f t="shared" ca="1" si="21"/>
        <v>S</v>
      </c>
      <c r="D106">
        <f t="shared" ca="1" si="22"/>
        <v>0</v>
      </c>
      <c r="E106">
        <f ca="1">IF($C106=1,OFFSET(E106,-1,0)+MAX(1,COUNTIF(QCI!$A$13:$A$24,OFFSET(ORÇAMENTO!E106,-1,0))),OFFSET(E106,-1,0))</f>
        <v>1</v>
      </c>
      <c r="F106">
        <f t="shared" ca="1" si="23"/>
        <v>6</v>
      </c>
      <c r="G106">
        <f t="shared" ca="1" si="24"/>
        <v>4</v>
      </c>
      <c r="H106">
        <f t="shared" ca="1" si="25"/>
        <v>0</v>
      </c>
      <c r="I106">
        <f t="shared" ca="1" si="26"/>
        <v>2</v>
      </c>
      <c r="J106">
        <f t="shared" ca="1" si="17"/>
        <v>0</v>
      </c>
      <c r="K106">
        <f ca="1">IF(OR($C106="S",$C106=0),0,MATCH(OFFSET($D106,0,$C106)+IF($C106&lt;&gt;1,1,COUNTIF(QCI!$A$13:$A$24,ORÇAMENTO!E106)),OFFSET($D106,1,$C106,ROW($C$290)-ROW($C106)),0))</f>
        <v>0</v>
      </c>
      <c r="L106" s="116" t="str">
        <f t="shared" ca="1" si="27"/>
        <v>F</v>
      </c>
      <c r="M106" s="117" t="s">
        <v>199</v>
      </c>
      <c r="N106" s="118" t="str">
        <f t="shared" ca="1" si="28"/>
        <v>Serviço</v>
      </c>
      <c r="O106" s="119" t="str">
        <f t="shared" ca="1" si="29"/>
        <v>1.6.4.2.</v>
      </c>
      <c r="P106" s="120" t="s">
        <v>462</v>
      </c>
      <c r="Q106" s="121" t="s">
        <v>475</v>
      </c>
      <c r="R106" s="122" t="str">
        <f ca="1">IF($C106="S",REFERENCIA.Descricao,"(digite a descrição aqui)")</f>
        <v>(abra o arquivo 'Referência 03-2024.xlsm)</v>
      </c>
      <c r="S106" s="123" t="str">
        <f ca="1">REFERENCIA.Unidade</f>
        <v>-</v>
      </c>
      <c r="T106" s="124">
        <f ca="1">OFFSET(CÁLCULO!H$15,ROW($T106)-ROW(T$15),0)</f>
        <v>0.18</v>
      </c>
      <c r="U106" s="125">
        <v>502.29</v>
      </c>
      <c r="V106" s="126" t="s">
        <v>156</v>
      </c>
      <c r="W106" s="124">
        <f ca="1">IF($C106="S",ROUND(IF(TIPOORCAMENTO="Proposto",ORÇAMENTO.CustoUnitario*(1+$AH106),ORÇAMENTO.PrecoUnitarioLicitado),15-13*$AF$10),0)</f>
        <v>643.79</v>
      </c>
      <c r="X106" s="127">
        <f ca="1">IF($C106="S",IF(Import.TipoArredondamento&lt;&gt;"TransfereGOV",VTOTAL1,SUM(OFFSET(CÁLCULO!$AA$15,ROW($X106)-ROW($X$15),1):OFFSET(CÁLCULO!$AL$15,ROW($X106)-ROW($X$15),-1))),IF($C106=0,0,ROUND(SomaAgrup,15-13*$AF$11)))</f>
        <v>115.88</v>
      </c>
      <c r="Y106" s="128" t="s">
        <v>245</v>
      </c>
      <c r="Z106" t="str">
        <f t="shared" ca="1" si="30"/>
        <v>RA</v>
      </c>
      <c r="AA106" s="129">
        <f ca="1">IF($C106="S",IF($Z106="CP",$X106,IF($Z106="RA",(($X106)*QCI!$AA$3),0)),SomaAgrup)</f>
        <v>115.88</v>
      </c>
      <c r="AB106" s="130">
        <f t="shared" ca="1" si="31"/>
        <v>0</v>
      </c>
      <c r="AC106" s="131" t="str">
        <f ca="1">IF($N106="","",IF(ORÇAMENTO.Descricao="","DESCRIÇÃO",IF(AND($C106="S",ORÇAMENTO.Unidade=""),"UNIDADE",IF($X106&lt;0,"VALOR NEGATIVO",IF(OR(AND(TIPOORCAMENTO="Proposto",$AG106&lt;&gt;"",$AG106&gt;0,ORÇAMENTO.CustoUnitario&gt;$AG106),AND(TIPOORCAMENTO="LICITADO",ORÇAMENTO.PrecoUnitarioLicitado&gt;$AN106)),"ACIMA REF.","")))))</f>
        <v/>
      </c>
      <c r="AD106" t="str">
        <f ca="1">IF(C106&lt;=CRONO.NivelExibicao,MAX($AD$15:OFFSET(AD106,-1,0))+IF($C106&lt;&gt;1,1,MAX(1,COUNTIF(QCI!$A$13:$A$24,OFFSET($E106,-1,0)))),"")</f>
        <v/>
      </c>
      <c r="AE106" s="7" t="str">
        <f ca="1">IF(AND($C106="S",ORÇAMENTO.CodBarra&lt;&gt;""),IF(ORÇAMENTO.Fonte="",ORÇAMENTO.CodBarra,CONCATENATE(ORÇAMENTO.Fonte," ",ORÇAMENTO.CodBarra)))</f>
        <v>Composição 11</v>
      </c>
      <c r="AF106" s="13" t="str">
        <f ca="1">IF(ISERROR(INDIRECT(ORÇAMENTO.BancoRef)),"(abra o arquivo 'Referência "&amp;Excel_BuiltIn_Database&amp;".xlsm)",IF(OR($C106&lt;&gt;"S",ORÇAMENTO.CodBarra=""),"(Sem Código)",IF(ISERROR(MATCH($AE106,INDIRECT(ORÇAMENTO.BancoRef),0)),"(Código não identificado nas referências)",MATCH($AE106,INDIRECT(ORÇAMENTO.BancoRef),0))))</f>
        <v>(abra o arquivo 'Referência 03-2024.xlsm)</v>
      </c>
      <c r="AG106" s="498">
        <f ca="1">ROUND(IF(DESONERACAO="sim",REFERENCIA.Desonerado,REFERENCIA.NaoDesonerado),2)</f>
        <v>0</v>
      </c>
      <c r="AH106" s="499">
        <f t="shared" ca="1" si="32"/>
        <v>0.28170000000000001</v>
      </c>
      <c r="AJ106" s="501">
        <v>0.18</v>
      </c>
      <c r="AL106" s="527"/>
      <c r="AM106" s="381">
        <f t="shared" ca="1" si="33"/>
        <v>115.88</v>
      </c>
      <c r="AN106" s="566">
        <f t="shared" ca="1" si="34"/>
        <v>643.79</v>
      </c>
    </row>
    <row r="107" spans="1:40" ht="38.25" x14ac:dyDescent="0.2">
      <c r="A107" t="str">
        <f t="shared" si="19"/>
        <v>S</v>
      </c>
      <c r="B107">
        <f t="shared" ca="1" si="20"/>
        <v>3</v>
      </c>
      <c r="C107" t="str">
        <f t="shared" ca="1" si="21"/>
        <v>S</v>
      </c>
      <c r="D107">
        <f t="shared" ca="1" si="22"/>
        <v>0</v>
      </c>
      <c r="E107">
        <f ca="1">IF($C107=1,OFFSET(E107,-1,0)+MAX(1,COUNTIF(QCI!$A$13:$A$24,OFFSET(ORÇAMENTO!E107,-1,0))),OFFSET(E107,-1,0))</f>
        <v>1</v>
      </c>
      <c r="F107">
        <f t="shared" ca="1" si="23"/>
        <v>6</v>
      </c>
      <c r="G107">
        <f t="shared" ca="1" si="24"/>
        <v>4</v>
      </c>
      <c r="H107">
        <f t="shared" ca="1" si="25"/>
        <v>0</v>
      </c>
      <c r="I107">
        <f t="shared" ca="1" si="26"/>
        <v>3</v>
      </c>
      <c r="J107">
        <f t="shared" ca="1" si="17"/>
        <v>0</v>
      </c>
      <c r="K107">
        <f ca="1">IF(OR($C107="S",$C107=0),0,MATCH(OFFSET($D107,0,$C107)+IF($C107&lt;&gt;1,1,COUNTIF(QCI!$A$13:$A$24,ORÇAMENTO!E107)),OFFSET($D107,1,$C107,ROW($C$290)-ROW($C107)),0))</f>
        <v>0</v>
      </c>
      <c r="L107" s="116" t="str">
        <f t="shared" ca="1" si="27"/>
        <v>F</v>
      </c>
      <c r="M107" s="117" t="s">
        <v>199</v>
      </c>
      <c r="N107" s="118" t="str">
        <f t="shared" ca="1" si="28"/>
        <v>Serviço</v>
      </c>
      <c r="O107" s="119" t="str">
        <f t="shared" ca="1" si="29"/>
        <v>1.6.4.3.</v>
      </c>
      <c r="P107" s="120" t="s">
        <v>462</v>
      </c>
      <c r="Q107" s="121" t="s">
        <v>476</v>
      </c>
      <c r="R107" s="122" t="str">
        <f ca="1">IF($C107="S",REFERENCIA.Descricao,"(digite a descrição aqui)")</f>
        <v>(abra o arquivo 'Referência 03-2024.xlsm)</v>
      </c>
      <c r="S107" s="123" t="str">
        <f ca="1">REFERENCIA.Unidade</f>
        <v>-</v>
      </c>
      <c r="T107" s="124">
        <f ca="1">OFFSET(CÁLCULO!H$15,ROW($T107)-ROW(T$15),0)</f>
        <v>3.74</v>
      </c>
      <c r="U107" s="125">
        <v>11.53</v>
      </c>
      <c r="V107" s="126" t="s">
        <v>156</v>
      </c>
      <c r="W107" s="124">
        <f ca="1">IF($C107="S",ROUND(IF(TIPOORCAMENTO="Proposto",ORÇAMENTO.CustoUnitario*(1+$AH107),ORÇAMENTO.PrecoUnitarioLicitado),15-13*$AF$10),0)</f>
        <v>14.78</v>
      </c>
      <c r="X107" s="127">
        <f ca="1">IF($C107="S",IF(Import.TipoArredondamento&lt;&gt;"TransfereGOV",VTOTAL1,SUM(OFFSET(CÁLCULO!$AA$15,ROW($X107)-ROW($X$15),1):OFFSET(CÁLCULO!$AL$15,ROW($X107)-ROW($X$15),-1))),IF($C107=0,0,ROUND(SomaAgrup,15-13*$AF$11)))</f>
        <v>55.28</v>
      </c>
      <c r="Y107" s="128" t="s">
        <v>245</v>
      </c>
      <c r="Z107" t="str">
        <f t="shared" ca="1" si="30"/>
        <v>RA</v>
      </c>
      <c r="AA107" s="129">
        <f ca="1">IF($C107="S",IF($Z107="CP",$X107,IF($Z107="RA",(($X107)*QCI!$AA$3),0)),SomaAgrup)</f>
        <v>55.28</v>
      </c>
      <c r="AB107" s="130">
        <f t="shared" ca="1" si="31"/>
        <v>0</v>
      </c>
      <c r="AC107" s="131" t="str">
        <f ca="1">IF($N107="","",IF(ORÇAMENTO.Descricao="","DESCRIÇÃO",IF(AND($C107="S",ORÇAMENTO.Unidade=""),"UNIDADE",IF($X107&lt;0,"VALOR NEGATIVO",IF(OR(AND(TIPOORCAMENTO="Proposto",$AG107&lt;&gt;"",$AG107&gt;0,ORÇAMENTO.CustoUnitario&gt;$AG107),AND(TIPOORCAMENTO="LICITADO",ORÇAMENTO.PrecoUnitarioLicitado&gt;$AN107)),"ACIMA REF.","")))))</f>
        <v/>
      </c>
      <c r="AD107" t="str">
        <f ca="1">IF(C107&lt;=CRONO.NivelExibicao,MAX($AD$15:OFFSET(AD107,-1,0))+IF($C107&lt;&gt;1,1,MAX(1,COUNTIF(QCI!$A$13:$A$24,OFFSET($E107,-1,0)))),"")</f>
        <v/>
      </c>
      <c r="AE107" s="7" t="str">
        <f ca="1">IF(AND($C107="S",ORÇAMENTO.CodBarra&lt;&gt;""),IF(ORÇAMENTO.Fonte="",ORÇAMENTO.CodBarra,CONCATENATE(ORÇAMENTO.Fonte," ",ORÇAMENTO.CodBarra)))</f>
        <v>Composição 12</v>
      </c>
      <c r="AF107" s="13" t="str">
        <f ca="1">IF(ISERROR(INDIRECT(ORÇAMENTO.BancoRef)),"(abra o arquivo 'Referência "&amp;Excel_BuiltIn_Database&amp;".xlsm)",IF(OR($C107&lt;&gt;"S",ORÇAMENTO.CodBarra=""),"(Sem Código)",IF(ISERROR(MATCH($AE107,INDIRECT(ORÇAMENTO.BancoRef),0)),"(Código não identificado nas referências)",MATCH($AE107,INDIRECT(ORÇAMENTO.BancoRef),0))))</f>
        <v>(abra o arquivo 'Referência 03-2024.xlsm)</v>
      </c>
      <c r="AG107" s="498">
        <f ca="1">ROUND(IF(DESONERACAO="sim",REFERENCIA.Desonerado,REFERENCIA.NaoDesonerado),2)</f>
        <v>0</v>
      </c>
      <c r="AH107" s="499">
        <f t="shared" ca="1" si="32"/>
        <v>0.28170000000000001</v>
      </c>
      <c r="AJ107" s="501">
        <v>3.74</v>
      </c>
      <c r="AL107" s="527"/>
      <c r="AM107" s="381">
        <f t="shared" ca="1" si="33"/>
        <v>55.28</v>
      </c>
      <c r="AN107" s="566">
        <f t="shared" ca="1" si="34"/>
        <v>14.78</v>
      </c>
    </row>
    <row r="108" spans="1:40" ht="38.25" x14ac:dyDescent="0.2">
      <c r="A108" t="str">
        <f t="shared" si="19"/>
        <v>S</v>
      </c>
      <c r="B108">
        <f t="shared" ca="1" si="20"/>
        <v>3</v>
      </c>
      <c r="C108" t="str">
        <f t="shared" ca="1" si="21"/>
        <v>S</v>
      </c>
      <c r="D108">
        <f t="shared" ca="1" si="22"/>
        <v>0</v>
      </c>
      <c r="E108">
        <f ca="1">IF($C108=1,OFFSET(E108,-1,0)+MAX(1,COUNTIF(QCI!$A$13:$A$24,OFFSET(ORÇAMENTO!E108,-1,0))),OFFSET(E108,-1,0))</f>
        <v>1</v>
      </c>
      <c r="F108">
        <f t="shared" ca="1" si="23"/>
        <v>6</v>
      </c>
      <c r="G108">
        <f t="shared" ca="1" si="24"/>
        <v>4</v>
      </c>
      <c r="H108">
        <f t="shared" ca="1" si="25"/>
        <v>0</v>
      </c>
      <c r="I108">
        <f t="shared" ca="1" si="26"/>
        <v>4</v>
      </c>
      <c r="J108">
        <f t="shared" ca="1" si="17"/>
        <v>0</v>
      </c>
      <c r="K108">
        <f ca="1">IF(OR($C108="S",$C108=0),0,MATCH(OFFSET($D108,0,$C108)+IF($C108&lt;&gt;1,1,COUNTIF(QCI!$A$13:$A$24,ORÇAMENTO!E108)),OFFSET($D108,1,$C108,ROW($C$290)-ROW($C108)),0))</f>
        <v>0</v>
      </c>
      <c r="L108" s="116" t="str">
        <f t="shared" ca="1" si="27"/>
        <v>F</v>
      </c>
      <c r="M108" s="117" t="s">
        <v>199</v>
      </c>
      <c r="N108" s="118" t="str">
        <f t="shared" ca="1" si="28"/>
        <v>Serviço</v>
      </c>
      <c r="O108" s="119" t="str">
        <f t="shared" ca="1" si="29"/>
        <v>1.6.4.4.</v>
      </c>
      <c r="P108" s="120" t="s">
        <v>462</v>
      </c>
      <c r="Q108" s="121" t="s">
        <v>512</v>
      </c>
      <c r="R108" s="122" t="str">
        <f ca="1">IF($C108="S",REFERENCIA.Descricao,"(digite a descrição aqui)")</f>
        <v>(abra o arquivo 'Referência 03-2024.xlsm)</v>
      </c>
      <c r="S108" s="123" t="str">
        <f ca="1">REFERENCIA.Unidade</f>
        <v>-</v>
      </c>
      <c r="T108" s="124">
        <f ca="1">OFFSET(CÁLCULO!H$15,ROW($T108)-ROW(T$15),0)</f>
        <v>9.8699999999999992</v>
      </c>
      <c r="U108" s="125">
        <v>9.9600000000000009</v>
      </c>
      <c r="V108" s="126" t="s">
        <v>156</v>
      </c>
      <c r="W108" s="124">
        <f ca="1">IF($C108="S",ROUND(IF(TIPOORCAMENTO="Proposto",ORÇAMENTO.CustoUnitario*(1+$AH108),ORÇAMENTO.PrecoUnitarioLicitado),15-13*$AF$10),0)</f>
        <v>12.77</v>
      </c>
      <c r="X108" s="127">
        <f ca="1">IF($C108="S",IF(Import.TipoArredondamento&lt;&gt;"TransfereGOV",VTOTAL1,SUM(OFFSET(CÁLCULO!$AA$15,ROW($X108)-ROW($X$15),1):OFFSET(CÁLCULO!$AL$15,ROW($X108)-ROW($X$15),-1))),IF($C108=0,0,ROUND(SomaAgrup,15-13*$AF$11)))</f>
        <v>126.04</v>
      </c>
      <c r="Y108" s="128" t="s">
        <v>245</v>
      </c>
      <c r="Z108" t="str">
        <f t="shared" ca="1" si="30"/>
        <v>RA</v>
      </c>
      <c r="AA108" s="129">
        <f ca="1">IF($C108="S",IF($Z108="CP",$X108,IF($Z108="RA",(($X108)*QCI!$AA$3),0)),SomaAgrup)</f>
        <v>126.04</v>
      </c>
      <c r="AB108" s="130">
        <f t="shared" ca="1" si="31"/>
        <v>0</v>
      </c>
      <c r="AC108" s="131" t="str">
        <f ca="1">IF($N108="","",IF(ORÇAMENTO.Descricao="","DESCRIÇÃO",IF(AND($C108="S",ORÇAMENTO.Unidade=""),"UNIDADE",IF($X108&lt;0,"VALOR NEGATIVO",IF(OR(AND(TIPOORCAMENTO="Proposto",$AG108&lt;&gt;"",$AG108&gt;0,ORÇAMENTO.CustoUnitario&gt;$AG108),AND(TIPOORCAMENTO="LICITADO",ORÇAMENTO.PrecoUnitarioLicitado&gt;$AN108)),"ACIMA REF.","")))))</f>
        <v/>
      </c>
      <c r="AD108" t="str">
        <f ca="1">IF(C108&lt;=CRONO.NivelExibicao,MAX($AD$15:OFFSET(AD108,-1,0))+IF($C108&lt;&gt;1,1,MAX(1,COUNTIF(QCI!$A$13:$A$24,OFFSET($E108,-1,0)))),"")</f>
        <v/>
      </c>
      <c r="AE108" s="7" t="str">
        <f ca="1">IF(AND($C108="S",ORÇAMENTO.CodBarra&lt;&gt;""),IF(ORÇAMENTO.Fonte="",ORÇAMENTO.CodBarra,CONCATENATE(ORÇAMENTO.Fonte," ",ORÇAMENTO.CodBarra)))</f>
        <v>Composição 35</v>
      </c>
      <c r="AF108" s="13" t="str">
        <f ca="1">IF(ISERROR(INDIRECT(ORÇAMENTO.BancoRef)),"(abra o arquivo 'Referência "&amp;Excel_BuiltIn_Database&amp;".xlsm)",IF(OR($C108&lt;&gt;"S",ORÇAMENTO.CodBarra=""),"(Sem Código)",IF(ISERROR(MATCH($AE108,INDIRECT(ORÇAMENTO.BancoRef),0)),"(Código não identificado nas referências)",MATCH($AE108,INDIRECT(ORÇAMENTO.BancoRef),0))))</f>
        <v>(abra o arquivo 'Referência 03-2024.xlsm)</v>
      </c>
      <c r="AG108" s="498">
        <f ca="1">ROUND(IF(DESONERACAO="sim",REFERENCIA.Desonerado,REFERENCIA.NaoDesonerado),2)</f>
        <v>0</v>
      </c>
      <c r="AH108" s="499">
        <f t="shared" ca="1" si="32"/>
        <v>0.28170000000000001</v>
      </c>
      <c r="AJ108" s="501">
        <v>9.8699999999999992</v>
      </c>
      <c r="AL108" s="527"/>
      <c r="AM108" s="381">
        <f t="shared" ca="1" si="33"/>
        <v>126.04</v>
      </c>
      <c r="AN108" s="566">
        <f t="shared" ca="1" si="34"/>
        <v>12.77</v>
      </c>
    </row>
    <row r="109" spans="1:40" x14ac:dyDescent="0.2">
      <c r="A109">
        <f t="shared" si="19"/>
        <v>3</v>
      </c>
      <c r="B109">
        <f t="shared" ca="1" si="20"/>
        <v>3</v>
      </c>
      <c r="C109">
        <f t="shared" ca="1" si="21"/>
        <v>3</v>
      </c>
      <c r="D109">
        <f t="shared" ca="1" si="22"/>
        <v>5</v>
      </c>
      <c r="E109">
        <f ca="1">IF($C109=1,OFFSET(E109,-1,0)+MAX(1,COUNTIF(QCI!$A$13:$A$24,OFFSET(ORÇAMENTO!E109,-1,0))),OFFSET(E109,-1,0))</f>
        <v>1</v>
      </c>
      <c r="F109">
        <f t="shared" ca="1" si="23"/>
        <v>6</v>
      </c>
      <c r="G109">
        <f t="shared" ca="1" si="24"/>
        <v>5</v>
      </c>
      <c r="H109">
        <f t="shared" ca="1" si="25"/>
        <v>0</v>
      </c>
      <c r="I109">
        <f t="shared" ca="1" si="26"/>
        <v>0</v>
      </c>
      <c r="J109">
        <f t="shared" ca="1" si="17"/>
        <v>83</v>
      </c>
      <c r="K109">
        <f ca="1">IF(OR($C109="S",$C109=0),0,MATCH(OFFSET($D109,0,$C109)+IF($C109&lt;&gt;1,1,COUNTIF(QCI!$A$13:$A$24,ORÇAMENTO!E109)),OFFSET($D109,1,$C109,ROW($C$290)-ROW($C109)),0))</f>
        <v>5</v>
      </c>
      <c r="L109" s="116" t="str">
        <f t="shared" ca="1" si="27"/>
        <v>F</v>
      </c>
      <c r="M109" s="117" t="s">
        <v>197</v>
      </c>
      <c r="N109" s="118" t="str">
        <f t="shared" ca="1" si="28"/>
        <v>Nível 3</v>
      </c>
      <c r="O109" s="119" t="str">
        <f t="shared" ca="1" si="29"/>
        <v>1.6.5.</v>
      </c>
      <c r="P109" s="120" t="s">
        <v>247</v>
      </c>
      <c r="Q109" s="121"/>
      <c r="R109" s="122" t="s">
        <v>515</v>
      </c>
      <c r="S109" s="123" t="str">
        <f ca="1">REFERENCIA.Unidade</f>
        <v>-</v>
      </c>
      <c r="T109" s="124">
        <f ca="1">OFFSET(CÁLCULO!H$15,ROW($T109)-ROW(T$15),0)</f>
        <v>0</v>
      </c>
      <c r="U109" s="125">
        <v>0</v>
      </c>
      <c r="V109" s="126" t="s">
        <v>156</v>
      </c>
      <c r="W109" s="124">
        <f ca="1">IF($C109="S",ROUND(IF(TIPOORCAMENTO="Proposto",ORÇAMENTO.CustoUnitario*(1+$AH109),ORÇAMENTO.PrecoUnitarioLicitado),15-13*$AF$10),0)</f>
        <v>0</v>
      </c>
      <c r="X109" s="127">
        <f ca="1">IF($C109="S",IF(Import.TipoArredondamento&lt;&gt;"TransfereGOV",VTOTAL1,SUM(OFFSET(CÁLCULO!$AA$15,ROW($X109)-ROW($X$15),1):OFFSET(CÁLCULO!$AL$15,ROW($X109)-ROW($X$15),-1))),IF($C109=0,0,ROUND(SomaAgrup,15-13*$AF$11)))</f>
        <v>5400.38</v>
      </c>
      <c r="Y109" s="128" t="s">
        <v>245</v>
      </c>
      <c r="Z109" t="str">
        <f t="shared" ca="1" si="30"/>
        <v/>
      </c>
      <c r="AA109" s="129">
        <f ca="1">IF($C109="S",IF($Z109="CP",$X109,IF($Z109="RA",(($X109)*QCI!$AA$3),0)),SomaAgrup)</f>
        <v>5400.3799999999992</v>
      </c>
      <c r="AB109" s="130">
        <f t="shared" ca="1" si="31"/>
        <v>0</v>
      </c>
      <c r="AC109" s="131" t="str">
        <f ca="1">IF($N109="","",IF(ORÇAMENTO.Descricao="","DESCRIÇÃO",IF(AND($C109="S",ORÇAMENTO.Unidade=""),"UNIDADE",IF($X109&lt;0,"VALOR NEGATIVO",IF(OR(AND(TIPOORCAMENTO="Proposto",$AG109&lt;&gt;"",$AG109&gt;0,ORÇAMENTO.CustoUnitario&gt;$AG109),AND(TIPOORCAMENTO="LICITADO",ORÇAMENTO.PrecoUnitarioLicitado&gt;$AN109)),"ACIMA REF.","")))))</f>
        <v/>
      </c>
      <c r="AD109">
        <f ca="1">IF(C109&lt;=CRONO.NivelExibicao,MAX($AD$15:OFFSET(AD109,-1,0))+IF($C109&lt;&gt;1,1,MAX(1,COUNTIF(QCI!$A$13:$A$24,OFFSET($E109,-1,0)))),"")</f>
        <v>14</v>
      </c>
      <c r="AE109" s="7" t="b">
        <f ca="1">IF(AND($C109="S",ORÇAMENTO.CodBarra&lt;&gt;""),IF(ORÇAMENTO.Fonte="",ORÇAMENTO.CodBarra,CONCATENATE(ORÇAMENTO.Fonte," ",ORÇAMENTO.CodBarra)))</f>
        <v>0</v>
      </c>
      <c r="AF109" s="13" t="str">
        <f ca="1">IF(ISERROR(INDIRECT(ORÇAMENTO.BancoRef)),"(abra o arquivo 'Referência "&amp;Excel_BuiltIn_Database&amp;".xlsm)",IF(OR($C109&lt;&gt;"S",ORÇAMENTO.CodBarra=""),"(Sem Código)",IF(ISERROR(MATCH($AE109,INDIRECT(ORÇAMENTO.BancoRef),0)),"(Código não identificado nas referências)",MATCH($AE109,INDIRECT(ORÇAMENTO.BancoRef),0))))</f>
        <v>(abra o arquivo 'Referência 03-2024.xlsm)</v>
      </c>
      <c r="AG109" s="498">
        <f ca="1">ROUND(IF(DESONERACAO="sim",REFERENCIA.Desonerado,REFERENCIA.NaoDesonerado),2)</f>
        <v>0</v>
      </c>
      <c r="AH109" s="499">
        <f t="shared" ca="1" si="32"/>
        <v>0.28170000000000001</v>
      </c>
      <c r="AJ109" s="501"/>
      <c r="AL109" s="527"/>
      <c r="AM109" s="381">
        <f t="shared" ca="1" si="33"/>
        <v>5400.38</v>
      </c>
      <c r="AN109" s="566">
        <f t="shared" ca="1" si="34"/>
        <v>0</v>
      </c>
    </row>
    <row r="110" spans="1:40" ht="51" x14ac:dyDescent="0.2">
      <c r="A110" t="str">
        <f t="shared" si="19"/>
        <v>S</v>
      </c>
      <c r="B110">
        <f t="shared" ca="1" si="20"/>
        <v>3</v>
      </c>
      <c r="C110" t="str">
        <f t="shared" ca="1" si="21"/>
        <v>S</v>
      </c>
      <c r="D110">
        <f t="shared" ca="1" si="22"/>
        <v>0</v>
      </c>
      <c r="E110">
        <f ca="1">IF($C110=1,OFFSET(E110,-1,0)+MAX(1,COUNTIF(QCI!$A$13:$A$24,OFFSET(ORÇAMENTO!E110,-1,0))),OFFSET(E110,-1,0))</f>
        <v>1</v>
      </c>
      <c r="F110">
        <f t="shared" ca="1" si="23"/>
        <v>6</v>
      </c>
      <c r="G110">
        <f t="shared" ca="1" si="24"/>
        <v>5</v>
      </c>
      <c r="H110">
        <f t="shared" ca="1" si="25"/>
        <v>0</v>
      </c>
      <c r="I110">
        <f t="shared" ca="1" si="26"/>
        <v>1</v>
      </c>
      <c r="J110">
        <f t="shared" ca="1" si="17"/>
        <v>0</v>
      </c>
      <c r="K110">
        <f ca="1">IF(OR($C110="S",$C110=0),0,MATCH(OFFSET($D110,0,$C110)+IF($C110&lt;&gt;1,1,COUNTIF(QCI!$A$13:$A$24,ORÇAMENTO!E110)),OFFSET($D110,1,$C110,ROW($C$290)-ROW($C110)),0))</f>
        <v>0</v>
      </c>
      <c r="L110" s="116" t="str">
        <f t="shared" ca="1" si="27"/>
        <v>F</v>
      </c>
      <c r="M110" s="117" t="s">
        <v>199</v>
      </c>
      <c r="N110" s="118" t="str">
        <f t="shared" ca="1" si="28"/>
        <v>Serviço</v>
      </c>
      <c r="O110" s="119" t="str">
        <f t="shared" ca="1" si="29"/>
        <v>1.6.5.1.</v>
      </c>
      <c r="P110" s="120" t="s">
        <v>247</v>
      </c>
      <c r="Q110" s="121" t="s">
        <v>516</v>
      </c>
      <c r="R110" s="122" t="str">
        <f ca="1">IF($C110="S",REFERENCIA.Descricao,"(digite a descrição aqui)")</f>
        <v>(abra o arquivo 'Referência 03-2024.xlsm)</v>
      </c>
      <c r="S110" s="123" t="str">
        <f ca="1">REFERENCIA.Unidade</f>
        <v>-</v>
      </c>
      <c r="T110" s="124">
        <f ca="1">OFFSET(CÁLCULO!H$15,ROW($T110)-ROW(T$15),0)</f>
        <v>46.07</v>
      </c>
      <c r="U110" s="125">
        <v>78.31</v>
      </c>
      <c r="V110" s="126" t="s">
        <v>156</v>
      </c>
      <c r="W110" s="124">
        <f ca="1">IF($C110="S",ROUND(IF(TIPOORCAMENTO="Proposto",ORÇAMENTO.CustoUnitario*(1+$AH110),ORÇAMENTO.PrecoUnitarioLicitado),15-13*$AF$10),0)</f>
        <v>100.37</v>
      </c>
      <c r="X110" s="127">
        <f ca="1">IF($C110="S",IF(Import.TipoArredondamento&lt;&gt;"TransfereGOV",VTOTAL1,SUM(OFFSET(CÁLCULO!$AA$15,ROW($X110)-ROW($X$15),1):OFFSET(CÁLCULO!$AL$15,ROW($X110)-ROW($X$15),-1))),IF($C110=0,0,ROUND(SomaAgrup,15-13*$AF$11)))</f>
        <v>4624.05</v>
      </c>
      <c r="Y110" s="128" t="s">
        <v>245</v>
      </c>
      <c r="Z110" t="str">
        <f t="shared" ca="1" si="30"/>
        <v>RA</v>
      </c>
      <c r="AA110" s="129">
        <f ca="1">IF($C110="S",IF($Z110="CP",$X110,IF($Z110="RA",(($X110)*QCI!$AA$3),0)),SomaAgrup)</f>
        <v>4624.05</v>
      </c>
      <c r="AB110" s="130">
        <f t="shared" ca="1" si="31"/>
        <v>0</v>
      </c>
      <c r="AC110" s="131" t="str">
        <f ca="1">IF($N110="","",IF(ORÇAMENTO.Descricao="","DESCRIÇÃO",IF(AND($C110="S",ORÇAMENTO.Unidade=""),"UNIDADE",IF($X110&lt;0,"VALOR NEGATIVO",IF(OR(AND(TIPOORCAMENTO="Proposto",$AG110&lt;&gt;"",$AG110&gt;0,ORÇAMENTO.CustoUnitario&gt;$AG110),AND(TIPOORCAMENTO="LICITADO",ORÇAMENTO.PrecoUnitarioLicitado&gt;$AN110)),"ACIMA REF.","")))))</f>
        <v/>
      </c>
      <c r="AD110" t="str">
        <f ca="1">IF(C110&lt;=CRONO.NivelExibicao,MAX($AD$15:OFFSET(AD110,-1,0))+IF($C110&lt;&gt;1,1,MAX(1,COUNTIF(QCI!$A$13:$A$24,OFFSET($E110,-1,0)))),"")</f>
        <v/>
      </c>
      <c r="AE110" s="7" t="str">
        <f ca="1">IF(AND($C110="S",ORÇAMENTO.CodBarra&lt;&gt;""),IF(ORÇAMENTO.Fonte="",ORÇAMENTO.CodBarra,CONCATENATE(ORÇAMENTO.Fonte," ",ORÇAMENTO.CodBarra)))</f>
        <v>SINAPI 103330</v>
      </c>
      <c r="AF110" s="13" t="str">
        <f ca="1">IF(ISERROR(INDIRECT(ORÇAMENTO.BancoRef)),"(abra o arquivo 'Referência "&amp;Excel_BuiltIn_Database&amp;".xlsm)",IF(OR($C110&lt;&gt;"S",ORÇAMENTO.CodBarra=""),"(Sem Código)",IF(ISERROR(MATCH($AE110,INDIRECT(ORÇAMENTO.BancoRef),0)),"(Código não identificado nas referências)",MATCH($AE110,INDIRECT(ORÇAMENTO.BancoRef),0))))</f>
        <v>(abra o arquivo 'Referência 03-2024.xlsm)</v>
      </c>
      <c r="AG110" s="498">
        <f ca="1">ROUND(IF(DESONERACAO="sim",REFERENCIA.Desonerado,REFERENCIA.NaoDesonerado),2)</f>
        <v>0</v>
      </c>
      <c r="AH110" s="499">
        <f t="shared" ca="1" si="32"/>
        <v>0.28170000000000001</v>
      </c>
      <c r="AJ110" s="501">
        <v>46.07</v>
      </c>
      <c r="AL110" s="527"/>
      <c r="AM110" s="381">
        <f t="shared" ca="1" si="33"/>
        <v>4624.05</v>
      </c>
      <c r="AN110" s="566">
        <f t="shared" ca="1" si="34"/>
        <v>100.37</v>
      </c>
    </row>
    <row r="111" spans="1:40" ht="25.5" x14ac:dyDescent="0.2">
      <c r="A111" t="str">
        <f t="shared" si="19"/>
        <v>S</v>
      </c>
      <c r="B111">
        <f t="shared" ca="1" si="20"/>
        <v>3</v>
      </c>
      <c r="C111" t="str">
        <f t="shared" ca="1" si="21"/>
        <v>S</v>
      </c>
      <c r="D111">
        <f t="shared" ca="1" si="22"/>
        <v>0</v>
      </c>
      <c r="E111">
        <f ca="1">IF($C111=1,OFFSET(E111,-1,0)+MAX(1,COUNTIF(QCI!$A$13:$A$24,OFFSET(ORÇAMENTO!E111,-1,0))),OFFSET(E111,-1,0))</f>
        <v>1</v>
      </c>
      <c r="F111">
        <f t="shared" ca="1" si="23"/>
        <v>6</v>
      </c>
      <c r="G111">
        <f t="shared" ca="1" si="24"/>
        <v>5</v>
      </c>
      <c r="H111">
        <f t="shared" ca="1" si="25"/>
        <v>0</v>
      </c>
      <c r="I111">
        <f t="shared" ca="1" si="26"/>
        <v>2</v>
      </c>
      <c r="J111">
        <f t="shared" ca="1" si="17"/>
        <v>0</v>
      </c>
      <c r="K111">
        <f ca="1">IF(OR($C111="S",$C111=0),0,MATCH(OFFSET($D111,0,$C111)+IF($C111&lt;&gt;1,1,COUNTIF(QCI!$A$13:$A$24,ORÇAMENTO!E111)),OFFSET($D111,1,$C111,ROW($C$290)-ROW($C111)),0))</f>
        <v>0</v>
      </c>
      <c r="L111" s="116" t="str">
        <f t="shared" ca="1" si="27"/>
        <v>F</v>
      </c>
      <c r="M111" s="117" t="s">
        <v>199</v>
      </c>
      <c r="N111" s="118" t="str">
        <f t="shared" ca="1" si="28"/>
        <v>Serviço</v>
      </c>
      <c r="O111" s="119" t="str">
        <f t="shared" ca="1" si="29"/>
        <v>1.6.5.2.</v>
      </c>
      <c r="P111" s="120" t="s">
        <v>247</v>
      </c>
      <c r="Q111" s="121" t="s">
        <v>518</v>
      </c>
      <c r="R111" s="122" t="str">
        <f ca="1">IF($C111="S",REFERENCIA.Descricao,"(digite a descrição aqui)")</f>
        <v>(abra o arquivo 'Referência 03-2024.xlsm)</v>
      </c>
      <c r="S111" s="123" t="str">
        <f ca="1">REFERENCIA.Unidade</f>
        <v>-</v>
      </c>
      <c r="T111" s="124">
        <f ca="1">OFFSET(CÁLCULO!H$15,ROW($T111)-ROW(T$15),0)</f>
        <v>2</v>
      </c>
      <c r="U111" s="125">
        <v>70.209999999999994</v>
      </c>
      <c r="V111" s="126" t="s">
        <v>156</v>
      </c>
      <c r="W111" s="124">
        <f ca="1">IF($C111="S",ROUND(IF(TIPOORCAMENTO="Proposto",ORÇAMENTO.CustoUnitario*(1+$AH111),ORÇAMENTO.PrecoUnitarioLicitado),15-13*$AF$10),0)</f>
        <v>89.99</v>
      </c>
      <c r="X111" s="127">
        <f ca="1">IF($C111="S",IF(Import.TipoArredondamento&lt;&gt;"TransfereGOV",VTOTAL1,SUM(OFFSET(CÁLCULO!$AA$15,ROW($X111)-ROW($X$15),1):OFFSET(CÁLCULO!$AL$15,ROW($X111)-ROW($X$15),-1))),IF($C111=0,0,ROUND(SomaAgrup,15-13*$AF$11)))</f>
        <v>179.98</v>
      </c>
      <c r="Y111" s="128" t="s">
        <v>245</v>
      </c>
      <c r="Z111" t="str">
        <f t="shared" ca="1" si="30"/>
        <v>RA</v>
      </c>
      <c r="AA111" s="129">
        <f ca="1">IF($C111="S",IF($Z111="CP",$X111,IF($Z111="RA",(($X111)*QCI!$AA$3),0)),SomaAgrup)</f>
        <v>179.98</v>
      </c>
      <c r="AB111" s="130">
        <f t="shared" ca="1" si="31"/>
        <v>0</v>
      </c>
      <c r="AC111" s="131" t="str">
        <f ca="1">IF($N111="","",IF(ORÇAMENTO.Descricao="","DESCRIÇÃO",IF(AND($C111="S",ORÇAMENTO.Unidade=""),"UNIDADE",IF($X111&lt;0,"VALOR NEGATIVO",IF(OR(AND(TIPOORCAMENTO="Proposto",$AG111&lt;&gt;"",$AG111&gt;0,ORÇAMENTO.CustoUnitario&gt;$AG111),AND(TIPOORCAMENTO="LICITADO",ORÇAMENTO.PrecoUnitarioLicitado&gt;$AN111)),"ACIMA REF.","")))))</f>
        <v/>
      </c>
      <c r="AD111" t="str">
        <f ca="1">IF(C111&lt;=CRONO.NivelExibicao,MAX($AD$15:OFFSET(AD111,-1,0))+IF($C111&lt;&gt;1,1,MAX(1,COUNTIF(QCI!$A$13:$A$24,OFFSET($E111,-1,0)))),"")</f>
        <v/>
      </c>
      <c r="AE111" s="7" t="str">
        <f ca="1">IF(AND($C111="S",ORÇAMENTO.CodBarra&lt;&gt;""),IF(ORÇAMENTO.Fonte="",ORÇAMENTO.CodBarra,CONCATENATE(ORÇAMENTO.Fonte," ",ORÇAMENTO.CodBarra)))</f>
        <v>SINAPI 93186</v>
      </c>
      <c r="AF111" s="13" t="str">
        <f ca="1">IF(ISERROR(INDIRECT(ORÇAMENTO.BancoRef)),"(abra o arquivo 'Referência "&amp;Excel_BuiltIn_Database&amp;".xlsm)",IF(OR($C111&lt;&gt;"S",ORÇAMENTO.CodBarra=""),"(Sem Código)",IF(ISERROR(MATCH($AE111,INDIRECT(ORÇAMENTO.BancoRef),0)),"(Código não identificado nas referências)",MATCH($AE111,INDIRECT(ORÇAMENTO.BancoRef),0))))</f>
        <v>(abra o arquivo 'Referência 03-2024.xlsm)</v>
      </c>
      <c r="AG111" s="498">
        <f ca="1">ROUND(IF(DESONERACAO="sim",REFERENCIA.Desonerado,REFERENCIA.NaoDesonerado),2)</f>
        <v>0</v>
      </c>
      <c r="AH111" s="499">
        <f t="shared" ca="1" si="32"/>
        <v>0.28170000000000001</v>
      </c>
      <c r="AJ111" s="501">
        <v>2</v>
      </c>
      <c r="AL111" s="527"/>
      <c r="AM111" s="381">
        <f t="shared" ca="1" si="33"/>
        <v>179.98</v>
      </c>
      <c r="AN111" s="566">
        <f t="shared" ca="1" si="34"/>
        <v>89.99</v>
      </c>
    </row>
    <row r="112" spans="1:40" ht="25.5" x14ac:dyDescent="0.2">
      <c r="A112" t="str">
        <f t="shared" si="19"/>
        <v>S</v>
      </c>
      <c r="B112">
        <f t="shared" ca="1" si="20"/>
        <v>3</v>
      </c>
      <c r="C112" t="str">
        <f t="shared" ca="1" si="21"/>
        <v>S</v>
      </c>
      <c r="D112">
        <f t="shared" ca="1" si="22"/>
        <v>0</v>
      </c>
      <c r="E112">
        <f ca="1">IF($C112=1,OFFSET(E112,-1,0)+MAX(1,COUNTIF(QCI!$A$13:$A$24,OFFSET(ORÇAMENTO!E112,-1,0))),OFFSET(E112,-1,0))</f>
        <v>1</v>
      </c>
      <c r="F112">
        <f t="shared" ca="1" si="23"/>
        <v>6</v>
      </c>
      <c r="G112">
        <f t="shared" ca="1" si="24"/>
        <v>5</v>
      </c>
      <c r="H112">
        <f t="shared" ca="1" si="25"/>
        <v>0</v>
      </c>
      <c r="I112">
        <f t="shared" ca="1" si="26"/>
        <v>3</v>
      </c>
      <c r="J112">
        <f t="shared" ca="1" si="17"/>
        <v>0</v>
      </c>
      <c r="K112">
        <f ca="1">IF(OR($C112="S",$C112=0),0,MATCH(OFFSET($D112,0,$C112)+IF($C112&lt;&gt;1,1,COUNTIF(QCI!$A$13:$A$24,ORÇAMENTO!E112)),OFFSET($D112,1,$C112,ROW($C$290)-ROW($C112)),0))</f>
        <v>0</v>
      </c>
      <c r="L112" s="116" t="str">
        <f t="shared" ca="1" si="27"/>
        <v>F</v>
      </c>
      <c r="M112" s="117" t="s">
        <v>199</v>
      </c>
      <c r="N112" s="118" t="str">
        <f t="shared" ca="1" si="28"/>
        <v>Serviço</v>
      </c>
      <c r="O112" s="119" t="str">
        <f t="shared" ca="1" si="29"/>
        <v>1.6.5.3.</v>
      </c>
      <c r="P112" s="120" t="s">
        <v>247</v>
      </c>
      <c r="Q112" s="121" t="s">
        <v>519</v>
      </c>
      <c r="R112" s="122" t="str">
        <f ca="1">IF($C112="S",REFERENCIA.Descricao,"(digite a descrição aqui)")</f>
        <v>(abra o arquivo 'Referência 03-2024.xlsm)</v>
      </c>
      <c r="S112" s="123" t="str">
        <f ca="1">REFERENCIA.Unidade</f>
        <v>-</v>
      </c>
      <c r="T112" s="124">
        <f ca="1">OFFSET(CÁLCULO!H$15,ROW($T112)-ROW(T$15),0)</f>
        <v>2</v>
      </c>
      <c r="U112" s="125">
        <v>67.84</v>
      </c>
      <c r="V112" s="126" t="s">
        <v>156</v>
      </c>
      <c r="W112" s="124">
        <f ca="1">IF($C112="S",ROUND(IF(TIPOORCAMENTO="Proposto",ORÇAMENTO.CustoUnitario*(1+$AH112),ORÇAMENTO.PrecoUnitarioLicitado),15-13*$AF$10),0)</f>
        <v>86.95</v>
      </c>
      <c r="X112" s="127">
        <f ca="1">IF($C112="S",IF(Import.TipoArredondamento&lt;&gt;"TransfereGOV",VTOTAL1,SUM(OFFSET(CÁLCULO!$AA$15,ROW($X112)-ROW($X$15),1):OFFSET(CÁLCULO!$AL$15,ROW($X112)-ROW($X$15),-1))),IF($C112=0,0,ROUND(SomaAgrup,15-13*$AF$11)))</f>
        <v>173.9</v>
      </c>
      <c r="Y112" s="128" t="s">
        <v>245</v>
      </c>
      <c r="Z112" t="str">
        <f t="shared" ca="1" si="30"/>
        <v>RA</v>
      </c>
      <c r="AA112" s="129">
        <f ca="1">IF($C112="S",IF($Z112="CP",$X112,IF($Z112="RA",(($X112)*QCI!$AA$3),0)),SomaAgrup)</f>
        <v>173.9</v>
      </c>
      <c r="AB112" s="130">
        <f t="shared" ca="1" si="31"/>
        <v>0</v>
      </c>
      <c r="AC112" s="131" t="str">
        <f ca="1">IF($N112="","",IF(ORÇAMENTO.Descricao="","DESCRIÇÃO",IF(AND($C112="S",ORÇAMENTO.Unidade=""),"UNIDADE",IF($X112&lt;0,"VALOR NEGATIVO",IF(OR(AND(TIPOORCAMENTO="Proposto",$AG112&lt;&gt;"",$AG112&gt;0,ORÇAMENTO.CustoUnitario&gt;$AG112),AND(TIPOORCAMENTO="LICITADO",ORÇAMENTO.PrecoUnitarioLicitado&gt;$AN112)),"ACIMA REF.","")))))</f>
        <v/>
      </c>
      <c r="AD112" t="str">
        <f ca="1">IF(C112&lt;=CRONO.NivelExibicao,MAX($AD$15:OFFSET(AD112,-1,0))+IF($C112&lt;&gt;1,1,MAX(1,COUNTIF(QCI!$A$13:$A$24,OFFSET($E112,-1,0)))),"")</f>
        <v/>
      </c>
      <c r="AE112" s="7" t="str">
        <f ca="1">IF(AND($C112="S",ORÇAMENTO.CodBarra&lt;&gt;""),IF(ORÇAMENTO.Fonte="",ORÇAMENTO.CodBarra,CONCATENATE(ORÇAMENTO.Fonte," ",ORÇAMENTO.CodBarra)))</f>
        <v>SINAPI 93196</v>
      </c>
      <c r="AF112" s="13" t="str">
        <f ca="1">IF(ISERROR(INDIRECT(ORÇAMENTO.BancoRef)),"(abra o arquivo 'Referência "&amp;Excel_BuiltIn_Database&amp;".xlsm)",IF(OR($C112&lt;&gt;"S",ORÇAMENTO.CodBarra=""),"(Sem Código)",IF(ISERROR(MATCH($AE112,INDIRECT(ORÇAMENTO.BancoRef),0)),"(Código não identificado nas referências)",MATCH($AE112,INDIRECT(ORÇAMENTO.BancoRef),0))))</f>
        <v>(abra o arquivo 'Referência 03-2024.xlsm)</v>
      </c>
      <c r="AG112" s="498">
        <f ca="1">ROUND(IF(DESONERACAO="sim",REFERENCIA.Desonerado,REFERENCIA.NaoDesonerado),2)</f>
        <v>0</v>
      </c>
      <c r="AH112" s="499">
        <f t="shared" ca="1" si="32"/>
        <v>0.28170000000000001</v>
      </c>
      <c r="AJ112" s="501">
        <v>2</v>
      </c>
      <c r="AL112" s="527"/>
      <c r="AM112" s="381">
        <f t="shared" ca="1" si="33"/>
        <v>173.9</v>
      </c>
      <c r="AN112" s="566">
        <f t="shared" ca="1" si="34"/>
        <v>86.95</v>
      </c>
    </row>
    <row r="113" spans="1:40" ht="25.5" x14ac:dyDescent="0.2">
      <c r="A113" t="str">
        <f t="shared" si="19"/>
        <v>S</v>
      </c>
      <c r="B113">
        <f t="shared" ca="1" si="20"/>
        <v>3</v>
      </c>
      <c r="C113" t="str">
        <f t="shared" ca="1" si="21"/>
        <v>S</v>
      </c>
      <c r="D113">
        <f t="shared" ca="1" si="22"/>
        <v>0</v>
      </c>
      <c r="E113">
        <f ca="1">IF($C113=1,OFFSET(E113,-1,0)+MAX(1,COUNTIF(QCI!$A$13:$A$24,OFFSET(ORÇAMENTO!E113,-1,0))),OFFSET(E113,-1,0))</f>
        <v>1</v>
      </c>
      <c r="F113">
        <f t="shared" ca="1" si="23"/>
        <v>6</v>
      </c>
      <c r="G113">
        <f t="shared" ca="1" si="24"/>
        <v>5</v>
      </c>
      <c r="H113">
        <f t="shared" ca="1" si="25"/>
        <v>0</v>
      </c>
      <c r="I113">
        <f t="shared" ca="1" si="26"/>
        <v>4</v>
      </c>
      <c r="J113">
        <f t="shared" ca="1" si="17"/>
        <v>0</v>
      </c>
      <c r="K113">
        <f ca="1">IF(OR($C113="S",$C113=0),0,MATCH(OFFSET($D113,0,$C113)+IF($C113&lt;&gt;1,1,COUNTIF(QCI!$A$13:$A$24,ORÇAMENTO!E113)),OFFSET($D113,1,$C113,ROW($C$290)-ROW($C113)),0))</f>
        <v>0</v>
      </c>
      <c r="L113" s="116" t="str">
        <f t="shared" ca="1" si="27"/>
        <v>F</v>
      </c>
      <c r="M113" s="117" t="s">
        <v>199</v>
      </c>
      <c r="N113" s="118" t="str">
        <f t="shared" ca="1" si="28"/>
        <v>Serviço</v>
      </c>
      <c r="O113" s="119" t="str">
        <f t="shared" ca="1" si="29"/>
        <v>1.6.5.4.</v>
      </c>
      <c r="P113" s="120" t="s">
        <v>247</v>
      </c>
      <c r="Q113" s="121" t="s">
        <v>520</v>
      </c>
      <c r="R113" s="122" t="str">
        <f ca="1">IF($C113="S",REFERENCIA.Descricao,"(digite a descrição aqui)")</f>
        <v>(abra o arquivo 'Referência 03-2024.xlsm)</v>
      </c>
      <c r="S113" s="123" t="str">
        <f ca="1">REFERENCIA.Unidade</f>
        <v>-</v>
      </c>
      <c r="T113" s="124">
        <f ca="1">OFFSET(CÁLCULO!H$15,ROW($T113)-ROW(T$15),0)</f>
        <v>5</v>
      </c>
      <c r="U113" s="125">
        <v>65.92</v>
      </c>
      <c r="V113" s="126" t="s">
        <v>156</v>
      </c>
      <c r="W113" s="124">
        <f ca="1">IF($C113="S",ROUND(IF(TIPOORCAMENTO="Proposto",ORÇAMENTO.CustoUnitario*(1+$AH113),ORÇAMENTO.PrecoUnitarioLicitado),15-13*$AF$10),0)</f>
        <v>84.49</v>
      </c>
      <c r="X113" s="127">
        <f ca="1">IF($C113="S",IF(Import.TipoArredondamento&lt;&gt;"TransfereGOV",VTOTAL1,SUM(OFFSET(CÁLCULO!$AA$15,ROW($X113)-ROW($X$15),1):OFFSET(CÁLCULO!$AL$15,ROW($X113)-ROW($X$15),-1))),IF($C113=0,0,ROUND(SomaAgrup,15-13*$AF$11)))</f>
        <v>422.45</v>
      </c>
      <c r="Y113" s="128" t="s">
        <v>245</v>
      </c>
      <c r="Z113" t="str">
        <f t="shared" ca="1" si="30"/>
        <v>RA</v>
      </c>
      <c r="AA113" s="129">
        <f ca="1">IF($C113="S",IF($Z113="CP",$X113,IF($Z113="RA",(($X113)*QCI!$AA$3),0)),SomaAgrup)</f>
        <v>422.45</v>
      </c>
      <c r="AB113" s="130">
        <f t="shared" ca="1" si="31"/>
        <v>0</v>
      </c>
      <c r="AC113" s="131" t="str">
        <f ca="1">IF($N113="","",IF(ORÇAMENTO.Descricao="","DESCRIÇÃO",IF(AND($C113="S",ORÇAMENTO.Unidade=""),"UNIDADE",IF($X113&lt;0,"VALOR NEGATIVO",IF(OR(AND(TIPOORCAMENTO="Proposto",$AG113&lt;&gt;"",$AG113&gt;0,ORÇAMENTO.CustoUnitario&gt;$AG113),AND(TIPOORCAMENTO="LICITADO",ORÇAMENTO.PrecoUnitarioLicitado&gt;$AN113)),"ACIMA REF.","")))))</f>
        <v/>
      </c>
      <c r="AD113" t="str">
        <f ca="1">IF(C113&lt;=CRONO.NivelExibicao,MAX($AD$15:OFFSET(AD113,-1,0))+IF($C113&lt;&gt;1,1,MAX(1,COUNTIF(QCI!$A$13:$A$24,OFFSET($E113,-1,0)))),"")</f>
        <v/>
      </c>
      <c r="AE113" s="7" t="str">
        <f ca="1">IF(AND($C113="S",ORÇAMENTO.CodBarra&lt;&gt;""),IF(ORÇAMENTO.Fonte="",ORÇAMENTO.CodBarra,CONCATENATE(ORÇAMENTO.Fonte," ",ORÇAMENTO.CodBarra)))</f>
        <v>SINAPI 93188</v>
      </c>
      <c r="AF113" s="13" t="str">
        <f ca="1">IF(ISERROR(INDIRECT(ORÇAMENTO.BancoRef)),"(abra o arquivo 'Referência "&amp;Excel_BuiltIn_Database&amp;".xlsm)",IF(OR($C113&lt;&gt;"S",ORÇAMENTO.CodBarra=""),"(Sem Código)",IF(ISERROR(MATCH($AE113,INDIRECT(ORÇAMENTO.BancoRef),0)),"(Código não identificado nas referências)",MATCH($AE113,INDIRECT(ORÇAMENTO.BancoRef),0))))</f>
        <v>(abra o arquivo 'Referência 03-2024.xlsm)</v>
      </c>
      <c r="AG113" s="498">
        <f ca="1">ROUND(IF(DESONERACAO="sim",REFERENCIA.Desonerado,REFERENCIA.NaoDesonerado),2)</f>
        <v>0</v>
      </c>
      <c r="AH113" s="499">
        <f t="shared" ca="1" si="32"/>
        <v>0.28170000000000001</v>
      </c>
      <c r="AJ113" s="501">
        <v>5</v>
      </c>
      <c r="AL113" s="527"/>
      <c r="AM113" s="381">
        <f t="shared" ca="1" si="33"/>
        <v>422.45</v>
      </c>
      <c r="AN113" s="566">
        <f t="shared" ca="1" si="34"/>
        <v>84.49</v>
      </c>
    </row>
    <row r="114" spans="1:40" x14ac:dyDescent="0.2">
      <c r="A114">
        <f t="shared" si="19"/>
        <v>3</v>
      </c>
      <c r="B114">
        <f t="shared" ca="1" si="20"/>
        <v>3</v>
      </c>
      <c r="C114">
        <f t="shared" ca="1" si="21"/>
        <v>3</v>
      </c>
      <c r="D114">
        <f t="shared" ca="1" si="22"/>
        <v>5</v>
      </c>
      <c r="E114">
        <f ca="1">IF($C114=1,OFFSET(E114,-1,0)+MAX(1,COUNTIF(QCI!$A$13:$A$24,OFFSET(ORÇAMENTO!E114,-1,0))),OFFSET(E114,-1,0))</f>
        <v>1</v>
      </c>
      <c r="F114">
        <f t="shared" ca="1" si="23"/>
        <v>6</v>
      </c>
      <c r="G114">
        <f t="shared" ca="1" si="24"/>
        <v>6</v>
      </c>
      <c r="H114">
        <f t="shared" ca="1" si="25"/>
        <v>0</v>
      </c>
      <c r="I114">
        <f t="shared" ca="1" si="26"/>
        <v>0</v>
      </c>
      <c r="J114">
        <f t="shared" ca="1" si="17"/>
        <v>78</v>
      </c>
      <c r="K114">
        <f ca="1">IF(OR($C114="S",$C114=0),0,MATCH(OFFSET($D114,0,$C114)+IF($C114&lt;&gt;1,1,COUNTIF(QCI!$A$13:$A$24,ORÇAMENTO!E114)),OFFSET($D114,1,$C114,ROW($C$290)-ROW($C114)),0))</f>
        <v>5</v>
      </c>
      <c r="L114" s="116" t="str">
        <f t="shared" ca="1" si="27"/>
        <v>F</v>
      </c>
      <c r="M114" s="117" t="s">
        <v>197</v>
      </c>
      <c r="N114" s="118" t="str">
        <f t="shared" ca="1" si="28"/>
        <v>Nível 3</v>
      </c>
      <c r="O114" s="119" t="str">
        <f t="shared" ca="1" si="29"/>
        <v>1.6.6.</v>
      </c>
      <c r="P114" s="120" t="s">
        <v>247</v>
      </c>
      <c r="Q114" s="121"/>
      <c r="R114" s="122" t="s">
        <v>517</v>
      </c>
      <c r="S114" s="123" t="str">
        <f ca="1">REFERENCIA.Unidade</f>
        <v>-</v>
      </c>
      <c r="T114" s="124">
        <f ca="1">OFFSET(CÁLCULO!H$15,ROW($T114)-ROW(T$15),0)</f>
        <v>0</v>
      </c>
      <c r="U114" s="125">
        <v>0</v>
      </c>
      <c r="V114" s="126" t="s">
        <v>156</v>
      </c>
      <c r="W114" s="124">
        <f ca="1">IF($C114="S",ROUND(IF(TIPOORCAMENTO="Proposto",ORÇAMENTO.CustoUnitario*(1+$AH114),ORÇAMENTO.PrecoUnitarioLicitado),15-13*$AF$10),0)</f>
        <v>0</v>
      </c>
      <c r="X114" s="127">
        <f ca="1">IF($C114="S",IF(Import.TipoArredondamento&lt;&gt;"TransfereGOV",VTOTAL1,SUM(OFFSET(CÁLCULO!$AA$15,ROW($X114)-ROW($X$15),1):OFFSET(CÁLCULO!$AL$15,ROW($X114)-ROW($X$15),-1))),IF($C114=0,0,ROUND(SomaAgrup,15-13*$AF$11)))</f>
        <v>2718.36</v>
      </c>
      <c r="Y114" s="128" t="s">
        <v>245</v>
      </c>
      <c r="Z114" t="str">
        <f t="shared" ca="1" si="30"/>
        <v/>
      </c>
      <c r="AA114" s="129">
        <f ca="1">IF($C114="S",IF($Z114="CP",$X114,IF($Z114="RA",(($X114)*QCI!$AA$3),0)),SomaAgrup)</f>
        <v>2718.36</v>
      </c>
      <c r="AB114" s="130">
        <f t="shared" ca="1" si="31"/>
        <v>0</v>
      </c>
      <c r="AC114" s="131" t="str">
        <f ca="1">IF($N114="","",IF(ORÇAMENTO.Descricao="","DESCRIÇÃO",IF(AND($C114="S",ORÇAMENTO.Unidade=""),"UNIDADE",IF($X114&lt;0,"VALOR NEGATIVO",IF(OR(AND(TIPOORCAMENTO="Proposto",$AG114&lt;&gt;"",$AG114&gt;0,ORÇAMENTO.CustoUnitario&gt;$AG114),AND(TIPOORCAMENTO="LICITADO",ORÇAMENTO.PrecoUnitarioLicitado&gt;$AN114)),"ACIMA REF.","")))))</f>
        <v/>
      </c>
      <c r="AD114">
        <f ca="1">IF(C114&lt;=CRONO.NivelExibicao,MAX($AD$15:OFFSET(AD114,-1,0))+IF($C114&lt;&gt;1,1,MAX(1,COUNTIF(QCI!$A$13:$A$24,OFFSET($E114,-1,0)))),"")</f>
        <v>15</v>
      </c>
      <c r="AE114" s="7" t="b">
        <f ca="1">IF(AND($C114="S",ORÇAMENTO.CodBarra&lt;&gt;""),IF(ORÇAMENTO.Fonte="",ORÇAMENTO.CodBarra,CONCATENATE(ORÇAMENTO.Fonte," ",ORÇAMENTO.CodBarra)))</f>
        <v>0</v>
      </c>
      <c r="AF114" s="13" t="str">
        <f ca="1">IF(ISERROR(INDIRECT(ORÇAMENTO.BancoRef)),"(abra o arquivo 'Referência "&amp;Excel_BuiltIn_Database&amp;".xlsm)",IF(OR($C114&lt;&gt;"S",ORÇAMENTO.CodBarra=""),"(Sem Código)",IF(ISERROR(MATCH($AE114,INDIRECT(ORÇAMENTO.BancoRef),0)),"(Código não identificado nas referências)",MATCH($AE114,INDIRECT(ORÇAMENTO.BancoRef),0))))</f>
        <v>(abra o arquivo 'Referência 03-2024.xlsm)</v>
      </c>
      <c r="AG114" s="498">
        <f ca="1">ROUND(IF(DESONERACAO="sim",REFERENCIA.Desonerado,REFERENCIA.NaoDesonerado),2)</f>
        <v>0</v>
      </c>
      <c r="AH114" s="499">
        <f t="shared" ca="1" si="32"/>
        <v>0.28170000000000001</v>
      </c>
      <c r="AJ114" s="501"/>
      <c r="AL114" s="527"/>
      <c r="AM114" s="381">
        <f t="shared" ca="1" si="33"/>
        <v>2718.36</v>
      </c>
      <c r="AN114" s="566">
        <f t="shared" ca="1" si="34"/>
        <v>0</v>
      </c>
    </row>
    <row r="115" spans="1:40" ht="38.25" x14ac:dyDescent="0.2">
      <c r="A115" t="str">
        <f t="shared" si="19"/>
        <v>S</v>
      </c>
      <c r="B115">
        <f t="shared" ca="1" si="20"/>
        <v>3</v>
      </c>
      <c r="C115" t="str">
        <f t="shared" ca="1" si="21"/>
        <v>S</v>
      </c>
      <c r="D115">
        <f t="shared" ca="1" si="22"/>
        <v>0</v>
      </c>
      <c r="E115">
        <f ca="1">IF($C115=1,OFFSET(E115,-1,0)+MAX(1,COUNTIF(QCI!$A$13:$A$24,OFFSET(ORÇAMENTO!E115,-1,0))),OFFSET(E115,-1,0))</f>
        <v>1</v>
      </c>
      <c r="F115">
        <f t="shared" ca="1" si="23"/>
        <v>6</v>
      </c>
      <c r="G115">
        <f t="shared" ca="1" si="24"/>
        <v>6</v>
      </c>
      <c r="H115">
        <f t="shared" ca="1" si="25"/>
        <v>0</v>
      </c>
      <c r="I115">
        <f t="shared" ca="1" si="26"/>
        <v>1</v>
      </c>
      <c r="J115">
        <f t="shared" ca="1" si="17"/>
        <v>0</v>
      </c>
      <c r="K115">
        <f ca="1">IF(OR($C115="S",$C115=0),0,MATCH(OFFSET($D115,0,$C115)+IF($C115&lt;&gt;1,1,COUNTIF(QCI!$A$13:$A$24,ORÇAMENTO!E115)),OFFSET($D115,1,$C115,ROW($C$290)-ROW($C115)),0))</f>
        <v>0</v>
      </c>
      <c r="L115" s="116" t="str">
        <f t="shared" ca="1" si="27"/>
        <v>F</v>
      </c>
      <c r="M115" s="117" t="s">
        <v>199</v>
      </c>
      <c r="N115" s="118" t="str">
        <f t="shared" ca="1" si="28"/>
        <v>Serviço</v>
      </c>
      <c r="O115" s="119" t="str">
        <f t="shared" ca="1" si="29"/>
        <v>1.6.6.1.</v>
      </c>
      <c r="P115" s="120" t="s">
        <v>462</v>
      </c>
      <c r="Q115" s="121" t="s">
        <v>474</v>
      </c>
      <c r="R115" s="122" t="str">
        <f ca="1">IF($C115="S",REFERENCIA.Descricao,"(digite a descrição aqui)")</f>
        <v>(abra o arquivo 'Referência 03-2024.xlsm)</v>
      </c>
      <c r="S115" s="123" t="str">
        <f ca="1">REFERENCIA.Unidade</f>
        <v>-</v>
      </c>
      <c r="T115" s="124">
        <f ca="1">OFFSET(CÁLCULO!H$15,ROW($T115)-ROW(T$15),0)</f>
        <v>18.72</v>
      </c>
      <c r="U115" s="125">
        <v>50.64</v>
      </c>
      <c r="V115" s="126" t="s">
        <v>156</v>
      </c>
      <c r="W115" s="124">
        <f ca="1">IF($C115="S",ROUND(IF(TIPOORCAMENTO="Proposto",ORÇAMENTO.CustoUnitario*(1+$AH115),ORÇAMENTO.PrecoUnitarioLicitado),15-13*$AF$10),0)</f>
        <v>64.91</v>
      </c>
      <c r="X115" s="127">
        <f ca="1">IF($C115="S",IF(Import.TipoArredondamento&lt;&gt;"TransfereGOV",VTOTAL1,SUM(OFFSET(CÁLCULO!$AA$15,ROW($X115)-ROW($X$15),1):OFFSET(CÁLCULO!$AL$15,ROW($X115)-ROW($X$15),-1))),IF($C115=0,0,ROUND(SomaAgrup,15-13*$AF$11)))</f>
        <v>1215.1199999999999</v>
      </c>
      <c r="Y115" s="128" t="s">
        <v>245</v>
      </c>
      <c r="Z115" t="str">
        <f t="shared" ca="1" si="30"/>
        <v>RA</v>
      </c>
      <c r="AA115" s="129">
        <f ca="1">IF($C115="S",IF($Z115="CP",$X115,IF($Z115="RA",(($X115)*QCI!$AA$3),0)),SomaAgrup)</f>
        <v>1215.1199999999999</v>
      </c>
      <c r="AB115" s="130">
        <f t="shared" ca="1" si="31"/>
        <v>0</v>
      </c>
      <c r="AC115" s="131" t="str">
        <f ca="1">IF($N115="","",IF(ORÇAMENTO.Descricao="","DESCRIÇÃO",IF(AND($C115="S",ORÇAMENTO.Unidade=""),"UNIDADE",IF($X115&lt;0,"VALOR NEGATIVO",IF(OR(AND(TIPOORCAMENTO="Proposto",$AG115&lt;&gt;"",$AG115&gt;0,ORÇAMENTO.CustoUnitario&gt;$AG115),AND(TIPOORCAMENTO="LICITADO",ORÇAMENTO.PrecoUnitarioLicitado&gt;$AN115)),"ACIMA REF.","")))))</f>
        <v/>
      </c>
      <c r="AD115" t="str">
        <f ca="1">IF(C115&lt;=CRONO.NivelExibicao,MAX($AD$15:OFFSET(AD115,-1,0))+IF($C115&lt;&gt;1,1,MAX(1,COUNTIF(QCI!$A$13:$A$24,OFFSET($E115,-1,0)))),"")</f>
        <v/>
      </c>
      <c r="AE115" s="7" t="str">
        <f ca="1">IF(AND($C115="S",ORÇAMENTO.CodBarra&lt;&gt;""),IF(ORÇAMENTO.Fonte="",ORÇAMENTO.CodBarra,CONCATENATE(ORÇAMENTO.Fonte," ",ORÇAMENTO.CodBarra)))</f>
        <v>Composição 10</v>
      </c>
      <c r="AF115" s="13" t="str">
        <f ca="1">IF(ISERROR(INDIRECT(ORÇAMENTO.BancoRef)),"(abra o arquivo 'Referência "&amp;Excel_BuiltIn_Database&amp;".xlsm)",IF(OR($C115&lt;&gt;"S",ORÇAMENTO.CodBarra=""),"(Sem Código)",IF(ISERROR(MATCH($AE115,INDIRECT(ORÇAMENTO.BancoRef),0)),"(Código não identificado nas referências)",MATCH($AE115,INDIRECT(ORÇAMENTO.BancoRef),0))))</f>
        <v>(abra o arquivo 'Referência 03-2024.xlsm)</v>
      </c>
      <c r="AG115" s="498">
        <f ca="1">ROUND(IF(DESONERACAO="sim",REFERENCIA.Desonerado,REFERENCIA.NaoDesonerado),2)</f>
        <v>0</v>
      </c>
      <c r="AH115" s="499">
        <f t="shared" ca="1" si="32"/>
        <v>0.28170000000000001</v>
      </c>
      <c r="AJ115" s="501">
        <v>18.72</v>
      </c>
      <c r="AL115" s="527"/>
      <c r="AM115" s="381">
        <f t="shared" ca="1" si="33"/>
        <v>1215.1199999999999</v>
      </c>
      <c r="AN115" s="566">
        <f t="shared" ca="1" si="34"/>
        <v>64.91</v>
      </c>
    </row>
    <row r="116" spans="1:40" ht="51" x14ac:dyDescent="0.2">
      <c r="A116" t="str">
        <f t="shared" si="19"/>
        <v>S</v>
      </c>
      <c r="B116">
        <f t="shared" ca="1" si="20"/>
        <v>3</v>
      </c>
      <c r="C116" t="str">
        <f t="shared" ca="1" si="21"/>
        <v>S</v>
      </c>
      <c r="D116">
        <f t="shared" ca="1" si="22"/>
        <v>0</v>
      </c>
      <c r="E116">
        <f ca="1">IF($C116=1,OFFSET(E116,-1,0)+MAX(1,COUNTIF(QCI!$A$13:$A$24,OFFSET(ORÇAMENTO!E116,-1,0))),OFFSET(E116,-1,0))</f>
        <v>1</v>
      </c>
      <c r="F116">
        <f t="shared" ca="1" si="23"/>
        <v>6</v>
      </c>
      <c r="G116">
        <f t="shared" ca="1" si="24"/>
        <v>6</v>
      </c>
      <c r="H116">
        <f t="shared" ca="1" si="25"/>
        <v>0</v>
      </c>
      <c r="I116">
        <f t="shared" ca="1" si="26"/>
        <v>2</v>
      </c>
      <c r="J116">
        <f t="shared" ca="1" si="17"/>
        <v>0</v>
      </c>
      <c r="K116">
        <f ca="1">IF(OR($C116="S",$C116=0),0,MATCH(OFFSET($D116,0,$C116)+IF($C116&lt;&gt;1,1,COUNTIF(QCI!$A$13:$A$24,ORÇAMENTO!E116)),OFFSET($D116,1,$C116,ROW($C$290)-ROW($C116)),0))</f>
        <v>0</v>
      </c>
      <c r="L116" s="116" t="str">
        <f t="shared" ca="1" si="27"/>
        <v>F</v>
      </c>
      <c r="M116" s="117" t="s">
        <v>199</v>
      </c>
      <c r="N116" s="118" t="str">
        <f t="shared" ca="1" si="28"/>
        <v>Serviço</v>
      </c>
      <c r="O116" s="119" t="str">
        <f t="shared" ca="1" si="29"/>
        <v>1.6.6.2.</v>
      </c>
      <c r="P116" s="120" t="s">
        <v>462</v>
      </c>
      <c r="Q116" s="121" t="s">
        <v>475</v>
      </c>
      <c r="R116" s="122" t="str">
        <f ca="1">IF($C116="S",REFERENCIA.Descricao,"(digite a descrição aqui)")</f>
        <v>(abra o arquivo 'Referência 03-2024.xlsm)</v>
      </c>
      <c r="S116" s="123" t="str">
        <f ca="1">REFERENCIA.Unidade</f>
        <v>-</v>
      </c>
      <c r="T116" s="124">
        <f ca="1">OFFSET(CÁLCULO!H$15,ROW($T116)-ROW(T$15),0)</f>
        <v>0.93</v>
      </c>
      <c r="U116" s="125">
        <v>502.29</v>
      </c>
      <c r="V116" s="126" t="s">
        <v>156</v>
      </c>
      <c r="W116" s="124">
        <f ca="1">IF($C116="S",ROUND(IF(TIPOORCAMENTO="Proposto",ORÇAMENTO.CustoUnitario*(1+$AH116),ORÇAMENTO.PrecoUnitarioLicitado),15-13*$AF$10),0)</f>
        <v>643.79</v>
      </c>
      <c r="X116" s="127">
        <f ca="1">IF($C116="S",IF(Import.TipoArredondamento&lt;&gt;"TransfereGOV",VTOTAL1,SUM(OFFSET(CÁLCULO!$AA$15,ROW($X116)-ROW($X$15),1):OFFSET(CÁLCULO!$AL$15,ROW($X116)-ROW($X$15),-1))),IF($C116=0,0,ROUND(SomaAgrup,15-13*$AF$11)))</f>
        <v>598.72</v>
      </c>
      <c r="Y116" s="128" t="s">
        <v>245</v>
      </c>
      <c r="Z116" t="str">
        <f t="shared" ca="1" si="30"/>
        <v>RA</v>
      </c>
      <c r="AA116" s="129">
        <f ca="1">IF($C116="S",IF($Z116="CP",$X116,IF($Z116="RA",(($X116)*QCI!$AA$3),0)),SomaAgrup)</f>
        <v>598.72</v>
      </c>
      <c r="AB116" s="130">
        <f t="shared" ca="1" si="31"/>
        <v>0</v>
      </c>
      <c r="AC116" s="131" t="str">
        <f ca="1">IF($N116="","",IF(ORÇAMENTO.Descricao="","DESCRIÇÃO",IF(AND($C116="S",ORÇAMENTO.Unidade=""),"UNIDADE",IF($X116&lt;0,"VALOR NEGATIVO",IF(OR(AND(TIPOORCAMENTO="Proposto",$AG116&lt;&gt;"",$AG116&gt;0,ORÇAMENTO.CustoUnitario&gt;$AG116),AND(TIPOORCAMENTO="LICITADO",ORÇAMENTO.PrecoUnitarioLicitado&gt;$AN116)),"ACIMA REF.","")))))</f>
        <v/>
      </c>
      <c r="AD116" t="str">
        <f ca="1">IF(C116&lt;=CRONO.NivelExibicao,MAX($AD$15:OFFSET(AD116,-1,0))+IF($C116&lt;&gt;1,1,MAX(1,COUNTIF(QCI!$A$13:$A$24,OFFSET($E116,-1,0)))),"")</f>
        <v/>
      </c>
      <c r="AE116" s="7" t="str">
        <f ca="1">IF(AND($C116="S",ORÇAMENTO.CodBarra&lt;&gt;""),IF(ORÇAMENTO.Fonte="",ORÇAMENTO.CodBarra,CONCATENATE(ORÇAMENTO.Fonte," ",ORÇAMENTO.CodBarra)))</f>
        <v>Composição 11</v>
      </c>
      <c r="AF116" s="13" t="str">
        <f ca="1">IF(ISERROR(INDIRECT(ORÇAMENTO.BancoRef)),"(abra o arquivo 'Referência "&amp;Excel_BuiltIn_Database&amp;".xlsm)",IF(OR($C116&lt;&gt;"S",ORÇAMENTO.CodBarra=""),"(Sem Código)",IF(ISERROR(MATCH($AE116,INDIRECT(ORÇAMENTO.BancoRef),0)),"(Código não identificado nas referências)",MATCH($AE116,INDIRECT(ORÇAMENTO.BancoRef),0))))</f>
        <v>(abra o arquivo 'Referência 03-2024.xlsm)</v>
      </c>
      <c r="AG116" s="498">
        <f ca="1">ROUND(IF(DESONERACAO="sim",REFERENCIA.Desonerado,REFERENCIA.NaoDesonerado),2)</f>
        <v>0</v>
      </c>
      <c r="AH116" s="499">
        <f t="shared" ca="1" si="32"/>
        <v>0.28170000000000001</v>
      </c>
      <c r="AJ116" s="501">
        <v>0.93</v>
      </c>
      <c r="AL116" s="527"/>
      <c r="AM116" s="381">
        <f t="shared" ca="1" si="33"/>
        <v>598.72</v>
      </c>
      <c r="AN116" s="566">
        <f t="shared" ca="1" si="34"/>
        <v>643.79</v>
      </c>
    </row>
    <row r="117" spans="1:40" ht="38.25" x14ac:dyDescent="0.2">
      <c r="A117" t="str">
        <f t="shared" si="19"/>
        <v>S</v>
      </c>
      <c r="B117">
        <f t="shared" ca="1" si="20"/>
        <v>3</v>
      </c>
      <c r="C117" t="str">
        <f t="shared" ca="1" si="21"/>
        <v>S</v>
      </c>
      <c r="D117">
        <f t="shared" ca="1" si="22"/>
        <v>0</v>
      </c>
      <c r="E117">
        <f ca="1">IF($C117=1,OFFSET(E117,-1,0)+MAX(1,COUNTIF(QCI!$A$13:$A$24,OFFSET(ORÇAMENTO!E117,-1,0))),OFFSET(E117,-1,0))</f>
        <v>1</v>
      </c>
      <c r="F117">
        <f t="shared" ca="1" si="23"/>
        <v>6</v>
      </c>
      <c r="G117">
        <f t="shared" ca="1" si="24"/>
        <v>6</v>
      </c>
      <c r="H117">
        <f t="shared" ca="1" si="25"/>
        <v>0</v>
      </c>
      <c r="I117">
        <f t="shared" ca="1" si="26"/>
        <v>3</v>
      </c>
      <c r="J117">
        <f t="shared" ca="1" si="17"/>
        <v>0</v>
      </c>
      <c r="K117">
        <f ca="1">IF(OR($C117="S",$C117=0),0,MATCH(OFFSET($D117,0,$C117)+IF($C117&lt;&gt;1,1,COUNTIF(QCI!$A$13:$A$24,ORÇAMENTO!E117)),OFFSET($D117,1,$C117,ROW($C$290)-ROW($C117)),0))</f>
        <v>0</v>
      </c>
      <c r="L117" s="116" t="str">
        <f t="shared" ca="1" si="27"/>
        <v>F</v>
      </c>
      <c r="M117" s="117" t="s">
        <v>199</v>
      </c>
      <c r="N117" s="118" t="str">
        <f t="shared" ca="1" si="28"/>
        <v>Serviço</v>
      </c>
      <c r="O117" s="119" t="str">
        <f t="shared" ca="1" si="29"/>
        <v>1.6.6.3.</v>
      </c>
      <c r="P117" s="120" t="s">
        <v>462</v>
      </c>
      <c r="Q117" s="121" t="s">
        <v>476</v>
      </c>
      <c r="R117" s="122" t="str">
        <f ca="1">IF($C117="S",REFERENCIA.Descricao,"(digite a descrição aqui)")</f>
        <v>(abra o arquivo 'Referência 03-2024.xlsm)</v>
      </c>
      <c r="S117" s="123" t="str">
        <f ca="1">REFERENCIA.Unidade</f>
        <v>-</v>
      </c>
      <c r="T117" s="124">
        <f ca="1">OFFSET(CÁLCULO!H$15,ROW($T117)-ROW(T$15),0)</f>
        <v>16.850000000000001</v>
      </c>
      <c r="U117" s="125">
        <v>11.53</v>
      </c>
      <c r="V117" s="126" t="s">
        <v>156</v>
      </c>
      <c r="W117" s="124">
        <f ca="1">IF($C117="S",ROUND(IF(TIPOORCAMENTO="Proposto",ORÇAMENTO.CustoUnitario*(1+$AH117),ORÇAMENTO.PrecoUnitarioLicitado),15-13*$AF$10),0)</f>
        <v>14.78</v>
      </c>
      <c r="X117" s="127">
        <f ca="1">IF($C117="S",IF(Import.TipoArredondamento&lt;&gt;"TransfereGOV",VTOTAL1,SUM(OFFSET(CÁLCULO!$AA$15,ROW($X117)-ROW($X$15),1):OFFSET(CÁLCULO!$AL$15,ROW($X117)-ROW($X$15),-1))),IF($C117=0,0,ROUND(SomaAgrup,15-13*$AF$11)))</f>
        <v>249.04</v>
      </c>
      <c r="Y117" s="128" t="s">
        <v>245</v>
      </c>
      <c r="Z117" t="str">
        <f t="shared" ca="1" si="30"/>
        <v>RA</v>
      </c>
      <c r="AA117" s="129">
        <f ca="1">IF($C117="S",IF($Z117="CP",$X117,IF($Z117="RA",(($X117)*QCI!$AA$3),0)),SomaAgrup)</f>
        <v>249.04</v>
      </c>
      <c r="AB117" s="130">
        <f t="shared" ca="1" si="31"/>
        <v>0</v>
      </c>
      <c r="AC117" s="131" t="str">
        <f ca="1">IF($N117="","",IF(ORÇAMENTO.Descricao="","DESCRIÇÃO",IF(AND($C117="S",ORÇAMENTO.Unidade=""),"UNIDADE",IF($X117&lt;0,"VALOR NEGATIVO",IF(OR(AND(TIPOORCAMENTO="Proposto",$AG117&lt;&gt;"",$AG117&gt;0,ORÇAMENTO.CustoUnitario&gt;$AG117),AND(TIPOORCAMENTO="LICITADO",ORÇAMENTO.PrecoUnitarioLicitado&gt;$AN117)),"ACIMA REF.","")))))</f>
        <v/>
      </c>
      <c r="AD117" t="str">
        <f ca="1">IF(C117&lt;=CRONO.NivelExibicao,MAX($AD$15:OFFSET(AD117,-1,0))+IF($C117&lt;&gt;1,1,MAX(1,COUNTIF(QCI!$A$13:$A$24,OFFSET($E117,-1,0)))),"")</f>
        <v/>
      </c>
      <c r="AE117" s="7" t="str">
        <f ca="1">IF(AND($C117="S",ORÇAMENTO.CodBarra&lt;&gt;""),IF(ORÇAMENTO.Fonte="",ORÇAMENTO.CodBarra,CONCATENATE(ORÇAMENTO.Fonte," ",ORÇAMENTO.CodBarra)))</f>
        <v>Composição 12</v>
      </c>
      <c r="AF117" s="13" t="str">
        <f ca="1">IF(ISERROR(INDIRECT(ORÇAMENTO.BancoRef)),"(abra o arquivo 'Referência "&amp;Excel_BuiltIn_Database&amp;".xlsm)",IF(OR($C117&lt;&gt;"S",ORÇAMENTO.CodBarra=""),"(Sem Código)",IF(ISERROR(MATCH($AE117,INDIRECT(ORÇAMENTO.BancoRef),0)),"(Código não identificado nas referências)",MATCH($AE117,INDIRECT(ORÇAMENTO.BancoRef),0))))</f>
        <v>(abra o arquivo 'Referência 03-2024.xlsm)</v>
      </c>
      <c r="AG117" s="498">
        <f ca="1">ROUND(IF(DESONERACAO="sim",REFERENCIA.Desonerado,REFERENCIA.NaoDesonerado),2)</f>
        <v>0</v>
      </c>
      <c r="AH117" s="499">
        <f t="shared" ca="1" si="32"/>
        <v>0.28170000000000001</v>
      </c>
      <c r="AJ117" s="501">
        <v>16.850000000000001</v>
      </c>
      <c r="AL117" s="527"/>
      <c r="AM117" s="381">
        <f t="shared" ca="1" si="33"/>
        <v>249.04</v>
      </c>
      <c r="AN117" s="566">
        <f t="shared" ca="1" si="34"/>
        <v>14.78</v>
      </c>
    </row>
    <row r="118" spans="1:40" ht="38.25" x14ac:dyDescent="0.2">
      <c r="A118" t="str">
        <f t="shared" si="19"/>
        <v>S</v>
      </c>
      <c r="B118">
        <f t="shared" ca="1" si="20"/>
        <v>3</v>
      </c>
      <c r="C118" t="str">
        <f t="shared" ca="1" si="21"/>
        <v>S</v>
      </c>
      <c r="D118">
        <f t="shared" ca="1" si="22"/>
        <v>0</v>
      </c>
      <c r="E118">
        <f ca="1">IF($C118=1,OFFSET(E118,-1,0)+MAX(1,COUNTIF(QCI!$A$13:$A$24,OFFSET(ORÇAMENTO!E118,-1,0))),OFFSET(E118,-1,0))</f>
        <v>1</v>
      </c>
      <c r="F118">
        <f t="shared" ca="1" si="23"/>
        <v>6</v>
      </c>
      <c r="G118">
        <f t="shared" ca="1" si="24"/>
        <v>6</v>
      </c>
      <c r="H118">
        <f t="shared" ca="1" si="25"/>
        <v>0</v>
      </c>
      <c r="I118">
        <f t="shared" ca="1" si="26"/>
        <v>4</v>
      </c>
      <c r="J118">
        <f t="shared" ca="1" si="17"/>
        <v>0</v>
      </c>
      <c r="K118">
        <f ca="1">IF(OR($C118="S",$C118=0),0,MATCH(OFFSET($D118,0,$C118)+IF($C118&lt;&gt;1,1,COUNTIF(QCI!$A$13:$A$24,ORÇAMENTO!E118)),OFFSET($D118,1,$C118,ROW($C$290)-ROW($C118)),0))</f>
        <v>0</v>
      </c>
      <c r="L118" s="116" t="str">
        <f t="shared" ca="1" si="27"/>
        <v>F</v>
      </c>
      <c r="M118" s="117" t="s">
        <v>199</v>
      </c>
      <c r="N118" s="118" t="str">
        <f t="shared" ca="1" si="28"/>
        <v>Serviço</v>
      </c>
      <c r="O118" s="119" t="str">
        <f t="shared" ca="1" si="29"/>
        <v>1.6.6.4.</v>
      </c>
      <c r="P118" s="120" t="s">
        <v>462</v>
      </c>
      <c r="Q118" s="121" t="s">
        <v>512</v>
      </c>
      <c r="R118" s="122" t="str">
        <f ca="1">IF($C118="S",REFERENCIA.Descricao,"(digite a descrição aqui)")</f>
        <v>(abra o arquivo 'Referência 03-2024.xlsm)</v>
      </c>
      <c r="S118" s="123" t="str">
        <f ca="1">REFERENCIA.Unidade</f>
        <v>-</v>
      </c>
      <c r="T118" s="124">
        <f ca="1">OFFSET(CÁLCULO!H$15,ROW($T118)-ROW(T$15),0)</f>
        <v>51.33</v>
      </c>
      <c r="U118" s="125">
        <v>9.9600000000000009</v>
      </c>
      <c r="V118" s="126" t="s">
        <v>156</v>
      </c>
      <c r="W118" s="124">
        <f ca="1">IF($C118="S",ROUND(IF(TIPOORCAMENTO="Proposto",ORÇAMENTO.CustoUnitario*(1+$AH118),ORÇAMENTO.PrecoUnitarioLicitado),15-13*$AF$10),0)</f>
        <v>12.77</v>
      </c>
      <c r="X118" s="127">
        <f ca="1">IF($C118="S",IF(Import.TipoArredondamento&lt;&gt;"TransfereGOV",VTOTAL1,SUM(OFFSET(CÁLCULO!$AA$15,ROW($X118)-ROW($X$15),1):OFFSET(CÁLCULO!$AL$15,ROW($X118)-ROW($X$15),-1))),IF($C118=0,0,ROUND(SomaAgrup,15-13*$AF$11)))</f>
        <v>655.48</v>
      </c>
      <c r="Y118" s="128" t="s">
        <v>245</v>
      </c>
      <c r="Z118" t="str">
        <f t="shared" ca="1" si="30"/>
        <v>RA</v>
      </c>
      <c r="AA118" s="129">
        <f ca="1">IF($C118="S",IF($Z118="CP",$X118,IF($Z118="RA",(($X118)*QCI!$AA$3),0)),SomaAgrup)</f>
        <v>655.48</v>
      </c>
      <c r="AB118" s="130">
        <f t="shared" ca="1" si="31"/>
        <v>0</v>
      </c>
      <c r="AC118" s="131" t="str">
        <f ca="1">IF($N118="","",IF(ORÇAMENTO.Descricao="","DESCRIÇÃO",IF(AND($C118="S",ORÇAMENTO.Unidade=""),"UNIDADE",IF($X118&lt;0,"VALOR NEGATIVO",IF(OR(AND(TIPOORCAMENTO="Proposto",$AG118&lt;&gt;"",$AG118&gt;0,ORÇAMENTO.CustoUnitario&gt;$AG118),AND(TIPOORCAMENTO="LICITADO",ORÇAMENTO.PrecoUnitarioLicitado&gt;$AN118)),"ACIMA REF.","")))))</f>
        <v/>
      </c>
      <c r="AD118" t="str">
        <f ca="1">IF(C118&lt;=CRONO.NivelExibicao,MAX($AD$15:OFFSET(AD118,-1,0))+IF($C118&lt;&gt;1,1,MAX(1,COUNTIF(QCI!$A$13:$A$24,OFFSET($E118,-1,0)))),"")</f>
        <v/>
      </c>
      <c r="AE118" s="7" t="str">
        <f ca="1">IF(AND($C118="S",ORÇAMENTO.CodBarra&lt;&gt;""),IF(ORÇAMENTO.Fonte="",ORÇAMENTO.CodBarra,CONCATENATE(ORÇAMENTO.Fonte," ",ORÇAMENTO.CodBarra)))</f>
        <v>Composição 35</v>
      </c>
      <c r="AF118" s="13" t="str">
        <f ca="1">IF(ISERROR(INDIRECT(ORÇAMENTO.BancoRef)),"(abra o arquivo 'Referência "&amp;Excel_BuiltIn_Database&amp;".xlsm)",IF(OR($C118&lt;&gt;"S",ORÇAMENTO.CodBarra=""),"(Sem Código)",IF(ISERROR(MATCH($AE118,INDIRECT(ORÇAMENTO.BancoRef),0)),"(Código não identificado nas referências)",MATCH($AE118,INDIRECT(ORÇAMENTO.BancoRef),0))))</f>
        <v>(abra o arquivo 'Referência 03-2024.xlsm)</v>
      </c>
      <c r="AG118" s="498">
        <f ca="1">ROUND(IF(DESONERACAO="sim",REFERENCIA.Desonerado,REFERENCIA.NaoDesonerado),2)</f>
        <v>0</v>
      </c>
      <c r="AH118" s="499">
        <f t="shared" ca="1" si="32"/>
        <v>0.28170000000000001</v>
      </c>
      <c r="AJ118" s="501">
        <v>51.33</v>
      </c>
      <c r="AL118" s="527"/>
      <c r="AM118" s="381">
        <f t="shared" ca="1" si="33"/>
        <v>655.48</v>
      </c>
      <c r="AN118" s="566">
        <f t="shared" ca="1" si="34"/>
        <v>12.77</v>
      </c>
    </row>
    <row r="119" spans="1:40" x14ac:dyDescent="0.2">
      <c r="A119">
        <f t="shared" si="19"/>
        <v>3</v>
      </c>
      <c r="B119">
        <f t="shared" ca="1" si="20"/>
        <v>3</v>
      </c>
      <c r="C119">
        <f t="shared" ca="1" si="21"/>
        <v>3</v>
      </c>
      <c r="D119">
        <f t="shared" ca="1" si="22"/>
        <v>5</v>
      </c>
      <c r="E119">
        <f ca="1">IF($C119=1,OFFSET(E119,-1,0)+MAX(1,COUNTIF(QCI!$A$13:$A$24,OFFSET(ORÇAMENTO!E119,-1,0))),OFFSET(E119,-1,0))</f>
        <v>1</v>
      </c>
      <c r="F119">
        <f t="shared" ca="1" si="23"/>
        <v>6</v>
      </c>
      <c r="G119">
        <f t="shared" ca="1" si="24"/>
        <v>7</v>
      </c>
      <c r="H119">
        <f t="shared" ca="1" si="25"/>
        <v>0</v>
      </c>
      <c r="I119">
        <f t="shared" ca="1" si="26"/>
        <v>0</v>
      </c>
      <c r="J119">
        <f t="shared" ca="1" si="17"/>
        <v>73</v>
      </c>
      <c r="K119">
        <f ca="1">IF(OR($C119="S",$C119=0),0,MATCH(OFFSET($D119,0,$C119)+IF($C119&lt;&gt;1,1,COUNTIF(QCI!$A$13:$A$24,ORÇAMENTO!E119)),OFFSET($D119,1,$C119,ROW($C$290)-ROW($C119)),0))</f>
        <v>5</v>
      </c>
      <c r="L119" s="116" t="str">
        <f t="shared" ca="1" si="27"/>
        <v>F</v>
      </c>
      <c r="M119" s="117" t="s">
        <v>197</v>
      </c>
      <c r="N119" s="118" t="str">
        <f t="shared" ca="1" si="28"/>
        <v>Nível 3</v>
      </c>
      <c r="O119" s="119" t="str">
        <f t="shared" ca="1" si="29"/>
        <v>1.6.7.</v>
      </c>
      <c r="P119" s="120" t="s">
        <v>247</v>
      </c>
      <c r="Q119" s="121"/>
      <c r="R119" s="122" t="s">
        <v>521</v>
      </c>
      <c r="S119" s="123" t="str">
        <f ca="1">REFERENCIA.Unidade</f>
        <v>-</v>
      </c>
      <c r="T119" s="124">
        <f ca="1">OFFSET(CÁLCULO!H$15,ROW($T119)-ROW(T$15),0)</f>
        <v>0</v>
      </c>
      <c r="U119" s="125">
        <v>0</v>
      </c>
      <c r="V119" s="126" t="s">
        <v>156</v>
      </c>
      <c r="W119" s="124">
        <f ca="1">IF($C119="S",ROUND(IF(TIPOORCAMENTO="Proposto",ORÇAMENTO.CustoUnitario*(1+$AH119),ORÇAMENTO.PrecoUnitarioLicitado),15-13*$AF$10),0)</f>
        <v>0</v>
      </c>
      <c r="X119" s="127">
        <f ca="1">IF($C119="S",IF(Import.TipoArredondamento&lt;&gt;"TransfereGOV",VTOTAL1,SUM(OFFSET(CÁLCULO!$AA$15,ROW($X119)-ROW($X$15),1):OFFSET(CÁLCULO!$AL$15,ROW($X119)-ROW($X$15),-1))),IF($C119=0,0,ROUND(SomaAgrup,15-13*$AF$11)))</f>
        <v>1785.8</v>
      </c>
      <c r="Y119" s="128" t="s">
        <v>245</v>
      </c>
      <c r="Z119" t="str">
        <f t="shared" ca="1" si="30"/>
        <v/>
      </c>
      <c r="AA119" s="129">
        <f ca="1">IF($C119="S",IF($Z119="CP",$X119,IF($Z119="RA",(($X119)*QCI!$AA$3),0)),SomaAgrup)</f>
        <v>1785.8000000000002</v>
      </c>
      <c r="AB119" s="130">
        <f t="shared" ca="1" si="31"/>
        <v>0</v>
      </c>
      <c r="AC119" s="131" t="str">
        <f ca="1">IF($N119="","",IF(ORÇAMENTO.Descricao="","DESCRIÇÃO",IF(AND($C119="S",ORÇAMENTO.Unidade=""),"UNIDADE",IF($X119&lt;0,"VALOR NEGATIVO",IF(OR(AND(TIPOORCAMENTO="Proposto",$AG119&lt;&gt;"",$AG119&gt;0,ORÇAMENTO.CustoUnitario&gt;$AG119),AND(TIPOORCAMENTO="LICITADO",ORÇAMENTO.PrecoUnitarioLicitado&gt;$AN119)),"ACIMA REF.","")))))</f>
        <v/>
      </c>
      <c r="AD119">
        <f ca="1">IF(C119&lt;=CRONO.NivelExibicao,MAX($AD$15:OFFSET(AD119,-1,0))+IF($C119&lt;&gt;1,1,MAX(1,COUNTIF(QCI!$A$13:$A$24,OFFSET($E119,-1,0)))),"")</f>
        <v>16</v>
      </c>
      <c r="AE119" s="7" t="b">
        <f ca="1">IF(AND($C119="S",ORÇAMENTO.CodBarra&lt;&gt;""),IF(ORÇAMENTO.Fonte="",ORÇAMENTO.CodBarra,CONCATENATE(ORÇAMENTO.Fonte," ",ORÇAMENTO.CodBarra)))</f>
        <v>0</v>
      </c>
      <c r="AF119" s="13" t="str">
        <f ca="1">IF(ISERROR(INDIRECT(ORÇAMENTO.BancoRef)),"(abra o arquivo 'Referência "&amp;Excel_BuiltIn_Database&amp;".xlsm)",IF(OR($C119&lt;&gt;"S",ORÇAMENTO.CodBarra=""),"(Sem Código)",IF(ISERROR(MATCH($AE119,INDIRECT(ORÇAMENTO.BancoRef),0)),"(Código não identificado nas referências)",MATCH($AE119,INDIRECT(ORÇAMENTO.BancoRef),0))))</f>
        <v>(abra o arquivo 'Referência 03-2024.xlsm)</v>
      </c>
      <c r="AG119" s="498">
        <f ca="1">ROUND(IF(DESONERACAO="sim",REFERENCIA.Desonerado,REFERENCIA.NaoDesonerado),2)</f>
        <v>0</v>
      </c>
      <c r="AH119" s="499">
        <f t="shared" ca="1" si="32"/>
        <v>0.28170000000000001</v>
      </c>
      <c r="AJ119" s="501"/>
      <c r="AL119" s="527"/>
      <c r="AM119" s="381">
        <f t="shared" ca="1" si="33"/>
        <v>1785.8</v>
      </c>
      <c r="AN119" s="566">
        <f t="shared" ca="1" si="34"/>
        <v>0</v>
      </c>
    </row>
    <row r="120" spans="1:40" ht="38.25" x14ac:dyDescent="0.2">
      <c r="A120" t="str">
        <f t="shared" si="19"/>
        <v>S</v>
      </c>
      <c r="B120">
        <f t="shared" ca="1" si="20"/>
        <v>3</v>
      </c>
      <c r="C120" t="str">
        <f t="shared" ca="1" si="21"/>
        <v>S</v>
      </c>
      <c r="D120">
        <f t="shared" ca="1" si="22"/>
        <v>0</v>
      </c>
      <c r="E120">
        <f ca="1">IF($C120=1,OFFSET(E120,-1,0)+MAX(1,COUNTIF(QCI!$A$13:$A$24,OFFSET(ORÇAMENTO!E120,-1,0))),OFFSET(E120,-1,0))</f>
        <v>1</v>
      </c>
      <c r="F120">
        <f t="shared" ca="1" si="23"/>
        <v>6</v>
      </c>
      <c r="G120">
        <f t="shared" ca="1" si="24"/>
        <v>7</v>
      </c>
      <c r="H120">
        <f t="shared" ca="1" si="25"/>
        <v>0</v>
      </c>
      <c r="I120">
        <f t="shared" ca="1" si="26"/>
        <v>1</v>
      </c>
      <c r="J120">
        <f t="shared" ca="1" si="17"/>
        <v>0</v>
      </c>
      <c r="K120">
        <f ca="1">IF(OR($C120="S",$C120=0),0,MATCH(OFFSET($D120,0,$C120)+IF($C120&lt;&gt;1,1,COUNTIF(QCI!$A$13:$A$24,ORÇAMENTO!E120)),OFFSET($D120,1,$C120,ROW($C$290)-ROW($C120)),0))</f>
        <v>0</v>
      </c>
      <c r="L120" s="116" t="str">
        <f t="shared" ca="1" si="27"/>
        <v>F</v>
      </c>
      <c r="M120" s="117" t="s">
        <v>199</v>
      </c>
      <c r="N120" s="118" t="str">
        <f t="shared" ca="1" si="28"/>
        <v>Serviço</v>
      </c>
      <c r="O120" s="119" t="str">
        <f t="shared" ca="1" si="29"/>
        <v>1.6.7.1.</v>
      </c>
      <c r="P120" s="120" t="s">
        <v>462</v>
      </c>
      <c r="Q120" s="121" t="s">
        <v>474</v>
      </c>
      <c r="R120" s="122" t="str">
        <f ca="1">IF($C120="S",REFERENCIA.Descricao,"(digite a descrição aqui)")</f>
        <v>(abra o arquivo 'Referência 03-2024.xlsm)</v>
      </c>
      <c r="S120" s="123" t="str">
        <f ca="1">REFERENCIA.Unidade</f>
        <v>-</v>
      </c>
      <c r="T120" s="124">
        <f ca="1">OFFSET(CÁLCULO!H$15,ROW($T120)-ROW(T$15),0)</f>
        <v>7.78</v>
      </c>
      <c r="U120" s="125">
        <v>50.64</v>
      </c>
      <c r="V120" s="126" t="s">
        <v>156</v>
      </c>
      <c r="W120" s="124">
        <f ca="1">IF($C120="S",ROUND(IF(TIPOORCAMENTO="Proposto",ORÇAMENTO.CustoUnitario*(1+$AH120),ORÇAMENTO.PrecoUnitarioLicitado),15-13*$AF$10),0)</f>
        <v>64.91</v>
      </c>
      <c r="X120" s="127">
        <f ca="1">IF($C120="S",IF(Import.TipoArredondamento&lt;&gt;"TransfereGOV",VTOTAL1,SUM(OFFSET(CÁLCULO!$AA$15,ROW($X120)-ROW($X$15),1):OFFSET(CÁLCULO!$AL$15,ROW($X120)-ROW($X$15),-1))),IF($C120=0,0,ROUND(SomaAgrup,15-13*$AF$11)))</f>
        <v>505</v>
      </c>
      <c r="Y120" s="128" t="s">
        <v>245</v>
      </c>
      <c r="Z120" t="str">
        <f t="shared" ca="1" si="30"/>
        <v>RA</v>
      </c>
      <c r="AA120" s="129">
        <f ca="1">IF($C120="S",IF($Z120="CP",$X120,IF($Z120="RA",(($X120)*QCI!$AA$3),0)),SomaAgrup)</f>
        <v>505</v>
      </c>
      <c r="AB120" s="130">
        <f t="shared" ca="1" si="31"/>
        <v>0</v>
      </c>
      <c r="AC120" s="131" t="str">
        <f ca="1">IF($N120="","",IF(ORÇAMENTO.Descricao="","DESCRIÇÃO",IF(AND($C120="S",ORÇAMENTO.Unidade=""),"UNIDADE",IF($X120&lt;0,"VALOR NEGATIVO",IF(OR(AND(TIPOORCAMENTO="Proposto",$AG120&lt;&gt;"",$AG120&gt;0,ORÇAMENTO.CustoUnitario&gt;$AG120),AND(TIPOORCAMENTO="LICITADO",ORÇAMENTO.PrecoUnitarioLicitado&gt;$AN120)),"ACIMA REF.","")))))</f>
        <v/>
      </c>
      <c r="AD120" t="str">
        <f ca="1">IF(C120&lt;=CRONO.NivelExibicao,MAX($AD$15:OFFSET(AD120,-1,0))+IF($C120&lt;&gt;1,1,MAX(1,COUNTIF(QCI!$A$13:$A$24,OFFSET($E120,-1,0)))),"")</f>
        <v/>
      </c>
      <c r="AE120" s="7" t="str">
        <f ca="1">IF(AND($C120="S",ORÇAMENTO.CodBarra&lt;&gt;""),IF(ORÇAMENTO.Fonte="",ORÇAMENTO.CodBarra,CONCATENATE(ORÇAMENTO.Fonte," ",ORÇAMENTO.CodBarra)))</f>
        <v>Composição 10</v>
      </c>
      <c r="AF120" s="13" t="str">
        <f ca="1">IF(ISERROR(INDIRECT(ORÇAMENTO.BancoRef)),"(abra o arquivo 'Referência "&amp;Excel_BuiltIn_Database&amp;".xlsm)",IF(OR($C120&lt;&gt;"S",ORÇAMENTO.CodBarra=""),"(Sem Código)",IF(ISERROR(MATCH($AE120,INDIRECT(ORÇAMENTO.BancoRef),0)),"(Código não identificado nas referências)",MATCH($AE120,INDIRECT(ORÇAMENTO.BancoRef),0))))</f>
        <v>(abra o arquivo 'Referência 03-2024.xlsm)</v>
      </c>
      <c r="AG120" s="498">
        <f ca="1">ROUND(IF(DESONERACAO="sim",REFERENCIA.Desonerado,REFERENCIA.NaoDesonerado),2)</f>
        <v>0</v>
      </c>
      <c r="AH120" s="499">
        <f t="shared" ca="1" si="32"/>
        <v>0.28170000000000001</v>
      </c>
      <c r="AJ120" s="501">
        <v>7.78</v>
      </c>
      <c r="AL120" s="527"/>
      <c r="AM120" s="381">
        <f t="shared" ca="1" si="33"/>
        <v>505</v>
      </c>
      <c r="AN120" s="566">
        <f t="shared" ca="1" si="34"/>
        <v>64.91</v>
      </c>
    </row>
    <row r="121" spans="1:40" ht="51" x14ac:dyDescent="0.2">
      <c r="A121" t="str">
        <f t="shared" si="19"/>
        <v>S</v>
      </c>
      <c r="B121">
        <f t="shared" ca="1" si="20"/>
        <v>3</v>
      </c>
      <c r="C121" t="str">
        <f t="shared" ca="1" si="21"/>
        <v>S</v>
      </c>
      <c r="D121">
        <f t="shared" ca="1" si="22"/>
        <v>0</v>
      </c>
      <c r="E121">
        <f ca="1">IF($C121=1,OFFSET(E121,-1,0)+MAX(1,COUNTIF(QCI!$A$13:$A$24,OFFSET(ORÇAMENTO!E121,-1,0))),OFFSET(E121,-1,0))</f>
        <v>1</v>
      </c>
      <c r="F121">
        <f t="shared" ca="1" si="23"/>
        <v>6</v>
      </c>
      <c r="G121">
        <f t="shared" ca="1" si="24"/>
        <v>7</v>
      </c>
      <c r="H121">
        <f t="shared" ca="1" si="25"/>
        <v>0</v>
      </c>
      <c r="I121">
        <f t="shared" ca="1" si="26"/>
        <v>2</v>
      </c>
      <c r="J121">
        <f t="shared" ca="1" si="17"/>
        <v>0</v>
      </c>
      <c r="K121">
        <f ca="1">IF(OR($C121="S",$C121=0),0,MATCH(OFFSET($D121,0,$C121)+IF($C121&lt;&gt;1,1,COUNTIF(QCI!$A$13:$A$24,ORÇAMENTO!E121)),OFFSET($D121,1,$C121,ROW($C$290)-ROW($C121)),0))</f>
        <v>0</v>
      </c>
      <c r="L121" s="116" t="str">
        <f t="shared" ca="1" si="27"/>
        <v>F</v>
      </c>
      <c r="M121" s="117" t="s">
        <v>199</v>
      </c>
      <c r="N121" s="118" t="str">
        <f t="shared" ca="1" si="28"/>
        <v>Serviço</v>
      </c>
      <c r="O121" s="119" t="str">
        <f t="shared" ca="1" si="29"/>
        <v>1.6.7.2.</v>
      </c>
      <c r="P121" s="120" t="s">
        <v>462</v>
      </c>
      <c r="Q121" s="121" t="s">
        <v>475</v>
      </c>
      <c r="R121" s="122" t="str">
        <f ca="1">IF($C121="S",REFERENCIA.Descricao,"(digite a descrição aqui)")</f>
        <v>(abra o arquivo 'Referência 03-2024.xlsm)</v>
      </c>
      <c r="S121" s="123" t="str">
        <f ca="1">REFERENCIA.Unidade</f>
        <v>-</v>
      </c>
      <c r="T121" s="124">
        <f ca="1">OFFSET(CÁLCULO!H$15,ROW($T121)-ROW(T$15),0)</f>
        <v>0.78</v>
      </c>
      <c r="U121" s="125">
        <v>502.29</v>
      </c>
      <c r="V121" s="126" t="s">
        <v>156</v>
      </c>
      <c r="W121" s="124">
        <f ca="1">IF($C121="S",ROUND(IF(TIPOORCAMENTO="Proposto",ORÇAMENTO.CustoUnitario*(1+$AH121),ORÇAMENTO.PrecoUnitarioLicitado),15-13*$AF$10),0)</f>
        <v>643.79</v>
      </c>
      <c r="X121" s="127">
        <f ca="1">IF($C121="S",IF(Import.TipoArredondamento&lt;&gt;"TransfereGOV",VTOTAL1,SUM(OFFSET(CÁLCULO!$AA$15,ROW($X121)-ROW($X$15),1):OFFSET(CÁLCULO!$AL$15,ROW($X121)-ROW($X$15),-1))),IF($C121=0,0,ROUND(SomaAgrup,15-13*$AF$11)))</f>
        <v>502.16</v>
      </c>
      <c r="Y121" s="128" t="s">
        <v>245</v>
      </c>
      <c r="Z121" t="str">
        <f t="shared" ca="1" si="30"/>
        <v>RA</v>
      </c>
      <c r="AA121" s="129">
        <f ca="1">IF($C121="S",IF($Z121="CP",$X121,IF($Z121="RA",(($X121)*QCI!$AA$3),0)),SomaAgrup)</f>
        <v>502.16</v>
      </c>
      <c r="AB121" s="130">
        <f t="shared" ca="1" si="31"/>
        <v>0</v>
      </c>
      <c r="AC121" s="131" t="str">
        <f ca="1">IF($N121="","",IF(ORÇAMENTO.Descricao="","DESCRIÇÃO",IF(AND($C121="S",ORÇAMENTO.Unidade=""),"UNIDADE",IF($X121&lt;0,"VALOR NEGATIVO",IF(OR(AND(TIPOORCAMENTO="Proposto",$AG121&lt;&gt;"",$AG121&gt;0,ORÇAMENTO.CustoUnitario&gt;$AG121),AND(TIPOORCAMENTO="LICITADO",ORÇAMENTO.PrecoUnitarioLicitado&gt;$AN121)),"ACIMA REF.","")))))</f>
        <v/>
      </c>
      <c r="AD121" t="str">
        <f ca="1">IF(C121&lt;=CRONO.NivelExibicao,MAX($AD$15:OFFSET(AD121,-1,0))+IF($C121&lt;&gt;1,1,MAX(1,COUNTIF(QCI!$A$13:$A$24,OFFSET($E121,-1,0)))),"")</f>
        <v/>
      </c>
      <c r="AE121" s="7" t="str">
        <f ca="1">IF(AND($C121="S",ORÇAMENTO.CodBarra&lt;&gt;""),IF(ORÇAMENTO.Fonte="",ORÇAMENTO.CodBarra,CONCATENATE(ORÇAMENTO.Fonte," ",ORÇAMENTO.CodBarra)))</f>
        <v>Composição 11</v>
      </c>
      <c r="AF121" s="13" t="str">
        <f ca="1">IF(ISERROR(INDIRECT(ORÇAMENTO.BancoRef)),"(abra o arquivo 'Referência "&amp;Excel_BuiltIn_Database&amp;".xlsm)",IF(OR($C121&lt;&gt;"S",ORÇAMENTO.CodBarra=""),"(Sem Código)",IF(ISERROR(MATCH($AE121,INDIRECT(ORÇAMENTO.BancoRef),0)),"(Código não identificado nas referências)",MATCH($AE121,INDIRECT(ORÇAMENTO.BancoRef),0))))</f>
        <v>(abra o arquivo 'Referência 03-2024.xlsm)</v>
      </c>
      <c r="AG121" s="498">
        <f ca="1">ROUND(IF(DESONERACAO="sim",REFERENCIA.Desonerado,REFERENCIA.NaoDesonerado),2)</f>
        <v>0</v>
      </c>
      <c r="AH121" s="499">
        <f t="shared" ca="1" si="32"/>
        <v>0.28170000000000001</v>
      </c>
      <c r="AJ121" s="501">
        <v>0.78</v>
      </c>
      <c r="AL121" s="527"/>
      <c r="AM121" s="381">
        <f t="shared" ca="1" si="33"/>
        <v>502.16</v>
      </c>
      <c r="AN121" s="566">
        <f t="shared" ca="1" si="34"/>
        <v>643.79</v>
      </c>
    </row>
    <row r="122" spans="1:40" ht="38.25" x14ac:dyDescent="0.2">
      <c r="A122" t="str">
        <f t="shared" si="19"/>
        <v>S</v>
      </c>
      <c r="B122">
        <f t="shared" ca="1" si="20"/>
        <v>3</v>
      </c>
      <c r="C122" t="str">
        <f t="shared" ca="1" si="21"/>
        <v>S</v>
      </c>
      <c r="D122">
        <f t="shared" ca="1" si="22"/>
        <v>0</v>
      </c>
      <c r="E122">
        <f ca="1">IF($C122=1,OFFSET(E122,-1,0)+MAX(1,COUNTIF(QCI!$A$13:$A$24,OFFSET(ORÇAMENTO!E122,-1,0))),OFFSET(E122,-1,0))</f>
        <v>1</v>
      </c>
      <c r="F122">
        <f t="shared" ca="1" si="23"/>
        <v>6</v>
      </c>
      <c r="G122">
        <f t="shared" ca="1" si="24"/>
        <v>7</v>
      </c>
      <c r="H122">
        <f t="shared" ca="1" si="25"/>
        <v>0</v>
      </c>
      <c r="I122">
        <f t="shared" ca="1" si="26"/>
        <v>3</v>
      </c>
      <c r="J122">
        <f t="shared" ca="1" si="17"/>
        <v>0</v>
      </c>
      <c r="K122">
        <f ca="1">IF(OR($C122="S",$C122=0),0,MATCH(OFFSET($D122,0,$C122)+IF($C122&lt;&gt;1,1,COUNTIF(QCI!$A$13:$A$24,ORÇAMENTO!E122)),OFFSET($D122,1,$C122,ROW($C$290)-ROW($C122)),0))</f>
        <v>0</v>
      </c>
      <c r="L122" s="116" t="str">
        <f t="shared" ca="1" si="27"/>
        <v>F</v>
      </c>
      <c r="M122" s="117" t="s">
        <v>199</v>
      </c>
      <c r="N122" s="118" t="str">
        <f t="shared" ca="1" si="28"/>
        <v>Serviço</v>
      </c>
      <c r="O122" s="119" t="str">
        <f t="shared" ca="1" si="29"/>
        <v>1.6.7.3.</v>
      </c>
      <c r="P122" s="120" t="s">
        <v>462</v>
      </c>
      <c r="Q122" s="121" t="s">
        <v>476</v>
      </c>
      <c r="R122" s="122" t="str">
        <f ca="1">IF($C122="S",REFERENCIA.Descricao,"(digite a descrição aqui)")</f>
        <v>(abra o arquivo 'Referência 03-2024.xlsm)</v>
      </c>
      <c r="S122" s="123" t="str">
        <f ca="1">REFERENCIA.Unidade</f>
        <v>-</v>
      </c>
      <c r="T122" s="124">
        <f ca="1">OFFSET(CÁLCULO!H$15,ROW($T122)-ROW(T$15),0)</f>
        <v>11.21</v>
      </c>
      <c r="U122" s="125">
        <v>11.53</v>
      </c>
      <c r="V122" s="126" t="s">
        <v>156</v>
      </c>
      <c r="W122" s="124">
        <f ca="1">IF($C122="S",ROUND(IF(TIPOORCAMENTO="Proposto",ORÇAMENTO.CustoUnitario*(1+$AH122),ORÇAMENTO.PrecoUnitarioLicitado),15-13*$AF$10),0)</f>
        <v>14.78</v>
      </c>
      <c r="X122" s="127">
        <f ca="1">IF($C122="S",IF(Import.TipoArredondamento&lt;&gt;"TransfereGOV",VTOTAL1,SUM(OFFSET(CÁLCULO!$AA$15,ROW($X122)-ROW($X$15),1):OFFSET(CÁLCULO!$AL$15,ROW($X122)-ROW($X$15),-1))),IF($C122=0,0,ROUND(SomaAgrup,15-13*$AF$11)))</f>
        <v>165.68</v>
      </c>
      <c r="Y122" s="128" t="s">
        <v>245</v>
      </c>
      <c r="Z122" t="str">
        <f t="shared" ca="1" si="30"/>
        <v>RA</v>
      </c>
      <c r="AA122" s="129">
        <f ca="1">IF($C122="S",IF($Z122="CP",$X122,IF($Z122="RA",(($X122)*QCI!$AA$3),0)),SomaAgrup)</f>
        <v>165.68</v>
      </c>
      <c r="AB122" s="130">
        <f t="shared" ca="1" si="31"/>
        <v>0</v>
      </c>
      <c r="AC122" s="131" t="str">
        <f ca="1">IF($N122="","",IF(ORÇAMENTO.Descricao="","DESCRIÇÃO",IF(AND($C122="S",ORÇAMENTO.Unidade=""),"UNIDADE",IF($X122&lt;0,"VALOR NEGATIVO",IF(OR(AND(TIPOORCAMENTO="Proposto",$AG122&lt;&gt;"",$AG122&gt;0,ORÇAMENTO.CustoUnitario&gt;$AG122),AND(TIPOORCAMENTO="LICITADO",ORÇAMENTO.PrecoUnitarioLicitado&gt;$AN122)),"ACIMA REF.","")))))</f>
        <v/>
      </c>
      <c r="AD122" t="str">
        <f ca="1">IF(C122&lt;=CRONO.NivelExibicao,MAX($AD$15:OFFSET(AD122,-1,0))+IF($C122&lt;&gt;1,1,MAX(1,COUNTIF(QCI!$A$13:$A$24,OFFSET($E122,-1,0)))),"")</f>
        <v/>
      </c>
      <c r="AE122" s="7" t="str">
        <f ca="1">IF(AND($C122="S",ORÇAMENTO.CodBarra&lt;&gt;""),IF(ORÇAMENTO.Fonte="",ORÇAMENTO.CodBarra,CONCATENATE(ORÇAMENTO.Fonte," ",ORÇAMENTO.CodBarra)))</f>
        <v>Composição 12</v>
      </c>
      <c r="AF122" s="13" t="str">
        <f ca="1">IF(ISERROR(INDIRECT(ORÇAMENTO.BancoRef)),"(abra o arquivo 'Referência "&amp;Excel_BuiltIn_Database&amp;".xlsm)",IF(OR($C122&lt;&gt;"S",ORÇAMENTO.CodBarra=""),"(Sem Código)",IF(ISERROR(MATCH($AE122,INDIRECT(ORÇAMENTO.BancoRef),0)),"(Código não identificado nas referências)",MATCH($AE122,INDIRECT(ORÇAMENTO.BancoRef),0))))</f>
        <v>(abra o arquivo 'Referência 03-2024.xlsm)</v>
      </c>
      <c r="AG122" s="498">
        <f ca="1">ROUND(IF(DESONERACAO="sim",REFERENCIA.Desonerado,REFERENCIA.NaoDesonerado),2)</f>
        <v>0</v>
      </c>
      <c r="AH122" s="499">
        <f t="shared" ca="1" si="32"/>
        <v>0.28170000000000001</v>
      </c>
      <c r="AJ122" s="501">
        <v>11.21</v>
      </c>
      <c r="AL122" s="527"/>
      <c r="AM122" s="381">
        <f t="shared" ca="1" si="33"/>
        <v>165.68</v>
      </c>
      <c r="AN122" s="566">
        <f t="shared" ca="1" si="34"/>
        <v>14.78</v>
      </c>
    </row>
    <row r="123" spans="1:40" ht="38.25" x14ac:dyDescent="0.2">
      <c r="A123" t="str">
        <f t="shared" si="19"/>
        <v>S</v>
      </c>
      <c r="B123">
        <f t="shared" ca="1" si="20"/>
        <v>3</v>
      </c>
      <c r="C123" t="str">
        <f t="shared" ca="1" si="21"/>
        <v>S</v>
      </c>
      <c r="D123">
        <f t="shared" ca="1" si="22"/>
        <v>0</v>
      </c>
      <c r="E123">
        <f ca="1">IF($C123=1,OFFSET(E123,-1,0)+MAX(1,COUNTIF(QCI!$A$13:$A$24,OFFSET(ORÇAMENTO!E123,-1,0))),OFFSET(E123,-1,0))</f>
        <v>1</v>
      </c>
      <c r="F123">
        <f t="shared" ca="1" si="23"/>
        <v>6</v>
      </c>
      <c r="G123">
        <f t="shared" ca="1" si="24"/>
        <v>7</v>
      </c>
      <c r="H123">
        <f t="shared" ca="1" si="25"/>
        <v>0</v>
      </c>
      <c r="I123">
        <f t="shared" ca="1" si="26"/>
        <v>4</v>
      </c>
      <c r="J123">
        <f t="shared" ca="1" si="17"/>
        <v>0</v>
      </c>
      <c r="K123">
        <f ca="1">IF(OR($C123="S",$C123=0),0,MATCH(OFFSET($D123,0,$C123)+IF($C123&lt;&gt;1,1,COUNTIF(QCI!$A$13:$A$24,ORÇAMENTO!E123)),OFFSET($D123,1,$C123,ROW($C$290)-ROW($C123)),0))</f>
        <v>0</v>
      </c>
      <c r="L123" s="116" t="str">
        <f t="shared" ca="1" si="27"/>
        <v>F</v>
      </c>
      <c r="M123" s="117" t="s">
        <v>199</v>
      </c>
      <c r="N123" s="118" t="str">
        <f t="shared" ca="1" si="28"/>
        <v>Serviço</v>
      </c>
      <c r="O123" s="119" t="str">
        <f t="shared" ca="1" si="29"/>
        <v>1.6.7.4.</v>
      </c>
      <c r="P123" s="120" t="s">
        <v>462</v>
      </c>
      <c r="Q123" s="121" t="s">
        <v>512</v>
      </c>
      <c r="R123" s="122" t="str">
        <f ca="1">IF($C123="S",REFERENCIA.Descricao,"(digite a descrição aqui)")</f>
        <v>(abra o arquivo 'Referência 03-2024.xlsm)</v>
      </c>
      <c r="S123" s="123" t="str">
        <f ca="1">REFERENCIA.Unidade</f>
        <v>-</v>
      </c>
      <c r="T123" s="124">
        <f ca="1">OFFSET(CÁLCULO!H$15,ROW($T123)-ROW(T$15),0)</f>
        <v>48</v>
      </c>
      <c r="U123" s="125">
        <v>9.9600000000000009</v>
      </c>
      <c r="V123" s="126" t="s">
        <v>156</v>
      </c>
      <c r="W123" s="124">
        <f ca="1">IF($C123="S",ROUND(IF(TIPOORCAMENTO="Proposto",ORÇAMENTO.CustoUnitario*(1+$AH123),ORÇAMENTO.PrecoUnitarioLicitado),15-13*$AF$10),0)</f>
        <v>12.77</v>
      </c>
      <c r="X123" s="127">
        <f ca="1">IF($C123="S",IF(Import.TipoArredondamento&lt;&gt;"TransfereGOV",VTOTAL1,SUM(OFFSET(CÁLCULO!$AA$15,ROW($X123)-ROW($X$15),1):OFFSET(CÁLCULO!$AL$15,ROW($X123)-ROW($X$15),-1))),IF($C123=0,0,ROUND(SomaAgrup,15-13*$AF$11)))</f>
        <v>612.96</v>
      </c>
      <c r="Y123" s="128" t="s">
        <v>245</v>
      </c>
      <c r="Z123" t="str">
        <f t="shared" ca="1" si="30"/>
        <v>RA</v>
      </c>
      <c r="AA123" s="129">
        <f ca="1">IF($C123="S",IF($Z123="CP",$X123,IF($Z123="RA",(($X123)*QCI!$AA$3),0)),SomaAgrup)</f>
        <v>612.96</v>
      </c>
      <c r="AB123" s="130">
        <f t="shared" ca="1" si="31"/>
        <v>0</v>
      </c>
      <c r="AC123" s="131" t="str">
        <f ca="1">IF($N123="","",IF(ORÇAMENTO.Descricao="","DESCRIÇÃO",IF(AND($C123="S",ORÇAMENTO.Unidade=""),"UNIDADE",IF($X123&lt;0,"VALOR NEGATIVO",IF(OR(AND(TIPOORCAMENTO="Proposto",$AG123&lt;&gt;"",$AG123&gt;0,ORÇAMENTO.CustoUnitario&gt;$AG123),AND(TIPOORCAMENTO="LICITADO",ORÇAMENTO.PrecoUnitarioLicitado&gt;$AN123)),"ACIMA REF.","")))))</f>
        <v/>
      </c>
      <c r="AD123" t="str">
        <f ca="1">IF(C123&lt;=CRONO.NivelExibicao,MAX($AD$15:OFFSET(AD123,-1,0))+IF($C123&lt;&gt;1,1,MAX(1,COUNTIF(QCI!$A$13:$A$24,OFFSET($E123,-1,0)))),"")</f>
        <v/>
      </c>
      <c r="AE123" s="7" t="str">
        <f ca="1">IF(AND($C123="S",ORÇAMENTO.CodBarra&lt;&gt;""),IF(ORÇAMENTO.Fonte="",ORÇAMENTO.CodBarra,CONCATENATE(ORÇAMENTO.Fonte," ",ORÇAMENTO.CodBarra)))</f>
        <v>Composição 35</v>
      </c>
      <c r="AF123" s="13" t="str">
        <f ca="1">IF(ISERROR(INDIRECT(ORÇAMENTO.BancoRef)),"(abra o arquivo 'Referência "&amp;Excel_BuiltIn_Database&amp;".xlsm)",IF(OR($C123&lt;&gt;"S",ORÇAMENTO.CodBarra=""),"(Sem Código)",IF(ISERROR(MATCH($AE123,INDIRECT(ORÇAMENTO.BancoRef),0)),"(Código não identificado nas referências)",MATCH($AE123,INDIRECT(ORÇAMENTO.BancoRef),0))))</f>
        <v>(abra o arquivo 'Referência 03-2024.xlsm)</v>
      </c>
      <c r="AG123" s="498">
        <f ca="1">ROUND(IF(DESONERACAO="sim",REFERENCIA.Desonerado,REFERENCIA.NaoDesonerado),2)</f>
        <v>0</v>
      </c>
      <c r="AH123" s="499">
        <f t="shared" ca="1" si="32"/>
        <v>0.28170000000000001</v>
      </c>
      <c r="AJ123" s="501">
        <v>48</v>
      </c>
      <c r="AL123" s="527"/>
      <c r="AM123" s="381">
        <f t="shared" ca="1" si="33"/>
        <v>612.96</v>
      </c>
      <c r="AN123" s="566">
        <f t="shared" ca="1" si="34"/>
        <v>12.77</v>
      </c>
    </row>
    <row r="124" spans="1:40" x14ac:dyDescent="0.2">
      <c r="A124">
        <f t="shared" si="19"/>
        <v>3</v>
      </c>
      <c r="B124">
        <f t="shared" ca="1" si="20"/>
        <v>3</v>
      </c>
      <c r="C124">
        <f t="shared" ca="1" si="21"/>
        <v>3</v>
      </c>
      <c r="D124">
        <f t="shared" ca="1" si="22"/>
        <v>7</v>
      </c>
      <c r="E124">
        <f ca="1">IF($C124=1,OFFSET(E124,-1,0)+MAX(1,COUNTIF(QCI!$A$13:$A$24,OFFSET(ORÇAMENTO!E124,-1,0))),OFFSET(E124,-1,0))</f>
        <v>1</v>
      </c>
      <c r="F124">
        <f t="shared" ca="1" si="23"/>
        <v>6</v>
      </c>
      <c r="G124">
        <f t="shared" ca="1" si="24"/>
        <v>8</v>
      </c>
      <c r="H124">
        <f t="shared" ca="1" si="25"/>
        <v>0</v>
      </c>
      <c r="I124">
        <f t="shared" ca="1" si="26"/>
        <v>0</v>
      </c>
      <c r="J124">
        <f t="shared" ca="1" si="17"/>
        <v>68</v>
      </c>
      <c r="K124">
        <f ca="1">IF(OR($C124="S",$C124=0),0,MATCH(OFFSET($D124,0,$C124)+IF($C124&lt;&gt;1,1,COUNTIF(QCI!$A$13:$A$24,ORÇAMENTO!E124)),OFFSET($D124,1,$C124,ROW($C$290)-ROW($C124)),0))</f>
        <v>7</v>
      </c>
      <c r="L124" s="116" t="str">
        <f t="shared" ca="1" si="27"/>
        <v>F</v>
      </c>
      <c r="M124" s="117" t="s">
        <v>197</v>
      </c>
      <c r="N124" s="118" t="str">
        <f t="shared" ca="1" si="28"/>
        <v>Nível 3</v>
      </c>
      <c r="O124" s="119" t="str">
        <f t="shared" ca="1" si="29"/>
        <v>1.6.8.</v>
      </c>
      <c r="P124" s="120" t="s">
        <v>247</v>
      </c>
      <c r="Q124" s="121"/>
      <c r="R124" s="122" t="s">
        <v>522</v>
      </c>
      <c r="S124" s="123" t="str">
        <f ca="1">REFERENCIA.Unidade</f>
        <v>-</v>
      </c>
      <c r="T124" s="124">
        <f ca="1">OFFSET(CÁLCULO!H$15,ROW($T124)-ROW(T$15),0)</f>
        <v>0</v>
      </c>
      <c r="U124" s="125">
        <v>0</v>
      </c>
      <c r="V124" s="126" t="s">
        <v>156</v>
      </c>
      <c r="W124" s="124">
        <f ca="1">IF($C124="S",ROUND(IF(TIPOORCAMENTO="Proposto",ORÇAMENTO.CustoUnitario*(1+$AH124),ORÇAMENTO.PrecoUnitarioLicitado),15-13*$AF$10),0)</f>
        <v>0</v>
      </c>
      <c r="X124" s="127">
        <f ca="1">IF($C124="S",IF(Import.TipoArredondamento&lt;&gt;"TransfereGOV",VTOTAL1,SUM(OFFSET(CÁLCULO!$AA$15,ROW($X124)-ROW($X$15),1):OFFSET(CÁLCULO!$AL$15,ROW($X124)-ROW($X$15),-1))),IF($C124=0,0,ROUND(SomaAgrup,15-13*$AF$11)))</f>
        <v>10248.629999999999</v>
      </c>
      <c r="Y124" s="128" t="s">
        <v>245</v>
      </c>
      <c r="Z124" t="str">
        <f t="shared" ca="1" si="30"/>
        <v/>
      </c>
      <c r="AA124" s="129">
        <f ca="1">IF($C124="S",IF($Z124="CP",$X124,IF($Z124="RA",(($X124)*QCI!$AA$3),0)),SomaAgrup)</f>
        <v>10248.629999999999</v>
      </c>
      <c r="AB124" s="130">
        <f t="shared" ca="1" si="31"/>
        <v>0</v>
      </c>
      <c r="AC124" s="131" t="str">
        <f ca="1">IF($N124="","",IF(ORÇAMENTO.Descricao="","DESCRIÇÃO",IF(AND($C124="S",ORÇAMENTO.Unidade=""),"UNIDADE",IF($X124&lt;0,"VALOR NEGATIVO",IF(OR(AND(TIPOORCAMENTO="Proposto",$AG124&lt;&gt;"",$AG124&gt;0,ORÇAMENTO.CustoUnitario&gt;$AG124),AND(TIPOORCAMENTO="LICITADO",ORÇAMENTO.PrecoUnitarioLicitado&gt;$AN124)),"ACIMA REF.","")))))</f>
        <v/>
      </c>
      <c r="AD124">
        <f ca="1">IF(C124&lt;=CRONO.NivelExibicao,MAX($AD$15:OFFSET(AD124,-1,0))+IF($C124&lt;&gt;1,1,MAX(1,COUNTIF(QCI!$A$13:$A$24,OFFSET($E124,-1,0)))),"")</f>
        <v>17</v>
      </c>
      <c r="AE124" s="7" t="b">
        <f ca="1">IF(AND($C124="S",ORÇAMENTO.CodBarra&lt;&gt;""),IF(ORÇAMENTO.Fonte="",ORÇAMENTO.CodBarra,CONCATENATE(ORÇAMENTO.Fonte," ",ORÇAMENTO.CodBarra)))</f>
        <v>0</v>
      </c>
      <c r="AF124" s="13" t="str">
        <f ca="1">IF(ISERROR(INDIRECT(ORÇAMENTO.BancoRef)),"(abra o arquivo 'Referência "&amp;Excel_BuiltIn_Database&amp;".xlsm)",IF(OR($C124&lt;&gt;"S",ORÇAMENTO.CodBarra=""),"(Sem Código)",IF(ISERROR(MATCH($AE124,INDIRECT(ORÇAMENTO.BancoRef),0)),"(Código não identificado nas referências)",MATCH($AE124,INDIRECT(ORÇAMENTO.BancoRef),0))))</f>
        <v>(abra o arquivo 'Referência 03-2024.xlsm)</v>
      </c>
      <c r="AG124" s="498">
        <f ca="1">ROUND(IF(DESONERACAO="sim",REFERENCIA.Desonerado,REFERENCIA.NaoDesonerado),2)</f>
        <v>0</v>
      </c>
      <c r="AH124" s="499">
        <f t="shared" ca="1" si="32"/>
        <v>0.28170000000000001</v>
      </c>
      <c r="AJ124" s="501"/>
      <c r="AL124" s="527"/>
      <c r="AM124" s="381">
        <f t="shared" ca="1" si="33"/>
        <v>10248.629999999999</v>
      </c>
      <c r="AN124" s="566">
        <f t="shared" ca="1" si="34"/>
        <v>0</v>
      </c>
    </row>
    <row r="125" spans="1:40" ht="38.25" x14ac:dyDescent="0.2">
      <c r="A125" t="str">
        <f t="shared" si="19"/>
        <v>S</v>
      </c>
      <c r="B125">
        <f t="shared" ca="1" si="20"/>
        <v>3</v>
      </c>
      <c r="C125" t="str">
        <f t="shared" ca="1" si="21"/>
        <v>S</v>
      </c>
      <c r="D125">
        <f t="shared" ca="1" si="22"/>
        <v>0</v>
      </c>
      <c r="E125">
        <f ca="1">IF($C125=1,OFFSET(E125,-1,0)+MAX(1,COUNTIF(QCI!$A$13:$A$24,OFFSET(ORÇAMENTO!E125,-1,0))),OFFSET(E125,-1,0))</f>
        <v>1</v>
      </c>
      <c r="F125">
        <f t="shared" ca="1" si="23"/>
        <v>6</v>
      </c>
      <c r="G125">
        <f t="shared" ca="1" si="24"/>
        <v>8</v>
      </c>
      <c r="H125">
        <f t="shared" ca="1" si="25"/>
        <v>0</v>
      </c>
      <c r="I125">
        <f t="shared" ca="1" si="26"/>
        <v>1</v>
      </c>
      <c r="J125">
        <f t="shared" ca="1" si="17"/>
        <v>0</v>
      </c>
      <c r="K125">
        <f ca="1">IF(OR($C125="S",$C125=0),0,MATCH(OFFSET($D125,0,$C125)+IF($C125&lt;&gt;1,1,COUNTIF(QCI!$A$13:$A$24,ORÇAMENTO!E125)),OFFSET($D125,1,$C125,ROW($C$290)-ROW($C125)),0))</f>
        <v>0</v>
      </c>
      <c r="L125" s="116" t="str">
        <f t="shared" ca="1" si="27"/>
        <v>F</v>
      </c>
      <c r="M125" s="117" t="s">
        <v>199</v>
      </c>
      <c r="N125" s="118" t="str">
        <f t="shared" ca="1" si="28"/>
        <v>Serviço</v>
      </c>
      <c r="O125" s="119" t="str">
        <f t="shared" ca="1" si="29"/>
        <v>1.6.8.1.</v>
      </c>
      <c r="P125" s="120" t="s">
        <v>462</v>
      </c>
      <c r="Q125" s="121" t="s">
        <v>579</v>
      </c>
      <c r="R125" s="122" t="str">
        <f ca="1">IF($C125="S",REFERENCIA.Descricao,"(digite a descrição aqui)")</f>
        <v>(abra o arquivo 'Referência 03-2024.xlsm)</v>
      </c>
      <c r="S125" s="123" t="str">
        <f ca="1">REFERENCIA.Unidade</f>
        <v>-</v>
      </c>
      <c r="T125" s="124">
        <f ca="1">OFFSET(CÁLCULO!H$15,ROW($T125)-ROW(T$15),0)</f>
        <v>25.25</v>
      </c>
      <c r="U125" s="125">
        <v>24.21</v>
      </c>
      <c r="V125" s="126" t="s">
        <v>156</v>
      </c>
      <c r="W125" s="124">
        <f ca="1">IF($C125="S",ROUND(IF(TIPOORCAMENTO="Proposto",ORÇAMENTO.CustoUnitario*(1+$AH125),ORÇAMENTO.PrecoUnitarioLicitado),15-13*$AF$10),0)</f>
        <v>31.03</v>
      </c>
      <c r="X125" s="127">
        <f ca="1">IF($C125="S",IF(Import.TipoArredondamento&lt;&gt;"TransfereGOV",VTOTAL1,SUM(OFFSET(CÁLCULO!$AA$15,ROW($X125)-ROW($X$15),1):OFFSET(CÁLCULO!$AL$15,ROW($X125)-ROW($X$15),-1))),IF($C125=0,0,ROUND(SomaAgrup,15-13*$AF$11)))</f>
        <v>783.51</v>
      </c>
      <c r="Y125" s="128" t="s">
        <v>245</v>
      </c>
      <c r="Z125" t="str">
        <f t="shared" ca="1" si="30"/>
        <v>RA</v>
      </c>
      <c r="AA125" s="129">
        <f ca="1">IF($C125="S",IF($Z125="CP",$X125,IF($Z125="RA",(($X125)*QCI!$AA$3),0)),SomaAgrup)</f>
        <v>783.51</v>
      </c>
      <c r="AB125" s="130">
        <f t="shared" ca="1" si="31"/>
        <v>0</v>
      </c>
      <c r="AC125" s="131" t="str">
        <f ca="1">IF($N125="","",IF(ORÇAMENTO.Descricao="","DESCRIÇÃO",IF(AND($C125="S",ORÇAMENTO.Unidade=""),"UNIDADE",IF($X125&lt;0,"VALOR NEGATIVO",IF(OR(AND(TIPOORCAMENTO="Proposto",$AG125&lt;&gt;"",$AG125&gt;0,ORÇAMENTO.CustoUnitario&gt;$AG125),AND(TIPOORCAMENTO="LICITADO",ORÇAMENTO.PrecoUnitarioLicitado&gt;$AN125)),"ACIMA REF.","")))))</f>
        <v/>
      </c>
      <c r="AD125" t="str">
        <f ca="1">IF(C125&lt;=CRONO.NivelExibicao,MAX($AD$15:OFFSET(AD125,-1,0))+IF($C125&lt;&gt;1,1,MAX(1,COUNTIF(QCI!$A$13:$A$24,OFFSET($E125,-1,0)))),"")</f>
        <v/>
      </c>
      <c r="AE125" s="7" t="str">
        <f ca="1">IF(AND($C125="S",ORÇAMENTO.CodBarra&lt;&gt;""),IF(ORÇAMENTO.Fonte="",ORÇAMENTO.CodBarra,CONCATENATE(ORÇAMENTO.Fonte," ",ORÇAMENTO.CodBarra)))</f>
        <v>Composição 65</v>
      </c>
      <c r="AF125" s="13" t="str">
        <f ca="1">IF(ISERROR(INDIRECT(ORÇAMENTO.BancoRef)),"(abra o arquivo 'Referência "&amp;Excel_BuiltIn_Database&amp;".xlsm)",IF(OR($C125&lt;&gt;"S",ORÇAMENTO.CodBarra=""),"(Sem Código)",IF(ISERROR(MATCH($AE125,INDIRECT(ORÇAMENTO.BancoRef),0)),"(Código não identificado nas referências)",MATCH($AE125,INDIRECT(ORÇAMENTO.BancoRef),0))))</f>
        <v>(abra o arquivo 'Referência 03-2024.xlsm)</v>
      </c>
      <c r="AG125" s="498">
        <f ca="1">ROUND(IF(DESONERACAO="sim",REFERENCIA.Desonerado,REFERENCIA.NaoDesonerado),2)</f>
        <v>0</v>
      </c>
      <c r="AH125" s="499">
        <f t="shared" ca="1" si="32"/>
        <v>0.28170000000000001</v>
      </c>
      <c r="AJ125" s="501">
        <v>25.25</v>
      </c>
      <c r="AL125" s="527"/>
      <c r="AM125" s="381">
        <f t="shared" ca="1" si="33"/>
        <v>783.51</v>
      </c>
      <c r="AN125" s="566">
        <f t="shared" ca="1" si="34"/>
        <v>31.03</v>
      </c>
    </row>
    <row r="126" spans="1:40" ht="25.5" x14ac:dyDescent="0.2">
      <c r="A126" t="str">
        <f t="shared" si="19"/>
        <v>S</v>
      </c>
      <c r="B126">
        <f t="shared" ca="1" si="20"/>
        <v>3</v>
      </c>
      <c r="C126" t="str">
        <f t="shared" ca="1" si="21"/>
        <v>S</v>
      </c>
      <c r="D126">
        <f t="shared" ca="1" si="22"/>
        <v>0</v>
      </c>
      <c r="E126">
        <f ca="1">IF($C126=1,OFFSET(E126,-1,0)+MAX(1,COUNTIF(QCI!$A$13:$A$24,OFFSET(ORÇAMENTO!E126,-1,0))),OFFSET(E126,-1,0))</f>
        <v>1</v>
      </c>
      <c r="F126">
        <f t="shared" ca="1" si="23"/>
        <v>6</v>
      </c>
      <c r="G126">
        <f t="shared" ca="1" si="24"/>
        <v>8</v>
      </c>
      <c r="H126">
        <f t="shared" ca="1" si="25"/>
        <v>0</v>
      </c>
      <c r="I126">
        <f t="shared" ca="1" si="26"/>
        <v>2</v>
      </c>
      <c r="J126">
        <f t="shared" ca="1" si="17"/>
        <v>0</v>
      </c>
      <c r="K126">
        <f ca="1">IF(OR($C126="S",$C126=0),0,MATCH(OFFSET($D126,0,$C126)+IF($C126&lt;&gt;1,1,COUNTIF(QCI!$A$13:$A$24,ORÇAMENTO!E126)),OFFSET($D126,1,$C126,ROW($C$290)-ROW($C126)),0))</f>
        <v>0</v>
      </c>
      <c r="L126" s="116" t="str">
        <f t="shared" ca="1" si="27"/>
        <v>F</v>
      </c>
      <c r="M126" s="117" t="s">
        <v>199</v>
      </c>
      <c r="N126" s="118" t="str">
        <f t="shared" ca="1" si="28"/>
        <v>Serviço</v>
      </c>
      <c r="O126" s="119" t="str">
        <f t="shared" ca="1" si="29"/>
        <v>1.6.8.2.</v>
      </c>
      <c r="P126" s="120" t="s">
        <v>462</v>
      </c>
      <c r="Q126" s="121" t="s">
        <v>523</v>
      </c>
      <c r="R126" s="122" t="str">
        <f ca="1">IF($C126="S",REFERENCIA.Descricao,"(digite a descrição aqui)")</f>
        <v>(abra o arquivo 'Referência 03-2024.xlsm)</v>
      </c>
      <c r="S126" s="123" t="str">
        <f ca="1">REFERENCIA.Unidade</f>
        <v>-</v>
      </c>
      <c r="T126" s="124">
        <f ca="1">OFFSET(CÁLCULO!H$15,ROW($T126)-ROW(T$15),0)</f>
        <v>27.54</v>
      </c>
      <c r="U126" s="125">
        <v>121.07</v>
      </c>
      <c r="V126" s="126" t="s">
        <v>156</v>
      </c>
      <c r="W126" s="124">
        <f ca="1">IF($C126="S",ROUND(IF(TIPOORCAMENTO="Proposto",ORÇAMENTO.CustoUnitario*(1+$AH126),ORÇAMENTO.PrecoUnitarioLicitado),15-13*$AF$10),0)</f>
        <v>155.18</v>
      </c>
      <c r="X126" s="127">
        <f ca="1">IF($C126="S",IF(Import.TipoArredondamento&lt;&gt;"TransfereGOV",VTOTAL1,SUM(OFFSET(CÁLCULO!$AA$15,ROW($X126)-ROW($X$15),1):OFFSET(CÁLCULO!$AL$15,ROW($X126)-ROW($X$15),-1))),IF($C126=0,0,ROUND(SomaAgrup,15-13*$AF$11)))</f>
        <v>4273.66</v>
      </c>
      <c r="Y126" s="128" t="s">
        <v>245</v>
      </c>
      <c r="Z126" t="str">
        <f t="shared" ca="1" si="30"/>
        <v>RA</v>
      </c>
      <c r="AA126" s="129">
        <f ca="1">IF($C126="S",IF($Z126="CP",$X126,IF($Z126="RA",(($X126)*QCI!$AA$3),0)),SomaAgrup)</f>
        <v>4273.66</v>
      </c>
      <c r="AB126" s="130">
        <f t="shared" ca="1" si="31"/>
        <v>0</v>
      </c>
      <c r="AC126" s="131" t="str">
        <f ca="1">IF($N126="","",IF(ORÇAMENTO.Descricao="","DESCRIÇÃO",IF(AND($C126="S",ORÇAMENTO.Unidade=""),"UNIDADE",IF($X126&lt;0,"VALOR NEGATIVO",IF(OR(AND(TIPOORCAMENTO="Proposto",$AG126&lt;&gt;"",$AG126&gt;0,ORÇAMENTO.CustoUnitario&gt;$AG126),AND(TIPOORCAMENTO="LICITADO",ORÇAMENTO.PrecoUnitarioLicitado&gt;$AN126)),"ACIMA REF.","")))))</f>
        <v/>
      </c>
      <c r="AD126" t="str">
        <f ca="1">IF(C126&lt;=CRONO.NivelExibicao,MAX($AD$15:OFFSET(AD126,-1,0))+IF($C126&lt;&gt;1,1,MAX(1,COUNTIF(QCI!$A$13:$A$24,OFFSET($E126,-1,0)))),"")</f>
        <v/>
      </c>
      <c r="AE126" s="7" t="str">
        <f ca="1">IF(AND($C126="S",ORÇAMENTO.CodBarra&lt;&gt;""),IF(ORÇAMENTO.Fonte="",ORÇAMENTO.CodBarra,CONCATENATE(ORÇAMENTO.Fonte," ",ORÇAMENTO.CodBarra)))</f>
        <v>Composição 36</v>
      </c>
      <c r="AF126" s="13" t="str">
        <f ca="1">IF(ISERROR(INDIRECT(ORÇAMENTO.BancoRef)),"(abra o arquivo 'Referência "&amp;Excel_BuiltIn_Database&amp;".xlsm)",IF(OR($C126&lt;&gt;"S",ORÇAMENTO.CodBarra=""),"(Sem Código)",IF(ISERROR(MATCH($AE126,INDIRECT(ORÇAMENTO.BancoRef),0)),"(Código não identificado nas referências)",MATCH($AE126,INDIRECT(ORÇAMENTO.BancoRef),0))))</f>
        <v>(abra o arquivo 'Referência 03-2024.xlsm)</v>
      </c>
      <c r="AG126" s="498">
        <f ca="1">ROUND(IF(DESONERACAO="sim",REFERENCIA.Desonerado,REFERENCIA.NaoDesonerado),2)</f>
        <v>0</v>
      </c>
      <c r="AH126" s="499">
        <f t="shared" ca="1" si="32"/>
        <v>0.28170000000000001</v>
      </c>
      <c r="AJ126" s="501">
        <v>27.54</v>
      </c>
      <c r="AL126" s="527"/>
      <c r="AM126" s="381">
        <f t="shared" ca="1" si="33"/>
        <v>4273.66</v>
      </c>
      <c r="AN126" s="566">
        <f t="shared" ca="1" si="34"/>
        <v>155.18</v>
      </c>
    </row>
    <row r="127" spans="1:40" ht="25.5" x14ac:dyDescent="0.2">
      <c r="A127" t="str">
        <f t="shared" si="19"/>
        <v>S</v>
      </c>
      <c r="B127">
        <f t="shared" ca="1" si="20"/>
        <v>3</v>
      </c>
      <c r="C127" t="str">
        <f t="shared" ca="1" si="21"/>
        <v>S</v>
      </c>
      <c r="D127">
        <f t="shared" ca="1" si="22"/>
        <v>0</v>
      </c>
      <c r="E127">
        <f ca="1">IF($C127=1,OFFSET(E127,-1,0)+MAX(1,COUNTIF(QCI!$A$13:$A$24,OFFSET(ORÇAMENTO!E127,-1,0))),OFFSET(E127,-1,0))</f>
        <v>1</v>
      </c>
      <c r="F127">
        <f t="shared" ca="1" si="23"/>
        <v>6</v>
      </c>
      <c r="G127">
        <f t="shared" ca="1" si="24"/>
        <v>8</v>
      </c>
      <c r="H127">
        <f t="shared" ca="1" si="25"/>
        <v>0</v>
      </c>
      <c r="I127">
        <f t="shared" ca="1" si="26"/>
        <v>3</v>
      </c>
      <c r="J127">
        <f t="shared" ca="1" si="17"/>
        <v>0</v>
      </c>
      <c r="K127">
        <f ca="1">IF(OR($C127="S",$C127=0),0,MATCH(OFFSET($D127,0,$C127)+IF($C127&lt;&gt;1,1,COUNTIF(QCI!$A$13:$A$24,ORÇAMENTO!E127)),OFFSET($D127,1,$C127,ROW($C$290)-ROW($C127)),0))</f>
        <v>0</v>
      </c>
      <c r="L127" s="116" t="str">
        <f t="shared" ca="1" si="27"/>
        <v>F</v>
      </c>
      <c r="M127" s="117" t="s">
        <v>199</v>
      </c>
      <c r="N127" s="118" t="str">
        <f t="shared" ca="1" si="28"/>
        <v>Serviço</v>
      </c>
      <c r="O127" s="119" t="str">
        <f t="shared" ca="1" si="29"/>
        <v>1.6.8.3.</v>
      </c>
      <c r="P127" s="120" t="s">
        <v>462</v>
      </c>
      <c r="Q127" s="121" t="s">
        <v>524</v>
      </c>
      <c r="R127" s="122" t="str">
        <f ca="1">IF($C127="S",REFERENCIA.Descricao,"(digite a descrição aqui)")</f>
        <v>(abra o arquivo 'Referência 03-2024.xlsm)</v>
      </c>
      <c r="S127" s="123" t="str">
        <f ca="1">REFERENCIA.Unidade</f>
        <v>-</v>
      </c>
      <c r="T127" s="124">
        <f ca="1">OFFSET(CÁLCULO!H$15,ROW($T127)-ROW(T$15),0)</f>
        <v>11.55</v>
      </c>
      <c r="U127" s="125">
        <v>108.15</v>
      </c>
      <c r="V127" s="126" t="s">
        <v>156</v>
      </c>
      <c r="W127" s="124">
        <f ca="1">IF($C127="S",ROUND(IF(TIPOORCAMENTO="Proposto",ORÇAMENTO.CustoUnitario*(1+$AH127),ORÇAMENTO.PrecoUnitarioLicitado),15-13*$AF$10),0)</f>
        <v>138.62</v>
      </c>
      <c r="X127" s="127">
        <f ca="1">IF($C127="S",IF(Import.TipoArredondamento&lt;&gt;"TransfereGOV",VTOTAL1,SUM(OFFSET(CÁLCULO!$AA$15,ROW($X127)-ROW($X$15),1):OFFSET(CÁLCULO!$AL$15,ROW($X127)-ROW($X$15),-1))),IF($C127=0,0,ROUND(SomaAgrup,15-13*$AF$11)))</f>
        <v>1601.06</v>
      </c>
      <c r="Y127" s="128" t="s">
        <v>245</v>
      </c>
      <c r="Z127" t="str">
        <f t="shared" ca="1" si="30"/>
        <v>RA</v>
      </c>
      <c r="AA127" s="129">
        <f ca="1">IF($C127="S",IF($Z127="CP",$X127,IF($Z127="RA",(($X127)*QCI!$AA$3),0)),SomaAgrup)</f>
        <v>1601.06</v>
      </c>
      <c r="AB127" s="130">
        <f t="shared" ca="1" si="31"/>
        <v>0</v>
      </c>
      <c r="AC127" s="131" t="str">
        <f ca="1">IF($N127="","",IF(ORÇAMENTO.Descricao="","DESCRIÇÃO",IF(AND($C127="S",ORÇAMENTO.Unidade=""),"UNIDADE",IF($X127&lt;0,"VALOR NEGATIVO",IF(OR(AND(TIPOORCAMENTO="Proposto",$AG127&lt;&gt;"",$AG127&gt;0,ORÇAMENTO.CustoUnitario&gt;$AG127),AND(TIPOORCAMENTO="LICITADO",ORÇAMENTO.PrecoUnitarioLicitado&gt;$AN127)),"ACIMA REF.","")))))</f>
        <v/>
      </c>
      <c r="AD127" t="str">
        <f ca="1">IF(C127&lt;=CRONO.NivelExibicao,MAX($AD$15:OFFSET(AD127,-1,0))+IF($C127&lt;&gt;1,1,MAX(1,COUNTIF(QCI!$A$13:$A$24,OFFSET($E127,-1,0)))),"")</f>
        <v/>
      </c>
      <c r="AE127" s="7" t="str">
        <f ca="1">IF(AND($C127="S",ORÇAMENTO.CodBarra&lt;&gt;""),IF(ORÇAMENTO.Fonte="",ORÇAMENTO.CodBarra,CONCATENATE(ORÇAMENTO.Fonte," ",ORÇAMENTO.CodBarra)))</f>
        <v>Composição 37</v>
      </c>
      <c r="AF127" s="13" t="str">
        <f ca="1">IF(ISERROR(INDIRECT(ORÇAMENTO.BancoRef)),"(abra o arquivo 'Referência "&amp;Excel_BuiltIn_Database&amp;".xlsm)",IF(OR($C127&lt;&gt;"S",ORÇAMENTO.CodBarra=""),"(Sem Código)",IF(ISERROR(MATCH($AE127,INDIRECT(ORÇAMENTO.BancoRef),0)),"(Código não identificado nas referências)",MATCH($AE127,INDIRECT(ORÇAMENTO.BancoRef),0))))</f>
        <v>(abra o arquivo 'Referência 03-2024.xlsm)</v>
      </c>
      <c r="AG127" s="498">
        <f ca="1">ROUND(IF(DESONERACAO="sim",REFERENCIA.Desonerado,REFERENCIA.NaoDesonerado),2)</f>
        <v>0</v>
      </c>
      <c r="AH127" s="499">
        <f t="shared" ca="1" si="32"/>
        <v>0.28170000000000001</v>
      </c>
      <c r="AJ127" s="501">
        <v>11.55</v>
      </c>
      <c r="AL127" s="527"/>
      <c r="AM127" s="381">
        <f t="shared" ca="1" si="33"/>
        <v>1601.06</v>
      </c>
      <c r="AN127" s="566">
        <f t="shared" ca="1" si="34"/>
        <v>138.62</v>
      </c>
    </row>
    <row r="128" spans="1:40" ht="38.25" x14ac:dyDescent="0.2">
      <c r="A128" t="str">
        <f t="shared" si="19"/>
        <v>S</v>
      </c>
      <c r="B128">
        <f t="shared" ca="1" si="20"/>
        <v>3</v>
      </c>
      <c r="C128" t="str">
        <f t="shared" ca="1" si="21"/>
        <v>S</v>
      </c>
      <c r="D128">
        <f t="shared" ca="1" si="22"/>
        <v>0</v>
      </c>
      <c r="E128">
        <f ca="1">IF($C128=1,OFFSET(E128,-1,0)+MAX(1,COUNTIF(QCI!$A$13:$A$24,OFFSET(ORÇAMENTO!E128,-1,0))),OFFSET(E128,-1,0))</f>
        <v>1</v>
      </c>
      <c r="F128">
        <f t="shared" ca="1" si="23"/>
        <v>6</v>
      </c>
      <c r="G128">
        <f t="shared" ca="1" si="24"/>
        <v>8</v>
      </c>
      <c r="H128">
        <f t="shared" ca="1" si="25"/>
        <v>0</v>
      </c>
      <c r="I128">
        <f t="shared" ca="1" si="26"/>
        <v>4</v>
      </c>
      <c r="J128">
        <f t="shared" ca="1" si="17"/>
        <v>0</v>
      </c>
      <c r="K128">
        <f ca="1">IF(OR($C128="S",$C128=0),0,MATCH(OFFSET($D128,0,$C128)+IF($C128&lt;&gt;1,1,COUNTIF(QCI!$A$13:$A$24,ORÇAMENTO!E128)),OFFSET($D128,1,$C128,ROW($C$290)-ROW($C128)),0))</f>
        <v>0</v>
      </c>
      <c r="L128" s="116" t="str">
        <f t="shared" ca="1" si="27"/>
        <v>F</v>
      </c>
      <c r="M128" s="117" t="s">
        <v>199</v>
      </c>
      <c r="N128" s="118" t="str">
        <f t="shared" ca="1" si="28"/>
        <v>Serviço</v>
      </c>
      <c r="O128" s="119" t="str">
        <f t="shared" ca="1" si="29"/>
        <v>1.6.8.4.</v>
      </c>
      <c r="P128" s="120" t="s">
        <v>462</v>
      </c>
      <c r="Q128" s="121" t="s">
        <v>525</v>
      </c>
      <c r="R128" s="122" t="str">
        <f ca="1">IF($C128="S",REFERENCIA.Descricao,"(digite a descrição aqui)")</f>
        <v>(abra o arquivo 'Referência 03-2024.xlsm)</v>
      </c>
      <c r="S128" s="123" t="str">
        <f ca="1">REFERENCIA.Unidade</f>
        <v>-</v>
      </c>
      <c r="T128" s="124">
        <f ca="1">OFFSET(CÁLCULO!H$15,ROW($T128)-ROW(T$15),0)</f>
        <v>24</v>
      </c>
      <c r="U128" s="125">
        <v>70.650000000000006</v>
      </c>
      <c r="V128" s="126" t="s">
        <v>156</v>
      </c>
      <c r="W128" s="124">
        <f ca="1">IF($C128="S",ROUND(IF(TIPOORCAMENTO="Proposto",ORÇAMENTO.CustoUnitario*(1+$AH128),ORÇAMENTO.PrecoUnitarioLicitado),15-13*$AF$10),0)</f>
        <v>90.55</v>
      </c>
      <c r="X128" s="127">
        <f ca="1">IF($C128="S",IF(Import.TipoArredondamento&lt;&gt;"TransfereGOV",VTOTAL1,SUM(OFFSET(CÁLCULO!$AA$15,ROW($X128)-ROW($X$15),1):OFFSET(CÁLCULO!$AL$15,ROW($X128)-ROW($X$15),-1))),IF($C128=0,0,ROUND(SomaAgrup,15-13*$AF$11)))</f>
        <v>2173.1999999999998</v>
      </c>
      <c r="Y128" s="128" t="s">
        <v>245</v>
      </c>
      <c r="Z128" t="str">
        <f t="shared" ca="1" si="30"/>
        <v>RA</v>
      </c>
      <c r="AA128" s="129">
        <f ca="1">IF($C128="S",IF($Z128="CP",$X128,IF($Z128="RA",(($X128)*QCI!$AA$3),0)),SomaAgrup)</f>
        <v>2173.1999999999998</v>
      </c>
      <c r="AB128" s="130">
        <f t="shared" ca="1" si="31"/>
        <v>0</v>
      </c>
      <c r="AC128" s="131" t="str">
        <f ca="1">IF($N128="","",IF(ORÇAMENTO.Descricao="","DESCRIÇÃO",IF(AND($C128="S",ORÇAMENTO.Unidade=""),"UNIDADE",IF($X128&lt;0,"VALOR NEGATIVO",IF(OR(AND(TIPOORCAMENTO="Proposto",$AG128&lt;&gt;"",$AG128&gt;0,ORÇAMENTO.CustoUnitario&gt;$AG128),AND(TIPOORCAMENTO="LICITADO",ORÇAMENTO.PrecoUnitarioLicitado&gt;$AN128)),"ACIMA REF.","")))))</f>
        <v/>
      </c>
      <c r="AD128" t="str">
        <f ca="1">IF(C128&lt;=CRONO.NivelExibicao,MAX($AD$15:OFFSET(AD128,-1,0))+IF($C128&lt;&gt;1,1,MAX(1,COUNTIF(QCI!$A$13:$A$24,OFFSET($E128,-1,0)))),"")</f>
        <v/>
      </c>
      <c r="AE128" s="7" t="str">
        <f ca="1">IF(AND($C128="S",ORÇAMENTO.CodBarra&lt;&gt;""),IF(ORÇAMENTO.Fonte="",ORÇAMENTO.CodBarra,CONCATENATE(ORÇAMENTO.Fonte," ",ORÇAMENTO.CodBarra)))</f>
        <v>Composição 38</v>
      </c>
      <c r="AF128" s="13" t="str">
        <f ca="1">IF(ISERROR(INDIRECT(ORÇAMENTO.BancoRef)),"(abra o arquivo 'Referência "&amp;Excel_BuiltIn_Database&amp;".xlsm)",IF(OR($C128&lt;&gt;"S",ORÇAMENTO.CodBarra=""),"(Sem Código)",IF(ISERROR(MATCH($AE128,INDIRECT(ORÇAMENTO.BancoRef),0)),"(Código não identificado nas referências)",MATCH($AE128,INDIRECT(ORÇAMENTO.BancoRef),0))))</f>
        <v>(abra o arquivo 'Referência 03-2024.xlsm)</v>
      </c>
      <c r="AG128" s="498">
        <f ca="1">ROUND(IF(DESONERACAO="sim",REFERENCIA.Desonerado,REFERENCIA.NaoDesonerado),2)</f>
        <v>0</v>
      </c>
      <c r="AH128" s="499">
        <f t="shared" ca="1" si="32"/>
        <v>0.28170000000000001</v>
      </c>
      <c r="AJ128" s="501">
        <v>24</v>
      </c>
      <c r="AL128" s="527"/>
      <c r="AM128" s="381">
        <f t="shared" ca="1" si="33"/>
        <v>2173.1999999999998</v>
      </c>
      <c r="AN128" s="566">
        <f t="shared" ca="1" si="34"/>
        <v>90.55</v>
      </c>
    </row>
    <row r="129" spans="1:40" ht="38.25" x14ac:dyDescent="0.2">
      <c r="A129" t="str">
        <f t="shared" si="19"/>
        <v>S</v>
      </c>
      <c r="B129">
        <f t="shared" ca="1" si="20"/>
        <v>3</v>
      </c>
      <c r="C129" t="str">
        <f t="shared" ca="1" si="21"/>
        <v>S</v>
      </c>
      <c r="D129">
        <f t="shared" ca="1" si="22"/>
        <v>0</v>
      </c>
      <c r="E129">
        <f ca="1">IF($C129=1,OFFSET(E129,-1,0)+MAX(1,COUNTIF(QCI!$A$13:$A$24,OFFSET(ORÇAMENTO!E129,-1,0))),OFFSET(E129,-1,0))</f>
        <v>1</v>
      </c>
      <c r="F129">
        <f t="shared" ca="1" si="23"/>
        <v>6</v>
      </c>
      <c r="G129">
        <f t="shared" ca="1" si="24"/>
        <v>8</v>
      </c>
      <c r="H129">
        <f t="shared" ca="1" si="25"/>
        <v>0</v>
      </c>
      <c r="I129">
        <f t="shared" ca="1" si="26"/>
        <v>5</v>
      </c>
      <c r="J129">
        <f t="shared" ca="1" si="17"/>
        <v>0</v>
      </c>
      <c r="K129">
        <f ca="1">IF(OR($C129="S",$C129=0),0,MATCH(OFFSET($D129,0,$C129)+IF($C129&lt;&gt;1,1,COUNTIF(QCI!$A$13:$A$24,ORÇAMENTO!E129)),OFFSET($D129,1,$C129,ROW($C$290)-ROW($C129)),0))</f>
        <v>0</v>
      </c>
      <c r="L129" s="116" t="str">
        <f t="shared" ca="1" si="27"/>
        <v>F</v>
      </c>
      <c r="M129" s="117" t="s">
        <v>199</v>
      </c>
      <c r="N129" s="118" t="str">
        <f t="shared" ca="1" si="28"/>
        <v>Serviço</v>
      </c>
      <c r="O129" s="119" t="str">
        <f t="shared" ca="1" si="29"/>
        <v>1.6.8.5.</v>
      </c>
      <c r="P129" s="120" t="s">
        <v>462</v>
      </c>
      <c r="Q129" s="121" t="s">
        <v>526</v>
      </c>
      <c r="R129" s="122" t="str">
        <f ca="1">IF($C129="S",REFERENCIA.Descricao,"(digite a descrição aqui)")</f>
        <v>(abra o arquivo 'Referência 03-2024.xlsm)</v>
      </c>
      <c r="S129" s="123" t="str">
        <f ca="1">REFERENCIA.Unidade</f>
        <v>-</v>
      </c>
      <c r="T129" s="124">
        <f ca="1">OFFSET(CÁLCULO!H$15,ROW($T129)-ROW(T$15),0)</f>
        <v>38</v>
      </c>
      <c r="U129" s="125">
        <v>18.43</v>
      </c>
      <c r="V129" s="126" t="s">
        <v>156</v>
      </c>
      <c r="W129" s="124">
        <f ca="1">IF($C129="S",ROUND(IF(TIPOORCAMENTO="Proposto",ORÇAMENTO.CustoUnitario*(1+$AH129),ORÇAMENTO.PrecoUnitarioLicitado),15-13*$AF$10),0)</f>
        <v>23.62</v>
      </c>
      <c r="X129" s="127">
        <f ca="1">IF($C129="S",IF(Import.TipoArredondamento&lt;&gt;"TransfereGOV",VTOTAL1,SUM(OFFSET(CÁLCULO!$AA$15,ROW($X129)-ROW($X$15),1):OFFSET(CÁLCULO!$AL$15,ROW($X129)-ROW($X$15),-1))),IF($C129=0,0,ROUND(SomaAgrup,15-13*$AF$11)))</f>
        <v>897.56</v>
      </c>
      <c r="Y129" s="128" t="s">
        <v>245</v>
      </c>
      <c r="Z129" t="str">
        <f t="shared" ca="1" si="30"/>
        <v>RA</v>
      </c>
      <c r="AA129" s="129">
        <f ca="1">IF($C129="S",IF($Z129="CP",$X129,IF($Z129="RA",(($X129)*QCI!$AA$3),0)),SomaAgrup)</f>
        <v>897.56</v>
      </c>
      <c r="AB129" s="130">
        <f t="shared" ca="1" si="31"/>
        <v>0</v>
      </c>
      <c r="AC129" s="131" t="str">
        <f ca="1">IF($N129="","",IF(ORÇAMENTO.Descricao="","DESCRIÇÃO",IF(AND($C129="S",ORÇAMENTO.Unidade=""),"UNIDADE",IF($X129&lt;0,"VALOR NEGATIVO",IF(OR(AND(TIPOORCAMENTO="Proposto",$AG129&lt;&gt;"",$AG129&gt;0,ORÇAMENTO.CustoUnitario&gt;$AG129),AND(TIPOORCAMENTO="LICITADO",ORÇAMENTO.PrecoUnitarioLicitado&gt;$AN129)),"ACIMA REF.","")))))</f>
        <v/>
      </c>
      <c r="AD129" t="str">
        <f ca="1">IF(C129&lt;=CRONO.NivelExibicao,MAX($AD$15:OFFSET(AD129,-1,0))+IF($C129&lt;&gt;1,1,MAX(1,COUNTIF(QCI!$A$13:$A$24,OFFSET($E129,-1,0)))),"")</f>
        <v/>
      </c>
      <c r="AE129" s="7" t="str">
        <f ca="1">IF(AND($C129="S",ORÇAMENTO.CodBarra&lt;&gt;""),IF(ORÇAMENTO.Fonte="",ORÇAMENTO.CodBarra,CONCATENATE(ORÇAMENTO.Fonte," ",ORÇAMENTO.CodBarra)))</f>
        <v>Composição 39</v>
      </c>
      <c r="AF129" s="13" t="str">
        <f ca="1">IF(ISERROR(INDIRECT(ORÇAMENTO.BancoRef)),"(abra o arquivo 'Referência "&amp;Excel_BuiltIn_Database&amp;".xlsm)",IF(OR($C129&lt;&gt;"S",ORÇAMENTO.CodBarra=""),"(Sem Código)",IF(ISERROR(MATCH($AE129,INDIRECT(ORÇAMENTO.BancoRef),0)),"(Código não identificado nas referências)",MATCH($AE129,INDIRECT(ORÇAMENTO.BancoRef),0))))</f>
        <v>(abra o arquivo 'Referência 03-2024.xlsm)</v>
      </c>
      <c r="AG129" s="498">
        <f ca="1">ROUND(IF(DESONERACAO="sim",REFERENCIA.Desonerado,REFERENCIA.NaoDesonerado),2)</f>
        <v>0</v>
      </c>
      <c r="AH129" s="499">
        <f t="shared" ca="1" si="32"/>
        <v>0.28170000000000001</v>
      </c>
      <c r="AJ129" s="501">
        <v>38</v>
      </c>
      <c r="AL129" s="527"/>
      <c r="AM129" s="381">
        <f t="shared" ca="1" si="33"/>
        <v>897.56</v>
      </c>
      <c r="AN129" s="566">
        <f t="shared" ca="1" si="34"/>
        <v>23.62</v>
      </c>
    </row>
    <row r="130" spans="1:40" ht="25.5" x14ac:dyDescent="0.2">
      <c r="A130" t="str">
        <f>CHOOSE(1+LOG(1+2*(ORÇAMENTO.Nivel="Meta")+4*(ORÇAMENTO.Nivel="Nível 2")+8*(ORÇAMENTO.Nivel="Nível 3")+16*(ORÇAMENTO.Nivel="Nível 4")+32*(ORÇAMENTO.Nivel="Serviço"),2),0,1,2,3,4,"S")</f>
        <v>S</v>
      </c>
      <c r="B130">
        <f ca="1">IF(OR(C130="s",C130=0),OFFSET(B130,-1,0),C130)</f>
        <v>3</v>
      </c>
      <c r="C130" t="str">
        <f ca="1">IF(OFFSET(C130,-1,0)="L",1,IF(OFFSET(C130,-1,0)=1,2,IF(OR(A130="s",A130=0),"S",IF(AND(OFFSET(C130,-1,0)=2,A130=4),3,IF(AND(OR(OFFSET(C130,-1,0)="s",OFFSET(C130,-1,0)=0),A130&lt;&gt;"s",A130&gt;OFFSET(B130,-1,0)),OFFSET(B130,-1,0),A130)))))</f>
        <v>S</v>
      </c>
      <c r="D130">
        <f ca="1">IF(OR(C130="S",C130=0),0,IF(ISERROR(K130),J130,SMALL(J130:K130,1)))</f>
        <v>0</v>
      </c>
      <c r="E130">
        <f ca="1">IF($C130=1,OFFSET(E130,-1,0)+MAX(1,COUNTIF(QCI!$A$13:$A$24,OFFSET(ORÇAMENTO!E130,-1,0))),OFFSET(E130,-1,0))</f>
        <v>1</v>
      </c>
      <c r="F130">
        <f ca="1">IF($C130=1,0,IF($C130=2,OFFSET(F130,-1,0)+1,OFFSET(F130,-1,0)))</f>
        <v>6</v>
      </c>
      <c r="G130">
        <f ca="1">IF(AND($C130&lt;=2,$C130&lt;&gt;0),0,IF($C130=3,OFFSET(G130,-1,0)+1,OFFSET(G130,-1,0)))</f>
        <v>8</v>
      </c>
      <c r="H130">
        <f ca="1">IF(AND($C130&lt;=3,$C130&lt;&gt;0),0,IF($C130=4,OFFSET(H130,-1,0)+1,OFFSET(H130,-1,0)))</f>
        <v>0</v>
      </c>
      <c r="I130">
        <f ca="1">IF(AND($C130&lt;=4,$C130&lt;&gt;0),0,IF(AND($C130="S",$X130&gt;0),OFFSET(I130,-1,0)+1,OFFSET(I130,-1,0)))</f>
        <v>6</v>
      </c>
      <c r="J130">
        <f t="shared" ca="1" si="17"/>
        <v>0</v>
      </c>
      <c r="K130">
        <f ca="1">IF(OR($C130="S",$C130=0),0,MATCH(OFFSET($D130,0,$C130)+IF($C130&lt;&gt;1,1,COUNTIF(QCI!$A$13:$A$24,ORÇAMENTO!E130)),OFFSET($D130,1,$C130,ROW($C$290)-ROW($C130)),0))</f>
        <v>0</v>
      </c>
      <c r="L130" s="116" t="str">
        <f ca="1">IF(OR($X130&gt;0,$C130=1,$C130=2,$C130=3,$C130=4),"F","")</f>
        <v>F</v>
      </c>
      <c r="M130" s="117" t="s">
        <v>199</v>
      </c>
      <c r="N130" s="118" t="str">
        <f ca="1">CHOOSE(1+LOG(1+2*(C130=1)+4*(C130=2)+8*(C130=3)+16*(C130=4)+32*(C130="S"),2),"","Meta","Nível 2","Nível 3","Nível 4","Serviço")</f>
        <v>Serviço</v>
      </c>
      <c r="O130" s="119" t="str">
        <f ca="1">IF(OR($C130=0,$L130=""),"-",CONCATENATE(E130&amp;".",IF(AND($A$5&gt;=2,$C130&gt;=2),F130&amp;".",""),IF(AND($A$5&gt;=3,$C130&gt;=3),G130&amp;".",""),IF(AND($A$5&gt;=4,$C130&gt;=4),H130&amp;".",""),IF($C130="S",I130&amp;".","")))</f>
        <v>1.6.8.6.</v>
      </c>
      <c r="P130" s="120" t="s">
        <v>462</v>
      </c>
      <c r="Q130" s="121" t="s">
        <v>578</v>
      </c>
      <c r="R130" s="122" t="str">
        <f ca="1">IF($C130="S",REFERENCIA.Descricao,"(digite a descrição aqui)")</f>
        <v>(abra o arquivo 'Referência 03-2024.xlsm)</v>
      </c>
      <c r="S130" s="123" t="str">
        <f ca="1">REFERENCIA.Unidade</f>
        <v>-</v>
      </c>
      <c r="T130" s="124">
        <f ca="1">OFFSET(CÁLCULO!H$15,ROW($T130)-ROW(T$15),0)</f>
        <v>22</v>
      </c>
      <c r="U130" s="125">
        <v>18.43</v>
      </c>
      <c r="V130" s="126" t="s">
        <v>156</v>
      </c>
      <c r="W130" s="124">
        <f ca="1">IF($C130="S",ROUND(IF(TIPOORCAMENTO="Proposto",ORÇAMENTO.CustoUnitario*(1+$AH130),ORÇAMENTO.PrecoUnitarioLicitado),15-13*$AF$10),0)</f>
        <v>23.62</v>
      </c>
      <c r="X130" s="127">
        <f ca="1">IF($C130="S",IF(Import.TipoArredondamento&lt;&gt;"TransfereGOV",VTOTAL1,SUM(OFFSET(CÁLCULO!$AA$15,ROW($X130)-ROW($X$15),1):OFFSET(CÁLCULO!$AL$15,ROW($X130)-ROW($X$15),-1))),IF($C130=0,0,ROUND(SomaAgrup,15-13*$AF$11)))</f>
        <v>519.64</v>
      </c>
      <c r="Y130" s="128" t="s">
        <v>245</v>
      </c>
      <c r="Z130" t="str">
        <f ca="1">IF(AND($C130="S",$X130&gt;0),IF(ISBLANK($Y130),"RA",LEFT($Y130,2)),"")</f>
        <v>RA</v>
      </c>
      <c r="AA130" s="129">
        <f ca="1">IF($C130="S",IF($Z130="CP",$X130,IF($Z130="RA",(($X130)*QCI!$AA$3),0)),SomaAgrup)</f>
        <v>519.64</v>
      </c>
      <c r="AB130" s="130">
        <f ca="1">IF($C130="S",IF($Z130="OU",ROUND($X130,2),0),SomaAgrup)</f>
        <v>0</v>
      </c>
      <c r="AC130" s="131" t="str">
        <f ca="1">IF($N130="","",IF(ORÇAMENTO.Descricao="","DESCRIÇÃO",IF(AND($C130="S",ORÇAMENTO.Unidade=""),"UNIDADE",IF($X130&lt;0,"VALOR NEGATIVO",IF(OR(AND(TIPOORCAMENTO="Proposto",$AG130&lt;&gt;"",$AG130&gt;0,ORÇAMENTO.CustoUnitario&gt;$AG130),AND(TIPOORCAMENTO="LICITADO",ORÇAMENTO.PrecoUnitarioLicitado&gt;$AN130)),"ACIMA REF.","")))))</f>
        <v/>
      </c>
      <c r="AD130" t="str">
        <f ca="1">IF(C130&lt;=CRONO.NivelExibicao,MAX($AD$15:OFFSET(AD130,-1,0))+IF($C130&lt;&gt;1,1,MAX(1,COUNTIF(QCI!$A$13:$A$24,OFFSET($E130,-1,0)))),"")</f>
        <v/>
      </c>
      <c r="AE130" s="7" t="str">
        <f ca="1">IF(AND($C130="S",ORÇAMENTO.CodBarra&lt;&gt;""),IF(ORÇAMENTO.Fonte="",ORÇAMENTO.CodBarra,CONCATENATE(ORÇAMENTO.Fonte," ",ORÇAMENTO.CodBarra)))</f>
        <v>Composição 64</v>
      </c>
      <c r="AF130" s="13" t="str">
        <f ca="1">IF(ISERROR(INDIRECT(ORÇAMENTO.BancoRef)),"(abra o arquivo 'Referência "&amp;Excel_BuiltIn_Database&amp;".xlsm)",IF(OR($C130&lt;&gt;"S",ORÇAMENTO.CodBarra=""),"(Sem Código)",IF(ISERROR(MATCH($AE130,INDIRECT(ORÇAMENTO.BancoRef),0)),"(Código não identificado nas referências)",MATCH($AE130,INDIRECT(ORÇAMENTO.BancoRef),0))))</f>
        <v>(abra o arquivo 'Referência 03-2024.xlsm)</v>
      </c>
      <c r="AG130" s="498">
        <f ca="1">ROUND(IF(DESONERACAO="sim",REFERENCIA.Desonerado,REFERENCIA.NaoDesonerado),2)</f>
        <v>0</v>
      </c>
      <c r="AH130" s="499">
        <f ca="1">ROUND(IF(ISNUMBER(ORÇAMENTO.OpcaoBDI),ORÇAMENTO.OpcaoBDI,IF(LEFT(ORÇAMENTO.OpcaoBDI,3)="BDI",HLOOKUP(ORÇAMENTO.OpcaoBDI,$F$4:$H$5,2,FALSE),0)),15-11*$AF$9)</f>
        <v>0.28170000000000001</v>
      </c>
      <c r="AJ130" s="501">
        <v>22</v>
      </c>
      <c r="AL130" s="527"/>
      <c r="AM130" s="381">
        <f t="shared" ca="1" si="33"/>
        <v>519.64</v>
      </c>
      <c r="AN130" s="566">
        <f ca="1">ROUND(ORÇAMENTO.CustoUnitario*(1+$AH130),2)</f>
        <v>23.62</v>
      </c>
    </row>
    <row r="131" spans="1:40" x14ac:dyDescent="0.2">
      <c r="A131">
        <f t="shared" si="19"/>
        <v>3</v>
      </c>
      <c r="B131">
        <f t="shared" ca="1" si="20"/>
        <v>3</v>
      </c>
      <c r="C131">
        <f t="shared" ca="1" si="21"/>
        <v>3</v>
      </c>
      <c r="D131">
        <f t="shared" ca="1" si="22"/>
        <v>3</v>
      </c>
      <c r="E131">
        <f ca="1">IF($C131=1,OFFSET(E131,-1,0)+MAX(1,COUNTIF(QCI!$A$13:$A$24,OFFSET(ORÇAMENTO!E131,-1,0))),OFFSET(E131,-1,0))</f>
        <v>1</v>
      </c>
      <c r="F131">
        <f t="shared" ca="1" si="23"/>
        <v>6</v>
      </c>
      <c r="G131">
        <f t="shared" ca="1" si="24"/>
        <v>9</v>
      </c>
      <c r="H131">
        <f t="shared" ca="1" si="25"/>
        <v>0</v>
      </c>
      <c r="I131">
        <f t="shared" ca="1" si="26"/>
        <v>0</v>
      </c>
      <c r="J131">
        <f t="shared" ca="1" si="17"/>
        <v>61</v>
      </c>
      <c r="K131">
        <f ca="1">IF(OR($C131="S",$C131=0),0,MATCH(OFFSET($D131,0,$C131)+IF($C131&lt;&gt;1,1,COUNTIF(QCI!$A$13:$A$24,ORÇAMENTO!E131)),OFFSET($D131,1,$C131,ROW($C$290)-ROW($C131)),0))</f>
        <v>3</v>
      </c>
      <c r="L131" s="116" t="str">
        <f t="shared" ca="1" si="27"/>
        <v>F</v>
      </c>
      <c r="M131" s="117" t="s">
        <v>197</v>
      </c>
      <c r="N131" s="118" t="str">
        <f t="shared" ca="1" si="28"/>
        <v>Nível 3</v>
      </c>
      <c r="O131" s="119" t="str">
        <f t="shared" ca="1" si="29"/>
        <v>1.6.9.</v>
      </c>
      <c r="P131" s="120" t="s">
        <v>247</v>
      </c>
      <c r="Q131" s="121"/>
      <c r="R131" s="122" t="s">
        <v>527</v>
      </c>
      <c r="S131" s="123" t="str">
        <f ca="1">REFERENCIA.Unidade</f>
        <v>-</v>
      </c>
      <c r="T131" s="124">
        <f ca="1">OFFSET(CÁLCULO!H$15,ROW($T131)-ROW(T$15),0)</f>
        <v>0</v>
      </c>
      <c r="U131" s="125">
        <v>0</v>
      </c>
      <c r="V131" s="126" t="s">
        <v>156</v>
      </c>
      <c r="W131" s="124">
        <f ca="1">IF($C131="S",ROUND(IF(TIPOORCAMENTO="Proposto",ORÇAMENTO.CustoUnitario*(1+$AH131),ORÇAMENTO.PrecoUnitarioLicitado),15-13*$AF$10),0)</f>
        <v>0</v>
      </c>
      <c r="X131" s="127">
        <f ca="1">IF($C131="S",IF(Import.TipoArredondamento&lt;&gt;"TransfereGOV",VTOTAL1,SUM(OFFSET(CÁLCULO!$AA$15,ROW($X131)-ROW($X$15),1):OFFSET(CÁLCULO!$AL$15,ROW($X131)-ROW($X$15),-1))),IF($C131=0,0,ROUND(SomaAgrup,15-13*$AF$11)))</f>
        <v>4802.62</v>
      </c>
      <c r="Y131" s="128" t="s">
        <v>245</v>
      </c>
      <c r="Z131" t="str">
        <f t="shared" ca="1" si="30"/>
        <v/>
      </c>
      <c r="AA131" s="129">
        <f ca="1">IF($C131="S",IF($Z131="CP",$X131,IF($Z131="RA",(($X131)*QCI!$AA$3),0)),SomaAgrup)</f>
        <v>4802.62</v>
      </c>
      <c r="AB131" s="130">
        <f t="shared" ca="1" si="31"/>
        <v>0</v>
      </c>
      <c r="AC131" s="131" t="str">
        <f ca="1">IF($N131="","",IF(ORÇAMENTO.Descricao="","DESCRIÇÃO",IF(AND($C131="S",ORÇAMENTO.Unidade=""),"UNIDADE",IF($X131&lt;0,"VALOR NEGATIVO",IF(OR(AND(TIPOORCAMENTO="Proposto",$AG131&lt;&gt;"",$AG131&gt;0,ORÇAMENTO.CustoUnitario&gt;$AG131),AND(TIPOORCAMENTO="LICITADO",ORÇAMENTO.PrecoUnitarioLicitado&gt;$AN131)),"ACIMA REF.","")))))</f>
        <v/>
      </c>
      <c r="AD131">
        <f ca="1">IF(C131&lt;=CRONO.NivelExibicao,MAX($AD$15:OFFSET(AD131,-1,0))+IF($C131&lt;&gt;1,1,MAX(1,COUNTIF(QCI!$A$13:$A$24,OFFSET($E131,-1,0)))),"")</f>
        <v>18</v>
      </c>
      <c r="AE131" s="7" t="b">
        <f ca="1">IF(AND($C131="S",ORÇAMENTO.CodBarra&lt;&gt;""),IF(ORÇAMENTO.Fonte="",ORÇAMENTO.CodBarra,CONCATENATE(ORÇAMENTO.Fonte," ",ORÇAMENTO.CodBarra)))</f>
        <v>0</v>
      </c>
      <c r="AF131" s="13" t="str">
        <f ca="1">IF(ISERROR(INDIRECT(ORÇAMENTO.BancoRef)),"(abra o arquivo 'Referência "&amp;Excel_BuiltIn_Database&amp;".xlsm)",IF(OR($C131&lt;&gt;"S",ORÇAMENTO.CodBarra=""),"(Sem Código)",IF(ISERROR(MATCH($AE131,INDIRECT(ORÇAMENTO.BancoRef),0)),"(Código não identificado nas referências)",MATCH($AE131,INDIRECT(ORÇAMENTO.BancoRef),0))))</f>
        <v>(abra o arquivo 'Referência 03-2024.xlsm)</v>
      </c>
      <c r="AG131" s="498">
        <f ca="1">ROUND(IF(DESONERACAO="sim",REFERENCIA.Desonerado,REFERENCIA.NaoDesonerado),2)</f>
        <v>0</v>
      </c>
      <c r="AH131" s="499">
        <f t="shared" ca="1" si="32"/>
        <v>0.28170000000000001</v>
      </c>
      <c r="AJ131" s="501"/>
      <c r="AL131" s="527"/>
      <c r="AM131" s="381">
        <f t="shared" ca="1" si="33"/>
        <v>4802.62</v>
      </c>
      <c r="AN131" s="566">
        <f t="shared" ca="1" si="34"/>
        <v>0</v>
      </c>
    </row>
    <row r="132" spans="1:40" ht="51" x14ac:dyDescent="0.2">
      <c r="A132" t="str">
        <f t="shared" si="19"/>
        <v>S</v>
      </c>
      <c r="B132">
        <f t="shared" ca="1" si="20"/>
        <v>3</v>
      </c>
      <c r="C132" t="str">
        <f t="shared" ca="1" si="21"/>
        <v>S</v>
      </c>
      <c r="D132">
        <f t="shared" ca="1" si="22"/>
        <v>0</v>
      </c>
      <c r="E132">
        <f ca="1">IF($C132=1,OFFSET(E132,-1,0)+MAX(1,COUNTIF(QCI!$A$13:$A$24,OFFSET(ORÇAMENTO!E132,-1,0))),OFFSET(E132,-1,0))</f>
        <v>1</v>
      </c>
      <c r="F132">
        <f t="shared" ca="1" si="23"/>
        <v>6</v>
      </c>
      <c r="G132">
        <f t="shared" ca="1" si="24"/>
        <v>9</v>
      </c>
      <c r="H132">
        <f t="shared" ca="1" si="25"/>
        <v>0</v>
      </c>
      <c r="I132">
        <f t="shared" ca="1" si="26"/>
        <v>1</v>
      </c>
      <c r="J132">
        <f t="shared" ca="1" si="17"/>
        <v>0</v>
      </c>
      <c r="K132">
        <f ca="1">IF(OR($C132="S",$C132=0),0,MATCH(OFFSET($D132,0,$C132)+IF($C132&lt;&gt;1,1,COUNTIF(QCI!$A$13:$A$24,ORÇAMENTO!E132)),OFFSET($D132,1,$C132,ROW($C$290)-ROW($C132)),0))</f>
        <v>0</v>
      </c>
      <c r="L132" s="116" t="str">
        <f t="shared" ca="1" si="27"/>
        <v>F</v>
      </c>
      <c r="M132" s="117" t="s">
        <v>199</v>
      </c>
      <c r="N132" s="118" t="str">
        <f t="shared" ca="1" si="28"/>
        <v>Serviço</v>
      </c>
      <c r="O132" s="119" t="str">
        <f t="shared" ca="1" si="29"/>
        <v>1.6.9.1.</v>
      </c>
      <c r="P132" s="120" t="s">
        <v>247</v>
      </c>
      <c r="Q132" s="121" t="s">
        <v>528</v>
      </c>
      <c r="R132" s="122" t="str">
        <f ca="1">IF($C132="S",REFERENCIA.Descricao,"(digite a descrição aqui)")</f>
        <v>(abra o arquivo 'Referência 03-2024.xlsm)</v>
      </c>
      <c r="S132" s="123" t="str">
        <f ca="1">REFERENCIA.Unidade</f>
        <v>-</v>
      </c>
      <c r="T132" s="124">
        <f ca="1">OFFSET(CÁLCULO!H$15,ROW($T132)-ROW(T$15),0)</f>
        <v>2</v>
      </c>
      <c r="U132" s="125">
        <v>1433.15</v>
      </c>
      <c r="V132" s="126" t="s">
        <v>156</v>
      </c>
      <c r="W132" s="124">
        <f ca="1">IF($C132="S",ROUND(IF(TIPOORCAMENTO="Proposto",ORÇAMENTO.CustoUnitario*(1+$AH132),ORÇAMENTO.PrecoUnitarioLicitado),15-13*$AF$10),0)</f>
        <v>1836.87</v>
      </c>
      <c r="X132" s="127">
        <f ca="1">IF($C132="S",IF(Import.TipoArredondamento&lt;&gt;"TransfereGOV",VTOTAL1,SUM(OFFSET(CÁLCULO!$AA$15,ROW($X132)-ROW($X$15),1):OFFSET(CÁLCULO!$AL$15,ROW($X132)-ROW($X$15),-1))),IF($C132=0,0,ROUND(SomaAgrup,15-13*$AF$11)))</f>
        <v>3673.74</v>
      </c>
      <c r="Y132" s="128" t="s">
        <v>245</v>
      </c>
      <c r="Z132" t="str">
        <f t="shared" ca="1" si="30"/>
        <v>RA</v>
      </c>
      <c r="AA132" s="129">
        <f ca="1">IF($C132="S",IF($Z132="CP",$X132,IF($Z132="RA",(($X132)*QCI!$AA$3),0)),SomaAgrup)</f>
        <v>3673.74</v>
      </c>
      <c r="AB132" s="130">
        <f t="shared" ca="1" si="31"/>
        <v>0</v>
      </c>
      <c r="AC132" s="131" t="str">
        <f ca="1">IF($N132="","",IF(ORÇAMENTO.Descricao="","DESCRIÇÃO",IF(AND($C132="S",ORÇAMENTO.Unidade=""),"UNIDADE",IF($X132&lt;0,"VALOR NEGATIVO",IF(OR(AND(TIPOORCAMENTO="Proposto",$AG132&lt;&gt;"",$AG132&gt;0,ORÇAMENTO.CustoUnitario&gt;$AG132),AND(TIPOORCAMENTO="LICITADO",ORÇAMENTO.PrecoUnitarioLicitado&gt;$AN132)),"ACIMA REF.","")))))</f>
        <v/>
      </c>
      <c r="AD132" t="str">
        <f ca="1">IF(C132&lt;=CRONO.NivelExibicao,MAX($AD$15:OFFSET(AD132,-1,0))+IF($C132&lt;&gt;1,1,MAX(1,COUNTIF(QCI!$A$13:$A$24,OFFSET($E132,-1,0)))),"")</f>
        <v/>
      </c>
      <c r="AE132" s="7" t="str">
        <f ca="1">IF(AND($C132="S",ORÇAMENTO.CodBarra&lt;&gt;""),IF(ORÇAMENTO.Fonte="",ORÇAMENTO.CodBarra,CONCATENATE(ORÇAMENTO.Fonte," ",ORÇAMENTO.CodBarra)))</f>
        <v>SINAPI 90793</v>
      </c>
      <c r="AF132" s="13" t="str">
        <f ca="1">IF(ISERROR(INDIRECT(ORÇAMENTO.BancoRef)),"(abra o arquivo 'Referência "&amp;Excel_BuiltIn_Database&amp;".xlsm)",IF(OR($C132&lt;&gt;"S",ORÇAMENTO.CodBarra=""),"(Sem Código)",IF(ISERROR(MATCH($AE132,INDIRECT(ORÇAMENTO.BancoRef),0)),"(Código não identificado nas referências)",MATCH($AE132,INDIRECT(ORÇAMENTO.BancoRef),0))))</f>
        <v>(abra o arquivo 'Referência 03-2024.xlsm)</v>
      </c>
      <c r="AG132" s="498">
        <f ca="1">ROUND(IF(DESONERACAO="sim",REFERENCIA.Desonerado,REFERENCIA.NaoDesonerado),2)</f>
        <v>0</v>
      </c>
      <c r="AH132" s="499">
        <f t="shared" ca="1" si="32"/>
        <v>0.28170000000000001</v>
      </c>
      <c r="AJ132" s="501">
        <v>2</v>
      </c>
      <c r="AL132" s="527"/>
      <c r="AM132" s="381">
        <f t="shared" ca="1" si="33"/>
        <v>3673.74</v>
      </c>
      <c r="AN132" s="566">
        <f t="shared" ca="1" si="34"/>
        <v>1836.87</v>
      </c>
    </row>
    <row r="133" spans="1:40" ht="38.25" x14ac:dyDescent="0.2">
      <c r="A133" t="str">
        <f t="shared" si="19"/>
        <v>S</v>
      </c>
      <c r="B133">
        <f t="shared" ca="1" si="20"/>
        <v>3</v>
      </c>
      <c r="C133" t="str">
        <f t="shared" ca="1" si="21"/>
        <v>S</v>
      </c>
      <c r="D133">
        <f t="shared" ca="1" si="22"/>
        <v>0</v>
      </c>
      <c r="E133">
        <f ca="1">IF($C133=1,OFFSET(E133,-1,0)+MAX(1,COUNTIF(QCI!$A$13:$A$24,OFFSET(ORÇAMENTO!E133,-1,0))),OFFSET(E133,-1,0))</f>
        <v>1</v>
      </c>
      <c r="F133">
        <f t="shared" ca="1" si="23"/>
        <v>6</v>
      </c>
      <c r="G133">
        <f t="shared" ca="1" si="24"/>
        <v>9</v>
      </c>
      <c r="H133">
        <f t="shared" ca="1" si="25"/>
        <v>0</v>
      </c>
      <c r="I133">
        <f t="shared" ca="1" si="26"/>
        <v>2</v>
      </c>
      <c r="J133">
        <f t="shared" ca="1" si="17"/>
        <v>0</v>
      </c>
      <c r="K133">
        <f ca="1">IF(OR($C133="S",$C133=0),0,MATCH(OFFSET($D133,0,$C133)+IF($C133&lt;&gt;1,1,COUNTIF(QCI!$A$13:$A$24,ORÇAMENTO!E133)),OFFSET($D133,1,$C133,ROW($C$290)-ROW($C133)),0))</f>
        <v>0</v>
      </c>
      <c r="L133" s="116" t="str">
        <f t="shared" ca="1" si="27"/>
        <v>F</v>
      </c>
      <c r="M133" s="117" t="s">
        <v>199</v>
      </c>
      <c r="N133" s="118" t="str">
        <f t="shared" ca="1" si="28"/>
        <v>Serviço</v>
      </c>
      <c r="O133" s="119" t="str">
        <f t="shared" ca="1" si="29"/>
        <v>1.6.9.2.</v>
      </c>
      <c r="P133" s="120" t="s">
        <v>462</v>
      </c>
      <c r="Q133" s="121" t="s">
        <v>529</v>
      </c>
      <c r="R133" s="122" t="str">
        <f ca="1">IF($C133="S",REFERENCIA.Descricao,"(digite a descrição aqui)")</f>
        <v>(abra o arquivo 'Referência 03-2024.xlsm)</v>
      </c>
      <c r="S133" s="123" t="str">
        <f ca="1">REFERENCIA.Unidade</f>
        <v>-</v>
      </c>
      <c r="T133" s="124">
        <f ca="1">OFFSET(CÁLCULO!H$15,ROW($T133)-ROW(T$15),0)</f>
        <v>2</v>
      </c>
      <c r="U133" s="125">
        <v>440.38</v>
      </c>
      <c r="V133" s="126" t="s">
        <v>156</v>
      </c>
      <c r="W133" s="124">
        <f ca="1">IF($C133="S",ROUND(IF(TIPOORCAMENTO="Proposto",ORÇAMENTO.CustoUnitario*(1+$AH133),ORÇAMENTO.PrecoUnitarioLicitado),15-13*$AF$10),0)</f>
        <v>564.44000000000005</v>
      </c>
      <c r="X133" s="127">
        <f ca="1">IF($C133="S",IF(Import.TipoArredondamento&lt;&gt;"TransfereGOV",VTOTAL1,SUM(OFFSET(CÁLCULO!$AA$15,ROW($X133)-ROW($X$15),1):OFFSET(CÁLCULO!$AL$15,ROW($X133)-ROW($X$15),-1))),IF($C133=0,0,ROUND(SomaAgrup,15-13*$AF$11)))</f>
        <v>1128.8800000000001</v>
      </c>
      <c r="Y133" s="128" t="s">
        <v>245</v>
      </c>
      <c r="Z133" t="str">
        <f t="shared" ca="1" si="30"/>
        <v>RA</v>
      </c>
      <c r="AA133" s="129">
        <f ca="1">IF($C133="S",IF($Z133="CP",$X133,IF($Z133="RA",(($X133)*QCI!$AA$3),0)),SomaAgrup)</f>
        <v>1128.8800000000001</v>
      </c>
      <c r="AB133" s="130">
        <f t="shared" ca="1" si="31"/>
        <v>0</v>
      </c>
      <c r="AC133" s="131" t="str">
        <f ca="1">IF($N133="","",IF(ORÇAMENTO.Descricao="","DESCRIÇÃO",IF(AND($C133="S",ORÇAMENTO.Unidade=""),"UNIDADE",IF($X133&lt;0,"VALOR NEGATIVO",IF(OR(AND(TIPOORCAMENTO="Proposto",$AG133&lt;&gt;"",$AG133&gt;0,ORÇAMENTO.CustoUnitario&gt;$AG133),AND(TIPOORCAMENTO="LICITADO",ORÇAMENTO.PrecoUnitarioLicitado&gt;$AN133)),"ACIMA REF.","")))))</f>
        <v/>
      </c>
      <c r="AD133" t="str">
        <f ca="1">IF(C133&lt;=CRONO.NivelExibicao,MAX($AD$15:OFFSET(AD133,-1,0))+IF($C133&lt;&gt;1,1,MAX(1,COUNTIF(QCI!$A$13:$A$24,OFFSET($E133,-1,0)))),"")</f>
        <v/>
      </c>
      <c r="AE133" s="7" t="str">
        <f ca="1">IF(AND($C133="S",ORÇAMENTO.CodBarra&lt;&gt;""),IF(ORÇAMENTO.Fonte="",ORÇAMENTO.CodBarra,CONCATENATE(ORÇAMENTO.Fonte," ",ORÇAMENTO.CodBarra)))</f>
        <v>Composição 40</v>
      </c>
      <c r="AF133" s="13" t="str">
        <f ca="1">IF(ISERROR(INDIRECT(ORÇAMENTO.BancoRef)),"(abra o arquivo 'Referência "&amp;Excel_BuiltIn_Database&amp;".xlsm)",IF(OR($C133&lt;&gt;"S",ORÇAMENTO.CodBarra=""),"(Sem Código)",IF(ISERROR(MATCH($AE133,INDIRECT(ORÇAMENTO.BancoRef),0)),"(Código não identificado nas referências)",MATCH($AE133,INDIRECT(ORÇAMENTO.BancoRef),0))))</f>
        <v>(abra o arquivo 'Referência 03-2024.xlsm)</v>
      </c>
      <c r="AG133" s="498">
        <f ca="1">ROUND(IF(DESONERACAO="sim",REFERENCIA.Desonerado,REFERENCIA.NaoDesonerado),2)</f>
        <v>0</v>
      </c>
      <c r="AH133" s="499">
        <f t="shared" ca="1" si="32"/>
        <v>0.28170000000000001</v>
      </c>
      <c r="AJ133" s="501">
        <v>2</v>
      </c>
      <c r="AL133" s="527"/>
      <c r="AM133" s="381">
        <f t="shared" ca="1" si="33"/>
        <v>1128.8800000000001</v>
      </c>
      <c r="AN133" s="566">
        <f t="shared" ca="1" si="34"/>
        <v>564.44000000000005</v>
      </c>
    </row>
    <row r="134" spans="1:40" x14ac:dyDescent="0.2">
      <c r="A134">
        <f t="shared" si="19"/>
        <v>3</v>
      </c>
      <c r="B134">
        <f t="shared" ca="1" si="20"/>
        <v>3</v>
      </c>
      <c r="C134">
        <f t="shared" ca="1" si="21"/>
        <v>3</v>
      </c>
      <c r="D134">
        <f t="shared" ca="1" si="22"/>
        <v>2</v>
      </c>
      <c r="E134">
        <f ca="1">IF($C134=1,OFFSET(E134,-1,0)+MAX(1,COUNTIF(QCI!$A$13:$A$24,OFFSET(ORÇAMENTO!E134,-1,0))),OFFSET(E134,-1,0))</f>
        <v>1</v>
      </c>
      <c r="F134">
        <f t="shared" ca="1" si="23"/>
        <v>6</v>
      </c>
      <c r="G134">
        <f t="shared" ca="1" si="24"/>
        <v>10</v>
      </c>
      <c r="H134">
        <f t="shared" ca="1" si="25"/>
        <v>0</v>
      </c>
      <c r="I134">
        <f t="shared" ca="1" si="26"/>
        <v>0</v>
      </c>
      <c r="J134">
        <f t="shared" ca="1" si="17"/>
        <v>58</v>
      </c>
      <c r="K134">
        <f ca="1">IF(OR($C134="S",$C134=0),0,MATCH(OFFSET($D134,0,$C134)+IF($C134&lt;&gt;1,1,COUNTIF(QCI!$A$13:$A$24,ORÇAMENTO!E134)),OFFSET($D134,1,$C134,ROW($C$290)-ROW($C134)),0))</f>
        <v>2</v>
      </c>
      <c r="L134" s="116" t="str">
        <f t="shared" ca="1" si="27"/>
        <v>F</v>
      </c>
      <c r="M134" s="117" t="s">
        <v>197</v>
      </c>
      <c r="N134" s="118" t="str">
        <f t="shared" ca="1" si="28"/>
        <v>Nível 3</v>
      </c>
      <c r="O134" s="119" t="str">
        <f t="shared" ca="1" si="29"/>
        <v>1.6.10.</v>
      </c>
      <c r="P134" s="120" t="s">
        <v>247</v>
      </c>
      <c r="Q134" s="121"/>
      <c r="R134" s="122" t="s">
        <v>530</v>
      </c>
      <c r="S134" s="123" t="str">
        <f ca="1">REFERENCIA.Unidade</f>
        <v>-</v>
      </c>
      <c r="T134" s="124">
        <f ca="1">OFFSET(CÁLCULO!H$15,ROW($T134)-ROW(T$15),0)</f>
        <v>0</v>
      </c>
      <c r="U134" s="125">
        <v>0</v>
      </c>
      <c r="V134" s="126" t="s">
        <v>156</v>
      </c>
      <c r="W134" s="124">
        <f ca="1">IF($C134="S",ROUND(IF(TIPOORCAMENTO="Proposto",ORÇAMENTO.CustoUnitario*(1+$AH134),ORÇAMENTO.PrecoUnitarioLicitado),15-13*$AF$10),0)</f>
        <v>0</v>
      </c>
      <c r="X134" s="127">
        <f ca="1">IF($C134="S",IF(Import.TipoArredondamento&lt;&gt;"TransfereGOV",VTOTAL1,SUM(OFFSET(CÁLCULO!$AA$15,ROW($X134)-ROW($X$15),1):OFFSET(CÁLCULO!$AL$15,ROW($X134)-ROW($X$15),-1))),IF($C134=0,0,ROUND(SomaAgrup,15-13*$AF$11)))</f>
        <v>2225.6999999999998</v>
      </c>
      <c r="Y134" s="128" t="s">
        <v>245</v>
      </c>
      <c r="Z134" t="str">
        <f t="shared" ca="1" si="30"/>
        <v/>
      </c>
      <c r="AA134" s="129">
        <f ca="1">IF($C134="S",IF($Z134="CP",$X134,IF($Z134="RA",(($X134)*QCI!$AA$3),0)),SomaAgrup)</f>
        <v>2225.6999999999998</v>
      </c>
      <c r="AB134" s="130">
        <f t="shared" ca="1" si="31"/>
        <v>0</v>
      </c>
      <c r="AC134" s="131" t="str">
        <f ca="1">IF($N134="","",IF(ORÇAMENTO.Descricao="","DESCRIÇÃO",IF(AND($C134="S",ORÇAMENTO.Unidade=""),"UNIDADE",IF($X134&lt;0,"VALOR NEGATIVO",IF(OR(AND(TIPOORCAMENTO="Proposto",$AG134&lt;&gt;"",$AG134&gt;0,ORÇAMENTO.CustoUnitario&gt;$AG134),AND(TIPOORCAMENTO="LICITADO",ORÇAMENTO.PrecoUnitarioLicitado&gt;$AN134)),"ACIMA REF.","")))))</f>
        <v/>
      </c>
      <c r="AD134">
        <f ca="1">IF(C134&lt;=CRONO.NivelExibicao,MAX($AD$15:OFFSET(AD134,-1,0))+IF($C134&lt;&gt;1,1,MAX(1,COUNTIF(QCI!$A$13:$A$24,OFFSET($E134,-1,0)))),"")</f>
        <v>19</v>
      </c>
      <c r="AE134" s="7" t="b">
        <f ca="1">IF(AND($C134="S",ORÇAMENTO.CodBarra&lt;&gt;""),IF(ORÇAMENTO.Fonte="",ORÇAMENTO.CodBarra,CONCATENATE(ORÇAMENTO.Fonte," ",ORÇAMENTO.CodBarra)))</f>
        <v>0</v>
      </c>
      <c r="AF134" s="13" t="str">
        <f ca="1">IF(ISERROR(INDIRECT(ORÇAMENTO.BancoRef)),"(abra o arquivo 'Referência "&amp;Excel_BuiltIn_Database&amp;".xlsm)",IF(OR($C134&lt;&gt;"S",ORÇAMENTO.CodBarra=""),"(Sem Código)",IF(ISERROR(MATCH($AE134,INDIRECT(ORÇAMENTO.BancoRef),0)),"(Código não identificado nas referências)",MATCH($AE134,INDIRECT(ORÇAMENTO.BancoRef),0))))</f>
        <v>(abra o arquivo 'Referência 03-2024.xlsm)</v>
      </c>
      <c r="AG134" s="498">
        <f ca="1">ROUND(IF(DESONERACAO="sim",REFERENCIA.Desonerado,REFERENCIA.NaoDesonerado),2)</f>
        <v>0</v>
      </c>
      <c r="AH134" s="499">
        <f t="shared" ca="1" si="32"/>
        <v>0.28170000000000001</v>
      </c>
      <c r="AJ134" s="501"/>
      <c r="AL134" s="527"/>
      <c r="AM134" s="381">
        <f t="shared" ca="1" si="33"/>
        <v>2225.6999999999998</v>
      </c>
      <c r="AN134" s="566">
        <f t="shared" ca="1" si="34"/>
        <v>0</v>
      </c>
    </row>
    <row r="135" spans="1:40" ht="38.25" x14ac:dyDescent="0.2">
      <c r="A135" t="str">
        <f t="shared" si="19"/>
        <v>S</v>
      </c>
      <c r="B135">
        <f t="shared" ca="1" si="20"/>
        <v>3</v>
      </c>
      <c r="C135" t="str">
        <f t="shared" ca="1" si="21"/>
        <v>S</v>
      </c>
      <c r="D135">
        <f t="shared" ca="1" si="22"/>
        <v>0</v>
      </c>
      <c r="E135">
        <f ca="1">IF($C135=1,OFFSET(E135,-1,0)+MAX(1,COUNTIF(QCI!$A$13:$A$24,OFFSET(ORÇAMENTO!E135,-1,0))),OFFSET(E135,-1,0))</f>
        <v>1</v>
      </c>
      <c r="F135">
        <f t="shared" ca="1" si="23"/>
        <v>6</v>
      </c>
      <c r="G135">
        <f t="shared" ca="1" si="24"/>
        <v>10</v>
      </c>
      <c r="H135">
        <f t="shared" ca="1" si="25"/>
        <v>0</v>
      </c>
      <c r="I135">
        <f t="shared" ca="1" si="26"/>
        <v>1</v>
      </c>
      <c r="J135">
        <f t="shared" ca="1" si="17"/>
        <v>0</v>
      </c>
      <c r="K135">
        <f ca="1">IF(OR($C135="S",$C135=0),0,MATCH(OFFSET($D135,0,$C135)+IF($C135&lt;&gt;1,1,COUNTIF(QCI!$A$13:$A$24,ORÇAMENTO!E135)),OFFSET($D135,1,$C135,ROW($C$290)-ROW($C135)),0))</f>
        <v>0</v>
      </c>
      <c r="L135" s="116" t="str">
        <f t="shared" ca="1" si="27"/>
        <v>F</v>
      </c>
      <c r="M135" s="117" t="s">
        <v>199</v>
      </c>
      <c r="N135" s="118" t="str">
        <f t="shared" ca="1" si="28"/>
        <v>Serviço</v>
      </c>
      <c r="O135" s="119" t="str">
        <f t="shared" ca="1" si="29"/>
        <v>1.6.10.1.</v>
      </c>
      <c r="P135" s="120" t="s">
        <v>462</v>
      </c>
      <c r="Q135" s="121" t="s">
        <v>531</v>
      </c>
      <c r="R135" s="122" t="str">
        <f ca="1">IF($C135="S",REFERENCIA.Descricao,"(digite a descrição aqui)")</f>
        <v>(abra o arquivo 'Referência 03-2024.xlsm)</v>
      </c>
      <c r="S135" s="123" t="str">
        <f ca="1">REFERENCIA.Unidade</f>
        <v>-</v>
      </c>
      <c r="T135" s="124">
        <f ca="1">OFFSET(CÁLCULO!H$15,ROW($T135)-ROW(T$15),0)</f>
        <v>6</v>
      </c>
      <c r="U135" s="125">
        <v>289.42</v>
      </c>
      <c r="V135" s="126" t="s">
        <v>156</v>
      </c>
      <c r="W135" s="124">
        <f ca="1">IF($C135="S",ROUND(IF(TIPOORCAMENTO="Proposto",ORÇAMENTO.CustoUnitario*(1+$AH135),ORÇAMENTO.PrecoUnitarioLicitado),15-13*$AF$10),0)</f>
        <v>370.95</v>
      </c>
      <c r="X135" s="127">
        <f ca="1">IF($C135="S",IF(Import.TipoArredondamento&lt;&gt;"TransfereGOV",VTOTAL1,SUM(OFFSET(CÁLCULO!$AA$15,ROW($X135)-ROW($X$15),1):OFFSET(CÁLCULO!$AL$15,ROW($X135)-ROW($X$15),-1))),IF($C135=0,0,ROUND(SomaAgrup,15-13*$AF$11)))</f>
        <v>2225.6999999999998</v>
      </c>
      <c r="Y135" s="128" t="s">
        <v>245</v>
      </c>
      <c r="Z135" t="str">
        <f t="shared" ca="1" si="30"/>
        <v>RA</v>
      </c>
      <c r="AA135" s="129">
        <f ca="1">IF($C135="S",IF($Z135="CP",$X135,IF($Z135="RA",(($X135)*QCI!$AA$3),0)),SomaAgrup)</f>
        <v>2225.6999999999998</v>
      </c>
      <c r="AB135" s="130">
        <f t="shared" ca="1" si="31"/>
        <v>0</v>
      </c>
      <c r="AC135" s="131" t="str">
        <f ca="1">IF($N135="","",IF(ORÇAMENTO.Descricao="","DESCRIÇÃO",IF(AND($C135="S",ORÇAMENTO.Unidade=""),"UNIDADE",IF($X135&lt;0,"VALOR NEGATIVO",IF(OR(AND(TIPOORCAMENTO="Proposto",$AG135&lt;&gt;"",$AG135&gt;0,ORÇAMENTO.CustoUnitario&gt;$AG135),AND(TIPOORCAMENTO="LICITADO",ORÇAMENTO.PrecoUnitarioLicitado&gt;$AN135)),"ACIMA REF.","")))))</f>
        <v/>
      </c>
      <c r="AD135" t="str">
        <f ca="1">IF(C135&lt;=CRONO.NivelExibicao,MAX($AD$15:OFFSET(AD135,-1,0))+IF($C135&lt;&gt;1,1,MAX(1,COUNTIF(QCI!$A$13:$A$24,OFFSET($E135,-1,0)))),"")</f>
        <v/>
      </c>
      <c r="AE135" s="7" t="str">
        <f ca="1">IF(AND($C135="S",ORÇAMENTO.CodBarra&lt;&gt;""),IF(ORÇAMENTO.Fonte="",ORÇAMENTO.CodBarra,CONCATENATE(ORÇAMENTO.Fonte," ",ORÇAMENTO.CodBarra)))</f>
        <v>Composição 41</v>
      </c>
      <c r="AF135" s="13" t="str">
        <f ca="1">IF(ISERROR(INDIRECT(ORÇAMENTO.BancoRef)),"(abra o arquivo 'Referência "&amp;Excel_BuiltIn_Database&amp;".xlsm)",IF(OR($C135&lt;&gt;"S",ORÇAMENTO.CodBarra=""),"(Sem Código)",IF(ISERROR(MATCH($AE135,INDIRECT(ORÇAMENTO.BancoRef),0)),"(Código não identificado nas referências)",MATCH($AE135,INDIRECT(ORÇAMENTO.BancoRef),0))))</f>
        <v>(abra o arquivo 'Referência 03-2024.xlsm)</v>
      </c>
      <c r="AG135" s="498">
        <f ca="1">ROUND(IF(DESONERACAO="sim",REFERENCIA.Desonerado,REFERENCIA.NaoDesonerado),2)</f>
        <v>0</v>
      </c>
      <c r="AH135" s="499">
        <f t="shared" ca="1" si="32"/>
        <v>0.28170000000000001</v>
      </c>
      <c r="AJ135" s="501">
        <v>6</v>
      </c>
      <c r="AL135" s="527"/>
      <c r="AM135" s="381">
        <f t="shared" ca="1" si="33"/>
        <v>2225.6999999999998</v>
      </c>
      <c r="AN135" s="566">
        <f t="shared" ca="1" si="34"/>
        <v>370.95</v>
      </c>
    </row>
    <row r="136" spans="1:40" x14ac:dyDescent="0.2">
      <c r="A136">
        <f t="shared" si="19"/>
        <v>3</v>
      </c>
      <c r="B136">
        <f t="shared" ca="1" si="20"/>
        <v>3</v>
      </c>
      <c r="C136">
        <f t="shared" ca="1" si="21"/>
        <v>3</v>
      </c>
      <c r="D136">
        <f t="shared" ca="1" si="22"/>
        <v>4</v>
      </c>
      <c r="E136">
        <f ca="1">IF($C136=1,OFFSET(E136,-1,0)+MAX(1,COUNTIF(QCI!$A$13:$A$24,OFFSET(ORÇAMENTO!E136,-1,0))),OFFSET(E136,-1,0))</f>
        <v>1</v>
      </c>
      <c r="F136">
        <f t="shared" ca="1" si="23"/>
        <v>6</v>
      </c>
      <c r="G136">
        <f t="shared" ca="1" si="24"/>
        <v>11</v>
      </c>
      <c r="H136">
        <f t="shared" ca="1" si="25"/>
        <v>0</v>
      </c>
      <c r="I136">
        <f t="shared" ca="1" si="26"/>
        <v>0</v>
      </c>
      <c r="J136">
        <f t="shared" ca="1" si="17"/>
        <v>56</v>
      </c>
      <c r="K136">
        <f ca="1">IF(OR($C136="S",$C136=0),0,MATCH(OFFSET($D136,0,$C136)+IF($C136&lt;&gt;1,1,COUNTIF(QCI!$A$13:$A$24,ORÇAMENTO!E136)),OFFSET($D136,1,$C136,ROW($C$290)-ROW($C136)),0))</f>
        <v>4</v>
      </c>
      <c r="L136" s="116" t="str">
        <f t="shared" ca="1" si="27"/>
        <v>F</v>
      </c>
      <c r="M136" s="117" t="s">
        <v>197</v>
      </c>
      <c r="N136" s="118" t="str">
        <f t="shared" ca="1" si="28"/>
        <v>Nível 3</v>
      </c>
      <c r="O136" s="119" t="str">
        <f t="shared" ca="1" si="29"/>
        <v>1.6.11.</v>
      </c>
      <c r="P136" s="120" t="s">
        <v>247</v>
      </c>
      <c r="Q136" s="121"/>
      <c r="R136" s="122" t="s">
        <v>532</v>
      </c>
      <c r="S136" s="123" t="str">
        <f ca="1">REFERENCIA.Unidade</f>
        <v>-</v>
      </c>
      <c r="T136" s="124">
        <f ca="1">OFFSET(CÁLCULO!H$15,ROW($T136)-ROW(T$15),0)</f>
        <v>0</v>
      </c>
      <c r="U136" s="125">
        <v>0</v>
      </c>
      <c r="V136" s="126" t="s">
        <v>156</v>
      </c>
      <c r="W136" s="124">
        <f ca="1">IF($C136="S",ROUND(IF(TIPOORCAMENTO="Proposto",ORÇAMENTO.CustoUnitario*(1+$AH136),ORÇAMENTO.PrecoUnitarioLicitado),15-13*$AF$10),0)</f>
        <v>0</v>
      </c>
      <c r="X136" s="127">
        <f ca="1">IF($C136="S",IF(Import.TipoArredondamento&lt;&gt;"TransfereGOV",VTOTAL1,SUM(OFFSET(CÁLCULO!$AA$15,ROW($X136)-ROW($X$15),1):OFFSET(CÁLCULO!$AL$15,ROW($X136)-ROW($X$15),-1))),IF($C136=0,0,ROUND(SomaAgrup,15-13*$AF$11)))</f>
        <v>4299.32</v>
      </c>
      <c r="Y136" s="128" t="s">
        <v>245</v>
      </c>
      <c r="Z136" t="str">
        <f t="shared" ca="1" si="30"/>
        <v/>
      </c>
      <c r="AA136" s="129">
        <f ca="1">IF($C136="S",IF($Z136="CP",$X136,IF($Z136="RA",(($X136)*QCI!$AA$3),0)),SomaAgrup)</f>
        <v>4299.32</v>
      </c>
      <c r="AB136" s="130">
        <f t="shared" ca="1" si="31"/>
        <v>0</v>
      </c>
      <c r="AC136" s="131" t="str">
        <f ca="1">IF($N136="","",IF(ORÇAMENTO.Descricao="","DESCRIÇÃO",IF(AND($C136="S",ORÇAMENTO.Unidade=""),"UNIDADE",IF($X136&lt;0,"VALOR NEGATIVO",IF(OR(AND(TIPOORCAMENTO="Proposto",$AG136&lt;&gt;"",$AG136&gt;0,ORÇAMENTO.CustoUnitario&gt;$AG136),AND(TIPOORCAMENTO="LICITADO",ORÇAMENTO.PrecoUnitarioLicitado&gt;$AN136)),"ACIMA REF.","")))))</f>
        <v/>
      </c>
      <c r="AD136">
        <f ca="1">IF(C136&lt;=CRONO.NivelExibicao,MAX($AD$15:OFFSET(AD136,-1,0))+IF($C136&lt;&gt;1,1,MAX(1,COUNTIF(QCI!$A$13:$A$24,OFFSET($E136,-1,0)))),"")</f>
        <v>20</v>
      </c>
      <c r="AE136" s="7" t="b">
        <f ca="1">IF(AND($C136="S",ORÇAMENTO.CodBarra&lt;&gt;""),IF(ORÇAMENTO.Fonte="",ORÇAMENTO.CodBarra,CONCATENATE(ORÇAMENTO.Fonte," ",ORÇAMENTO.CodBarra)))</f>
        <v>0</v>
      </c>
      <c r="AF136" s="13" t="str">
        <f ca="1">IF(ISERROR(INDIRECT(ORÇAMENTO.BancoRef)),"(abra o arquivo 'Referência "&amp;Excel_BuiltIn_Database&amp;".xlsm)",IF(OR($C136&lt;&gt;"S",ORÇAMENTO.CodBarra=""),"(Sem Código)",IF(ISERROR(MATCH($AE136,INDIRECT(ORÇAMENTO.BancoRef),0)),"(Código não identificado nas referências)",MATCH($AE136,INDIRECT(ORÇAMENTO.BancoRef),0))))</f>
        <v>(abra o arquivo 'Referência 03-2024.xlsm)</v>
      </c>
      <c r="AG136" s="498">
        <f ca="1">ROUND(IF(DESONERACAO="sim",REFERENCIA.Desonerado,REFERENCIA.NaoDesonerado),2)</f>
        <v>0</v>
      </c>
      <c r="AH136" s="499">
        <f t="shared" ca="1" si="32"/>
        <v>0.28170000000000001</v>
      </c>
      <c r="AJ136" s="501"/>
      <c r="AL136" s="527"/>
      <c r="AM136" s="381">
        <f t="shared" ca="1" si="33"/>
        <v>4299.32</v>
      </c>
      <c r="AN136" s="566">
        <f t="shared" ca="1" si="34"/>
        <v>0</v>
      </c>
    </row>
    <row r="137" spans="1:40" ht="51" x14ac:dyDescent="0.2">
      <c r="A137" t="str">
        <f t="shared" si="19"/>
        <v>S</v>
      </c>
      <c r="B137">
        <f t="shared" ca="1" si="20"/>
        <v>3</v>
      </c>
      <c r="C137" t="str">
        <f t="shared" ca="1" si="21"/>
        <v>S</v>
      </c>
      <c r="D137">
        <f t="shared" ca="1" si="22"/>
        <v>0</v>
      </c>
      <c r="E137">
        <f ca="1">IF($C137=1,OFFSET(E137,-1,0)+MAX(1,COUNTIF(QCI!$A$13:$A$24,OFFSET(ORÇAMENTO!E137,-1,0))),OFFSET(E137,-1,0))</f>
        <v>1</v>
      </c>
      <c r="F137">
        <f t="shared" ca="1" si="23"/>
        <v>6</v>
      </c>
      <c r="G137">
        <f t="shared" ca="1" si="24"/>
        <v>11</v>
      </c>
      <c r="H137">
        <f t="shared" ca="1" si="25"/>
        <v>0</v>
      </c>
      <c r="I137">
        <f t="shared" ca="1" si="26"/>
        <v>1</v>
      </c>
      <c r="J137">
        <f t="shared" ca="1" si="17"/>
        <v>0</v>
      </c>
      <c r="K137">
        <f ca="1">IF(OR($C137="S",$C137=0),0,MATCH(OFFSET($D137,0,$C137)+IF($C137&lt;&gt;1,1,COUNTIF(QCI!$A$13:$A$24,ORÇAMENTO!E137)),OFFSET($D137,1,$C137,ROW($C$290)-ROW($C137)),0))</f>
        <v>0</v>
      </c>
      <c r="L137" s="116" t="str">
        <f t="shared" ca="1" si="27"/>
        <v>F</v>
      </c>
      <c r="M137" s="117" t="s">
        <v>199</v>
      </c>
      <c r="N137" s="118" t="str">
        <f t="shared" ca="1" si="28"/>
        <v>Serviço</v>
      </c>
      <c r="O137" s="119" t="str">
        <f t="shared" ca="1" si="29"/>
        <v>1.6.11.1.</v>
      </c>
      <c r="P137" s="120" t="s">
        <v>462</v>
      </c>
      <c r="Q137" s="121" t="s">
        <v>465</v>
      </c>
      <c r="R137" s="122" t="str">
        <f ca="1">IF($C137="S",REFERENCIA.Descricao,"(digite a descrição aqui)")</f>
        <v>(abra o arquivo 'Referência 03-2024.xlsm)</v>
      </c>
      <c r="S137" s="123" t="str">
        <f ca="1">REFERENCIA.Unidade</f>
        <v>-</v>
      </c>
      <c r="T137" s="124">
        <f ca="1">OFFSET(CÁLCULO!H$15,ROW($T137)-ROW(T$15),0)</f>
        <v>38</v>
      </c>
      <c r="U137" s="125">
        <v>5.47</v>
      </c>
      <c r="V137" s="126" t="s">
        <v>156</v>
      </c>
      <c r="W137" s="124">
        <f ca="1">IF($C137="S",ROUND(IF(TIPOORCAMENTO="Proposto",ORÇAMENTO.CustoUnitario*(1+$AH137),ORÇAMENTO.PrecoUnitarioLicitado),15-13*$AF$10),0)</f>
        <v>7.01</v>
      </c>
      <c r="X137" s="127">
        <f ca="1">IF($C137="S",IF(Import.TipoArredondamento&lt;&gt;"TransfereGOV",VTOTAL1,SUM(OFFSET(CÁLCULO!$AA$15,ROW($X137)-ROW($X$15),1):OFFSET(CÁLCULO!$AL$15,ROW($X137)-ROW($X$15),-1))),IF($C137=0,0,ROUND(SomaAgrup,15-13*$AF$11)))</f>
        <v>266.38</v>
      </c>
      <c r="Y137" s="128" t="s">
        <v>245</v>
      </c>
      <c r="Z137" t="str">
        <f t="shared" ca="1" si="30"/>
        <v>RA</v>
      </c>
      <c r="AA137" s="129">
        <f ca="1">IF($C137="S",IF($Z137="CP",$X137,IF($Z137="RA",(($X137)*QCI!$AA$3),0)),SomaAgrup)</f>
        <v>266.38</v>
      </c>
      <c r="AB137" s="130">
        <f t="shared" ca="1" si="31"/>
        <v>0</v>
      </c>
      <c r="AC137" s="131" t="str">
        <f ca="1">IF($N137="","",IF(ORÇAMENTO.Descricao="","DESCRIÇÃO",IF(AND($C137="S",ORÇAMENTO.Unidade=""),"UNIDADE",IF($X137&lt;0,"VALOR NEGATIVO",IF(OR(AND(TIPOORCAMENTO="Proposto",$AG137&lt;&gt;"",$AG137&gt;0,ORÇAMENTO.CustoUnitario&gt;$AG137),AND(TIPOORCAMENTO="LICITADO",ORÇAMENTO.PrecoUnitarioLicitado&gt;$AN137)),"ACIMA REF.","")))))</f>
        <v/>
      </c>
      <c r="AD137" t="str">
        <f ca="1">IF(C137&lt;=CRONO.NivelExibicao,MAX($AD$15:OFFSET(AD137,-1,0))+IF($C137&lt;&gt;1,1,MAX(1,COUNTIF(QCI!$A$13:$A$24,OFFSET($E137,-1,0)))),"")</f>
        <v/>
      </c>
      <c r="AE137" s="7" t="str">
        <f ca="1">IF(AND($C137="S",ORÇAMENTO.CodBarra&lt;&gt;""),IF(ORÇAMENTO.Fonte="",ORÇAMENTO.CodBarra,CONCATENATE(ORÇAMENTO.Fonte," ",ORÇAMENTO.CodBarra)))</f>
        <v>Composição 2</v>
      </c>
      <c r="AF137" s="13" t="str">
        <f ca="1">IF(ISERROR(INDIRECT(ORÇAMENTO.BancoRef)),"(abra o arquivo 'Referência "&amp;Excel_BuiltIn_Database&amp;".xlsm)",IF(OR($C137&lt;&gt;"S",ORÇAMENTO.CodBarra=""),"(Sem Código)",IF(ISERROR(MATCH($AE137,INDIRECT(ORÇAMENTO.BancoRef),0)),"(Código não identificado nas referências)",MATCH($AE137,INDIRECT(ORÇAMENTO.BancoRef),0))))</f>
        <v>(abra o arquivo 'Referência 03-2024.xlsm)</v>
      </c>
      <c r="AG137" s="498">
        <f ca="1">ROUND(IF(DESONERACAO="sim",REFERENCIA.Desonerado,REFERENCIA.NaoDesonerado),2)</f>
        <v>0</v>
      </c>
      <c r="AH137" s="499">
        <f t="shared" ca="1" si="32"/>
        <v>0.28170000000000001</v>
      </c>
      <c r="AJ137" s="501">
        <v>38</v>
      </c>
      <c r="AL137" s="527"/>
      <c r="AM137" s="381">
        <f t="shared" ca="1" si="33"/>
        <v>266.38</v>
      </c>
      <c r="AN137" s="566">
        <f t="shared" ca="1" si="34"/>
        <v>7.01</v>
      </c>
    </row>
    <row r="138" spans="1:40" ht="63.75" x14ac:dyDescent="0.2">
      <c r="A138" t="str">
        <f t="shared" si="19"/>
        <v>S</v>
      </c>
      <c r="B138">
        <f t="shared" ca="1" si="20"/>
        <v>3</v>
      </c>
      <c r="C138" t="str">
        <f t="shared" ca="1" si="21"/>
        <v>S</v>
      </c>
      <c r="D138">
        <f t="shared" ca="1" si="22"/>
        <v>0</v>
      </c>
      <c r="E138">
        <f ca="1">IF($C138=1,OFFSET(E138,-1,0)+MAX(1,COUNTIF(QCI!$A$13:$A$24,OFFSET(ORÇAMENTO!E138,-1,0))),OFFSET(E138,-1,0))</f>
        <v>1</v>
      </c>
      <c r="F138">
        <f t="shared" ca="1" si="23"/>
        <v>6</v>
      </c>
      <c r="G138">
        <f t="shared" ca="1" si="24"/>
        <v>11</v>
      </c>
      <c r="H138">
        <f t="shared" ca="1" si="25"/>
        <v>0</v>
      </c>
      <c r="I138">
        <f t="shared" ca="1" si="26"/>
        <v>2</v>
      </c>
      <c r="J138">
        <f t="shared" ca="1" si="17"/>
        <v>0</v>
      </c>
      <c r="K138">
        <f ca="1">IF(OR($C138="S",$C138=0),0,MATCH(OFFSET($D138,0,$C138)+IF($C138&lt;&gt;1,1,COUNTIF(QCI!$A$13:$A$24,ORÇAMENTO!E138)),OFFSET($D138,1,$C138,ROW($C$290)-ROW($C138)),0))</f>
        <v>0</v>
      </c>
      <c r="L138" s="116" t="str">
        <f t="shared" ca="1" si="27"/>
        <v>F</v>
      </c>
      <c r="M138" s="117" t="s">
        <v>199</v>
      </c>
      <c r="N138" s="118" t="str">
        <f t="shared" ca="1" si="28"/>
        <v>Serviço</v>
      </c>
      <c r="O138" s="119" t="str">
        <f t="shared" ca="1" si="29"/>
        <v>1.6.11.2.</v>
      </c>
      <c r="P138" s="120" t="s">
        <v>462</v>
      </c>
      <c r="Q138" s="121" t="s">
        <v>533</v>
      </c>
      <c r="R138" s="122" t="str">
        <f ca="1">IF($C138="S",REFERENCIA.Descricao,"(digite a descrição aqui)")</f>
        <v>(abra o arquivo 'Referência 03-2024.xlsm)</v>
      </c>
      <c r="S138" s="123" t="str">
        <f ca="1">REFERENCIA.Unidade</f>
        <v>-</v>
      </c>
      <c r="T138" s="124">
        <f ca="1">OFFSET(CÁLCULO!H$15,ROW($T138)-ROW(T$15),0)</f>
        <v>38</v>
      </c>
      <c r="U138" s="125">
        <v>22.85</v>
      </c>
      <c r="V138" s="126" t="s">
        <v>156</v>
      </c>
      <c r="W138" s="124">
        <f ca="1">IF($C138="S",ROUND(IF(TIPOORCAMENTO="Proposto",ORÇAMENTO.CustoUnitario*(1+$AH138),ORÇAMENTO.PrecoUnitarioLicitado),15-13*$AF$10),0)</f>
        <v>29.29</v>
      </c>
      <c r="X138" s="127">
        <f ca="1">IF($C138="S",IF(Import.TipoArredondamento&lt;&gt;"TransfereGOV",VTOTAL1,SUM(OFFSET(CÁLCULO!$AA$15,ROW($X138)-ROW($X$15),1):OFFSET(CÁLCULO!$AL$15,ROW($X138)-ROW($X$15),-1))),IF($C138=0,0,ROUND(SomaAgrup,15-13*$AF$11)))</f>
        <v>1113.02</v>
      </c>
      <c r="Y138" s="128" t="s">
        <v>245</v>
      </c>
      <c r="Z138" t="str">
        <f t="shared" ca="1" si="30"/>
        <v>RA</v>
      </c>
      <c r="AA138" s="129">
        <f ca="1">IF($C138="S",IF($Z138="CP",$X138,IF($Z138="RA",(($X138)*QCI!$AA$3),0)),SomaAgrup)</f>
        <v>1113.02</v>
      </c>
      <c r="AB138" s="130">
        <f t="shared" ca="1" si="31"/>
        <v>0</v>
      </c>
      <c r="AC138" s="131" t="str">
        <f ca="1">IF($N138="","",IF(ORÇAMENTO.Descricao="","DESCRIÇÃO",IF(AND($C138="S",ORÇAMENTO.Unidade=""),"UNIDADE",IF($X138&lt;0,"VALOR NEGATIVO",IF(OR(AND(TIPOORCAMENTO="Proposto",$AG138&lt;&gt;"",$AG138&gt;0,ORÇAMENTO.CustoUnitario&gt;$AG138),AND(TIPOORCAMENTO="LICITADO",ORÇAMENTO.PrecoUnitarioLicitado&gt;$AN138)),"ACIMA REF.","")))))</f>
        <v/>
      </c>
      <c r="AD138" t="str">
        <f ca="1">IF(C138&lt;=CRONO.NivelExibicao,MAX($AD$15:OFFSET(AD138,-1,0))+IF($C138&lt;&gt;1,1,MAX(1,COUNTIF(QCI!$A$13:$A$24,OFFSET($E138,-1,0)))),"")</f>
        <v/>
      </c>
      <c r="AE138" s="7" t="str">
        <f ca="1">IF(AND($C138="S",ORÇAMENTO.CodBarra&lt;&gt;""),IF(ORÇAMENTO.Fonte="",ORÇAMENTO.CodBarra,CONCATENATE(ORÇAMENTO.Fonte," ",ORÇAMENTO.CodBarra)))</f>
        <v>Composição 42</v>
      </c>
      <c r="AF138" s="13" t="str">
        <f ca="1">IF(ISERROR(INDIRECT(ORÇAMENTO.BancoRef)),"(abra o arquivo 'Referência "&amp;Excel_BuiltIn_Database&amp;".xlsm)",IF(OR($C138&lt;&gt;"S",ORÇAMENTO.CodBarra=""),"(Sem Código)",IF(ISERROR(MATCH($AE138,INDIRECT(ORÇAMENTO.BancoRef),0)),"(Código não identificado nas referências)",MATCH($AE138,INDIRECT(ORÇAMENTO.BancoRef),0))))</f>
        <v>(abra o arquivo 'Referência 03-2024.xlsm)</v>
      </c>
      <c r="AG138" s="498">
        <f ca="1">ROUND(IF(DESONERACAO="sim",REFERENCIA.Desonerado,REFERENCIA.NaoDesonerado),2)</f>
        <v>0</v>
      </c>
      <c r="AH138" s="499">
        <f t="shared" ca="1" si="32"/>
        <v>0.28170000000000001</v>
      </c>
      <c r="AJ138" s="501">
        <v>38</v>
      </c>
      <c r="AL138" s="527"/>
      <c r="AM138" s="381">
        <f t="shared" ca="1" si="33"/>
        <v>1113.02</v>
      </c>
      <c r="AN138" s="566">
        <f t="shared" ca="1" si="34"/>
        <v>29.29</v>
      </c>
    </row>
    <row r="139" spans="1:40" ht="38.25" x14ac:dyDescent="0.2">
      <c r="A139" t="str">
        <f t="shared" si="19"/>
        <v>S</v>
      </c>
      <c r="B139">
        <f t="shared" ca="1" si="20"/>
        <v>3</v>
      </c>
      <c r="C139" t="str">
        <f t="shared" ca="1" si="21"/>
        <v>S</v>
      </c>
      <c r="D139">
        <f t="shared" ca="1" si="22"/>
        <v>0</v>
      </c>
      <c r="E139">
        <f ca="1">IF($C139=1,OFFSET(E139,-1,0)+MAX(1,COUNTIF(QCI!$A$13:$A$24,OFFSET(ORÇAMENTO!E139,-1,0))),OFFSET(E139,-1,0))</f>
        <v>1</v>
      </c>
      <c r="F139">
        <f t="shared" ca="1" si="23"/>
        <v>6</v>
      </c>
      <c r="G139">
        <f t="shared" ca="1" si="24"/>
        <v>11</v>
      </c>
      <c r="H139">
        <f t="shared" ca="1" si="25"/>
        <v>0</v>
      </c>
      <c r="I139">
        <f t="shared" ca="1" si="26"/>
        <v>3</v>
      </c>
      <c r="J139">
        <f t="shared" ca="1" si="17"/>
        <v>0</v>
      </c>
      <c r="K139">
        <f ca="1">IF(OR($C139="S",$C139=0),0,MATCH(OFFSET($D139,0,$C139)+IF($C139&lt;&gt;1,1,COUNTIF(QCI!$A$13:$A$24,ORÇAMENTO!E139)),OFFSET($D139,1,$C139,ROW($C$290)-ROW($C139)),0))</f>
        <v>0</v>
      </c>
      <c r="L139" s="116" t="str">
        <f t="shared" ca="1" si="27"/>
        <v>F</v>
      </c>
      <c r="M139" s="117" t="s">
        <v>199</v>
      </c>
      <c r="N139" s="118" t="str">
        <f t="shared" ca="1" si="28"/>
        <v>Serviço</v>
      </c>
      <c r="O139" s="119" t="str">
        <f t="shared" ca="1" si="29"/>
        <v>1.6.11.3.</v>
      </c>
      <c r="P139" s="120" t="s">
        <v>462</v>
      </c>
      <c r="Q139" s="121" t="s">
        <v>534</v>
      </c>
      <c r="R139" s="122" t="str">
        <f ca="1">IF($C139="S",REFERENCIA.Descricao,"(digite a descrição aqui)")</f>
        <v>(abra o arquivo 'Referência 03-2024.xlsm)</v>
      </c>
      <c r="S139" s="123" t="str">
        <f ca="1">REFERENCIA.Unidade</f>
        <v>-</v>
      </c>
      <c r="T139" s="124">
        <f ca="1">OFFSET(CÁLCULO!H$15,ROW($T139)-ROW(T$15),0)</f>
        <v>38</v>
      </c>
      <c r="U139" s="125">
        <v>59.95</v>
      </c>
      <c r="V139" s="126" t="s">
        <v>156</v>
      </c>
      <c r="W139" s="124">
        <f ca="1">IF($C139="S",ROUND(IF(TIPOORCAMENTO="Proposto",ORÇAMENTO.CustoUnitario*(1+$AH139),ORÇAMENTO.PrecoUnitarioLicitado),15-13*$AF$10),0)</f>
        <v>76.84</v>
      </c>
      <c r="X139" s="127">
        <f ca="1">IF($C139="S",IF(Import.TipoArredondamento&lt;&gt;"TransfereGOV",VTOTAL1,SUM(OFFSET(CÁLCULO!$AA$15,ROW($X139)-ROW($X$15),1):OFFSET(CÁLCULO!$AL$15,ROW($X139)-ROW($X$15),-1))),IF($C139=0,0,ROUND(SomaAgrup,15-13*$AF$11)))</f>
        <v>2919.92</v>
      </c>
      <c r="Y139" s="128" t="s">
        <v>245</v>
      </c>
      <c r="Z139" t="str">
        <f t="shared" ca="1" si="30"/>
        <v>RA</v>
      </c>
      <c r="AA139" s="129">
        <f ca="1">IF($C139="S",IF($Z139="CP",$X139,IF($Z139="RA",(($X139)*QCI!$AA$3),0)),SomaAgrup)</f>
        <v>2919.92</v>
      </c>
      <c r="AB139" s="130">
        <f t="shared" ca="1" si="31"/>
        <v>0</v>
      </c>
      <c r="AC139" s="131" t="str">
        <f ca="1">IF($N139="","",IF(ORÇAMENTO.Descricao="","DESCRIÇÃO",IF(AND($C139="S",ORÇAMENTO.Unidade=""),"UNIDADE",IF($X139&lt;0,"VALOR NEGATIVO",IF(OR(AND(TIPOORCAMENTO="Proposto",$AG139&lt;&gt;"",$AG139&gt;0,ORÇAMENTO.CustoUnitario&gt;$AG139),AND(TIPOORCAMENTO="LICITADO",ORÇAMENTO.PrecoUnitarioLicitado&gt;$AN139)),"ACIMA REF.","")))))</f>
        <v/>
      </c>
      <c r="AD139" t="str">
        <f ca="1">IF(C139&lt;=CRONO.NivelExibicao,MAX($AD$15:OFFSET(AD139,-1,0))+IF($C139&lt;&gt;1,1,MAX(1,COUNTIF(QCI!$A$13:$A$24,OFFSET($E139,-1,0)))),"")</f>
        <v/>
      </c>
      <c r="AE139" s="7" t="str">
        <f ca="1">IF(AND($C139="S",ORÇAMENTO.CodBarra&lt;&gt;""),IF(ORÇAMENTO.Fonte="",ORÇAMENTO.CodBarra,CONCATENATE(ORÇAMENTO.Fonte," ",ORÇAMENTO.CodBarra)))</f>
        <v>Composição 43</v>
      </c>
      <c r="AF139" s="13" t="str">
        <f ca="1">IF(ISERROR(INDIRECT(ORÇAMENTO.BancoRef)),"(abra o arquivo 'Referência "&amp;Excel_BuiltIn_Database&amp;".xlsm)",IF(OR($C139&lt;&gt;"S",ORÇAMENTO.CodBarra=""),"(Sem Código)",IF(ISERROR(MATCH($AE139,INDIRECT(ORÇAMENTO.BancoRef),0)),"(Código não identificado nas referências)",MATCH($AE139,INDIRECT(ORÇAMENTO.BancoRef),0))))</f>
        <v>(abra o arquivo 'Referência 03-2024.xlsm)</v>
      </c>
      <c r="AG139" s="498">
        <f ca="1">ROUND(IF(DESONERACAO="sim",REFERENCIA.Desonerado,REFERENCIA.NaoDesonerado),2)</f>
        <v>0</v>
      </c>
      <c r="AH139" s="499">
        <f t="shared" ca="1" si="32"/>
        <v>0.28170000000000001</v>
      </c>
      <c r="AJ139" s="501">
        <v>38</v>
      </c>
      <c r="AL139" s="527"/>
      <c r="AM139" s="381">
        <f t="shared" ca="1" si="33"/>
        <v>2919.92</v>
      </c>
      <c r="AN139" s="566">
        <f t="shared" ca="1" si="34"/>
        <v>76.84</v>
      </c>
    </row>
    <row r="140" spans="1:40" x14ac:dyDescent="0.2">
      <c r="A140">
        <f t="shared" si="19"/>
        <v>3</v>
      </c>
      <c r="B140">
        <f t="shared" ca="1" si="20"/>
        <v>3</v>
      </c>
      <c r="C140">
        <f t="shared" ca="1" si="21"/>
        <v>3</v>
      </c>
      <c r="D140">
        <f t="shared" ca="1" si="22"/>
        <v>4</v>
      </c>
      <c r="E140">
        <f ca="1">IF($C140=1,OFFSET(E140,-1,0)+MAX(1,COUNTIF(QCI!$A$13:$A$24,OFFSET(ORÇAMENTO!E140,-1,0))),OFFSET(E140,-1,0))</f>
        <v>1</v>
      </c>
      <c r="F140">
        <f t="shared" ca="1" si="23"/>
        <v>6</v>
      </c>
      <c r="G140">
        <f t="shared" ca="1" si="24"/>
        <v>12</v>
      </c>
      <c r="H140">
        <f t="shared" ca="1" si="25"/>
        <v>0</v>
      </c>
      <c r="I140">
        <f t="shared" ca="1" si="26"/>
        <v>0</v>
      </c>
      <c r="J140">
        <f t="shared" ca="1" si="17"/>
        <v>52</v>
      </c>
      <c r="K140">
        <f ca="1">IF(OR($C140="S",$C140=0),0,MATCH(OFFSET($D140,0,$C140)+IF($C140&lt;&gt;1,1,COUNTIF(QCI!$A$13:$A$24,ORÇAMENTO!E140)),OFFSET($D140,1,$C140,ROW($C$290)-ROW($C140)),0))</f>
        <v>4</v>
      </c>
      <c r="L140" s="116" t="str">
        <f t="shared" ca="1" si="27"/>
        <v>F</v>
      </c>
      <c r="M140" s="117" t="s">
        <v>197</v>
      </c>
      <c r="N140" s="118" t="str">
        <f t="shared" ca="1" si="28"/>
        <v>Nível 3</v>
      </c>
      <c r="O140" s="119" t="str">
        <f t="shared" ca="1" si="29"/>
        <v>1.6.12.</v>
      </c>
      <c r="P140" s="120" t="s">
        <v>247</v>
      </c>
      <c r="Q140" s="121"/>
      <c r="R140" s="122" t="s">
        <v>535</v>
      </c>
      <c r="S140" s="123" t="str">
        <f ca="1">REFERENCIA.Unidade</f>
        <v>-</v>
      </c>
      <c r="T140" s="124">
        <f ca="1">OFFSET(CÁLCULO!H$15,ROW($T140)-ROW(T$15),0)</f>
        <v>0</v>
      </c>
      <c r="U140" s="125">
        <v>0</v>
      </c>
      <c r="V140" s="126" t="s">
        <v>156</v>
      </c>
      <c r="W140" s="124">
        <f ca="1">IF($C140="S",ROUND(IF(TIPOORCAMENTO="Proposto",ORÇAMENTO.CustoUnitario*(1+$AH140),ORÇAMENTO.PrecoUnitarioLicitado),15-13*$AF$10),0)</f>
        <v>0</v>
      </c>
      <c r="X140" s="127">
        <f ca="1">IF($C140="S",IF(Import.TipoArredondamento&lt;&gt;"TransfereGOV",VTOTAL1,SUM(OFFSET(CÁLCULO!$AA$15,ROW($X140)-ROW($X$15),1):OFFSET(CÁLCULO!$AL$15,ROW($X140)-ROW($X$15),-1))),IF($C140=0,0,ROUND(SomaAgrup,15-13*$AF$11)))</f>
        <v>3686.68</v>
      </c>
      <c r="Y140" s="128" t="s">
        <v>245</v>
      </c>
      <c r="Z140" t="str">
        <f t="shared" ca="1" si="30"/>
        <v/>
      </c>
      <c r="AA140" s="129">
        <f ca="1">IF($C140="S",IF($Z140="CP",$X140,IF($Z140="RA",(($X140)*QCI!$AA$3),0)),SomaAgrup)</f>
        <v>3686.6800000000003</v>
      </c>
      <c r="AB140" s="130">
        <f t="shared" ca="1" si="31"/>
        <v>0</v>
      </c>
      <c r="AC140" s="131" t="str">
        <f ca="1">IF($N140="","",IF(ORÇAMENTO.Descricao="","DESCRIÇÃO",IF(AND($C140="S",ORÇAMENTO.Unidade=""),"UNIDADE",IF($X140&lt;0,"VALOR NEGATIVO",IF(OR(AND(TIPOORCAMENTO="Proposto",$AG140&lt;&gt;"",$AG140&gt;0,ORÇAMENTO.CustoUnitario&gt;$AG140),AND(TIPOORCAMENTO="LICITADO",ORÇAMENTO.PrecoUnitarioLicitado&gt;$AN140)),"ACIMA REF.","")))))</f>
        <v/>
      </c>
      <c r="AD140">
        <f ca="1">IF(C140&lt;=CRONO.NivelExibicao,MAX($AD$15:OFFSET(AD140,-1,0))+IF($C140&lt;&gt;1,1,MAX(1,COUNTIF(QCI!$A$13:$A$24,OFFSET($E140,-1,0)))),"")</f>
        <v>21</v>
      </c>
      <c r="AE140" s="7" t="b">
        <f ca="1">IF(AND($C140="S",ORÇAMENTO.CodBarra&lt;&gt;""),IF(ORÇAMENTO.Fonte="",ORÇAMENTO.CodBarra,CONCATENATE(ORÇAMENTO.Fonte," ",ORÇAMENTO.CodBarra)))</f>
        <v>0</v>
      </c>
      <c r="AF140" s="13" t="str">
        <f ca="1">IF(ISERROR(INDIRECT(ORÇAMENTO.BancoRef)),"(abra o arquivo 'Referência "&amp;Excel_BuiltIn_Database&amp;".xlsm)",IF(OR($C140&lt;&gt;"S",ORÇAMENTO.CodBarra=""),"(Sem Código)",IF(ISERROR(MATCH($AE140,INDIRECT(ORÇAMENTO.BancoRef),0)),"(Código não identificado nas referências)",MATCH($AE140,INDIRECT(ORÇAMENTO.BancoRef),0))))</f>
        <v>(abra o arquivo 'Referência 03-2024.xlsm)</v>
      </c>
      <c r="AG140" s="498">
        <f ca="1">ROUND(IF(DESONERACAO="sim",REFERENCIA.Desonerado,REFERENCIA.NaoDesonerado),2)</f>
        <v>0</v>
      </c>
      <c r="AH140" s="499">
        <f t="shared" ca="1" si="32"/>
        <v>0.28170000000000001</v>
      </c>
      <c r="AJ140" s="501"/>
      <c r="AL140" s="527"/>
      <c r="AM140" s="381">
        <f t="shared" ca="1" si="33"/>
        <v>3686.68</v>
      </c>
      <c r="AN140" s="566">
        <f t="shared" ca="1" si="34"/>
        <v>0</v>
      </c>
    </row>
    <row r="141" spans="1:40" ht="51" x14ac:dyDescent="0.2">
      <c r="A141" t="str">
        <f t="shared" si="19"/>
        <v>S</v>
      </c>
      <c r="B141">
        <f t="shared" ca="1" si="20"/>
        <v>3</v>
      </c>
      <c r="C141" t="str">
        <f t="shared" ca="1" si="21"/>
        <v>S</v>
      </c>
      <c r="D141">
        <f t="shared" ca="1" si="22"/>
        <v>0</v>
      </c>
      <c r="E141">
        <f ca="1">IF($C141=1,OFFSET(E141,-1,0)+MAX(1,COUNTIF(QCI!$A$13:$A$24,OFFSET(ORÇAMENTO!E141,-1,0))),OFFSET(E141,-1,0))</f>
        <v>1</v>
      </c>
      <c r="F141">
        <f t="shared" ca="1" si="23"/>
        <v>6</v>
      </c>
      <c r="G141">
        <f t="shared" ca="1" si="24"/>
        <v>12</v>
      </c>
      <c r="H141">
        <f t="shared" ca="1" si="25"/>
        <v>0</v>
      </c>
      <c r="I141">
        <f t="shared" ca="1" si="26"/>
        <v>1</v>
      </c>
      <c r="J141">
        <f t="shared" ca="1" si="17"/>
        <v>0</v>
      </c>
      <c r="K141">
        <f ca="1">IF(OR($C141="S",$C141=0),0,MATCH(OFFSET($D141,0,$C141)+IF($C141&lt;&gt;1,1,COUNTIF(QCI!$A$13:$A$24,ORÇAMENTO!E141)),OFFSET($D141,1,$C141,ROW($C$290)-ROW($C141)),0))</f>
        <v>0</v>
      </c>
      <c r="L141" s="116" t="str">
        <f t="shared" ca="1" si="27"/>
        <v>F</v>
      </c>
      <c r="M141" s="117" t="s">
        <v>199</v>
      </c>
      <c r="N141" s="118" t="str">
        <f t="shared" ca="1" si="28"/>
        <v>Serviço</v>
      </c>
      <c r="O141" s="119" t="str">
        <f t="shared" ca="1" si="29"/>
        <v>1.6.12.1.</v>
      </c>
      <c r="P141" s="120" t="s">
        <v>462</v>
      </c>
      <c r="Q141" s="121" t="s">
        <v>465</v>
      </c>
      <c r="R141" s="122" t="str">
        <f ca="1">IF($C141="S",REFERENCIA.Descricao,"(digite a descrição aqui)")</f>
        <v>(abra o arquivo 'Referência 03-2024.xlsm)</v>
      </c>
      <c r="S141" s="123" t="str">
        <f ca="1">REFERENCIA.Unidade</f>
        <v>-</v>
      </c>
      <c r="T141" s="124">
        <f ca="1">OFFSET(CÁLCULO!H$15,ROW($T141)-ROW(T$15),0)</f>
        <v>53</v>
      </c>
      <c r="U141" s="125">
        <v>5.47</v>
      </c>
      <c r="V141" s="126" t="s">
        <v>156</v>
      </c>
      <c r="W141" s="124">
        <f ca="1">IF($C141="S",ROUND(IF(TIPOORCAMENTO="Proposto",ORÇAMENTO.CustoUnitario*(1+$AH141),ORÇAMENTO.PrecoUnitarioLicitado),15-13*$AF$10),0)</f>
        <v>7.01</v>
      </c>
      <c r="X141" s="127">
        <f ca="1">IF($C141="S",IF(Import.TipoArredondamento&lt;&gt;"TransfereGOV",VTOTAL1,SUM(OFFSET(CÁLCULO!$AA$15,ROW($X141)-ROW($X$15),1):OFFSET(CÁLCULO!$AL$15,ROW($X141)-ROW($X$15),-1))),IF($C141=0,0,ROUND(SomaAgrup,15-13*$AF$11)))</f>
        <v>371.53</v>
      </c>
      <c r="Y141" s="128" t="s">
        <v>245</v>
      </c>
      <c r="Z141" t="str">
        <f t="shared" ca="1" si="30"/>
        <v>RA</v>
      </c>
      <c r="AA141" s="129">
        <f ca="1">IF($C141="S",IF($Z141="CP",$X141,IF($Z141="RA",(($X141)*QCI!$AA$3),0)),SomaAgrup)</f>
        <v>371.53</v>
      </c>
      <c r="AB141" s="130">
        <f t="shared" ca="1" si="31"/>
        <v>0</v>
      </c>
      <c r="AC141" s="131" t="str">
        <f ca="1">IF($N141="","",IF(ORÇAMENTO.Descricao="","DESCRIÇÃO",IF(AND($C141="S",ORÇAMENTO.Unidade=""),"UNIDADE",IF($X141&lt;0,"VALOR NEGATIVO",IF(OR(AND(TIPOORCAMENTO="Proposto",$AG141&lt;&gt;"",$AG141&gt;0,ORÇAMENTO.CustoUnitario&gt;$AG141),AND(TIPOORCAMENTO="LICITADO",ORÇAMENTO.PrecoUnitarioLicitado&gt;$AN141)),"ACIMA REF.","")))))</f>
        <v/>
      </c>
      <c r="AD141" t="str">
        <f ca="1">IF(C141&lt;=CRONO.NivelExibicao,MAX($AD$15:OFFSET(AD141,-1,0))+IF($C141&lt;&gt;1,1,MAX(1,COUNTIF(QCI!$A$13:$A$24,OFFSET($E141,-1,0)))),"")</f>
        <v/>
      </c>
      <c r="AE141" s="7" t="str">
        <f ca="1">IF(AND($C141="S",ORÇAMENTO.CodBarra&lt;&gt;""),IF(ORÇAMENTO.Fonte="",ORÇAMENTO.CodBarra,CONCATENATE(ORÇAMENTO.Fonte," ",ORÇAMENTO.CodBarra)))</f>
        <v>Composição 2</v>
      </c>
      <c r="AF141" s="13" t="str">
        <f ca="1">IF(ISERROR(INDIRECT(ORÇAMENTO.BancoRef)),"(abra o arquivo 'Referência "&amp;Excel_BuiltIn_Database&amp;".xlsm)",IF(OR($C141&lt;&gt;"S",ORÇAMENTO.CodBarra=""),"(Sem Código)",IF(ISERROR(MATCH($AE141,INDIRECT(ORÇAMENTO.BancoRef),0)),"(Código não identificado nas referências)",MATCH($AE141,INDIRECT(ORÇAMENTO.BancoRef),0))))</f>
        <v>(abra o arquivo 'Referência 03-2024.xlsm)</v>
      </c>
      <c r="AG141" s="498">
        <f ca="1">ROUND(IF(DESONERACAO="sim",REFERENCIA.Desonerado,REFERENCIA.NaoDesonerado),2)</f>
        <v>0</v>
      </c>
      <c r="AH141" s="499">
        <f t="shared" ca="1" si="32"/>
        <v>0.28170000000000001</v>
      </c>
      <c r="AJ141" s="501">
        <v>53</v>
      </c>
      <c r="AL141" s="527"/>
      <c r="AM141" s="381">
        <f t="shared" ca="1" si="33"/>
        <v>371.53</v>
      </c>
      <c r="AN141" s="566">
        <f t="shared" ca="1" si="34"/>
        <v>7.01</v>
      </c>
    </row>
    <row r="142" spans="1:40" ht="51" x14ac:dyDescent="0.2">
      <c r="A142" t="str">
        <f t="shared" si="19"/>
        <v>S</v>
      </c>
      <c r="B142">
        <f t="shared" ca="1" si="20"/>
        <v>3</v>
      </c>
      <c r="C142" t="str">
        <f t="shared" ca="1" si="21"/>
        <v>S</v>
      </c>
      <c r="D142">
        <f t="shared" ca="1" si="22"/>
        <v>0</v>
      </c>
      <c r="E142">
        <f ca="1">IF($C142=1,OFFSET(E142,-1,0)+MAX(1,COUNTIF(QCI!$A$13:$A$24,OFFSET(ORÇAMENTO!E142,-1,0))),OFFSET(E142,-1,0))</f>
        <v>1</v>
      </c>
      <c r="F142">
        <f t="shared" ca="1" si="23"/>
        <v>6</v>
      </c>
      <c r="G142">
        <f t="shared" ca="1" si="24"/>
        <v>12</v>
      </c>
      <c r="H142">
        <f t="shared" ca="1" si="25"/>
        <v>0</v>
      </c>
      <c r="I142">
        <f t="shared" ca="1" si="26"/>
        <v>2</v>
      </c>
      <c r="J142">
        <f t="shared" ca="1" si="17"/>
        <v>0</v>
      </c>
      <c r="K142">
        <f ca="1">IF(OR($C142="S",$C142=0),0,MATCH(OFFSET($D142,0,$C142)+IF($C142&lt;&gt;1,1,COUNTIF(QCI!$A$13:$A$24,ORÇAMENTO!E142)),OFFSET($D142,1,$C142,ROW($C$290)-ROW($C142)),0))</f>
        <v>0</v>
      </c>
      <c r="L142" s="116" t="str">
        <f t="shared" ca="1" si="27"/>
        <v>F</v>
      </c>
      <c r="M142" s="117" t="s">
        <v>199</v>
      </c>
      <c r="N142" s="118" t="str">
        <f t="shared" ca="1" si="28"/>
        <v>Serviço</v>
      </c>
      <c r="O142" s="119" t="str">
        <f t="shared" ca="1" si="29"/>
        <v>1.6.12.2.</v>
      </c>
      <c r="P142" s="120" t="s">
        <v>462</v>
      </c>
      <c r="Q142" s="121" t="s">
        <v>466</v>
      </c>
      <c r="R142" s="122" t="str">
        <f ca="1">IF($C142="S",REFERENCIA.Descricao,"(digite a descrição aqui)")</f>
        <v>(abra o arquivo 'Referência 03-2024.xlsm)</v>
      </c>
      <c r="S142" s="123" t="str">
        <f ca="1">REFERENCIA.Unidade</f>
        <v>-</v>
      </c>
      <c r="T142" s="124">
        <f ca="1">OFFSET(CÁLCULO!H$15,ROW($T142)-ROW(T$15),0)</f>
        <v>53</v>
      </c>
      <c r="U142" s="125">
        <v>26.04</v>
      </c>
      <c r="V142" s="126" t="s">
        <v>156</v>
      </c>
      <c r="W142" s="124">
        <f ca="1">IF($C142="S",ROUND(IF(TIPOORCAMENTO="Proposto",ORÇAMENTO.CustoUnitario*(1+$AH142),ORÇAMENTO.PrecoUnitarioLicitado),15-13*$AF$10),0)</f>
        <v>33.380000000000003</v>
      </c>
      <c r="X142" s="127">
        <f ca="1">IF($C142="S",IF(Import.TipoArredondamento&lt;&gt;"TransfereGOV",VTOTAL1,SUM(OFFSET(CÁLCULO!$AA$15,ROW($X142)-ROW($X$15),1):OFFSET(CÁLCULO!$AL$15,ROW($X142)-ROW($X$15),-1))),IF($C142=0,0,ROUND(SomaAgrup,15-13*$AF$11)))</f>
        <v>1769.14</v>
      </c>
      <c r="Y142" s="128" t="s">
        <v>245</v>
      </c>
      <c r="Z142" t="str">
        <f t="shared" ca="1" si="30"/>
        <v>RA</v>
      </c>
      <c r="AA142" s="129">
        <f ca="1">IF($C142="S",IF($Z142="CP",$X142,IF($Z142="RA",(($X142)*QCI!$AA$3),0)),SomaAgrup)</f>
        <v>1769.14</v>
      </c>
      <c r="AB142" s="130">
        <f t="shared" ca="1" si="31"/>
        <v>0</v>
      </c>
      <c r="AC142" s="131" t="str">
        <f ca="1">IF($N142="","",IF(ORÇAMENTO.Descricao="","DESCRIÇÃO",IF(AND($C142="S",ORÇAMENTO.Unidade=""),"UNIDADE",IF($X142&lt;0,"VALOR NEGATIVO",IF(OR(AND(TIPOORCAMENTO="Proposto",$AG142&lt;&gt;"",$AG142&gt;0,ORÇAMENTO.CustoUnitario&gt;$AG142),AND(TIPOORCAMENTO="LICITADO",ORÇAMENTO.PrecoUnitarioLicitado&gt;$AN142)),"ACIMA REF.","")))))</f>
        <v/>
      </c>
      <c r="AD142" t="str">
        <f ca="1">IF(C142&lt;=CRONO.NivelExibicao,MAX($AD$15:OFFSET(AD142,-1,0))+IF($C142&lt;&gt;1,1,MAX(1,COUNTIF(QCI!$A$13:$A$24,OFFSET($E142,-1,0)))),"")</f>
        <v/>
      </c>
      <c r="AE142" s="7" t="str">
        <f ca="1">IF(AND($C142="S",ORÇAMENTO.CodBarra&lt;&gt;""),IF(ORÇAMENTO.Fonte="",ORÇAMENTO.CodBarra,CONCATENATE(ORÇAMENTO.Fonte," ",ORÇAMENTO.CodBarra)))</f>
        <v>Composição 3</v>
      </c>
      <c r="AF142" s="13" t="str">
        <f ca="1">IF(ISERROR(INDIRECT(ORÇAMENTO.BancoRef)),"(abra o arquivo 'Referência "&amp;Excel_BuiltIn_Database&amp;".xlsm)",IF(OR($C142&lt;&gt;"S",ORÇAMENTO.CodBarra=""),"(Sem Código)",IF(ISERROR(MATCH($AE142,INDIRECT(ORÇAMENTO.BancoRef),0)),"(Código não identificado nas referências)",MATCH($AE142,INDIRECT(ORÇAMENTO.BancoRef),0))))</f>
        <v>(abra o arquivo 'Referência 03-2024.xlsm)</v>
      </c>
      <c r="AG142" s="498">
        <f ca="1">ROUND(IF(DESONERACAO="sim",REFERENCIA.Desonerado,REFERENCIA.NaoDesonerado),2)</f>
        <v>0</v>
      </c>
      <c r="AH142" s="499">
        <f t="shared" ca="1" si="32"/>
        <v>0.28170000000000001</v>
      </c>
      <c r="AJ142" s="501">
        <v>53</v>
      </c>
      <c r="AL142" s="527"/>
      <c r="AM142" s="381">
        <f t="shared" ca="1" si="33"/>
        <v>1769.14</v>
      </c>
      <c r="AN142" s="566">
        <f t="shared" ca="1" si="34"/>
        <v>33.380000000000003</v>
      </c>
    </row>
    <row r="143" spans="1:40" ht="63.75" x14ac:dyDescent="0.2">
      <c r="A143" t="str">
        <f t="shared" si="19"/>
        <v>S</v>
      </c>
      <c r="B143">
        <f t="shared" ca="1" si="20"/>
        <v>3</v>
      </c>
      <c r="C143" t="str">
        <f t="shared" ca="1" si="21"/>
        <v>S</v>
      </c>
      <c r="D143">
        <f t="shared" ca="1" si="22"/>
        <v>0</v>
      </c>
      <c r="E143">
        <f ca="1">IF($C143=1,OFFSET(E143,-1,0)+MAX(1,COUNTIF(QCI!$A$13:$A$24,OFFSET(ORÇAMENTO!E143,-1,0))),OFFSET(E143,-1,0))</f>
        <v>1</v>
      </c>
      <c r="F143">
        <f t="shared" ca="1" si="23"/>
        <v>6</v>
      </c>
      <c r="G143">
        <f t="shared" ca="1" si="24"/>
        <v>12</v>
      </c>
      <c r="H143">
        <f t="shared" ca="1" si="25"/>
        <v>0</v>
      </c>
      <c r="I143">
        <f t="shared" ca="1" si="26"/>
        <v>3</v>
      </c>
      <c r="J143">
        <f t="shared" ca="1" si="17"/>
        <v>0</v>
      </c>
      <c r="K143">
        <f ca="1">IF(OR($C143="S",$C143=0),0,MATCH(OFFSET($D143,0,$C143)+IF($C143&lt;&gt;1,1,COUNTIF(QCI!$A$13:$A$24,ORÇAMENTO!E143)),OFFSET($D143,1,$C143,ROW($C$290)-ROW($C143)),0))</f>
        <v>0</v>
      </c>
      <c r="L143" s="116" t="str">
        <f t="shared" ca="1" si="27"/>
        <v>F</v>
      </c>
      <c r="M143" s="117" t="s">
        <v>199</v>
      </c>
      <c r="N143" s="118" t="str">
        <f t="shared" ca="1" si="28"/>
        <v>Serviço</v>
      </c>
      <c r="O143" s="119" t="str">
        <f t="shared" ca="1" si="29"/>
        <v>1.6.12.3.</v>
      </c>
      <c r="P143" s="120" t="s">
        <v>462</v>
      </c>
      <c r="Q143" s="121" t="s">
        <v>537</v>
      </c>
      <c r="R143" s="122" t="str">
        <f ca="1">IF($C143="S",REFERENCIA.Descricao,"(digite a descrição aqui)")</f>
        <v>(abra o arquivo 'Referência 03-2024.xlsm)</v>
      </c>
      <c r="S143" s="123" t="str">
        <f ca="1">REFERENCIA.Unidade</f>
        <v>-</v>
      </c>
      <c r="T143" s="124">
        <f ca="1">OFFSET(CÁLCULO!H$15,ROW($T143)-ROW(T$15),0)</f>
        <v>53</v>
      </c>
      <c r="U143" s="125">
        <v>22.76</v>
      </c>
      <c r="V143" s="126" t="s">
        <v>156</v>
      </c>
      <c r="W143" s="124">
        <f ca="1">IF($C143="S",ROUND(IF(TIPOORCAMENTO="Proposto",ORÇAMENTO.CustoUnitario*(1+$AH143),ORÇAMENTO.PrecoUnitarioLicitado),15-13*$AF$10),0)</f>
        <v>29.17</v>
      </c>
      <c r="X143" s="127">
        <f ca="1">IF($C143="S",IF(Import.TipoArredondamento&lt;&gt;"TransfereGOV",VTOTAL1,SUM(OFFSET(CÁLCULO!$AA$15,ROW($X143)-ROW($X$15),1):OFFSET(CÁLCULO!$AL$15,ROW($X143)-ROW($X$15),-1))),IF($C143=0,0,ROUND(SomaAgrup,15-13*$AF$11)))</f>
        <v>1546.01</v>
      </c>
      <c r="Y143" s="128" t="s">
        <v>245</v>
      </c>
      <c r="Z143" t="str">
        <f t="shared" ca="1" si="30"/>
        <v>RA</v>
      </c>
      <c r="AA143" s="129">
        <f ca="1">IF($C143="S",IF($Z143="CP",$X143,IF($Z143="RA",(($X143)*QCI!$AA$3),0)),SomaAgrup)</f>
        <v>1546.01</v>
      </c>
      <c r="AB143" s="130">
        <f t="shared" ca="1" si="31"/>
        <v>0</v>
      </c>
      <c r="AC143" s="131" t="str">
        <f ca="1">IF($N143="","",IF(ORÇAMENTO.Descricao="","DESCRIÇÃO",IF(AND($C143="S",ORÇAMENTO.Unidade=""),"UNIDADE",IF($X143&lt;0,"VALOR NEGATIVO",IF(OR(AND(TIPOORCAMENTO="Proposto",$AG143&lt;&gt;"",$AG143&gt;0,ORÇAMENTO.CustoUnitario&gt;$AG143),AND(TIPOORCAMENTO="LICITADO",ORÇAMENTO.PrecoUnitarioLicitado&gt;$AN143)),"ACIMA REF.","")))))</f>
        <v/>
      </c>
      <c r="AD143" t="str">
        <f ca="1">IF(C143&lt;=CRONO.NivelExibicao,MAX($AD$15:OFFSET(AD143,-1,0))+IF($C143&lt;&gt;1,1,MAX(1,COUNTIF(QCI!$A$13:$A$24,OFFSET($E143,-1,0)))),"")</f>
        <v/>
      </c>
      <c r="AE143" s="7" t="str">
        <f ca="1">IF(AND($C143="S",ORÇAMENTO.CodBarra&lt;&gt;""),IF(ORÇAMENTO.Fonte="",ORÇAMENTO.CodBarra,CONCATENATE(ORÇAMENTO.Fonte," ",ORÇAMENTO.CodBarra)))</f>
        <v>Composição 45</v>
      </c>
      <c r="AF143" s="13" t="str">
        <f ca="1">IF(ISERROR(INDIRECT(ORÇAMENTO.BancoRef)),"(abra o arquivo 'Referência "&amp;Excel_BuiltIn_Database&amp;".xlsm)",IF(OR($C143&lt;&gt;"S",ORÇAMENTO.CodBarra=""),"(Sem Código)",IF(ISERROR(MATCH($AE143,INDIRECT(ORÇAMENTO.BancoRef),0)),"(Código não identificado nas referências)",MATCH($AE143,INDIRECT(ORÇAMENTO.BancoRef),0))))</f>
        <v>(abra o arquivo 'Referência 03-2024.xlsm)</v>
      </c>
      <c r="AG143" s="498">
        <f ca="1">ROUND(IF(DESONERACAO="sim",REFERENCIA.Desonerado,REFERENCIA.NaoDesonerado),2)</f>
        <v>0</v>
      </c>
      <c r="AH143" s="499">
        <f t="shared" ca="1" si="32"/>
        <v>0.28170000000000001</v>
      </c>
      <c r="AJ143" s="501">
        <v>53</v>
      </c>
      <c r="AL143" s="527"/>
      <c r="AM143" s="381">
        <f t="shared" ca="1" si="33"/>
        <v>1546.01</v>
      </c>
      <c r="AN143" s="566">
        <f t="shared" ca="1" si="34"/>
        <v>29.17</v>
      </c>
    </row>
    <row r="144" spans="1:40" x14ac:dyDescent="0.2">
      <c r="A144">
        <f t="shared" si="19"/>
        <v>3</v>
      </c>
      <c r="B144">
        <f t="shared" ca="1" si="20"/>
        <v>3</v>
      </c>
      <c r="C144">
        <f t="shared" ca="1" si="21"/>
        <v>3</v>
      </c>
      <c r="D144">
        <f t="shared" ca="1" si="22"/>
        <v>6</v>
      </c>
      <c r="E144">
        <f ca="1">IF($C144=1,OFFSET(E144,-1,0)+MAX(1,COUNTIF(QCI!$A$13:$A$24,OFFSET(ORÇAMENTO!E144,-1,0))),OFFSET(E144,-1,0))</f>
        <v>1</v>
      </c>
      <c r="F144">
        <f t="shared" ca="1" si="23"/>
        <v>6</v>
      </c>
      <c r="G144">
        <f t="shared" ca="1" si="24"/>
        <v>13</v>
      </c>
      <c r="H144">
        <f t="shared" ca="1" si="25"/>
        <v>0</v>
      </c>
      <c r="I144">
        <f t="shared" ca="1" si="26"/>
        <v>0</v>
      </c>
      <c r="J144">
        <f t="shared" ref="J144:J207" ca="1" si="35">IF(OR($C144="S",$C144=0),0,MATCH(0,OFFSET($D144,1,$C144,ROW($C$290)-ROW($C144)),0))</f>
        <v>48</v>
      </c>
      <c r="K144">
        <f ca="1">IF(OR($C144="S",$C144=0),0,MATCH(OFFSET($D144,0,$C144)+IF($C144&lt;&gt;1,1,COUNTIF(QCI!$A$13:$A$24,ORÇAMENTO!E144)),OFFSET($D144,1,$C144,ROW($C$290)-ROW($C144)),0))</f>
        <v>6</v>
      </c>
      <c r="L144" s="116" t="str">
        <f t="shared" ca="1" si="27"/>
        <v>F</v>
      </c>
      <c r="M144" s="117" t="s">
        <v>197</v>
      </c>
      <c r="N144" s="118" t="str">
        <f t="shared" ca="1" si="28"/>
        <v>Nível 3</v>
      </c>
      <c r="O144" s="119" t="str">
        <f t="shared" ca="1" si="29"/>
        <v>1.6.13.</v>
      </c>
      <c r="P144" s="120" t="s">
        <v>247</v>
      </c>
      <c r="Q144" s="121"/>
      <c r="R144" s="122" t="s">
        <v>540</v>
      </c>
      <c r="S144" s="123" t="str">
        <f ca="1">REFERENCIA.Unidade</f>
        <v>-</v>
      </c>
      <c r="T144" s="124">
        <f ca="1">OFFSET(CÁLCULO!H$15,ROW($T144)-ROW(T$15),0)</f>
        <v>0</v>
      </c>
      <c r="U144" s="125">
        <v>0</v>
      </c>
      <c r="V144" s="126" t="s">
        <v>156</v>
      </c>
      <c r="W144" s="124">
        <f ca="1">IF($C144="S",ROUND(IF(TIPOORCAMENTO="Proposto",ORÇAMENTO.CustoUnitario*(1+$AH144),ORÇAMENTO.PrecoUnitarioLicitado),15-13*$AF$10),0)</f>
        <v>0</v>
      </c>
      <c r="X144" s="127">
        <f ca="1">IF($C144="S",IF(Import.TipoArredondamento&lt;&gt;"TransfereGOV",VTOTAL1,SUM(OFFSET(CÁLCULO!$AA$15,ROW($X144)-ROW($X$15),1):OFFSET(CÁLCULO!$AL$15,ROW($X144)-ROW($X$15),-1))),IF($C144=0,0,ROUND(SomaAgrup,15-13*$AF$11)))</f>
        <v>2869.8</v>
      </c>
      <c r="Y144" s="128" t="s">
        <v>245</v>
      </c>
      <c r="Z144" t="str">
        <f t="shared" ca="1" si="30"/>
        <v/>
      </c>
      <c r="AA144" s="129">
        <f ca="1">IF($C144="S",IF($Z144="CP",$X144,IF($Z144="RA",(($X144)*QCI!$AA$3),0)),SomaAgrup)</f>
        <v>2869.8</v>
      </c>
      <c r="AB144" s="130">
        <f t="shared" ca="1" si="31"/>
        <v>0</v>
      </c>
      <c r="AC144" s="131" t="str">
        <f ca="1">IF($N144="","",IF(ORÇAMENTO.Descricao="","DESCRIÇÃO",IF(AND($C144="S",ORÇAMENTO.Unidade=""),"UNIDADE",IF($X144&lt;0,"VALOR NEGATIVO",IF(OR(AND(TIPOORCAMENTO="Proposto",$AG144&lt;&gt;"",$AG144&gt;0,ORÇAMENTO.CustoUnitario&gt;$AG144),AND(TIPOORCAMENTO="LICITADO",ORÇAMENTO.PrecoUnitarioLicitado&gt;$AN144)),"ACIMA REF.","")))))</f>
        <v/>
      </c>
      <c r="AD144">
        <f ca="1">IF(C144&lt;=CRONO.NivelExibicao,MAX($AD$15:OFFSET(AD144,-1,0))+IF($C144&lt;&gt;1,1,MAX(1,COUNTIF(QCI!$A$13:$A$24,OFFSET($E144,-1,0)))),"")</f>
        <v>22</v>
      </c>
      <c r="AE144" s="7" t="b">
        <f ca="1">IF(AND($C144="S",ORÇAMENTO.CodBarra&lt;&gt;""),IF(ORÇAMENTO.Fonte="",ORÇAMENTO.CodBarra,CONCATENATE(ORÇAMENTO.Fonte," ",ORÇAMENTO.CodBarra)))</f>
        <v>0</v>
      </c>
      <c r="AF144" s="13" t="str">
        <f ca="1">IF(ISERROR(INDIRECT(ORÇAMENTO.BancoRef)),"(abra o arquivo 'Referência "&amp;Excel_BuiltIn_Database&amp;".xlsm)",IF(OR($C144&lt;&gt;"S",ORÇAMENTO.CodBarra=""),"(Sem Código)",IF(ISERROR(MATCH($AE144,INDIRECT(ORÇAMENTO.BancoRef),0)),"(Código não identificado nas referências)",MATCH($AE144,INDIRECT(ORÇAMENTO.BancoRef),0))))</f>
        <v>(abra o arquivo 'Referência 03-2024.xlsm)</v>
      </c>
      <c r="AG144" s="498">
        <f ca="1">ROUND(IF(DESONERACAO="sim",REFERENCIA.Desonerado,REFERENCIA.NaoDesonerado),2)</f>
        <v>0</v>
      </c>
      <c r="AH144" s="499">
        <f t="shared" ca="1" si="32"/>
        <v>0.28170000000000001</v>
      </c>
      <c r="AJ144" s="501"/>
      <c r="AL144" s="527"/>
      <c r="AM144" s="381">
        <f t="shared" ca="1" si="33"/>
        <v>2869.8</v>
      </c>
      <c r="AN144" s="566">
        <f t="shared" ca="1" si="34"/>
        <v>0</v>
      </c>
    </row>
    <row r="145" spans="1:40" ht="25.5" x14ac:dyDescent="0.2">
      <c r="A145" t="str">
        <f t="shared" si="19"/>
        <v>S</v>
      </c>
      <c r="B145">
        <f t="shared" ca="1" si="20"/>
        <v>3</v>
      </c>
      <c r="C145" t="str">
        <f t="shared" ca="1" si="21"/>
        <v>S</v>
      </c>
      <c r="D145">
        <f t="shared" ca="1" si="22"/>
        <v>0</v>
      </c>
      <c r="E145">
        <f ca="1">IF($C145=1,OFFSET(E145,-1,0)+MAX(1,COUNTIF(QCI!$A$13:$A$24,OFFSET(ORÇAMENTO!E145,-1,0))),OFFSET(E145,-1,0))</f>
        <v>1</v>
      </c>
      <c r="F145">
        <f t="shared" ca="1" si="23"/>
        <v>6</v>
      </c>
      <c r="G145">
        <f t="shared" ca="1" si="24"/>
        <v>13</v>
      </c>
      <c r="H145">
        <f t="shared" ca="1" si="25"/>
        <v>0</v>
      </c>
      <c r="I145">
        <f t="shared" ca="1" si="26"/>
        <v>1</v>
      </c>
      <c r="J145">
        <f t="shared" ca="1" si="35"/>
        <v>0</v>
      </c>
      <c r="K145">
        <f ca="1">IF(OR($C145="S",$C145=0),0,MATCH(OFFSET($D145,0,$C145)+IF($C145&lt;&gt;1,1,COUNTIF(QCI!$A$13:$A$24,ORÇAMENTO!E145)),OFFSET($D145,1,$C145,ROW($C$290)-ROW($C145)),0))</f>
        <v>0</v>
      </c>
      <c r="L145" s="116" t="str">
        <f t="shared" ca="1" si="27"/>
        <v>F</v>
      </c>
      <c r="M145" s="117" t="s">
        <v>199</v>
      </c>
      <c r="N145" s="118" t="str">
        <f t="shared" ca="1" si="28"/>
        <v>Serviço</v>
      </c>
      <c r="O145" s="119" t="str">
        <f t="shared" ca="1" si="29"/>
        <v>1.6.13.1.</v>
      </c>
      <c r="P145" s="120" t="s">
        <v>247</v>
      </c>
      <c r="Q145" s="121" t="s">
        <v>580</v>
      </c>
      <c r="R145" s="122" t="str">
        <f ca="1">IF($C145="S",REFERENCIA.Descricao,"(digite a descrição aqui)")</f>
        <v>(abra o arquivo 'Referência 03-2024.xlsm)</v>
      </c>
      <c r="S145" s="123" t="str">
        <f ca="1">REFERENCIA.Unidade</f>
        <v>-</v>
      </c>
      <c r="T145" s="124">
        <f ca="1">OFFSET(CÁLCULO!H$15,ROW($T145)-ROW(T$15),0)</f>
        <v>0.6</v>
      </c>
      <c r="U145" s="125">
        <v>164.71</v>
      </c>
      <c r="V145" s="126" t="s">
        <v>156</v>
      </c>
      <c r="W145" s="124">
        <f ca="1">IF($C145="S",ROUND(IF(TIPOORCAMENTO="Proposto",ORÇAMENTO.CustoUnitario*(1+$AH145),ORÇAMENTO.PrecoUnitarioLicitado),15-13*$AF$10),0)</f>
        <v>211.11</v>
      </c>
      <c r="X145" s="127">
        <f ca="1">IF($C145="S",IF(Import.TipoArredondamento&lt;&gt;"TransfereGOV",VTOTAL1,SUM(OFFSET(CÁLCULO!$AA$15,ROW($X145)-ROW($X$15),1):OFFSET(CÁLCULO!$AL$15,ROW($X145)-ROW($X$15),-1))),IF($C145=0,0,ROUND(SomaAgrup,15-13*$AF$11)))</f>
        <v>126.67</v>
      </c>
      <c r="Y145" s="128" t="s">
        <v>245</v>
      </c>
      <c r="Z145" t="str">
        <f t="shared" ca="1" si="30"/>
        <v>RA</v>
      </c>
      <c r="AA145" s="129">
        <f ca="1">IF($C145="S",IF($Z145="CP",$X145,IF($Z145="RA",(($X145)*QCI!$AA$3),0)),SomaAgrup)</f>
        <v>126.67</v>
      </c>
      <c r="AB145" s="130">
        <f t="shared" ca="1" si="31"/>
        <v>0</v>
      </c>
      <c r="AC145" s="131" t="str">
        <f ca="1">IF($N145="","",IF(ORÇAMENTO.Descricao="","DESCRIÇÃO",IF(AND($C145="S",ORÇAMENTO.Unidade=""),"UNIDADE",IF($X145&lt;0,"VALOR NEGATIVO",IF(OR(AND(TIPOORCAMENTO="Proposto",$AG145&lt;&gt;"",$AG145&gt;0,ORÇAMENTO.CustoUnitario&gt;$AG145),AND(TIPOORCAMENTO="LICITADO",ORÇAMENTO.PrecoUnitarioLicitado&gt;$AN145)),"ACIMA REF.","")))))</f>
        <v/>
      </c>
      <c r="AD145" t="str">
        <f ca="1">IF(C145&lt;=CRONO.NivelExibicao,MAX($AD$15:OFFSET(AD145,-1,0))+IF($C145&lt;&gt;1,1,MAX(1,COUNTIF(QCI!$A$13:$A$24,OFFSET($E145,-1,0)))),"")</f>
        <v/>
      </c>
      <c r="AE145" s="7" t="str">
        <f ca="1">IF(AND($C145="S",ORÇAMENTO.CodBarra&lt;&gt;""),IF(ORÇAMENTO.Fonte="",ORÇAMENTO.CodBarra,CONCATENATE(ORÇAMENTO.Fonte," ",ORÇAMENTO.CodBarra)))</f>
        <v>SINAPI 96622</v>
      </c>
      <c r="AF145" s="13" t="str">
        <f ca="1">IF(ISERROR(INDIRECT(ORÇAMENTO.BancoRef)),"(abra o arquivo 'Referência "&amp;Excel_BuiltIn_Database&amp;".xlsm)",IF(OR($C145&lt;&gt;"S",ORÇAMENTO.CodBarra=""),"(Sem Código)",IF(ISERROR(MATCH($AE145,INDIRECT(ORÇAMENTO.BancoRef),0)),"(Código não identificado nas referências)",MATCH($AE145,INDIRECT(ORÇAMENTO.BancoRef),0))))</f>
        <v>(abra o arquivo 'Referência 03-2024.xlsm)</v>
      </c>
      <c r="AG145" s="498">
        <f ca="1">ROUND(IF(DESONERACAO="sim",REFERENCIA.Desonerado,REFERENCIA.NaoDesonerado),2)</f>
        <v>0</v>
      </c>
      <c r="AH145" s="499">
        <f t="shared" ca="1" si="32"/>
        <v>0.28170000000000001</v>
      </c>
      <c r="AJ145" s="501">
        <v>0.6</v>
      </c>
      <c r="AL145" s="527"/>
      <c r="AM145" s="381">
        <f t="shared" ca="1" si="33"/>
        <v>126.67</v>
      </c>
      <c r="AN145" s="566">
        <f t="shared" ca="1" si="34"/>
        <v>211.11</v>
      </c>
    </row>
    <row r="146" spans="1:40" ht="38.25" x14ac:dyDescent="0.2">
      <c r="A146" t="str">
        <f t="shared" si="19"/>
        <v>S</v>
      </c>
      <c r="B146">
        <f t="shared" ca="1" si="20"/>
        <v>3</v>
      </c>
      <c r="C146" t="str">
        <f t="shared" ca="1" si="21"/>
        <v>S</v>
      </c>
      <c r="D146">
        <f t="shared" ca="1" si="22"/>
        <v>0</v>
      </c>
      <c r="E146">
        <f ca="1">IF($C146=1,OFFSET(E146,-1,0)+MAX(1,COUNTIF(QCI!$A$13:$A$24,OFFSET(ORÇAMENTO!E146,-1,0))),OFFSET(E146,-1,0))</f>
        <v>1</v>
      </c>
      <c r="F146">
        <f t="shared" ca="1" si="23"/>
        <v>6</v>
      </c>
      <c r="G146">
        <f t="shared" ca="1" si="24"/>
        <v>13</v>
      </c>
      <c r="H146">
        <f t="shared" ca="1" si="25"/>
        <v>0</v>
      </c>
      <c r="I146">
        <f t="shared" ca="1" si="26"/>
        <v>2</v>
      </c>
      <c r="J146">
        <f t="shared" ca="1" si="35"/>
        <v>0</v>
      </c>
      <c r="K146">
        <f ca="1">IF(OR($C146="S",$C146=0),0,MATCH(OFFSET($D146,0,$C146)+IF($C146&lt;&gt;1,1,COUNTIF(QCI!$A$13:$A$24,ORÇAMENTO!E146)),OFFSET($D146,1,$C146,ROW($C$290)-ROW($C146)),0))</f>
        <v>0</v>
      </c>
      <c r="L146" s="116" t="str">
        <f t="shared" ca="1" si="27"/>
        <v>F</v>
      </c>
      <c r="M146" s="117" t="s">
        <v>199</v>
      </c>
      <c r="N146" s="118" t="str">
        <f t="shared" ca="1" si="28"/>
        <v>Serviço</v>
      </c>
      <c r="O146" s="119" t="str">
        <f t="shared" ca="1" si="29"/>
        <v>1.6.13.2.</v>
      </c>
      <c r="P146" s="120" t="s">
        <v>462</v>
      </c>
      <c r="Q146" s="121" t="s">
        <v>538</v>
      </c>
      <c r="R146" s="122" t="str">
        <f ca="1">IF($C146="S",REFERENCIA.Descricao,"(digite a descrição aqui)")</f>
        <v>(abra o arquivo 'Referência 03-2024.xlsm)</v>
      </c>
      <c r="S146" s="123" t="str">
        <f ca="1">REFERENCIA.Unidade</f>
        <v>-</v>
      </c>
      <c r="T146" s="124">
        <f ca="1">OFFSET(CÁLCULO!H$15,ROW($T146)-ROW(T$15),0)</f>
        <v>10.53</v>
      </c>
      <c r="U146" s="125">
        <v>51.58</v>
      </c>
      <c r="V146" s="126" t="s">
        <v>156</v>
      </c>
      <c r="W146" s="124">
        <f ca="1">IF($C146="S",ROUND(IF(TIPOORCAMENTO="Proposto",ORÇAMENTO.CustoUnitario*(1+$AH146),ORÇAMENTO.PrecoUnitarioLicitado),15-13*$AF$10),0)</f>
        <v>66.11</v>
      </c>
      <c r="X146" s="127">
        <f ca="1">IF($C146="S",IF(Import.TipoArredondamento&lt;&gt;"TransfereGOV",VTOTAL1,SUM(OFFSET(CÁLCULO!$AA$15,ROW($X146)-ROW($X$15),1):OFFSET(CÁLCULO!$AL$15,ROW($X146)-ROW($X$15),-1))),IF($C146=0,0,ROUND(SomaAgrup,15-13*$AF$11)))</f>
        <v>696.14</v>
      </c>
      <c r="Y146" s="128" t="s">
        <v>245</v>
      </c>
      <c r="Z146" t="str">
        <f t="shared" ca="1" si="30"/>
        <v>RA</v>
      </c>
      <c r="AA146" s="129">
        <f ca="1">IF($C146="S",IF($Z146="CP",$X146,IF($Z146="RA",(($X146)*QCI!$AA$3),0)),SomaAgrup)</f>
        <v>696.14</v>
      </c>
      <c r="AB146" s="130">
        <f t="shared" ca="1" si="31"/>
        <v>0</v>
      </c>
      <c r="AC146" s="131" t="str">
        <f ca="1">IF($N146="","",IF(ORÇAMENTO.Descricao="","DESCRIÇÃO",IF(AND($C146="S",ORÇAMENTO.Unidade=""),"UNIDADE",IF($X146&lt;0,"VALOR NEGATIVO",IF(OR(AND(TIPOORCAMENTO="Proposto",$AG146&lt;&gt;"",$AG146&gt;0,ORÇAMENTO.CustoUnitario&gt;$AG146),AND(TIPOORCAMENTO="LICITADO",ORÇAMENTO.PrecoUnitarioLicitado&gt;$AN146)),"ACIMA REF.","")))))</f>
        <v/>
      </c>
      <c r="AD146" t="str">
        <f ca="1">IF(C146&lt;=CRONO.NivelExibicao,MAX($AD$15:OFFSET(AD146,-1,0))+IF($C146&lt;&gt;1,1,MAX(1,COUNTIF(QCI!$A$13:$A$24,OFFSET($E146,-1,0)))),"")</f>
        <v/>
      </c>
      <c r="AE146" s="7" t="str">
        <f ca="1">IF(AND($C146="S",ORÇAMENTO.CodBarra&lt;&gt;""),IF(ORÇAMENTO.Fonte="",ORÇAMENTO.CodBarra,CONCATENATE(ORÇAMENTO.Fonte," ",ORÇAMENTO.CodBarra)))</f>
        <v>Composição 46</v>
      </c>
      <c r="AF146" s="13" t="str">
        <f ca="1">IF(ISERROR(INDIRECT(ORÇAMENTO.BancoRef)),"(abra o arquivo 'Referência "&amp;Excel_BuiltIn_Database&amp;".xlsm)",IF(OR($C146&lt;&gt;"S",ORÇAMENTO.CodBarra=""),"(Sem Código)",IF(ISERROR(MATCH($AE146,INDIRECT(ORÇAMENTO.BancoRef),0)),"(Código não identificado nas referências)",MATCH($AE146,INDIRECT(ORÇAMENTO.BancoRef),0))))</f>
        <v>(abra o arquivo 'Referência 03-2024.xlsm)</v>
      </c>
      <c r="AG146" s="498">
        <f ca="1">ROUND(IF(DESONERACAO="sim",REFERENCIA.Desonerado,REFERENCIA.NaoDesonerado),2)</f>
        <v>0</v>
      </c>
      <c r="AH146" s="499">
        <f t="shared" ca="1" si="32"/>
        <v>0.28170000000000001</v>
      </c>
      <c r="AJ146" s="501">
        <v>10.53</v>
      </c>
      <c r="AL146" s="527"/>
      <c r="AM146" s="381">
        <f t="shared" ca="1" si="33"/>
        <v>696.14</v>
      </c>
      <c r="AN146" s="566">
        <f t="shared" ca="1" si="34"/>
        <v>66.11</v>
      </c>
    </row>
    <row r="147" spans="1:40" ht="51" x14ac:dyDescent="0.2">
      <c r="A147" t="str">
        <f t="shared" si="19"/>
        <v>S</v>
      </c>
      <c r="B147">
        <f t="shared" ca="1" si="20"/>
        <v>3</v>
      </c>
      <c r="C147" t="str">
        <f t="shared" ca="1" si="21"/>
        <v>S</v>
      </c>
      <c r="D147">
        <f t="shared" ca="1" si="22"/>
        <v>0</v>
      </c>
      <c r="E147">
        <f ca="1">IF($C147=1,OFFSET(E147,-1,0)+MAX(1,COUNTIF(QCI!$A$13:$A$24,OFFSET(ORÇAMENTO!E147,-1,0))),OFFSET(E147,-1,0))</f>
        <v>1</v>
      </c>
      <c r="F147">
        <f t="shared" ca="1" si="23"/>
        <v>6</v>
      </c>
      <c r="G147">
        <f t="shared" ca="1" si="24"/>
        <v>13</v>
      </c>
      <c r="H147">
        <f t="shared" ca="1" si="25"/>
        <v>0</v>
      </c>
      <c r="I147">
        <f t="shared" ca="1" si="26"/>
        <v>3</v>
      </c>
      <c r="J147">
        <f t="shared" ca="1" si="35"/>
        <v>0</v>
      </c>
      <c r="K147">
        <f ca="1">IF(OR($C147="S",$C147=0),0,MATCH(OFFSET($D147,0,$C147)+IF($C147&lt;&gt;1,1,COUNTIF(QCI!$A$13:$A$24,ORÇAMENTO!E147)),OFFSET($D147,1,$C147,ROW($C$290)-ROW($C147)),0))</f>
        <v>0</v>
      </c>
      <c r="L147" s="116" t="str">
        <f t="shared" ca="1" si="27"/>
        <v>F</v>
      </c>
      <c r="M147" s="117" t="s">
        <v>199</v>
      </c>
      <c r="N147" s="118" t="str">
        <f t="shared" ca="1" si="28"/>
        <v>Serviço</v>
      </c>
      <c r="O147" s="119" t="str">
        <f t="shared" ca="1" si="29"/>
        <v>1.6.13.3.</v>
      </c>
      <c r="P147" s="120" t="s">
        <v>462</v>
      </c>
      <c r="Q147" s="121" t="s">
        <v>539</v>
      </c>
      <c r="R147" s="122" t="str">
        <f ca="1">IF($C147="S",REFERENCIA.Descricao,"(digite a descrição aqui)")</f>
        <v>(abra o arquivo 'Referência 03-2024.xlsm)</v>
      </c>
      <c r="S147" s="123" t="str">
        <f ca="1">REFERENCIA.Unidade</f>
        <v>-</v>
      </c>
      <c r="T147" s="124">
        <f ca="1">OFFSET(CÁLCULO!H$15,ROW($T147)-ROW(T$15),0)</f>
        <v>10.53</v>
      </c>
      <c r="U147" s="125">
        <v>58.67</v>
      </c>
      <c r="V147" s="126" t="s">
        <v>156</v>
      </c>
      <c r="W147" s="124">
        <f ca="1">IF($C147="S",ROUND(IF(TIPOORCAMENTO="Proposto",ORÇAMENTO.CustoUnitario*(1+$AH147),ORÇAMENTO.PrecoUnitarioLicitado),15-13*$AF$10),0)</f>
        <v>75.2</v>
      </c>
      <c r="X147" s="127">
        <f ca="1">IF($C147="S",IF(Import.TipoArredondamento&lt;&gt;"TransfereGOV",VTOTAL1,SUM(OFFSET(CÁLCULO!$AA$15,ROW($X147)-ROW($X$15),1):OFFSET(CÁLCULO!$AL$15,ROW($X147)-ROW($X$15),-1))),IF($C147=0,0,ROUND(SomaAgrup,15-13*$AF$11)))</f>
        <v>791.86</v>
      </c>
      <c r="Y147" s="128" t="s">
        <v>245</v>
      </c>
      <c r="Z147" t="str">
        <f t="shared" ca="1" si="30"/>
        <v>RA</v>
      </c>
      <c r="AA147" s="129">
        <f ca="1">IF($C147="S",IF($Z147="CP",$X147,IF($Z147="RA",(($X147)*QCI!$AA$3),0)),SomaAgrup)</f>
        <v>791.86</v>
      </c>
      <c r="AB147" s="130">
        <f t="shared" ca="1" si="31"/>
        <v>0</v>
      </c>
      <c r="AC147" s="131" t="str">
        <f ca="1">IF($N147="","",IF(ORÇAMENTO.Descricao="","DESCRIÇÃO",IF(AND($C147="S",ORÇAMENTO.Unidade=""),"UNIDADE",IF($X147&lt;0,"VALOR NEGATIVO",IF(OR(AND(TIPOORCAMENTO="Proposto",$AG147&lt;&gt;"",$AG147&gt;0,ORÇAMENTO.CustoUnitario&gt;$AG147),AND(TIPOORCAMENTO="LICITADO",ORÇAMENTO.PrecoUnitarioLicitado&gt;$AN147)),"ACIMA REF.","")))))</f>
        <v/>
      </c>
      <c r="AD147" t="str">
        <f ca="1">IF(C147&lt;=CRONO.NivelExibicao,MAX($AD$15:OFFSET(AD147,-1,0))+IF($C147&lt;&gt;1,1,MAX(1,COUNTIF(QCI!$A$13:$A$24,OFFSET($E147,-1,0)))),"")</f>
        <v/>
      </c>
      <c r="AE147" s="7" t="str">
        <f ca="1">IF(AND($C147="S",ORÇAMENTO.CodBarra&lt;&gt;""),IF(ORÇAMENTO.Fonte="",ORÇAMENTO.CodBarra,CONCATENATE(ORÇAMENTO.Fonte," ",ORÇAMENTO.CodBarra)))</f>
        <v>Composição 47</v>
      </c>
      <c r="AF147" s="13" t="str">
        <f ca="1">IF(ISERROR(INDIRECT(ORÇAMENTO.BancoRef)),"(abra o arquivo 'Referência "&amp;Excel_BuiltIn_Database&amp;".xlsm)",IF(OR($C147&lt;&gt;"S",ORÇAMENTO.CodBarra=""),"(Sem Código)",IF(ISERROR(MATCH($AE147,INDIRECT(ORÇAMENTO.BancoRef),0)),"(Código não identificado nas referências)",MATCH($AE147,INDIRECT(ORÇAMENTO.BancoRef),0))))</f>
        <v>(abra o arquivo 'Referência 03-2024.xlsm)</v>
      </c>
      <c r="AG147" s="498">
        <f ca="1">ROUND(IF(DESONERACAO="sim",REFERENCIA.Desonerado,REFERENCIA.NaoDesonerado),2)</f>
        <v>0</v>
      </c>
      <c r="AH147" s="499">
        <f t="shared" ca="1" si="32"/>
        <v>0.28170000000000001</v>
      </c>
      <c r="AJ147" s="501">
        <v>10.53</v>
      </c>
      <c r="AL147" s="527"/>
      <c r="AM147" s="381">
        <f t="shared" ca="1" si="33"/>
        <v>791.86</v>
      </c>
      <c r="AN147" s="566">
        <f t="shared" ca="1" si="34"/>
        <v>75.2</v>
      </c>
    </row>
    <row r="148" spans="1:40" ht="25.5" x14ac:dyDescent="0.2">
      <c r="A148" t="str">
        <f>CHOOSE(1+LOG(1+2*(ORÇAMENTO.Nivel="Meta")+4*(ORÇAMENTO.Nivel="Nível 2")+8*(ORÇAMENTO.Nivel="Nível 3")+16*(ORÇAMENTO.Nivel="Nível 4")+32*(ORÇAMENTO.Nivel="Serviço"),2),0,1,2,3,4,"S")</f>
        <v>S</v>
      </c>
      <c r="B148">
        <f ca="1">IF(OR(C148="s",C148=0),OFFSET(B148,-1,0),C148)</f>
        <v>3</v>
      </c>
      <c r="C148" t="str">
        <f ca="1">IF(OFFSET(C148,-1,0)="L",1,IF(OFFSET(C148,-1,0)=1,2,IF(OR(A148="s",A148=0),"S",IF(AND(OFFSET(C148,-1,0)=2,A148=4),3,IF(AND(OR(OFFSET(C148,-1,0)="s",OFFSET(C148,-1,0)=0),A148&lt;&gt;"s",A148&gt;OFFSET(B148,-1,0)),OFFSET(B148,-1,0),A148)))))</f>
        <v>S</v>
      </c>
      <c r="D148">
        <f ca="1">IF(OR(C148="S",C148=0),0,IF(ISERROR(K148),J148,SMALL(J148:K148,1)))</f>
        <v>0</v>
      </c>
      <c r="E148">
        <f ca="1">IF($C148=1,OFFSET(E148,-1,0)+MAX(1,COUNTIF(QCI!$A$13:$A$24,OFFSET(ORÇAMENTO!E148,-1,0))),OFFSET(E148,-1,0))</f>
        <v>1</v>
      </c>
      <c r="F148">
        <f ca="1">IF($C148=1,0,IF($C148=2,OFFSET(F148,-1,0)+1,OFFSET(F148,-1,0)))</f>
        <v>6</v>
      </c>
      <c r="G148">
        <f ca="1">IF(AND($C148&lt;=2,$C148&lt;&gt;0),0,IF($C148=3,OFFSET(G148,-1,0)+1,OFFSET(G148,-1,0)))</f>
        <v>13</v>
      </c>
      <c r="H148">
        <f ca="1">IF(AND($C148&lt;=3,$C148&lt;&gt;0),0,IF($C148=4,OFFSET(H148,-1,0)+1,OFFSET(H148,-1,0)))</f>
        <v>0</v>
      </c>
      <c r="I148">
        <f ca="1">IF(AND($C148&lt;=4,$C148&lt;&gt;0),0,IF(AND($C148="S",$X148&gt;0),OFFSET(I148,-1,0)+1,OFFSET(I148,-1,0)))</f>
        <v>4</v>
      </c>
      <c r="J148">
        <f t="shared" ca="1" si="35"/>
        <v>0</v>
      </c>
      <c r="K148">
        <f ca="1">IF(OR($C148="S",$C148=0),0,MATCH(OFFSET($D148,0,$C148)+IF($C148&lt;&gt;1,1,COUNTIF(QCI!$A$13:$A$24,ORÇAMENTO!E148)),OFFSET($D148,1,$C148,ROW($C$290)-ROW($C148)),0))</f>
        <v>0</v>
      </c>
      <c r="L148" s="116" t="str">
        <f ca="1">IF(OR($X148&gt;0,$C148=1,$C148=2,$C148=3,$C148=4),"F","")</f>
        <v>F</v>
      </c>
      <c r="M148" s="117" t="s">
        <v>199</v>
      </c>
      <c r="N148" s="118" t="str">
        <f ca="1">CHOOSE(1+LOG(1+2*(C148=1)+4*(C148=2)+8*(C148=3)+16*(C148=4)+32*(C148="S"),2),"","Meta","Nível 2","Nível 3","Nível 4","Serviço")</f>
        <v>Serviço</v>
      </c>
      <c r="O148" s="119" t="str">
        <f ca="1">IF(OR($C148=0,$L148=""),"-",CONCATENATE(E148&amp;".",IF(AND($A$5&gt;=2,$C148&gt;=2),F148&amp;".",""),IF(AND($A$5&gt;=3,$C148&gt;=3),G148&amp;".",""),IF(AND($A$5&gt;=4,$C148&gt;=4),H148&amp;".",""),IF($C148="S",I148&amp;".","")))</f>
        <v>1.6.13.4.</v>
      </c>
      <c r="P148" s="120" t="s">
        <v>462</v>
      </c>
      <c r="Q148" s="121" t="s">
        <v>536</v>
      </c>
      <c r="R148" s="122" t="str">
        <f ca="1">IF($C148="S",REFERENCIA.Descricao,"(digite a descrição aqui)")</f>
        <v>(abra o arquivo 'Referência 03-2024.xlsm)</v>
      </c>
      <c r="S148" s="123" t="str">
        <f ca="1">REFERENCIA.Unidade</f>
        <v>-</v>
      </c>
      <c r="T148" s="124">
        <f ca="1">OFFSET(CÁLCULO!H$15,ROW($T148)-ROW(T$15),0)</f>
        <v>1.8</v>
      </c>
      <c r="U148" s="125">
        <v>98.21</v>
      </c>
      <c r="V148" s="126" t="s">
        <v>156</v>
      </c>
      <c r="W148" s="124">
        <f ca="1">IF($C148="S",ROUND(IF(TIPOORCAMENTO="Proposto",ORÇAMENTO.CustoUnitario*(1+$AH148),ORÇAMENTO.PrecoUnitarioLicitado),15-13*$AF$10),0)</f>
        <v>125.88</v>
      </c>
      <c r="X148" s="127">
        <f ca="1">IF($C148="S",IF(Import.TipoArredondamento&lt;&gt;"TransfereGOV",VTOTAL1,SUM(OFFSET(CÁLCULO!$AA$15,ROW($X148)-ROW($X$15),1):OFFSET(CÁLCULO!$AL$15,ROW($X148)-ROW($X$15),-1))),IF($C148=0,0,ROUND(SomaAgrup,15-13*$AF$11)))</f>
        <v>226.58</v>
      </c>
      <c r="Y148" s="128" t="s">
        <v>245</v>
      </c>
      <c r="Z148" t="str">
        <f ca="1">IF(AND($C148="S",$X148&gt;0),IF(ISBLANK($Y148),"RA",LEFT($Y148,2)),"")</f>
        <v>RA</v>
      </c>
      <c r="AA148" s="129">
        <f ca="1">IF($C148="S",IF($Z148="CP",$X148,IF($Z148="RA",(($X148)*QCI!$AA$3),0)),SomaAgrup)</f>
        <v>226.58</v>
      </c>
      <c r="AB148" s="130">
        <f ca="1">IF($C148="S",IF($Z148="OU",ROUND($X148,2),0),SomaAgrup)</f>
        <v>0</v>
      </c>
      <c r="AC148" s="131" t="str">
        <f ca="1">IF($N148="","",IF(ORÇAMENTO.Descricao="","DESCRIÇÃO",IF(AND($C148="S",ORÇAMENTO.Unidade=""),"UNIDADE",IF($X148&lt;0,"VALOR NEGATIVO",IF(OR(AND(TIPOORCAMENTO="Proposto",$AG148&lt;&gt;"",$AG148&gt;0,ORÇAMENTO.CustoUnitario&gt;$AG148),AND(TIPOORCAMENTO="LICITADO",ORÇAMENTO.PrecoUnitarioLicitado&gt;$AN148)),"ACIMA REF.","")))))</f>
        <v/>
      </c>
      <c r="AD148" t="str">
        <f ca="1">IF(C148&lt;=CRONO.NivelExibicao,MAX($AD$15:OFFSET(AD148,-1,0))+IF($C148&lt;&gt;1,1,MAX(1,COUNTIF(QCI!$A$13:$A$24,OFFSET($E148,-1,0)))),"")</f>
        <v/>
      </c>
      <c r="AE148" s="7" t="str">
        <f ca="1">IF(AND($C148="S",ORÇAMENTO.CodBarra&lt;&gt;""),IF(ORÇAMENTO.Fonte="",ORÇAMENTO.CodBarra,CONCATENATE(ORÇAMENTO.Fonte," ",ORÇAMENTO.CodBarra)))</f>
        <v>Composição 44</v>
      </c>
      <c r="AF148" s="13" t="str">
        <f ca="1">IF(ISERROR(INDIRECT(ORÇAMENTO.BancoRef)),"(abra o arquivo 'Referência "&amp;Excel_BuiltIn_Database&amp;".xlsm)",IF(OR($C148&lt;&gt;"S",ORÇAMENTO.CodBarra=""),"(Sem Código)",IF(ISERROR(MATCH($AE148,INDIRECT(ORÇAMENTO.BancoRef),0)),"(Código não identificado nas referências)",MATCH($AE148,INDIRECT(ORÇAMENTO.BancoRef),0))))</f>
        <v>(abra o arquivo 'Referência 03-2024.xlsm)</v>
      </c>
      <c r="AG148" s="498">
        <f ca="1">ROUND(IF(DESONERACAO="sim",REFERENCIA.Desonerado,REFERENCIA.NaoDesonerado),2)</f>
        <v>0</v>
      </c>
      <c r="AH148" s="499">
        <f ca="1">ROUND(IF(ISNUMBER(ORÇAMENTO.OpcaoBDI),ORÇAMENTO.OpcaoBDI,IF(LEFT(ORÇAMENTO.OpcaoBDI,3)="BDI",HLOOKUP(ORÇAMENTO.OpcaoBDI,$F$4:$H$5,2,FALSE),0)),15-11*$AF$9)</f>
        <v>0.28170000000000001</v>
      </c>
      <c r="AJ148" s="501">
        <v>1.8</v>
      </c>
      <c r="AL148" s="527"/>
      <c r="AM148" s="381">
        <f t="shared" ca="1" si="33"/>
        <v>226.58</v>
      </c>
      <c r="AN148" s="566">
        <f ca="1">ROUND(ORÇAMENTO.CustoUnitario*(1+$AH148),2)</f>
        <v>125.88</v>
      </c>
    </row>
    <row r="149" spans="1:40" ht="38.25" x14ac:dyDescent="0.2">
      <c r="A149" t="str">
        <f t="shared" si="19"/>
        <v>S</v>
      </c>
      <c r="B149">
        <f t="shared" ca="1" si="20"/>
        <v>3</v>
      </c>
      <c r="C149" t="str">
        <f t="shared" ca="1" si="21"/>
        <v>S</v>
      </c>
      <c r="D149">
        <f t="shared" ca="1" si="22"/>
        <v>0</v>
      </c>
      <c r="E149">
        <f ca="1">IF($C149=1,OFFSET(E149,-1,0)+MAX(1,COUNTIF(QCI!$A$13:$A$24,OFFSET(ORÇAMENTO!E149,-1,0))),OFFSET(E149,-1,0))</f>
        <v>1</v>
      </c>
      <c r="F149">
        <f t="shared" ca="1" si="23"/>
        <v>6</v>
      </c>
      <c r="G149">
        <f t="shared" ca="1" si="24"/>
        <v>13</v>
      </c>
      <c r="H149">
        <f t="shared" ca="1" si="25"/>
        <v>0</v>
      </c>
      <c r="I149">
        <f t="shared" ca="1" si="26"/>
        <v>5</v>
      </c>
      <c r="J149">
        <f t="shared" ca="1" si="35"/>
        <v>0</v>
      </c>
      <c r="K149">
        <f ca="1">IF(OR($C149="S",$C149=0),0,MATCH(OFFSET($D149,0,$C149)+IF($C149&lt;&gt;1,1,COUNTIF(QCI!$A$13:$A$24,ORÇAMENTO!E149)),OFFSET($D149,1,$C149,ROW($C$290)-ROW($C149)),0))</f>
        <v>0</v>
      </c>
      <c r="L149" s="116" t="str">
        <f t="shared" ca="1" si="27"/>
        <v>F</v>
      </c>
      <c r="M149" s="117" t="s">
        <v>199</v>
      </c>
      <c r="N149" s="118" t="str">
        <f t="shared" ca="1" si="28"/>
        <v>Serviço</v>
      </c>
      <c r="O149" s="119" t="str">
        <f t="shared" ca="1" si="29"/>
        <v>1.6.13.5.</v>
      </c>
      <c r="P149" s="120" t="s">
        <v>462</v>
      </c>
      <c r="Q149" s="121" t="s">
        <v>541</v>
      </c>
      <c r="R149" s="122" t="str">
        <f ca="1">IF($C149="S",REFERENCIA.Descricao,"(digite a descrição aqui)")</f>
        <v>(abra o arquivo 'Referência 03-2024.xlsm)</v>
      </c>
      <c r="S149" s="123" t="str">
        <f ca="1">REFERENCIA.Unidade</f>
        <v>-</v>
      </c>
      <c r="T149" s="124">
        <f ca="1">OFFSET(CÁLCULO!H$15,ROW($T149)-ROW(T$15),0)</f>
        <v>11.7</v>
      </c>
      <c r="U149" s="125">
        <v>68.59</v>
      </c>
      <c r="V149" s="126" t="s">
        <v>156</v>
      </c>
      <c r="W149" s="124">
        <f ca="1">IF($C149="S",ROUND(IF(TIPOORCAMENTO="Proposto",ORÇAMENTO.CustoUnitario*(1+$AH149),ORÇAMENTO.PrecoUnitarioLicitado),15-13*$AF$10),0)</f>
        <v>87.91</v>
      </c>
      <c r="X149" s="127">
        <f ca="1">IF($C149="S",IF(Import.TipoArredondamento&lt;&gt;"TransfereGOV",VTOTAL1,SUM(OFFSET(CÁLCULO!$AA$15,ROW($X149)-ROW($X$15),1):OFFSET(CÁLCULO!$AL$15,ROW($X149)-ROW($X$15),-1))),IF($C149=0,0,ROUND(SomaAgrup,15-13*$AF$11)))</f>
        <v>1028.55</v>
      </c>
      <c r="Y149" s="128" t="s">
        <v>245</v>
      </c>
      <c r="Z149" t="str">
        <f t="shared" ca="1" si="30"/>
        <v>RA</v>
      </c>
      <c r="AA149" s="129">
        <f ca="1">IF($C149="S",IF($Z149="CP",$X149,IF($Z149="RA",(($X149)*QCI!$AA$3),0)),SomaAgrup)</f>
        <v>1028.55</v>
      </c>
      <c r="AB149" s="130">
        <f t="shared" ca="1" si="31"/>
        <v>0</v>
      </c>
      <c r="AC149" s="131" t="str">
        <f ca="1">IF($N149="","",IF(ORÇAMENTO.Descricao="","DESCRIÇÃO",IF(AND($C149="S",ORÇAMENTO.Unidade=""),"UNIDADE",IF($X149&lt;0,"VALOR NEGATIVO",IF(OR(AND(TIPOORCAMENTO="Proposto",$AG149&lt;&gt;"",$AG149&gt;0,ORÇAMENTO.CustoUnitario&gt;$AG149),AND(TIPOORCAMENTO="LICITADO",ORÇAMENTO.PrecoUnitarioLicitado&gt;$AN149)),"ACIMA REF.","")))))</f>
        <v/>
      </c>
      <c r="AD149" t="str">
        <f ca="1">IF(C149&lt;=CRONO.NivelExibicao,MAX($AD$15:OFFSET(AD149,-1,0))+IF($C149&lt;&gt;1,1,MAX(1,COUNTIF(QCI!$A$13:$A$24,OFFSET($E149,-1,0)))),"")</f>
        <v/>
      </c>
      <c r="AE149" s="7" t="str">
        <f ca="1">IF(AND($C149="S",ORÇAMENTO.CodBarra&lt;&gt;""),IF(ORÇAMENTO.Fonte="",ORÇAMENTO.CodBarra,CONCATENATE(ORÇAMENTO.Fonte," ",ORÇAMENTO.CodBarra)))</f>
        <v>Composição 48</v>
      </c>
      <c r="AF149" s="13" t="str">
        <f ca="1">IF(ISERROR(INDIRECT(ORÇAMENTO.BancoRef)),"(abra o arquivo 'Referência "&amp;Excel_BuiltIn_Database&amp;".xlsm)",IF(OR($C149&lt;&gt;"S",ORÇAMENTO.CodBarra=""),"(Sem Código)",IF(ISERROR(MATCH($AE149,INDIRECT(ORÇAMENTO.BancoRef),0)),"(Código não identificado nas referências)",MATCH($AE149,INDIRECT(ORÇAMENTO.BancoRef),0))))</f>
        <v>(abra o arquivo 'Referência 03-2024.xlsm)</v>
      </c>
      <c r="AG149" s="498">
        <f ca="1">ROUND(IF(DESONERACAO="sim",REFERENCIA.Desonerado,REFERENCIA.NaoDesonerado),2)</f>
        <v>0</v>
      </c>
      <c r="AH149" s="499">
        <f t="shared" ca="1" si="32"/>
        <v>0.28170000000000001</v>
      </c>
      <c r="AJ149" s="501">
        <v>11.7</v>
      </c>
      <c r="AL149" s="527"/>
      <c r="AM149" s="381">
        <f t="shared" ca="1" si="33"/>
        <v>1028.55</v>
      </c>
      <c r="AN149" s="566">
        <f t="shared" ca="1" si="34"/>
        <v>87.91</v>
      </c>
    </row>
    <row r="150" spans="1:40" x14ac:dyDescent="0.2">
      <c r="A150">
        <f t="shared" si="19"/>
        <v>3</v>
      </c>
      <c r="B150">
        <f t="shared" ca="1" si="20"/>
        <v>3</v>
      </c>
      <c r="C150">
        <f t="shared" ca="1" si="21"/>
        <v>3</v>
      </c>
      <c r="D150">
        <f t="shared" ca="1" si="22"/>
        <v>4</v>
      </c>
      <c r="E150">
        <f ca="1">IF($C150=1,OFFSET(E150,-1,0)+MAX(1,COUNTIF(QCI!$A$13:$A$24,OFFSET(ORÇAMENTO!E150,-1,0))),OFFSET(E150,-1,0))</f>
        <v>1</v>
      </c>
      <c r="F150">
        <f t="shared" ca="1" si="23"/>
        <v>6</v>
      </c>
      <c r="G150">
        <f t="shared" ca="1" si="24"/>
        <v>14</v>
      </c>
      <c r="H150">
        <f t="shared" ca="1" si="25"/>
        <v>0</v>
      </c>
      <c r="I150">
        <f t="shared" ca="1" si="26"/>
        <v>0</v>
      </c>
      <c r="J150">
        <f t="shared" ca="1" si="35"/>
        <v>42</v>
      </c>
      <c r="K150">
        <f ca="1">IF(OR($C150="S",$C150=0),0,MATCH(OFFSET($D150,0,$C150)+IF($C150&lt;&gt;1,1,COUNTIF(QCI!$A$13:$A$24,ORÇAMENTO!E150)),OFFSET($D150,1,$C150,ROW($C$290)-ROW($C150)),0))</f>
        <v>4</v>
      </c>
      <c r="L150" s="116" t="str">
        <f t="shared" ca="1" si="27"/>
        <v>F</v>
      </c>
      <c r="M150" s="117" t="s">
        <v>197</v>
      </c>
      <c r="N150" s="118" t="str">
        <f t="shared" ca="1" si="28"/>
        <v>Nível 3</v>
      </c>
      <c r="O150" s="119" t="str">
        <f t="shared" ca="1" si="29"/>
        <v>1.6.14.</v>
      </c>
      <c r="P150" s="120" t="s">
        <v>247</v>
      </c>
      <c r="Q150" s="121"/>
      <c r="R150" s="122" t="s">
        <v>542</v>
      </c>
      <c r="S150" s="123" t="str">
        <f ca="1">REFERENCIA.Unidade</f>
        <v>-</v>
      </c>
      <c r="T150" s="124">
        <f ca="1">OFFSET(CÁLCULO!H$15,ROW($T150)-ROW(T$15),0)</f>
        <v>0</v>
      </c>
      <c r="U150" s="125">
        <v>0</v>
      </c>
      <c r="V150" s="126" t="s">
        <v>156</v>
      </c>
      <c r="W150" s="124">
        <f ca="1">IF($C150="S",ROUND(IF(TIPOORCAMENTO="Proposto",ORÇAMENTO.CustoUnitario*(1+$AH150),ORÇAMENTO.PrecoUnitarioLicitado),15-13*$AF$10),0)</f>
        <v>0</v>
      </c>
      <c r="X150" s="127">
        <f ca="1">IF($C150="S",IF(Import.TipoArredondamento&lt;&gt;"TransfereGOV",VTOTAL1,SUM(OFFSET(CÁLCULO!$AA$15,ROW($X150)-ROW($X$15),1):OFFSET(CÁLCULO!$AL$15,ROW($X150)-ROW($X$15),-1))),IF($C150=0,0,ROUND(SomaAgrup,15-13*$AF$11)))</f>
        <v>1387.2</v>
      </c>
      <c r="Y150" s="128" t="s">
        <v>245</v>
      </c>
      <c r="Z150" t="str">
        <f t="shared" ca="1" si="30"/>
        <v/>
      </c>
      <c r="AA150" s="129">
        <f ca="1">IF($C150="S",IF($Z150="CP",$X150,IF($Z150="RA",(($X150)*QCI!$AA$3),0)),SomaAgrup)</f>
        <v>1387.2</v>
      </c>
      <c r="AB150" s="130">
        <f t="shared" ca="1" si="31"/>
        <v>0</v>
      </c>
      <c r="AC150" s="131" t="str">
        <f ca="1">IF($N150="","",IF(ORÇAMENTO.Descricao="","DESCRIÇÃO",IF(AND($C150="S",ORÇAMENTO.Unidade=""),"UNIDADE",IF($X150&lt;0,"VALOR NEGATIVO",IF(OR(AND(TIPOORCAMENTO="Proposto",$AG150&lt;&gt;"",$AG150&gt;0,ORÇAMENTO.CustoUnitario&gt;$AG150),AND(TIPOORCAMENTO="LICITADO",ORÇAMENTO.PrecoUnitarioLicitado&gt;$AN150)),"ACIMA REF.","")))))</f>
        <v/>
      </c>
      <c r="AD150">
        <f ca="1">IF(C150&lt;=CRONO.NivelExibicao,MAX($AD$15:OFFSET(AD150,-1,0))+IF($C150&lt;&gt;1,1,MAX(1,COUNTIF(QCI!$A$13:$A$24,OFFSET($E150,-1,0)))),"")</f>
        <v>23</v>
      </c>
      <c r="AE150" s="7" t="b">
        <f ca="1">IF(AND($C150="S",ORÇAMENTO.CodBarra&lt;&gt;""),IF(ORÇAMENTO.Fonte="",ORÇAMENTO.CodBarra,CONCATENATE(ORÇAMENTO.Fonte," ",ORÇAMENTO.CodBarra)))</f>
        <v>0</v>
      </c>
      <c r="AF150" s="13" t="str">
        <f ca="1">IF(ISERROR(INDIRECT(ORÇAMENTO.BancoRef)),"(abra o arquivo 'Referência "&amp;Excel_BuiltIn_Database&amp;".xlsm)",IF(OR($C150&lt;&gt;"S",ORÇAMENTO.CodBarra=""),"(Sem Código)",IF(ISERROR(MATCH($AE150,INDIRECT(ORÇAMENTO.BancoRef),0)),"(Código não identificado nas referências)",MATCH($AE150,INDIRECT(ORÇAMENTO.BancoRef),0))))</f>
        <v>(abra o arquivo 'Referência 03-2024.xlsm)</v>
      </c>
      <c r="AG150" s="498">
        <f ca="1">ROUND(IF(DESONERACAO="sim",REFERENCIA.Desonerado,REFERENCIA.NaoDesonerado),2)</f>
        <v>0</v>
      </c>
      <c r="AH150" s="499">
        <f t="shared" ca="1" si="32"/>
        <v>0.28170000000000001</v>
      </c>
      <c r="AJ150" s="501"/>
      <c r="AL150" s="527"/>
      <c r="AM150" s="381">
        <f t="shared" ca="1" si="33"/>
        <v>1387.2</v>
      </c>
      <c r="AN150" s="566">
        <f t="shared" ca="1" si="34"/>
        <v>0</v>
      </c>
    </row>
    <row r="151" spans="1:40" ht="25.5" x14ac:dyDescent="0.2">
      <c r="A151" t="str">
        <f t="shared" si="19"/>
        <v>S</v>
      </c>
      <c r="B151">
        <f t="shared" ca="1" si="20"/>
        <v>3</v>
      </c>
      <c r="C151" t="str">
        <f t="shared" ca="1" si="21"/>
        <v>S</v>
      </c>
      <c r="D151">
        <f t="shared" ca="1" si="22"/>
        <v>0</v>
      </c>
      <c r="E151">
        <f ca="1">IF($C151=1,OFFSET(E151,-1,0)+MAX(1,COUNTIF(QCI!$A$13:$A$24,OFFSET(ORÇAMENTO!E151,-1,0))),OFFSET(E151,-1,0))</f>
        <v>1</v>
      </c>
      <c r="F151">
        <f t="shared" ca="1" si="23"/>
        <v>6</v>
      </c>
      <c r="G151">
        <f t="shared" ca="1" si="24"/>
        <v>14</v>
      </c>
      <c r="H151">
        <f t="shared" ca="1" si="25"/>
        <v>0</v>
      </c>
      <c r="I151">
        <f t="shared" ca="1" si="26"/>
        <v>1</v>
      </c>
      <c r="J151">
        <f t="shared" ca="1" si="35"/>
        <v>0</v>
      </c>
      <c r="K151">
        <f ca="1">IF(OR($C151="S",$C151=0),0,MATCH(OFFSET($D151,0,$C151)+IF($C151&lt;&gt;1,1,COUNTIF(QCI!$A$13:$A$24,ORÇAMENTO!E151)),OFFSET($D151,1,$C151,ROW($C$290)-ROW($C151)),0))</f>
        <v>0</v>
      </c>
      <c r="L151" s="116" t="str">
        <f t="shared" ca="1" si="27"/>
        <v>F</v>
      </c>
      <c r="M151" s="117" t="s">
        <v>199</v>
      </c>
      <c r="N151" s="118" t="str">
        <f t="shared" ca="1" si="28"/>
        <v>Serviço</v>
      </c>
      <c r="O151" s="119" t="str">
        <f t="shared" ca="1" si="29"/>
        <v>1.6.14.1.</v>
      </c>
      <c r="P151" s="120" t="s">
        <v>462</v>
      </c>
      <c r="Q151" s="121" t="s">
        <v>543</v>
      </c>
      <c r="R151" s="122" t="str">
        <f ca="1">IF($C151="S",REFERENCIA.Descricao,"(digite a descrição aqui)")</f>
        <v>(abra o arquivo 'Referência 03-2024.xlsm)</v>
      </c>
      <c r="S151" s="123" t="str">
        <f ca="1">REFERENCIA.Unidade</f>
        <v>-</v>
      </c>
      <c r="T151" s="124">
        <f ca="1">OFFSET(CÁLCULO!H$15,ROW($T151)-ROW(T$15),0)</f>
        <v>53</v>
      </c>
      <c r="U151" s="125">
        <v>2.67</v>
      </c>
      <c r="V151" s="126" t="s">
        <v>156</v>
      </c>
      <c r="W151" s="124">
        <f ca="1">IF($C151="S",ROUND(IF(TIPOORCAMENTO="Proposto",ORÇAMENTO.CustoUnitario*(1+$AH151),ORÇAMENTO.PrecoUnitarioLicitado),15-13*$AF$10),0)</f>
        <v>3.42</v>
      </c>
      <c r="X151" s="127">
        <f ca="1">IF($C151="S",IF(Import.TipoArredondamento&lt;&gt;"TransfereGOV",VTOTAL1,SUM(OFFSET(CÁLCULO!$AA$15,ROW($X151)-ROW($X$15),1):OFFSET(CÁLCULO!$AL$15,ROW($X151)-ROW($X$15),-1))),IF($C151=0,0,ROUND(SomaAgrup,15-13*$AF$11)))</f>
        <v>181.26</v>
      </c>
      <c r="Y151" s="128" t="s">
        <v>245</v>
      </c>
      <c r="Z151" t="str">
        <f t="shared" ca="1" si="30"/>
        <v>RA</v>
      </c>
      <c r="AA151" s="129">
        <f ca="1">IF($C151="S",IF($Z151="CP",$X151,IF($Z151="RA",(($X151)*QCI!$AA$3),0)),SomaAgrup)</f>
        <v>181.26</v>
      </c>
      <c r="AB151" s="130">
        <f t="shared" ca="1" si="31"/>
        <v>0</v>
      </c>
      <c r="AC151" s="131" t="str">
        <f ca="1">IF($N151="","",IF(ORÇAMENTO.Descricao="","DESCRIÇÃO",IF(AND($C151="S",ORÇAMENTO.Unidade=""),"UNIDADE",IF($X151&lt;0,"VALOR NEGATIVO",IF(OR(AND(TIPOORCAMENTO="Proposto",$AG151&lt;&gt;"",$AG151&gt;0,ORÇAMENTO.CustoUnitario&gt;$AG151),AND(TIPOORCAMENTO="LICITADO",ORÇAMENTO.PrecoUnitarioLicitado&gt;$AN151)),"ACIMA REF.","")))))</f>
        <v/>
      </c>
      <c r="AD151" t="str">
        <f ca="1">IF(C151&lt;=CRONO.NivelExibicao,MAX($AD$15:OFFSET(AD151,-1,0))+IF($C151&lt;&gt;1,1,MAX(1,COUNTIF(QCI!$A$13:$A$24,OFFSET($E151,-1,0)))),"")</f>
        <v/>
      </c>
      <c r="AE151" s="7" t="str">
        <f ca="1">IF(AND($C151="S",ORÇAMENTO.CodBarra&lt;&gt;""),IF(ORÇAMENTO.Fonte="",ORÇAMENTO.CodBarra,CONCATENATE(ORÇAMENTO.Fonte," ",ORÇAMENTO.CodBarra)))</f>
        <v>Composição 49</v>
      </c>
      <c r="AF151" s="13" t="str">
        <f ca="1">IF(ISERROR(INDIRECT(ORÇAMENTO.BancoRef)),"(abra o arquivo 'Referência "&amp;Excel_BuiltIn_Database&amp;".xlsm)",IF(OR($C151&lt;&gt;"S",ORÇAMENTO.CodBarra=""),"(Sem Código)",IF(ISERROR(MATCH($AE151,INDIRECT(ORÇAMENTO.BancoRef),0)),"(Código não identificado nas referências)",MATCH($AE151,INDIRECT(ORÇAMENTO.BancoRef),0))))</f>
        <v>(abra o arquivo 'Referência 03-2024.xlsm)</v>
      </c>
      <c r="AG151" s="498">
        <f ca="1">ROUND(IF(DESONERACAO="sim",REFERENCIA.Desonerado,REFERENCIA.NaoDesonerado),2)</f>
        <v>0</v>
      </c>
      <c r="AH151" s="499">
        <f t="shared" ca="1" si="32"/>
        <v>0.28170000000000001</v>
      </c>
      <c r="AJ151" s="501">
        <v>53</v>
      </c>
      <c r="AL151" s="527"/>
      <c r="AM151" s="381">
        <f t="shared" ca="1" si="33"/>
        <v>181.26</v>
      </c>
      <c r="AN151" s="566">
        <f t="shared" ca="1" si="34"/>
        <v>3.42</v>
      </c>
    </row>
    <row r="152" spans="1:40" ht="25.5" x14ac:dyDescent="0.2">
      <c r="A152" t="str">
        <f t="shared" si="19"/>
        <v>S</v>
      </c>
      <c r="B152">
        <f t="shared" ca="1" si="20"/>
        <v>3</v>
      </c>
      <c r="C152" t="str">
        <f t="shared" ca="1" si="21"/>
        <v>S</v>
      </c>
      <c r="D152">
        <f t="shared" ca="1" si="22"/>
        <v>0</v>
      </c>
      <c r="E152">
        <f ca="1">IF($C152=1,OFFSET(E152,-1,0)+MAX(1,COUNTIF(QCI!$A$13:$A$24,OFFSET(ORÇAMENTO!E152,-1,0))),OFFSET(E152,-1,0))</f>
        <v>1</v>
      </c>
      <c r="F152">
        <f t="shared" ca="1" si="23"/>
        <v>6</v>
      </c>
      <c r="G152">
        <f t="shared" ca="1" si="24"/>
        <v>14</v>
      </c>
      <c r="H152">
        <f t="shared" ca="1" si="25"/>
        <v>0</v>
      </c>
      <c r="I152">
        <f t="shared" ca="1" si="26"/>
        <v>2</v>
      </c>
      <c r="J152">
        <f t="shared" ca="1" si="35"/>
        <v>0</v>
      </c>
      <c r="K152">
        <f ca="1">IF(OR($C152="S",$C152=0),0,MATCH(OFFSET($D152,0,$C152)+IF($C152&lt;&gt;1,1,COUNTIF(QCI!$A$13:$A$24,ORÇAMENTO!E152)),OFFSET($D152,1,$C152,ROW($C$290)-ROW($C152)),0))</f>
        <v>0</v>
      </c>
      <c r="L152" s="116" t="str">
        <f t="shared" ca="1" si="27"/>
        <v>F</v>
      </c>
      <c r="M152" s="117" t="s">
        <v>199</v>
      </c>
      <c r="N152" s="118" t="str">
        <f t="shared" ca="1" si="28"/>
        <v>Serviço</v>
      </c>
      <c r="O152" s="119" t="str">
        <f t="shared" ca="1" si="29"/>
        <v>1.6.14.2.</v>
      </c>
      <c r="P152" s="120" t="s">
        <v>462</v>
      </c>
      <c r="Q152" s="121" t="s">
        <v>544</v>
      </c>
      <c r="R152" s="122" t="str">
        <f ca="1">IF($C152="S",REFERENCIA.Descricao,"(digite a descrição aqui)")</f>
        <v>(abra o arquivo 'Referência 03-2024.xlsm)</v>
      </c>
      <c r="S152" s="123" t="str">
        <f ca="1">REFERENCIA.Unidade</f>
        <v>-</v>
      </c>
      <c r="T152" s="124">
        <f ca="1">OFFSET(CÁLCULO!H$15,ROW($T152)-ROW(T$15),0)</f>
        <v>53</v>
      </c>
      <c r="U152" s="125">
        <v>15.66</v>
      </c>
      <c r="V152" s="126" t="s">
        <v>156</v>
      </c>
      <c r="W152" s="124">
        <f ca="1">IF($C152="S",ROUND(IF(TIPOORCAMENTO="Proposto",ORÇAMENTO.CustoUnitario*(1+$AH152),ORÇAMENTO.PrecoUnitarioLicitado),15-13*$AF$10),0)</f>
        <v>20.07</v>
      </c>
      <c r="X152" s="127">
        <f ca="1">IF($C152="S",IF(Import.TipoArredondamento&lt;&gt;"TransfereGOV",VTOTAL1,SUM(OFFSET(CÁLCULO!$AA$15,ROW($X152)-ROW($X$15),1):OFFSET(CÁLCULO!$AL$15,ROW($X152)-ROW($X$15),-1))),IF($C152=0,0,ROUND(SomaAgrup,15-13*$AF$11)))</f>
        <v>1063.71</v>
      </c>
      <c r="Y152" s="128" t="s">
        <v>245</v>
      </c>
      <c r="Z152" t="str">
        <f t="shared" ca="1" si="30"/>
        <v>RA</v>
      </c>
      <c r="AA152" s="129">
        <f ca="1">IF($C152="S",IF($Z152="CP",$X152,IF($Z152="RA",(($X152)*QCI!$AA$3),0)),SomaAgrup)</f>
        <v>1063.71</v>
      </c>
      <c r="AB152" s="130">
        <f t="shared" ca="1" si="31"/>
        <v>0</v>
      </c>
      <c r="AC152" s="131" t="str">
        <f ca="1">IF($N152="","",IF(ORÇAMENTO.Descricao="","DESCRIÇÃO",IF(AND($C152="S",ORÇAMENTO.Unidade=""),"UNIDADE",IF($X152&lt;0,"VALOR NEGATIVO",IF(OR(AND(TIPOORCAMENTO="Proposto",$AG152&lt;&gt;"",$AG152&gt;0,ORÇAMENTO.CustoUnitario&gt;$AG152),AND(TIPOORCAMENTO="LICITADO",ORÇAMENTO.PrecoUnitarioLicitado&gt;$AN152)),"ACIMA REF.","")))))</f>
        <v/>
      </c>
      <c r="AD152" t="str">
        <f ca="1">IF(C152&lt;=CRONO.NivelExibicao,MAX($AD$15:OFFSET(AD152,-1,0))+IF($C152&lt;&gt;1,1,MAX(1,COUNTIF(QCI!$A$13:$A$24,OFFSET($E152,-1,0)))),"")</f>
        <v/>
      </c>
      <c r="AE152" s="7" t="str">
        <f ca="1">IF(AND($C152="S",ORÇAMENTO.CodBarra&lt;&gt;""),IF(ORÇAMENTO.Fonte="",ORÇAMENTO.CodBarra,CONCATENATE(ORÇAMENTO.Fonte," ",ORÇAMENTO.CodBarra)))</f>
        <v>Composição 50</v>
      </c>
      <c r="AF152" s="13" t="str">
        <f ca="1">IF(ISERROR(INDIRECT(ORÇAMENTO.BancoRef)),"(abra o arquivo 'Referência "&amp;Excel_BuiltIn_Database&amp;".xlsm)",IF(OR($C152&lt;&gt;"S",ORÇAMENTO.CodBarra=""),"(Sem Código)",IF(ISERROR(MATCH($AE152,INDIRECT(ORÇAMENTO.BancoRef),0)),"(Código não identificado nas referências)",MATCH($AE152,INDIRECT(ORÇAMENTO.BancoRef),0))))</f>
        <v>(abra o arquivo 'Referência 03-2024.xlsm)</v>
      </c>
      <c r="AG152" s="498">
        <f ca="1">ROUND(IF(DESONERACAO="sim",REFERENCIA.Desonerado,REFERENCIA.NaoDesonerado),2)</f>
        <v>0</v>
      </c>
      <c r="AH152" s="499">
        <f t="shared" ca="1" si="32"/>
        <v>0.28170000000000001</v>
      </c>
      <c r="AJ152" s="501">
        <v>53</v>
      </c>
      <c r="AL152" s="527"/>
      <c r="AM152" s="381">
        <f t="shared" ca="1" si="33"/>
        <v>1063.71</v>
      </c>
      <c r="AN152" s="566">
        <f t="shared" ca="1" si="34"/>
        <v>20.07</v>
      </c>
    </row>
    <row r="153" spans="1:40" ht="38.25" x14ac:dyDescent="0.2">
      <c r="A153" t="str">
        <f t="shared" si="19"/>
        <v>S</v>
      </c>
      <c r="B153">
        <f t="shared" ca="1" si="20"/>
        <v>3</v>
      </c>
      <c r="C153" t="str">
        <f t="shared" ca="1" si="21"/>
        <v>S</v>
      </c>
      <c r="D153">
        <f t="shared" ca="1" si="22"/>
        <v>0</v>
      </c>
      <c r="E153">
        <f ca="1">IF($C153=1,OFFSET(E153,-1,0)+MAX(1,COUNTIF(QCI!$A$13:$A$24,OFFSET(ORÇAMENTO!E153,-1,0))),OFFSET(E153,-1,0))</f>
        <v>1</v>
      </c>
      <c r="F153">
        <f t="shared" ca="1" si="23"/>
        <v>6</v>
      </c>
      <c r="G153">
        <f t="shared" ca="1" si="24"/>
        <v>14</v>
      </c>
      <c r="H153">
        <f t="shared" ca="1" si="25"/>
        <v>0</v>
      </c>
      <c r="I153">
        <f t="shared" ca="1" si="26"/>
        <v>3</v>
      </c>
      <c r="J153">
        <f t="shared" ca="1" si="35"/>
        <v>0</v>
      </c>
      <c r="K153">
        <f ca="1">IF(OR($C153="S",$C153=0),0,MATCH(OFFSET($D153,0,$C153)+IF($C153&lt;&gt;1,1,COUNTIF(QCI!$A$13:$A$24,ORÇAMENTO!E153)),OFFSET($D153,1,$C153,ROW($C$290)-ROW($C153)),0))</f>
        <v>0</v>
      </c>
      <c r="L153" s="116" t="str">
        <f t="shared" ca="1" si="27"/>
        <v>F</v>
      </c>
      <c r="M153" s="117" t="s">
        <v>199</v>
      </c>
      <c r="N153" s="118" t="str">
        <f t="shared" ca="1" si="28"/>
        <v>Serviço</v>
      </c>
      <c r="O153" s="119" t="str">
        <f t="shared" ca="1" si="29"/>
        <v>1.6.14.3.</v>
      </c>
      <c r="P153" s="120" t="s">
        <v>462</v>
      </c>
      <c r="Q153" s="121" t="s">
        <v>545</v>
      </c>
      <c r="R153" s="122" t="str">
        <f ca="1">IF($C153="S",REFERENCIA.Descricao,"(digite a descrição aqui)")</f>
        <v>(abra o arquivo 'Referência 03-2024.xlsm)</v>
      </c>
      <c r="S153" s="123" t="str">
        <f ca="1">REFERENCIA.Unidade</f>
        <v>-</v>
      </c>
      <c r="T153" s="124">
        <f ca="1">OFFSET(CÁLCULO!H$15,ROW($T153)-ROW(T$15),0)</f>
        <v>3</v>
      </c>
      <c r="U153" s="125">
        <v>36.99</v>
      </c>
      <c r="V153" s="126" t="s">
        <v>156</v>
      </c>
      <c r="W153" s="124">
        <f ca="1">IF($C153="S",ROUND(IF(TIPOORCAMENTO="Proposto",ORÇAMENTO.CustoUnitario*(1+$AH153),ORÇAMENTO.PrecoUnitarioLicitado),15-13*$AF$10),0)</f>
        <v>47.41</v>
      </c>
      <c r="X153" s="127">
        <f ca="1">IF($C153="S",IF(Import.TipoArredondamento&lt;&gt;"TransfereGOV",VTOTAL1,SUM(OFFSET(CÁLCULO!$AA$15,ROW($X153)-ROW($X$15),1):OFFSET(CÁLCULO!$AL$15,ROW($X153)-ROW($X$15),-1))),IF($C153=0,0,ROUND(SomaAgrup,15-13*$AF$11)))</f>
        <v>142.22999999999999</v>
      </c>
      <c r="Y153" s="128" t="s">
        <v>245</v>
      </c>
      <c r="Z153" t="str">
        <f t="shared" ca="1" si="30"/>
        <v>RA</v>
      </c>
      <c r="AA153" s="129">
        <f ca="1">IF($C153="S",IF($Z153="CP",$X153,IF($Z153="RA",(($X153)*QCI!$AA$3),0)),SomaAgrup)</f>
        <v>142.22999999999999</v>
      </c>
      <c r="AB153" s="130">
        <f t="shared" ca="1" si="31"/>
        <v>0</v>
      </c>
      <c r="AC153" s="131" t="str">
        <f ca="1">IF($N153="","",IF(ORÇAMENTO.Descricao="","DESCRIÇÃO",IF(AND($C153="S",ORÇAMENTO.Unidade=""),"UNIDADE",IF($X153&lt;0,"VALOR NEGATIVO",IF(OR(AND(TIPOORCAMENTO="Proposto",$AG153&lt;&gt;"",$AG153&gt;0,ORÇAMENTO.CustoUnitario&gt;$AG153),AND(TIPOORCAMENTO="LICITADO",ORÇAMENTO.PrecoUnitarioLicitado&gt;$AN153)),"ACIMA REF.","")))))</f>
        <v/>
      </c>
      <c r="AD153" t="str">
        <f ca="1">IF(C153&lt;=CRONO.NivelExibicao,MAX($AD$15:OFFSET(AD153,-1,0))+IF($C153&lt;&gt;1,1,MAX(1,COUNTIF(QCI!$A$13:$A$24,OFFSET($E153,-1,0)))),"")</f>
        <v/>
      </c>
      <c r="AE153" s="7" t="str">
        <f ca="1">IF(AND($C153="S",ORÇAMENTO.CodBarra&lt;&gt;""),IF(ORÇAMENTO.Fonte="",ORÇAMENTO.CodBarra,CONCATENATE(ORÇAMENTO.Fonte," ",ORÇAMENTO.CodBarra)))</f>
        <v>Composição 51</v>
      </c>
      <c r="AF153" s="13" t="str">
        <f ca="1">IF(ISERROR(INDIRECT(ORÇAMENTO.BancoRef)),"(abra o arquivo 'Referência "&amp;Excel_BuiltIn_Database&amp;".xlsm)",IF(OR($C153&lt;&gt;"S",ORÇAMENTO.CodBarra=""),"(Sem Código)",IF(ISERROR(MATCH($AE153,INDIRECT(ORÇAMENTO.BancoRef),0)),"(Código não identificado nas referências)",MATCH($AE153,INDIRECT(ORÇAMENTO.BancoRef),0))))</f>
        <v>(abra o arquivo 'Referência 03-2024.xlsm)</v>
      </c>
      <c r="AG153" s="498">
        <f ca="1">ROUND(IF(DESONERACAO="sim",REFERENCIA.Desonerado,REFERENCIA.NaoDesonerado),2)</f>
        <v>0</v>
      </c>
      <c r="AH153" s="499">
        <f t="shared" ca="1" si="32"/>
        <v>0.28170000000000001</v>
      </c>
      <c r="AJ153" s="501">
        <v>3</v>
      </c>
      <c r="AL153" s="527"/>
      <c r="AM153" s="381">
        <f t="shared" ca="1" si="33"/>
        <v>142.22999999999999</v>
      </c>
      <c r="AN153" s="566">
        <f t="shared" ca="1" si="34"/>
        <v>47.41</v>
      </c>
    </row>
    <row r="154" spans="1:40" x14ac:dyDescent="0.2">
      <c r="A154">
        <f t="shared" si="19"/>
        <v>3</v>
      </c>
      <c r="B154">
        <f t="shared" ca="1" si="20"/>
        <v>3</v>
      </c>
      <c r="C154">
        <f t="shared" ca="1" si="21"/>
        <v>3</v>
      </c>
      <c r="D154">
        <f t="shared" ca="1" si="22"/>
        <v>2</v>
      </c>
      <c r="E154">
        <f ca="1">IF($C154=1,OFFSET(E154,-1,0)+MAX(1,COUNTIF(QCI!$A$13:$A$24,OFFSET(ORÇAMENTO!E154,-1,0))),OFFSET(E154,-1,0))</f>
        <v>1</v>
      </c>
      <c r="F154">
        <f t="shared" ca="1" si="23"/>
        <v>6</v>
      </c>
      <c r="G154">
        <f t="shared" ca="1" si="24"/>
        <v>15</v>
      </c>
      <c r="H154">
        <f t="shared" ca="1" si="25"/>
        <v>0</v>
      </c>
      <c r="I154">
        <f t="shared" ca="1" si="26"/>
        <v>0</v>
      </c>
      <c r="J154">
        <f t="shared" ca="1" si="35"/>
        <v>38</v>
      </c>
      <c r="K154">
        <f ca="1">IF(OR($C154="S",$C154=0),0,MATCH(OFFSET($D154,0,$C154)+IF($C154&lt;&gt;1,1,COUNTIF(QCI!$A$13:$A$24,ORÇAMENTO!E154)),OFFSET($D154,1,$C154,ROW($C$290)-ROW($C154)),0))</f>
        <v>2</v>
      </c>
      <c r="L154" s="116" t="str">
        <f t="shared" ca="1" si="27"/>
        <v>F</v>
      </c>
      <c r="M154" s="117" t="s">
        <v>197</v>
      </c>
      <c r="N154" s="118" t="str">
        <f t="shared" ca="1" si="28"/>
        <v>Nível 3</v>
      </c>
      <c r="O154" s="119" t="str">
        <f t="shared" ca="1" si="29"/>
        <v>1.6.15.</v>
      </c>
      <c r="P154" s="120" t="s">
        <v>247</v>
      </c>
      <c r="Q154" s="121"/>
      <c r="R154" s="122" t="s">
        <v>577</v>
      </c>
      <c r="S154" s="123" t="str">
        <f ca="1">REFERENCIA.Unidade</f>
        <v>-</v>
      </c>
      <c r="T154" s="124">
        <f ca="1">OFFSET(CÁLCULO!H$15,ROW($T154)-ROW(T$15),0)</f>
        <v>0</v>
      </c>
      <c r="U154" s="125">
        <v>0</v>
      </c>
      <c r="V154" s="126" t="s">
        <v>156</v>
      </c>
      <c r="W154" s="124">
        <f ca="1">IF($C154="S",ROUND(IF(TIPOORCAMENTO="Proposto",ORÇAMENTO.CustoUnitario*(1+$AH154),ORÇAMENTO.PrecoUnitarioLicitado),15-13*$AF$10),0)</f>
        <v>0</v>
      </c>
      <c r="X154" s="127">
        <f ca="1">IF($C154="S",IF(Import.TipoArredondamento&lt;&gt;"TransfereGOV",VTOTAL1,SUM(OFFSET(CÁLCULO!$AA$15,ROW($X154)-ROW($X$15),1):OFFSET(CÁLCULO!$AL$15,ROW($X154)-ROW($X$15),-1))),IF($C154=0,0,ROUND(SomaAgrup,15-13*$AF$11)))</f>
        <v>22.4</v>
      </c>
      <c r="Y154" s="128" t="s">
        <v>245</v>
      </c>
      <c r="Z154" t="str">
        <f t="shared" ca="1" si="30"/>
        <v/>
      </c>
      <c r="AA154" s="129">
        <f ca="1">IF($C154="S",IF($Z154="CP",$X154,IF($Z154="RA",(($X154)*QCI!$AA$3),0)),SomaAgrup)</f>
        <v>22.4</v>
      </c>
      <c r="AB154" s="130">
        <f t="shared" ca="1" si="31"/>
        <v>0</v>
      </c>
      <c r="AC154" s="131" t="str">
        <f ca="1">IF($N154="","",IF(ORÇAMENTO.Descricao="","DESCRIÇÃO",IF(AND($C154="S",ORÇAMENTO.Unidade=""),"UNIDADE",IF($X154&lt;0,"VALOR NEGATIVO",IF(OR(AND(TIPOORCAMENTO="Proposto",$AG154&lt;&gt;"",$AG154&gt;0,ORÇAMENTO.CustoUnitario&gt;$AG154),AND(TIPOORCAMENTO="LICITADO",ORÇAMENTO.PrecoUnitarioLicitado&gt;$AN154)),"ACIMA REF.","")))))</f>
        <v/>
      </c>
      <c r="AD154">
        <f ca="1">IF(C154&lt;=CRONO.NivelExibicao,MAX($AD$15:OFFSET(AD154,-1,0))+IF($C154&lt;&gt;1,1,MAX(1,COUNTIF(QCI!$A$13:$A$24,OFFSET($E154,-1,0)))),"")</f>
        <v>24</v>
      </c>
      <c r="AE154" s="7" t="b">
        <f ca="1">IF(AND($C154="S",ORÇAMENTO.CodBarra&lt;&gt;""),IF(ORÇAMENTO.Fonte="",ORÇAMENTO.CodBarra,CONCATENATE(ORÇAMENTO.Fonte," ",ORÇAMENTO.CodBarra)))</f>
        <v>0</v>
      </c>
      <c r="AF154" s="13" t="str">
        <f ca="1">IF(ISERROR(INDIRECT(ORÇAMENTO.BancoRef)),"(abra o arquivo 'Referência "&amp;Excel_BuiltIn_Database&amp;".xlsm)",IF(OR($C154&lt;&gt;"S",ORÇAMENTO.CodBarra=""),"(Sem Código)",IF(ISERROR(MATCH($AE154,INDIRECT(ORÇAMENTO.BancoRef),0)),"(Código não identificado nas referências)",MATCH($AE154,INDIRECT(ORÇAMENTO.BancoRef),0))))</f>
        <v>(abra o arquivo 'Referência 03-2024.xlsm)</v>
      </c>
      <c r="AG154" s="498">
        <f ca="1">ROUND(IF(DESONERACAO="sim",REFERENCIA.Desonerado,REFERENCIA.NaoDesonerado),2)</f>
        <v>0</v>
      </c>
      <c r="AH154" s="499">
        <f t="shared" ca="1" si="32"/>
        <v>0.28170000000000001</v>
      </c>
      <c r="AJ154" s="501"/>
      <c r="AL154" s="527"/>
      <c r="AM154" s="381">
        <f t="shared" ca="1" si="33"/>
        <v>22.4</v>
      </c>
      <c r="AN154" s="566">
        <f t="shared" ca="1" si="34"/>
        <v>0</v>
      </c>
    </row>
    <row r="155" spans="1:40" ht="25.5" x14ac:dyDescent="0.2">
      <c r="A155" t="str">
        <f t="shared" si="19"/>
        <v>S</v>
      </c>
      <c r="B155">
        <f t="shared" ca="1" si="20"/>
        <v>3</v>
      </c>
      <c r="C155" t="str">
        <f t="shared" ca="1" si="21"/>
        <v>S</v>
      </c>
      <c r="D155">
        <f t="shared" ca="1" si="22"/>
        <v>0</v>
      </c>
      <c r="E155">
        <f ca="1">IF($C155=1,OFFSET(E155,-1,0)+MAX(1,COUNTIF(QCI!$A$13:$A$24,OFFSET(ORÇAMENTO!E155,-1,0))),OFFSET(E155,-1,0))</f>
        <v>1</v>
      </c>
      <c r="F155">
        <f t="shared" ca="1" si="23"/>
        <v>6</v>
      </c>
      <c r="G155">
        <f t="shared" ca="1" si="24"/>
        <v>15</v>
      </c>
      <c r="H155">
        <f t="shared" ca="1" si="25"/>
        <v>0</v>
      </c>
      <c r="I155">
        <f t="shared" ca="1" si="26"/>
        <v>1</v>
      </c>
      <c r="J155">
        <f t="shared" ca="1" si="35"/>
        <v>0</v>
      </c>
      <c r="K155">
        <f ca="1">IF(OR($C155="S",$C155=0),0,MATCH(OFFSET($D155,0,$C155)+IF($C155&lt;&gt;1,1,COUNTIF(QCI!$A$13:$A$24,ORÇAMENTO!E155)),OFFSET($D155,1,$C155,ROW($C$290)-ROW($C155)),0))</f>
        <v>0</v>
      </c>
      <c r="L155" s="116" t="str">
        <f t="shared" ca="1" si="27"/>
        <v>F</v>
      </c>
      <c r="M155" s="117" t="s">
        <v>199</v>
      </c>
      <c r="N155" s="118" t="str">
        <f t="shared" ca="1" si="28"/>
        <v>Serviço</v>
      </c>
      <c r="O155" s="119" t="str">
        <f t="shared" ca="1" si="29"/>
        <v>1.6.15.1.</v>
      </c>
      <c r="P155" s="120" t="s">
        <v>462</v>
      </c>
      <c r="Q155" s="121" t="s">
        <v>546</v>
      </c>
      <c r="R155" s="122" t="str">
        <f ca="1">IF($C155="S",REFERENCIA.Descricao,"(digite a descrição aqui)")</f>
        <v>(abra o arquivo 'Referência 03-2024.xlsm)</v>
      </c>
      <c r="S155" s="123" t="str">
        <f ca="1">REFERENCIA.Unidade</f>
        <v>-</v>
      </c>
      <c r="T155" s="124">
        <f ca="1">OFFSET(CÁLCULO!H$15,ROW($T155)-ROW(T$15),0)</f>
        <v>2</v>
      </c>
      <c r="U155" s="125">
        <v>8.74</v>
      </c>
      <c r="V155" s="126" t="s">
        <v>156</v>
      </c>
      <c r="W155" s="124">
        <f ca="1">IF($C155="S",ROUND(IF(TIPOORCAMENTO="Proposto",ORÇAMENTO.CustoUnitario*(1+$AH155),ORÇAMENTO.PrecoUnitarioLicitado),15-13*$AF$10),0)</f>
        <v>11.2</v>
      </c>
      <c r="X155" s="127">
        <f ca="1">IF($C155="S",IF(Import.TipoArredondamento&lt;&gt;"TransfereGOV",VTOTAL1,SUM(OFFSET(CÁLCULO!$AA$15,ROW($X155)-ROW($X$15),1):OFFSET(CÁLCULO!$AL$15,ROW($X155)-ROW($X$15),-1))),IF($C155=0,0,ROUND(SomaAgrup,15-13*$AF$11)))</f>
        <v>22.4</v>
      </c>
      <c r="Y155" s="128" t="s">
        <v>245</v>
      </c>
      <c r="Z155" t="str">
        <f t="shared" ca="1" si="30"/>
        <v>RA</v>
      </c>
      <c r="AA155" s="129">
        <f ca="1">IF($C155="S",IF($Z155="CP",$X155,IF($Z155="RA",(($X155)*QCI!$AA$3),0)),SomaAgrup)</f>
        <v>22.4</v>
      </c>
      <c r="AB155" s="130">
        <f t="shared" ca="1" si="31"/>
        <v>0</v>
      </c>
      <c r="AC155" s="131" t="str">
        <f ca="1">IF($N155="","",IF(ORÇAMENTO.Descricao="","DESCRIÇÃO",IF(AND($C155="S",ORÇAMENTO.Unidade=""),"UNIDADE",IF($X155&lt;0,"VALOR NEGATIVO",IF(OR(AND(TIPOORCAMENTO="Proposto",$AG155&lt;&gt;"",$AG155&gt;0,ORÇAMENTO.CustoUnitario&gt;$AG155),AND(TIPOORCAMENTO="LICITADO",ORÇAMENTO.PrecoUnitarioLicitado&gt;$AN155)),"ACIMA REF.","")))))</f>
        <v/>
      </c>
      <c r="AD155" t="str">
        <f ca="1">IF(C155&lt;=CRONO.NivelExibicao,MAX($AD$15:OFFSET(AD155,-1,0))+IF($C155&lt;&gt;1,1,MAX(1,COUNTIF(QCI!$A$13:$A$24,OFFSET($E155,-1,0)))),"")</f>
        <v/>
      </c>
      <c r="AE155" s="7" t="str">
        <f ca="1">IF(AND($C155="S",ORÇAMENTO.CodBarra&lt;&gt;""),IF(ORÇAMENTO.Fonte="",ORÇAMENTO.CodBarra,CONCATENATE(ORÇAMENTO.Fonte," ",ORÇAMENTO.CodBarra)))</f>
        <v>Composição 52</v>
      </c>
      <c r="AF155" s="13" t="str">
        <f ca="1">IF(ISERROR(INDIRECT(ORÇAMENTO.BancoRef)),"(abra o arquivo 'Referência "&amp;Excel_BuiltIn_Database&amp;".xlsm)",IF(OR($C155&lt;&gt;"S",ORÇAMENTO.CodBarra=""),"(Sem Código)",IF(ISERROR(MATCH($AE155,INDIRECT(ORÇAMENTO.BancoRef),0)),"(Código não identificado nas referências)",MATCH($AE155,INDIRECT(ORÇAMENTO.BancoRef),0))))</f>
        <v>(abra o arquivo 'Referência 03-2024.xlsm)</v>
      </c>
      <c r="AG155" s="498">
        <f ca="1">ROUND(IF(DESONERACAO="sim",REFERENCIA.Desonerado,REFERENCIA.NaoDesonerado),2)</f>
        <v>0</v>
      </c>
      <c r="AH155" s="499">
        <f t="shared" ca="1" si="32"/>
        <v>0.28170000000000001</v>
      </c>
      <c r="AJ155" s="501">
        <v>2</v>
      </c>
      <c r="AL155" s="527"/>
      <c r="AM155" s="381">
        <f t="shared" ca="1" si="33"/>
        <v>22.4</v>
      </c>
      <c r="AN155" s="566">
        <f t="shared" ca="1" si="34"/>
        <v>11.2</v>
      </c>
    </row>
    <row r="156" spans="1:40" x14ac:dyDescent="0.2">
      <c r="A156">
        <f t="shared" ref="A156:A228" si="36">CHOOSE(1+LOG(1+2*(ORÇAMENTO.Nivel="Meta")+4*(ORÇAMENTO.Nivel="Nível 2")+8*(ORÇAMENTO.Nivel="Nível 3")+16*(ORÇAMENTO.Nivel="Nível 4")+32*(ORÇAMENTO.Nivel="Serviço"),2),0,1,2,3,4,"S")</f>
        <v>3</v>
      </c>
      <c r="B156">
        <f t="shared" ref="B156:B228" ca="1" si="37">IF(OR(C156="s",C156=0),OFFSET(B156,-1,0),C156)</f>
        <v>3</v>
      </c>
      <c r="C156">
        <f t="shared" ref="C156:C228" ca="1" si="38">IF(OFFSET(C156,-1,0)="L",1,IF(OFFSET(C156,-1,0)=1,2,IF(OR(A156="s",A156=0),"S",IF(AND(OFFSET(C156,-1,0)=2,A156=4),3,IF(AND(OR(OFFSET(C156,-1,0)="s",OFFSET(C156,-1,0)=0),A156&lt;&gt;"s",A156&gt;OFFSET(B156,-1,0)),OFFSET(B156,-1,0),A156)))))</f>
        <v>3</v>
      </c>
      <c r="D156">
        <f t="shared" ref="D156:D228" ca="1" si="39">IF(OR(C156="S",C156=0),0,IF(ISERROR(K156),J156,SMALL(J156:K156,1)))</f>
        <v>21</v>
      </c>
      <c r="E156">
        <f ca="1">IF($C156=1,OFFSET(E156,-1,0)+MAX(1,COUNTIF(QCI!$A$13:$A$24,OFFSET(ORÇAMENTO!E156,-1,0))),OFFSET(E156,-1,0))</f>
        <v>1</v>
      </c>
      <c r="F156">
        <f t="shared" ref="F156:F228" ca="1" si="40">IF($C156=1,0,IF($C156=2,OFFSET(F156,-1,0)+1,OFFSET(F156,-1,0)))</f>
        <v>6</v>
      </c>
      <c r="G156">
        <f t="shared" ref="G156:G228" ca="1" si="41">IF(AND($C156&lt;=2,$C156&lt;&gt;0),0,IF($C156=3,OFFSET(G156,-1,0)+1,OFFSET(G156,-1,0)))</f>
        <v>16</v>
      </c>
      <c r="H156">
        <f t="shared" ref="H156:H228" ca="1" si="42">IF(AND($C156&lt;=3,$C156&lt;&gt;0),0,IF($C156=4,OFFSET(H156,-1,0)+1,OFFSET(H156,-1,0)))</f>
        <v>0</v>
      </c>
      <c r="I156">
        <f t="shared" ref="I156:I228" ca="1" si="43">IF(AND($C156&lt;=4,$C156&lt;&gt;0),0,IF(AND($C156="S",$X156&gt;0),OFFSET(I156,-1,0)+1,OFFSET(I156,-1,0)))</f>
        <v>0</v>
      </c>
      <c r="J156">
        <f t="shared" ca="1" si="35"/>
        <v>36</v>
      </c>
      <c r="K156">
        <f ca="1">IF(OR($C156="S",$C156=0),0,MATCH(OFFSET($D156,0,$C156)+IF($C156&lt;&gt;1,1,COUNTIF(QCI!$A$13:$A$24,ORÇAMENTO!E156)),OFFSET($D156,1,$C156,ROW($C$290)-ROW($C156)),0))</f>
        <v>21</v>
      </c>
      <c r="L156" s="116" t="str">
        <f t="shared" ref="L156:L228" ca="1" si="44">IF(OR($X156&gt;0,$C156=1,$C156=2,$C156=3,$C156=4),"F","")</f>
        <v>F</v>
      </c>
      <c r="M156" s="117" t="s">
        <v>197</v>
      </c>
      <c r="N156" s="118" t="str">
        <f t="shared" ref="N156:N228" ca="1" si="45">CHOOSE(1+LOG(1+2*(C156=1)+4*(C156=2)+8*(C156=3)+16*(C156=4)+32*(C156="S"),2),"","Meta","Nível 2","Nível 3","Nível 4","Serviço")</f>
        <v>Nível 3</v>
      </c>
      <c r="O156" s="119" t="str">
        <f t="shared" ref="O156:O228" ca="1" si="46">IF(OR($C156=0,$L156=""),"-",CONCATENATE(E156&amp;".",IF(AND($A$5&gt;=2,$C156&gt;=2),F156&amp;".",""),IF(AND($A$5&gt;=3,$C156&gt;=3),G156&amp;".",""),IF(AND($A$5&gt;=4,$C156&gt;=4),H156&amp;".",""),IF($C156="S",I156&amp;".","")))</f>
        <v>1.6.16.</v>
      </c>
      <c r="P156" s="120" t="s">
        <v>247</v>
      </c>
      <c r="Q156" s="121"/>
      <c r="R156" s="122" t="s">
        <v>547</v>
      </c>
      <c r="S156" s="123" t="str">
        <f ca="1">REFERENCIA.Unidade</f>
        <v>-</v>
      </c>
      <c r="T156" s="124">
        <f ca="1">OFFSET(CÁLCULO!H$15,ROW($T156)-ROW(T$15),0)</f>
        <v>0</v>
      </c>
      <c r="U156" s="125">
        <v>0</v>
      </c>
      <c r="V156" s="126" t="s">
        <v>156</v>
      </c>
      <c r="W156" s="124">
        <f ca="1">IF($C156="S",ROUND(IF(TIPOORCAMENTO="Proposto",ORÇAMENTO.CustoUnitario*(1+$AH156),ORÇAMENTO.PrecoUnitarioLicitado),15-13*$AF$10),0)</f>
        <v>0</v>
      </c>
      <c r="X156" s="127">
        <f ca="1">IF($C156="S",IF(Import.TipoArredondamento&lt;&gt;"TransfereGOV",VTOTAL1,SUM(OFFSET(CÁLCULO!$AA$15,ROW($X156)-ROW($X$15),1):OFFSET(CÁLCULO!$AL$15,ROW($X156)-ROW($X$15),-1))),IF($C156=0,0,ROUND(SomaAgrup,15-13*$AF$11)))</f>
        <v>8582.39</v>
      </c>
      <c r="Y156" s="128" t="s">
        <v>245</v>
      </c>
      <c r="Z156" t="str">
        <f t="shared" ref="Z156:Z228" ca="1" si="47">IF(AND($C156="S",$X156&gt;0),IF(ISBLANK($Y156),"RA",LEFT($Y156,2)),"")</f>
        <v/>
      </c>
      <c r="AA156" s="129">
        <f ca="1">IF($C156="S",IF($Z156="CP",$X156,IF($Z156="RA",(($X156)*QCI!$AA$3),0)),SomaAgrup)</f>
        <v>8582.3900000000012</v>
      </c>
      <c r="AB156" s="130">
        <f t="shared" ref="AB156:AB228" ca="1" si="48">IF($C156="S",IF($Z156="OU",ROUND($X156,2),0),SomaAgrup)</f>
        <v>0</v>
      </c>
      <c r="AC156" s="131" t="str">
        <f ca="1">IF($N156="","",IF(ORÇAMENTO.Descricao="","DESCRIÇÃO",IF(AND($C156="S",ORÇAMENTO.Unidade=""),"UNIDADE",IF($X156&lt;0,"VALOR NEGATIVO",IF(OR(AND(TIPOORCAMENTO="Proposto",$AG156&lt;&gt;"",$AG156&gt;0,ORÇAMENTO.CustoUnitario&gt;$AG156),AND(TIPOORCAMENTO="LICITADO",ORÇAMENTO.PrecoUnitarioLicitado&gt;$AN156)),"ACIMA REF.","")))))</f>
        <v/>
      </c>
      <c r="AD156">
        <f ca="1">IF(C156&lt;=CRONO.NivelExibicao,MAX($AD$15:OFFSET(AD156,-1,0))+IF($C156&lt;&gt;1,1,MAX(1,COUNTIF(QCI!$A$13:$A$24,OFFSET($E156,-1,0)))),"")</f>
        <v>25</v>
      </c>
      <c r="AE156" s="7" t="b">
        <f ca="1">IF(AND($C156="S",ORÇAMENTO.CodBarra&lt;&gt;""),IF(ORÇAMENTO.Fonte="",ORÇAMENTO.CodBarra,CONCATENATE(ORÇAMENTO.Fonte," ",ORÇAMENTO.CodBarra)))</f>
        <v>0</v>
      </c>
      <c r="AF156" s="13" t="str">
        <f ca="1">IF(ISERROR(INDIRECT(ORÇAMENTO.BancoRef)),"(abra o arquivo 'Referência "&amp;Excel_BuiltIn_Database&amp;".xlsm)",IF(OR($C156&lt;&gt;"S",ORÇAMENTO.CodBarra=""),"(Sem Código)",IF(ISERROR(MATCH($AE156,INDIRECT(ORÇAMENTO.BancoRef),0)),"(Código não identificado nas referências)",MATCH($AE156,INDIRECT(ORÇAMENTO.BancoRef),0))))</f>
        <v>(abra o arquivo 'Referência 03-2024.xlsm)</v>
      </c>
      <c r="AG156" s="498">
        <f ca="1">ROUND(IF(DESONERACAO="sim",REFERENCIA.Desonerado,REFERENCIA.NaoDesonerado),2)</f>
        <v>0</v>
      </c>
      <c r="AH156" s="499">
        <f t="shared" ref="AH156:AH228" ca="1" si="49">ROUND(IF(ISNUMBER(ORÇAMENTO.OpcaoBDI),ORÇAMENTO.OpcaoBDI,IF(LEFT(ORÇAMENTO.OpcaoBDI,3)="BDI",HLOOKUP(ORÇAMENTO.OpcaoBDI,$F$4:$H$5,2,FALSE),0)),15-11*$AF$9)</f>
        <v>0.28170000000000001</v>
      </c>
      <c r="AJ156" s="501"/>
      <c r="AL156" s="527"/>
      <c r="AM156" s="381">
        <f t="shared" ref="AM156:AM228" ca="1" si="50">$X156</f>
        <v>8582.39</v>
      </c>
      <c r="AN156" s="566">
        <f t="shared" ref="AN156:AN228" ca="1" si="51">ROUND(ORÇAMENTO.CustoUnitario*(1+$AH156),2)</f>
        <v>0</v>
      </c>
    </row>
    <row r="157" spans="1:40" ht="38.25" x14ac:dyDescent="0.2">
      <c r="A157" t="str">
        <f t="shared" si="36"/>
        <v>S</v>
      </c>
      <c r="B157">
        <f t="shared" ca="1" si="37"/>
        <v>3</v>
      </c>
      <c r="C157" t="str">
        <f t="shared" ca="1" si="38"/>
        <v>S</v>
      </c>
      <c r="D157">
        <f t="shared" ca="1" si="39"/>
        <v>0</v>
      </c>
      <c r="E157">
        <f ca="1">IF($C157=1,OFFSET(E157,-1,0)+MAX(1,COUNTIF(QCI!$A$13:$A$24,OFFSET(ORÇAMENTO!E157,-1,0))),OFFSET(E157,-1,0))</f>
        <v>1</v>
      </c>
      <c r="F157">
        <f t="shared" ca="1" si="40"/>
        <v>6</v>
      </c>
      <c r="G157">
        <f t="shared" ca="1" si="41"/>
        <v>16</v>
      </c>
      <c r="H157">
        <f t="shared" ca="1" si="42"/>
        <v>0</v>
      </c>
      <c r="I157">
        <f t="shared" ca="1" si="43"/>
        <v>1</v>
      </c>
      <c r="J157">
        <f t="shared" ca="1" si="35"/>
        <v>0</v>
      </c>
      <c r="K157">
        <f ca="1">IF(OR($C157="S",$C157=0),0,MATCH(OFFSET($D157,0,$C157)+IF($C157&lt;&gt;1,1,COUNTIF(QCI!$A$13:$A$24,ORÇAMENTO!E157)),OFFSET($D157,1,$C157,ROW($C$290)-ROW($C157)),0))</f>
        <v>0</v>
      </c>
      <c r="L157" s="116" t="str">
        <f t="shared" ca="1" si="44"/>
        <v>F</v>
      </c>
      <c r="M157" s="117" t="s">
        <v>199</v>
      </c>
      <c r="N157" s="118" t="str">
        <f t="shared" ca="1" si="45"/>
        <v>Serviço</v>
      </c>
      <c r="O157" s="119" t="str">
        <f t="shared" ca="1" si="46"/>
        <v>1.6.16.1.</v>
      </c>
      <c r="P157" s="120" t="s">
        <v>247</v>
      </c>
      <c r="Q157" s="121" t="s">
        <v>549</v>
      </c>
      <c r="R157" s="122" t="str">
        <f ca="1">IF($C157="S",REFERENCIA.Descricao,"(digite a descrição aqui)")</f>
        <v>(abra o arquivo 'Referência 03-2024.xlsm)</v>
      </c>
      <c r="S157" s="123" t="str">
        <f ca="1">REFERENCIA.Unidade</f>
        <v>-</v>
      </c>
      <c r="T157" s="124">
        <f ca="1">OFFSET(CÁLCULO!H$15,ROW($T157)-ROW(T$15),0)</f>
        <v>2</v>
      </c>
      <c r="U157" s="125">
        <v>470.54</v>
      </c>
      <c r="V157" s="126" t="s">
        <v>156</v>
      </c>
      <c r="W157" s="124">
        <f ca="1">IF($C157="S",ROUND(IF(TIPOORCAMENTO="Proposto",ORÇAMENTO.CustoUnitario*(1+$AH157),ORÇAMENTO.PrecoUnitarioLicitado),15-13*$AF$10),0)</f>
        <v>603.09</v>
      </c>
      <c r="X157" s="127">
        <f ca="1">IF($C157="S",IF(Import.TipoArredondamento&lt;&gt;"TransfereGOV",VTOTAL1,SUM(OFFSET(CÁLCULO!$AA$15,ROW($X157)-ROW($X$15),1):OFFSET(CÁLCULO!$AL$15,ROW($X157)-ROW($X$15),-1))),IF($C157=0,0,ROUND(SomaAgrup,15-13*$AF$11)))</f>
        <v>1206.18</v>
      </c>
      <c r="Y157" s="128" t="s">
        <v>245</v>
      </c>
      <c r="Z157" t="str">
        <f t="shared" ca="1" si="47"/>
        <v>RA</v>
      </c>
      <c r="AA157" s="129">
        <f ca="1">IF($C157="S",IF($Z157="CP",$X157,IF($Z157="RA",(($X157)*QCI!$AA$3),0)),SomaAgrup)</f>
        <v>1206.18</v>
      </c>
      <c r="AB157" s="130">
        <f t="shared" ca="1" si="48"/>
        <v>0</v>
      </c>
      <c r="AC157" s="131" t="str">
        <f ca="1">IF($N157="","",IF(ORÇAMENTO.Descricao="","DESCRIÇÃO",IF(AND($C157="S",ORÇAMENTO.Unidade=""),"UNIDADE",IF($X157&lt;0,"VALOR NEGATIVO",IF(OR(AND(TIPOORCAMENTO="Proposto",$AG157&lt;&gt;"",$AG157&gt;0,ORÇAMENTO.CustoUnitario&gt;$AG157),AND(TIPOORCAMENTO="LICITADO",ORÇAMENTO.PrecoUnitarioLicitado&gt;$AN157)),"ACIMA REF.","")))))</f>
        <v/>
      </c>
      <c r="AD157" t="str">
        <f ca="1">IF(C157&lt;=CRONO.NivelExibicao,MAX($AD$15:OFFSET(AD157,-1,0))+IF($C157&lt;&gt;1,1,MAX(1,COUNTIF(QCI!$A$13:$A$24,OFFSET($E157,-1,0)))),"")</f>
        <v/>
      </c>
      <c r="AE157" s="7" t="str">
        <f ca="1">IF(AND($C157="S",ORÇAMENTO.CodBarra&lt;&gt;""),IF(ORÇAMENTO.Fonte="",ORÇAMENTO.CodBarra,CONCATENATE(ORÇAMENTO.Fonte," ",ORÇAMENTO.CodBarra)))</f>
        <v>SINAPI 86931</v>
      </c>
      <c r="AF157" s="13" t="str">
        <f ca="1">IF(ISERROR(INDIRECT(ORÇAMENTO.BancoRef)),"(abra o arquivo 'Referência "&amp;Excel_BuiltIn_Database&amp;".xlsm)",IF(OR($C157&lt;&gt;"S",ORÇAMENTO.CodBarra=""),"(Sem Código)",IF(ISERROR(MATCH($AE157,INDIRECT(ORÇAMENTO.BancoRef),0)),"(Código não identificado nas referências)",MATCH($AE157,INDIRECT(ORÇAMENTO.BancoRef),0))))</f>
        <v>(abra o arquivo 'Referência 03-2024.xlsm)</v>
      </c>
      <c r="AG157" s="498">
        <f ca="1">ROUND(IF(DESONERACAO="sim",REFERENCIA.Desonerado,REFERENCIA.NaoDesonerado),2)</f>
        <v>0</v>
      </c>
      <c r="AH157" s="499">
        <f t="shared" ca="1" si="49"/>
        <v>0.28170000000000001</v>
      </c>
      <c r="AJ157" s="501">
        <v>2</v>
      </c>
      <c r="AL157" s="527"/>
      <c r="AM157" s="381">
        <f t="shared" ca="1" si="50"/>
        <v>1206.18</v>
      </c>
      <c r="AN157" s="566">
        <f t="shared" ca="1" si="51"/>
        <v>603.09</v>
      </c>
    </row>
    <row r="158" spans="1:40" ht="25.5" x14ac:dyDescent="0.2">
      <c r="A158" t="str">
        <f>CHOOSE(1+LOG(1+2*(ORÇAMENTO.Nivel="Meta")+4*(ORÇAMENTO.Nivel="Nível 2")+8*(ORÇAMENTO.Nivel="Nível 3")+16*(ORÇAMENTO.Nivel="Nível 4")+32*(ORÇAMENTO.Nivel="Serviço"),2),0,1,2,3,4,"S")</f>
        <v>S</v>
      </c>
      <c r="B158">
        <f ca="1">IF(OR(C158="s",C158=0),OFFSET(B158,-1,0),C158)</f>
        <v>3</v>
      </c>
      <c r="C158" t="str">
        <f ca="1">IF(OFFSET(C158,-1,0)="L",1,IF(OFFSET(C158,-1,0)=1,2,IF(OR(A158="s",A158=0),"S",IF(AND(OFFSET(C158,-1,0)=2,A158=4),3,IF(AND(OR(OFFSET(C158,-1,0)="s",OFFSET(C158,-1,0)=0),A158&lt;&gt;"s",A158&gt;OFFSET(B158,-1,0)),OFFSET(B158,-1,0),A158)))))</f>
        <v>S</v>
      </c>
      <c r="D158">
        <f ca="1">IF(OR(C158="S",C158=0),0,IF(ISERROR(K158),J158,SMALL(J158:K158,1)))</f>
        <v>0</v>
      </c>
      <c r="E158">
        <f ca="1">IF($C158=1,OFFSET(E158,-1,0)+MAX(1,COUNTIF(QCI!$A$13:$A$24,OFFSET(ORÇAMENTO!E158,-1,0))),OFFSET(E158,-1,0))</f>
        <v>1</v>
      </c>
      <c r="F158">
        <f ca="1">IF($C158=1,0,IF($C158=2,OFFSET(F158,-1,0)+1,OFFSET(F158,-1,0)))</f>
        <v>6</v>
      </c>
      <c r="G158">
        <f ca="1">IF(AND($C158&lt;=2,$C158&lt;&gt;0),0,IF($C158=3,OFFSET(G158,-1,0)+1,OFFSET(G158,-1,0)))</f>
        <v>16</v>
      </c>
      <c r="H158">
        <f ca="1">IF(AND($C158&lt;=3,$C158&lt;&gt;0),0,IF($C158=4,OFFSET(H158,-1,0)+1,OFFSET(H158,-1,0)))</f>
        <v>0</v>
      </c>
      <c r="I158">
        <f ca="1">IF(AND($C158&lt;=4,$C158&lt;&gt;0),0,IF(AND($C158="S",$X158&gt;0),OFFSET(I158,-1,0)+1,OFFSET(I158,-1,0)))</f>
        <v>2</v>
      </c>
      <c r="J158">
        <f t="shared" ca="1" si="35"/>
        <v>0</v>
      </c>
      <c r="K158">
        <f ca="1">IF(OR($C158="S",$C158=0),0,MATCH(OFFSET($D158,0,$C158)+IF($C158&lt;&gt;1,1,COUNTIF(QCI!$A$13:$A$24,ORÇAMENTO!E158)),OFFSET($D158,1,$C158,ROW($C$290)-ROW($C158)),0))</f>
        <v>0</v>
      </c>
      <c r="L158" s="116" t="str">
        <f ca="1">IF(OR($X158&gt;0,$C158=1,$C158=2,$C158=3,$C158=4),"F","")</f>
        <v>F</v>
      </c>
      <c r="M158" s="117" t="s">
        <v>199</v>
      </c>
      <c r="N158" s="118" t="str">
        <f ca="1">CHOOSE(1+LOG(1+2*(C158=1)+4*(C158=2)+8*(C158=3)+16*(C158=4)+32*(C158="S"),2),"","Meta","Nível 2","Nível 3","Nível 4","Serviço")</f>
        <v>Serviço</v>
      </c>
      <c r="O158" s="119" t="str">
        <f ca="1">IF(OR($C158=0,$L158=""),"-",CONCATENATE(E158&amp;".",IF(AND($A$5&gt;=2,$C158&gt;=2),F158&amp;".",""),IF(AND($A$5&gt;=3,$C158&gt;=3),G158&amp;".",""),IF(AND($A$5&gt;=4,$C158&gt;=4),H158&amp;".",""),IF($C158="S",I158&amp;".","")))</f>
        <v>1.6.16.2.</v>
      </c>
      <c r="P158" s="120" t="s">
        <v>247</v>
      </c>
      <c r="Q158" s="121" t="s">
        <v>550</v>
      </c>
      <c r="R158" s="122" t="str">
        <f ca="1">IF($C158="S",REFERENCIA.Descricao,"(digite a descrição aqui)")</f>
        <v>(abra o arquivo 'Referência 03-2024.xlsm)</v>
      </c>
      <c r="S158" s="123" t="str">
        <f ca="1">REFERENCIA.Unidade</f>
        <v>-</v>
      </c>
      <c r="T158" s="124">
        <f ca="1">OFFSET(CÁLCULO!H$15,ROW($T158)-ROW(T$15),0)</f>
        <v>2</v>
      </c>
      <c r="U158" s="125">
        <v>39.11</v>
      </c>
      <c r="V158" s="126" t="s">
        <v>156</v>
      </c>
      <c r="W158" s="124">
        <f ca="1">IF($C158="S",ROUND(IF(TIPOORCAMENTO="Proposto",ORÇAMENTO.CustoUnitario*(1+$AH158),ORÇAMENTO.PrecoUnitarioLicitado),15-13*$AF$10),0)</f>
        <v>50.13</v>
      </c>
      <c r="X158" s="127">
        <f ca="1">IF($C158="S",IF(Import.TipoArredondamento&lt;&gt;"TransfereGOV",VTOTAL1,SUM(OFFSET(CÁLCULO!$AA$15,ROW($X158)-ROW($X$15),1):OFFSET(CÁLCULO!$AL$15,ROW($X158)-ROW($X$15),-1))),IF($C158=0,0,ROUND(SomaAgrup,15-13*$AF$11)))</f>
        <v>100.26</v>
      </c>
      <c r="Y158" s="128" t="s">
        <v>245</v>
      </c>
      <c r="Z158" t="str">
        <f ca="1">IF(AND($C158="S",$X158&gt;0),IF(ISBLANK($Y158),"RA",LEFT($Y158,2)),"")</f>
        <v>RA</v>
      </c>
      <c r="AA158" s="129">
        <f ca="1">IF($C158="S",IF($Z158="CP",$X158,IF($Z158="RA",(($X158)*QCI!$AA$3),0)),SomaAgrup)</f>
        <v>100.26</v>
      </c>
      <c r="AB158" s="130">
        <f ca="1">IF($C158="S",IF($Z158="OU",ROUND($X158,2),0),SomaAgrup)</f>
        <v>0</v>
      </c>
      <c r="AC158" s="131" t="str">
        <f ca="1">IF($N158="","",IF(ORÇAMENTO.Descricao="","DESCRIÇÃO",IF(AND($C158="S",ORÇAMENTO.Unidade=""),"UNIDADE",IF($X158&lt;0,"VALOR NEGATIVO",IF(OR(AND(TIPOORCAMENTO="Proposto",$AG158&lt;&gt;"",$AG158&gt;0,ORÇAMENTO.CustoUnitario&gt;$AG158),AND(TIPOORCAMENTO="LICITADO",ORÇAMENTO.PrecoUnitarioLicitado&gt;$AN158)),"ACIMA REF.","")))))</f>
        <v/>
      </c>
      <c r="AD158" t="str">
        <f ca="1">IF(C158&lt;=CRONO.NivelExibicao,MAX($AD$15:OFFSET(AD158,-1,0))+IF($C158&lt;&gt;1,1,MAX(1,COUNTIF(QCI!$A$13:$A$24,OFFSET($E158,-1,0)))),"")</f>
        <v/>
      </c>
      <c r="AE158" s="7" t="str">
        <f ca="1">IF(AND($C158="S",ORÇAMENTO.CodBarra&lt;&gt;""),IF(ORÇAMENTO.Fonte="",ORÇAMENTO.CodBarra,CONCATENATE(ORÇAMENTO.Fonte," ",ORÇAMENTO.CodBarra)))</f>
        <v>SINAPI 100849</v>
      </c>
      <c r="AF158" s="13" t="str">
        <f ca="1">IF(ISERROR(INDIRECT(ORÇAMENTO.BancoRef)),"(abra o arquivo 'Referência "&amp;Excel_BuiltIn_Database&amp;".xlsm)",IF(OR($C158&lt;&gt;"S",ORÇAMENTO.CodBarra=""),"(Sem Código)",IF(ISERROR(MATCH($AE158,INDIRECT(ORÇAMENTO.BancoRef),0)),"(Código não identificado nas referências)",MATCH($AE158,INDIRECT(ORÇAMENTO.BancoRef),0))))</f>
        <v>(abra o arquivo 'Referência 03-2024.xlsm)</v>
      </c>
      <c r="AG158" s="498">
        <f ca="1">ROUND(IF(DESONERACAO="sim",REFERENCIA.Desonerado,REFERENCIA.NaoDesonerado),2)</f>
        <v>0</v>
      </c>
      <c r="AH158" s="499">
        <f ca="1">ROUND(IF(ISNUMBER(ORÇAMENTO.OpcaoBDI),ORÇAMENTO.OpcaoBDI,IF(LEFT(ORÇAMENTO.OpcaoBDI,3)="BDI",HLOOKUP(ORÇAMENTO.OpcaoBDI,$F$4:$H$5,2,FALSE),0)),15-11*$AF$9)</f>
        <v>0.28170000000000001</v>
      </c>
      <c r="AJ158" s="501">
        <v>2</v>
      </c>
      <c r="AL158" s="527"/>
      <c r="AM158" s="381">
        <f t="shared" ca="1" si="50"/>
        <v>100.26</v>
      </c>
      <c r="AN158" s="566">
        <f ca="1">ROUND(ORÇAMENTO.CustoUnitario*(1+$AH158),2)</f>
        <v>50.13</v>
      </c>
    </row>
    <row r="159" spans="1:40" ht="51" x14ac:dyDescent="0.2">
      <c r="A159" t="str">
        <f t="shared" si="36"/>
        <v>S</v>
      </c>
      <c r="B159">
        <f t="shared" ca="1" si="37"/>
        <v>3</v>
      </c>
      <c r="C159" t="str">
        <f t="shared" ca="1" si="38"/>
        <v>S</v>
      </c>
      <c r="D159">
        <f t="shared" ca="1" si="39"/>
        <v>0</v>
      </c>
      <c r="E159">
        <f ca="1">IF($C159=1,OFFSET(E159,-1,0)+MAX(1,COUNTIF(QCI!$A$13:$A$24,OFFSET(ORÇAMENTO!E159,-1,0))),OFFSET(E159,-1,0))</f>
        <v>1</v>
      </c>
      <c r="F159">
        <f t="shared" ca="1" si="40"/>
        <v>6</v>
      </c>
      <c r="G159">
        <f t="shared" ca="1" si="41"/>
        <v>16</v>
      </c>
      <c r="H159">
        <f t="shared" ca="1" si="42"/>
        <v>0</v>
      </c>
      <c r="I159">
        <f t="shared" ca="1" si="43"/>
        <v>3</v>
      </c>
      <c r="J159">
        <f t="shared" ca="1" si="35"/>
        <v>0</v>
      </c>
      <c r="K159">
        <f ca="1">IF(OR($C159="S",$C159=0),0,MATCH(OFFSET($D159,0,$C159)+IF($C159&lt;&gt;1,1,COUNTIF(QCI!$A$13:$A$24,ORÇAMENTO!E159)),OFFSET($D159,1,$C159,ROW($C$290)-ROW($C159)),0))</f>
        <v>0</v>
      </c>
      <c r="L159" s="116" t="str">
        <f t="shared" ca="1" si="44"/>
        <v>F</v>
      </c>
      <c r="M159" s="117" t="s">
        <v>199</v>
      </c>
      <c r="N159" s="118" t="str">
        <f t="shared" ca="1" si="45"/>
        <v>Serviço</v>
      </c>
      <c r="O159" s="119" t="str">
        <f t="shared" ca="1" si="46"/>
        <v>1.6.16.3.</v>
      </c>
      <c r="P159" s="120" t="s">
        <v>247</v>
      </c>
      <c r="Q159" s="121" t="s">
        <v>548</v>
      </c>
      <c r="R159" s="122" t="str">
        <f ca="1">IF($C159="S",REFERENCIA.Descricao,"(digite a descrição aqui)")</f>
        <v>(abra o arquivo 'Referência 03-2024.xlsm)</v>
      </c>
      <c r="S159" s="123" t="str">
        <f ca="1">REFERENCIA.Unidade</f>
        <v>-</v>
      </c>
      <c r="T159" s="124">
        <f ca="1">OFFSET(CÁLCULO!H$15,ROW($T159)-ROW(T$15),0)</f>
        <v>2</v>
      </c>
      <c r="U159" s="125">
        <v>457.79</v>
      </c>
      <c r="V159" s="126" t="s">
        <v>156</v>
      </c>
      <c r="W159" s="124">
        <f ca="1">IF($C159="S",ROUND(IF(TIPOORCAMENTO="Proposto",ORÇAMENTO.CustoUnitario*(1+$AH159),ORÇAMENTO.PrecoUnitarioLicitado),15-13*$AF$10),0)</f>
        <v>586.75</v>
      </c>
      <c r="X159" s="127">
        <f ca="1">IF($C159="S",IF(Import.TipoArredondamento&lt;&gt;"TransfereGOV",VTOTAL1,SUM(OFFSET(CÁLCULO!$AA$15,ROW($X159)-ROW($X$15),1):OFFSET(CÁLCULO!$AL$15,ROW($X159)-ROW($X$15),-1))),IF($C159=0,0,ROUND(SomaAgrup,15-13*$AF$11)))</f>
        <v>1173.5</v>
      </c>
      <c r="Y159" s="128" t="s">
        <v>245</v>
      </c>
      <c r="Z159" t="str">
        <f t="shared" ca="1" si="47"/>
        <v>RA</v>
      </c>
      <c r="AA159" s="129">
        <f ca="1">IF($C159="S",IF($Z159="CP",$X159,IF($Z159="RA",(($X159)*QCI!$AA$3),0)),SomaAgrup)</f>
        <v>1173.5</v>
      </c>
      <c r="AB159" s="130">
        <f t="shared" ca="1" si="48"/>
        <v>0</v>
      </c>
      <c r="AC159" s="131" t="str">
        <f ca="1">IF($N159="","",IF(ORÇAMENTO.Descricao="","DESCRIÇÃO",IF(AND($C159="S",ORÇAMENTO.Unidade=""),"UNIDADE",IF($X159&lt;0,"VALOR NEGATIVO",IF(OR(AND(TIPOORCAMENTO="Proposto",$AG159&lt;&gt;"",$AG159&gt;0,ORÇAMENTO.CustoUnitario&gt;$AG159),AND(TIPOORCAMENTO="LICITADO",ORÇAMENTO.PrecoUnitarioLicitado&gt;$AN159)),"ACIMA REF.","")))))</f>
        <v/>
      </c>
      <c r="AD159" t="str">
        <f ca="1">IF(C159&lt;=CRONO.NivelExibicao,MAX($AD$15:OFFSET(AD159,-1,0))+IF($C159&lt;&gt;1,1,MAX(1,COUNTIF(QCI!$A$13:$A$24,OFFSET($E159,-1,0)))),"")</f>
        <v/>
      </c>
      <c r="AE159" s="7" t="str">
        <f ca="1">IF(AND($C159="S",ORÇAMENTO.CodBarra&lt;&gt;""),IF(ORÇAMENTO.Fonte="",ORÇAMENTO.CodBarra,CONCATENATE(ORÇAMENTO.Fonte," ",ORÇAMENTO.CodBarra)))</f>
        <v>SINAPI 86939</v>
      </c>
      <c r="AF159" s="13" t="str">
        <f ca="1">IF(ISERROR(INDIRECT(ORÇAMENTO.BancoRef)),"(abra o arquivo 'Referência "&amp;Excel_BuiltIn_Database&amp;".xlsm)",IF(OR($C159&lt;&gt;"S",ORÇAMENTO.CodBarra=""),"(Sem Código)",IF(ISERROR(MATCH($AE159,INDIRECT(ORÇAMENTO.BancoRef),0)),"(Código não identificado nas referências)",MATCH($AE159,INDIRECT(ORÇAMENTO.BancoRef),0))))</f>
        <v>(abra o arquivo 'Referência 03-2024.xlsm)</v>
      </c>
      <c r="AG159" s="498">
        <f ca="1">ROUND(IF(DESONERACAO="sim",REFERENCIA.Desonerado,REFERENCIA.NaoDesonerado),2)</f>
        <v>0</v>
      </c>
      <c r="AH159" s="499">
        <f t="shared" ca="1" si="49"/>
        <v>0.28170000000000001</v>
      </c>
      <c r="AJ159" s="501">
        <v>2</v>
      </c>
      <c r="AL159" s="527"/>
      <c r="AM159" s="381">
        <f t="shared" ca="1" si="50"/>
        <v>1173.5</v>
      </c>
      <c r="AN159" s="566">
        <f t="shared" ca="1" si="51"/>
        <v>586.75</v>
      </c>
    </row>
    <row r="160" spans="1:40" ht="25.5" x14ac:dyDescent="0.2">
      <c r="A160" t="str">
        <f t="shared" si="36"/>
        <v>S</v>
      </c>
      <c r="B160">
        <f t="shared" ca="1" si="37"/>
        <v>3</v>
      </c>
      <c r="C160" t="str">
        <f t="shared" ca="1" si="38"/>
        <v>S</v>
      </c>
      <c r="D160">
        <f t="shared" ca="1" si="39"/>
        <v>0</v>
      </c>
      <c r="E160">
        <f ca="1">IF($C160=1,OFFSET(E160,-1,0)+MAX(1,COUNTIF(QCI!$A$13:$A$24,OFFSET(ORÇAMENTO!E160,-1,0))),OFFSET(E160,-1,0))</f>
        <v>1</v>
      </c>
      <c r="F160">
        <f t="shared" ca="1" si="40"/>
        <v>6</v>
      </c>
      <c r="G160">
        <f t="shared" ca="1" si="41"/>
        <v>16</v>
      </c>
      <c r="H160">
        <f t="shared" ca="1" si="42"/>
        <v>0</v>
      </c>
      <c r="I160">
        <f t="shared" ca="1" si="43"/>
        <v>4</v>
      </c>
      <c r="J160">
        <f t="shared" ca="1" si="35"/>
        <v>0</v>
      </c>
      <c r="K160">
        <f ca="1">IF(OR($C160="S",$C160=0),0,MATCH(OFFSET($D160,0,$C160)+IF($C160&lt;&gt;1,1,COUNTIF(QCI!$A$13:$A$24,ORÇAMENTO!E160)),OFFSET($D160,1,$C160,ROW($C$290)-ROW($C160)),0))</f>
        <v>0</v>
      </c>
      <c r="L160" s="116" t="str">
        <f t="shared" ca="1" si="44"/>
        <v>F</v>
      </c>
      <c r="M160" s="117" t="s">
        <v>199</v>
      </c>
      <c r="N160" s="118" t="str">
        <f t="shared" ca="1" si="45"/>
        <v>Serviço</v>
      </c>
      <c r="O160" s="119" t="str">
        <f t="shared" ca="1" si="46"/>
        <v>1.6.16.4.</v>
      </c>
      <c r="P160" s="120" t="s">
        <v>462</v>
      </c>
      <c r="Q160" s="121" t="s">
        <v>471</v>
      </c>
      <c r="R160" s="122" t="str">
        <f ca="1">IF($C160="S",REFERENCIA.Descricao,"(digite a descrição aqui)")</f>
        <v>(abra o arquivo 'Referência 03-2024.xlsm)</v>
      </c>
      <c r="S160" s="123" t="str">
        <f ca="1">REFERENCIA.Unidade</f>
        <v>-</v>
      </c>
      <c r="T160" s="124">
        <f ca="1">OFFSET(CÁLCULO!H$15,ROW($T160)-ROW(T$15),0)</f>
        <v>2</v>
      </c>
      <c r="U160" s="125">
        <v>41.75</v>
      </c>
      <c r="V160" s="126" t="s">
        <v>156</v>
      </c>
      <c r="W160" s="124">
        <f ca="1">IF($C160="S",ROUND(IF(TIPOORCAMENTO="Proposto",ORÇAMENTO.CustoUnitario*(1+$AH160),ORÇAMENTO.PrecoUnitarioLicitado),15-13*$AF$10),0)</f>
        <v>53.51</v>
      </c>
      <c r="X160" s="127">
        <f ca="1">IF($C160="S",IF(Import.TipoArredondamento&lt;&gt;"TransfereGOV",VTOTAL1,SUM(OFFSET(CÁLCULO!$AA$15,ROW($X160)-ROW($X$15),1):OFFSET(CÁLCULO!$AL$15,ROW($X160)-ROW($X$15),-1))),IF($C160=0,0,ROUND(SomaAgrup,15-13*$AF$11)))</f>
        <v>107.02</v>
      </c>
      <c r="Y160" s="128" t="s">
        <v>245</v>
      </c>
      <c r="Z160" t="str">
        <f t="shared" ca="1" si="47"/>
        <v>RA</v>
      </c>
      <c r="AA160" s="129">
        <f ca="1">IF($C160="S",IF($Z160="CP",$X160,IF($Z160="RA",(($X160)*QCI!$AA$3),0)),SomaAgrup)</f>
        <v>107.02</v>
      </c>
      <c r="AB160" s="130">
        <f t="shared" ca="1" si="48"/>
        <v>0</v>
      </c>
      <c r="AC160" s="131" t="str">
        <f ca="1">IF($N160="","",IF(ORÇAMENTO.Descricao="","DESCRIÇÃO",IF(AND($C160="S",ORÇAMENTO.Unidade=""),"UNIDADE",IF($X160&lt;0,"VALOR NEGATIVO",IF(OR(AND(TIPOORCAMENTO="Proposto",$AG160&lt;&gt;"",$AG160&gt;0,ORÇAMENTO.CustoUnitario&gt;$AG160),AND(TIPOORCAMENTO="LICITADO",ORÇAMENTO.PrecoUnitarioLicitado&gt;$AN160)),"ACIMA REF.","")))))</f>
        <v/>
      </c>
      <c r="AD160" t="str">
        <f ca="1">IF(C160&lt;=CRONO.NivelExibicao,MAX($AD$15:OFFSET(AD160,-1,0))+IF($C160&lt;&gt;1,1,MAX(1,COUNTIF(QCI!$A$13:$A$24,OFFSET($E160,-1,0)))),"")</f>
        <v/>
      </c>
      <c r="AE160" s="7" t="str">
        <f ca="1">IF(AND($C160="S",ORÇAMENTO.CodBarra&lt;&gt;""),IF(ORÇAMENTO.Fonte="",ORÇAMENTO.CodBarra,CONCATENATE(ORÇAMENTO.Fonte," ",ORÇAMENTO.CodBarra)))</f>
        <v>Composição 8</v>
      </c>
      <c r="AF160" s="13" t="str">
        <f ca="1">IF(ISERROR(INDIRECT(ORÇAMENTO.BancoRef)),"(abra o arquivo 'Referência "&amp;Excel_BuiltIn_Database&amp;".xlsm)",IF(OR($C160&lt;&gt;"S",ORÇAMENTO.CodBarra=""),"(Sem Código)",IF(ISERROR(MATCH($AE160,INDIRECT(ORÇAMENTO.BancoRef),0)),"(Código não identificado nas referências)",MATCH($AE160,INDIRECT(ORÇAMENTO.BancoRef),0))))</f>
        <v>(abra o arquivo 'Referência 03-2024.xlsm)</v>
      </c>
      <c r="AG160" s="498">
        <f ca="1">ROUND(IF(DESONERACAO="sim",REFERENCIA.Desonerado,REFERENCIA.NaoDesonerado),2)</f>
        <v>0</v>
      </c>
      <c r="AH160" s="499">
        <f t="shared" ca="1" si="49"/>
        <v>0.28170000000000001</v>
      </c>
      <c r="AJ160" s="501">
        <v>2</v>
      </c>
      <c r="AL160" s="527"/>
      <c r="AM160" s="381">
        <f t="shared" ca="1" si="50"/>
        <v>107.02</v>
      </c>
      <c r="AN160" s="566">
        <f t="shared" ca="1" si="51"/>
        <v>53.51</v>
      </c>
    </row>
    <row r="161" spans="1:40" ht="25.5" x14ac:dyDescent="0.2">
      <c r="A161" t="str">
        <f t="shared" si="36"/>
        <v>S</v>
      </c>
      <c r="B161">
        <f t="shared" ca="1" si="37"/>
        <v>3</v>
      </c>
      <c r="C161" t="str">
        <f t="shared" ca="1" si="38"/>
        <v>S</v>
      </c>
      <c r="D161">
        <f t="shared" ca="1" si="39"/>
        <v>0</v>
      </c>
      <c r="E161">
        <f ca="1">IF($C161=1,OFFSET(E161,-1,0)+MAX(1,COUNTIF(QCI!$A$13:$A$24,OFFSET(ORÇAMENTO!E161,-1,0))),OFFSET(E161,-1,0))</f>
        <v>1</v>
      </c>
      <c r="F161">
        <f t="shared" ca="1" si="40"/>
        <v>6</v>
      </c>
      <c r="G161">
        <f t="shared" ca="1" si="41"/>
        <v>16</v>
      </c>
      <c r="H161">
        <f t="shared" ca="1" si="42"/>
        <v>0</v>
      </c>
      <c r="I161">
        <f t="shared" ca="1" si="43"/>
        <v>5</v>
      </c>
      <c r="J161">
        <f t="shared" ca="1" si="35"/>
        <v>0</v>
      </c>
      <c r="K161">
        <f ca="1">IF(OR($C161="S",$C161=0),0,MATCH(OFFSET($D161,0,$C161)+IF($C161&lt;&gt;1,1,COUNTIF(QCI!$A$13:$A$24,ORÇAMENTO!E161)),OFFSET($D161,1,$C161,ROW($C$290)-ROW($C161)),0))</f>
        <v>0</v>
      </c>
      <c r="L161" s="116" t="str">
        <f t="shared" ca="1" si="44"/>
        <v>F</v>
      </c>
      <c r="M161" s="117" t="s">
        <v>199</v>
      </c>
      <c r="N161" s="118" t="str">
        <f t="shared" ca="1" si="45"/>
        <v>Serviço</v>
      </c>
      <c r="O161" s="119" t="str">
        <f t="shared" ca="1" si="46"/>
        <v>1.6.16.5.</v>
      </c>
      <c r="P161" s="120" t="s">
        <v>462</v>
      </c>
      <c r="Q161" s="121" t="s">
        <v>469</v>
      </c>
      <c r="R161" s="122" t="str">
        <f ca="1">IF($C161="S",REFERENCIA.Descricao,"(digite a descrição aqui)")</f>
        <v>(abra o arquivo 'Referência 03-2024.xlsm)</v>
      </c>
      <c r="S161" s="123" t="str">
        <f ca="1">REFERENCIA.Unidade</f>
        <v>-</v>
      </c>
      <c r="T161" s="124">
        <f ca="1">OFFSET(CÁLCULO!H$15,ROW($T161)-ROW(T$15),0)</f>
        <v>30</v>
      </c>
      <c r="U161" s="125">
        <v>9.1300000000000008</v>
      </c>
      <c r="V161" s="126" t="s">
        <v>156</v>
      </c>
      <c r="W161" s="124">
        <f ca="1">IF($C161="S",ROUND(IF(TIPOORCAMENTO="Proposto",ORÇAMENTO.CustoUnitario*(1+$AH161),ORÇAMENTO.PrecoUnitarioLicitado),15-13*$AF$10),0)</f>
        <v>11.7</v>
      </c>
      <c r="X161" s="127">
        <f ca="1">IF($C161="S",IF(Import.TipoArredondamento&lt;&gt;"TransfereGOV",VTOTAL1,SUM(OFFSET(CÁLCULO!$AA$15,ROW($X161)-ROW($X$15),1):OFFSET(CÁLCULO!$AL$15,ROW($X161)-ROW($X$15),-1))),IF($C161=0,0,ROUND(SomaAgrup,15-13*$AF$11)))</f>
        <v>351</v>
      </c>
      <c r="Y161" s="128" t="s">
        <v>245</v>
      </c>
      <c r="Z161" t="str">
        <f t="shared" ca="1" si="47"/>
        <v>RA</v>
      </c>
      <c r="AA161" s="129">
        <f ca="1">IF($C161="S",IF($Z161="CP",$X161,IF($Z161="RA",(($X161)*QCI!$AA$3),0)),SomaAgrup)</f>
        <v>351</v>
      </c>
      <c r="AB161" s="130">
        <f t="shared" ca="1" si="48"/>
        <v>0</v>
      </c>
      <c r="AC161" s="131" t="str">
        <f ca="1">IF($N161="","",IF(ORÇAMENTO.Descricao="","DESCRIÇÃO",IF(AND($C161="S",ORÇAMENTO.Unidade=""),"UNIDADE",IF($X161&lt;0,"VALOR NEGATIVO",IF(OR(AND(TIPOORCAMENTO="Proposto",$AG161&lt;&gt;"",$AG161&gt;0,ORÇAMENTO.CustoUnitario&gt;$AG161),AND(TIPOORCAMENTO="LICITADO",ORÇAMENTO.PrecoUnitarioLicitado&gt;$AN161)),"ACIMA REF.","")))))</f>
        <v/>
      </c>
      <c r="AD161" t="str">
        <f ca="1">IF(C161&lt;=CRONO.NivelExibicao,MAX($AD$15:OFFSET(AD161,-1,0))+IF($C161&lt;&gt;1,1,MAX(1,COUNTIF(QCI!$A$13:$A$24,OFFSET($E161,-1,0)))),"")</f>
        <v/>
      </c>
      <c r="AE161" s="7" t="str">
        <f ca="1">IF(AND($C161="S",ORÇAMENTO.CodBarra&lt;&gt;""),IF(ORÇAMENTO.Fonte="",ORÇAMENTO.CodBarra,CONCATENATE(ORÇAMENTO.Fonte," ",ORÇAMENTO.CodBarra)))</f>
        <v>Composição 6</v>
      </c>
      <c r="AF161" s="13" t="str">
        <f ca="1">IF(ISERROR(INDIRECT(ORÇAMENTO.BancoRef)),"(abra o arquivo 'Referência "&amp;Excel_BuiltIn_Database&amp;".xlsm)",IF(OR($C161&lt;&gt;"S",ORÇAMENTO.CodBarra=""),"(Sem Código)",IF(ISERROR(MATCH($AE161,INDIRECT(ORÇAMENTO.BancoRef),0)),"(Código não identificado nas referências)",MATCH($AE161,INDIRECT(ORÇAMENTO.BancoRef),0))))</f>
        <v>(abra o arquivo 'Referência 03-2024.xlsm)</v>
      </c>
      <c r="AG161" s="498">
        <f ca="1">ROUND(IF(DESONERACAO="sim",REFERENCIA.Desonerado,REFERENCIA.NaoDesonerado),2)</f>
        <v>0</v>
      </c>
      <c r="AH161" s="499">
        <f t="shared" ca="1" si="49"/>
        <v>0.28170000000000001</v>
      </c>
      <c r="AJ161" s="501">
        <v>30</v>
      </c>
      <c r="AL161" s="527"/>
      <c r="AM161" s="381">
        <f t="shared" ca="1" si="50"/>
        <v>351</v>
      </c>
      <c r="AN161" s="566">
        <f t="shared" ca="1" si="51"/>
        <v>11.7</v>
      </c>
    </row>
    <row r="162" spans="1:40" ht="38.25" x14ac:dyDescent="0.2">
      <c r="A162" t="str">
        <f t="shared" si="36"/>
        <v>S</v>
      </c>
      <c r="B162">
        <f t="shared" ca="1" si="37"/>
        <v>3</v>
      </c>
      <c r="C162" t="str">
        <f t="shared" ca="1" si="38"/>
        <v>S</v>
      </c>
      <c r="D162">
        <f t="shared" ca="1" si="39"/>
        <v>0</v>
      </c>
      <c r="E162">
        <f ca="1">IF($C162=1,OFFSET(E162,-1,0)+MAX(1,COUNTIF(QCI!$A$13:$A$24,OFFSET(ORÇAMENTO!E162,-1,0))),OFFSET(E162,-1,0))</f>
        <v>1</v>
      </c>
      <c r="F162">
        <f t="shared" ca="1" si="40"/>
        <v>6</v>
      </c>
      <c r="G162">
        <f t="shared" ca="1" si="41"/>
        <v>16</v>
      </c>
      <c r="H162">
        <f t="shared" ca="1" si="42"/>
        <v>0</v>
      </c>
      <c r="I162">
        <f t="shared" ca="1" si="43"/>
        <v>6</v>
      </c>
      <c r="J162">
        <f t="shared" ca="1" si="35"/>
        <v>0</v>
      </c>
      <c r="K162">
        <f ca="1">IF(OR($C162="S",$C162=0),0,MATCH(OFFSET($D162,0,$C162)+IF($C162&lt;&gt;1,1,COUNTIF(QCI!$A$13:$A$24,ORÇAMENTO!E162)),OFFSET($D162,1,$C162,ROW($C$290)-ROW($C162)),0))</f>
        <v>0</v>
      </c>
      <c r="L162" s="116" t="str">
        <f t="shared" ca="1" si="44"/>
        <v>F</v>
      </c>
      <c r="M162" s="117" t="s">
        <v>199</v>
      </c>
      <c r="N162" s="118" t="str">
        <f t="shared" ca="1" si="45"/>
        <v>Serviço</v>
      </c>
      <c r="O162" s="119" t="str">
        <f t="shared" ca="1" si="46"/>
        <v>1.6.16.6.</v>
      </c>
      <c r="P162" s="120" t="s">
        <v>462</v>
      </c>
      <c r="Q162" s="121" t="s">
        <v>470</v>
      </c>
      <c r="R162" s="122" t="str">
        <f ca="1">IF($C162="S",REFERENCIA.Descricao,"(digite a descrição aqui)")</f>
        <v>(abra o arquivo 'Referência 03-2024.xlsm)</v>
      </c>
      <c r="S162" s="123" t="str">
        <f ca="1">REFERENCIA.Unidade</f>
        <v>-</v>
      </c>
      <c r="T162" s="124">
        <f ca="1">OFFSET(CÁLCULO!H$15,ROW($T162)-ROW(T$15),0)</f>
        <v>15</v>
      </c>
      <c r="U162" s="125">
        <v>4.8499999999999996</v>
      </c>
      <c r="V162" s="126" t="s">
        <v>156</v>
      </c>
      <c r="W162" s="124">
        <f ca="1">IF($C162="S",ROUND(IF(TIPOORCAMENTO="Proposto",ORÇAMENTO.CustoUnitario*(1+$AH162),ORÇAMENTO.PrecoUnitarioLicitado),15-13*$AF$10),0)</f>
        <v>6.22</v>
      </c>
      <c r="X162" s="127">
        <f ca="1">IF($C162="S",IF(Import.TipoArredondamento&lt;&gt;"TransfereGOV",VTOTAL1,SUM(OFFSET(CÁLCULO!$AA$15,ROW($X162)-ROW($X$15),1):OFFSET(CÁLCULO!$AL$15,ROW($X162)-ROW($X$15),-1))),IF($C162=0,0,ROUND(SomaAgrup,15-13*$AF$11)))</f>
        <v>93.3</v>
      </c>
      <c r="Y162" s="128" t="s">
        <v>245</v>
      </c>
      <c r="Z162" t="str">
        <f t="shared" ca="1" si="47"/>
        <v>RA</v>
      </c>
      <c r="AA162" s="129">
        <f ca="1">IF($C162="S",IF($Z162="CP",$X162,IF($Z162="RA",(($X162)*QCI!$AA$3),0)),SomaAgrup)</f>
        <v>93.3</v>
      </c>
      <c r="AB162" s="130">
        <f t="shared" ca="1" si="48"/>
        <v>0</v>
      </c>
      <c r="AC162" s="131" t="str">
        <f ca="1">IF($N162="","",IF(ORÇAMENTO.Descricao="","DESCRIÇÃO",IF(AND($C162="S",ORÇAMENTO.Unidade=""),"UNIDADE",IF($X162&lt;0,"VALOR NEGATIVO",IF(OR(AND(TIPOORCAMENTO="Proposto",$AG162&lt;&gt;"",$AG162&gt;0,ORÇAMENTO.CustoUnitario&gt;$AG162),AND(TIPOORCAMENTO="LICITADO",ORÇAMENTO.PrecoUnitarioLicitado&gt;$AN162)),"ACIMA REF.","")))))</f>
        <v/>
      </c>
      <c r="AD162" t="str">
        <f ca="1">IF(C162&lt;=CRONO.NivelExibicao,MAX($AD$15:OFFSET(AD162,-1,0))+IF($C162&lt;&gt;1,1,MAX(1,COUNTIF(QCI!$A$13:$A$24,OFFSET($E162,-1,0)))),"")</f>
        <v/>
      </c>
      <c r="AE162" s="7" t="str">
        <f ca="1">IF(AND($C162="S",ORÇAMENTO.CodBarra&lt;&gt;""),IF(ORÇAMENTO.Fonte="",ORÇAMENTO.CodBarra,CONCATENATE(ORÇAMENTO.Fonte," ",ORÇAMENTO.CodBarra)))</f>
        <v>Composição 7</v>
      </c>
      <c r="AF162" s="13" t="str">
        <f ca="1">IF(ISERROR(INDIRECT(ORÇAMENTO.BancoRef)),"(abra o arquivo 'Referência "&amp;Excel_BuiltIn_Database&amp;".xlsm)",IF(OR($C162&lt;&gt;"S",ORÇAMENTO.CodBarra=""),"(Sem Código)",IF(ISERROR(MATCH($AE162,INDIRECT(ORÇAMENTO.BancoRef),0)),"(Código não identificado nas referências)",MATCH($AE162,INDIRECT(ORÇAMENTO.BancoRef),0))))</f>
        <v>(abra o arquivo 'Referência 03-2024.xlsm)</v>
      </c>
      <c r="AG162" s="498">
        <f ca="1">ROUND(IF(DESONERACAO="sim",REFERENCIA.Desonerado,REFERENCIA.NaoDesonerado),2)</f>
        <v>0</v>
      </c>
      <c r="AH162" s="499">
        <f t="shared" ca="1" si="49"/>
        <v>0.28170000000000001</v>
      </c>
      <c r="AJ162" s="501">
        <v>15</v>
      </c>
      <c r="AL162" s="527"/>
      <c r="AM162" s="381">
        <f t="shared" ca="1" si="50"/>
        <v>93.3</v>
      </c>
      <c r="AN162" s="566">
        <f t="shared" ca="1" si="51"/>
        <v>6.22</v>
      </c>
    </row>
    <row r="163" spans="1:40" ht="25.5" x14ac:dyDescent="0.2">
      <c r="A163" t="str">
        <f>CHOOSE(1+LOG(1+2*(ORÇAMENTO.Nivel="Meta")+4*(ORÇAMENTO.Nivel="Nível 2")+8*(ORÇAMENTO.Nivel="Nível 3")+16*(ORÇAMENTO.Nivel="Nível 4")+32*(ORÇAMENTO.Nivel="Serviço"),2),0,1,2,3,4,"S")</f>
        <v>S</v>
      </c>
      <c r="B163">
        <f ca="1">IF(OR(C163="s",C163=0),OFFSET(B163,-1,0),C163)</f>
        <v>3</v>
      </c>
      <c r="C163" t="str">
        <f ca="1">IF(OFFSET(C163,-1,0)="L",1,IF(OFFSET(C163,-1,0)=1,2,IF(OR(A163="s",A163=0),"S",IF(AND(OFFSET(C163,-1,0)=2,A163=4),3,IF(AND(OR(OFFSET(C163,-1,0)="s",OFFSET(C163,-1,0)=0),A163&lt;&gt;"s",A163&gt;OFFSET(B163,-1,0)),OFFSET(B163,-1,0),A163)))))</f>
        <v>S</v>
      </c>
      <c r="D163">
        <f ca="1">IF(OR(C163="S",C163=0),0,IF(ISERROR(K163),J163,SMALL(J163:K163,1)))</f>
        <v>0</v>
      </c>
      <c r="E163">
        <f ca="1">IF($C163=1,OFFSET(E163,-1,0)+MAX(1,COUNTIF(QCI!$A$13:$A$24,OFFSET(ORÇAMENTO!E163,-1,0))),OFFSET(E163,-1,0))</f>
        <v>1</v>
      </c>
      <c r="F163">
        <f ca="1">IF($C163=1,0,IF($C163=2,OFFSET(F163,-1,0)+1,OFFSET(F163,-1,0)))</f>
        <v>6</v>
      </c>
      <c r="G163">
        <f ca="1">IF(AND($C163&lt;=2,$C163&lt;&gt;0),0,IF($C163=3,OFFSET(G163,-1,0)+1,OFFSET(G163,-1,0)))</f>
        <v>16</v>
      </c>
      <c r="H163">
        <f ca="1">IF(AND($C163&lt;=3,$C163&lt;&gt;0),0,IF($C163=4,OFFSET(H163,-1,0)+1,OFFSET(H163,-1,0)))</f>
        <v>0</v>
      </c>
      <c r="I163">
        <f ca="1">IF(AND($C163&lt;=4,$C163&lt;&gt;0),0,IF(AND($C163="S",$X163&gt;0),OFFSET(I163,-1,0)+1,OFFSET(I163,-1,0)))</f>
        <v>7</v>
      </c>
      <c r="J163">
        <f t="shared" ca="1" si="35"/>
        <v>0</v>
      </c>
      <c r="K163">
        <f ca="1">IF(OR($C163="S",$C163=0),0,MATCH(OFFSET($D163,0,$C163)+IF($C163&lt;&gt;1,1,COUNTIF(QCI!$A$13:$A$24,ORÇAMENTO!E163)),OFFSET($D163,1,$C163,ROW($C$290)-ROW($C163)),0))</f>
        <v>0</v>
      </c>
      <c r="L163" s="116" t="str">
        <f ca="1">IF(OR($X163&gt;0,$C163=1,$C163=2,$C163=3,$C163=4),"F","")</f>
        <v>F</v>
      </c>
      <c r="M163" s="117" t="s">
        <v>199</v>
      </c>
      <c r="N163" s="118" t="str">
        <f ca="1">CHOOSE(1+LOG(1+2*(C163=1)+4*(C163=2)+8*(C163=3)+16*(C163=4)+32*(C163="S"),2),"","Meta","Nível 2","Nível 3","Nível 4","Serviço")</f>
        <v>Serviço</v>
      </c>
      <c r="O163" s="119" t="str">
        <f ca="1">IF(OR($C163=0,$L163=""),"-",CONCATENATE(E163&amp;".",IF(AND($A$5&gt;=2,$C163&gt;=2),F163&amp;".",""),IF(AND($A$5&gt;=3,$C163&gt;=3),G163&amp;".",""),IF(AND($A$5&gt;=4,$C163&gt;=4),H163&amp;".",""),IF($C163="S",I163&amp;".","")))</f>
        <v>1.6.16.7.</v>
      </c>
      <c r="P163" s="120" t="s">
        <v>247</v>
      </c>
      <c r="Q163" s="121" t="s">
        <v>558</v>
      </c>
      <c r="R163" s="122" t="str">
        <f ca="1">IF($C163="S",REFERENCIA.Descricao,"(digite a descrição aqui)")</f>
        <v>(abra o arquivo 'Referência 03-2024.xlsm)</v>
      </c>
      <c r="S163" s="123" t="str">
        <f ca="1">REFERENCIA.Unidade</f>
        <v>-</v>
      </c>
      <c r="T163" s="124">
        <f ca="1">OFFSET(CÁLCULO!H$15,ROW($T163)-ROW(T$15),0)</f>
        <v>5</v>
      </c>
      <c r="U163" s="125">
        <v>7.41</v>
      </c>
      <c r="V163" s="126" t="s">
        <v>156</v>
      </c>
      <c r="W163" s="124">
        <f ca="1">IF($C163="S",ROUND(IF(TIPOORCAMENTO="Proposto",ORÇAMENTO.CustoUnitario*(1+$AH163),ORÇAMENTO.PrecoUnitarioLicitado),15-13*$AF$10),0)</f>
        <v>9.5</v>
      </c>
      <c r="X163" s="127">
        <f ca="1">IF($C163="S",IF(Import.TipoArredondamento&lt;&gt;"TransfereGOV",VTOTAL1,SUM(OFFSET(CÁLCULO!$AA$15,ROW($X163)-ROW($X$15),1):OFFSET(CÁLCULO!$AL$15,ROW($X163)-ROW($X$15),-1))),IF($C163=0,0,ROUND(SomaAgrup,15-13*$AF$11)))</f>
        <v>47.5</v>
      </c>
      <c r="Y163" s="128" t="s">
        <v>245</v>
      </c>
      <c r="Z163" t="str">
        <f ca="1">IF(AND($C163="S",$X163&gt;0),IF(ISBLANK($Y163),"RA",LEFT($Y163,2)),"")</f>
        <v>RA</v>
      </c>
      <c r="AA163" s="129">
        <f ca="1">IF($C163="S",IF($Z163="CP",$X163,IF($Z163="RA",(($X163)*QCI!$AA$3),0)),SomaAgrup)</f>
        <v>47.5</v>
      </c>
      <c r="AB163" s="130">
        <f ca="1">IF($C163="S",IF($Z163="OU",ROUND($X163,2),0),SomaAgrup)</f>
        <v>0</v>
      </c>
      <c r="AC163" s="131" t="str">
        <f ca="1">IF($N163="","",IF(ORÇAMENTO.Descricao="","DESCRIÇÃO",IF(AND($C163="S",ORÇAMENTO.Unidade=""),"UNIDADE",IF($X163&lt;0,"VALOR NEGATIVO",IF(OR(AND(TIPOORCAMENTO="Proposto",$AG163&lt;&gt;"",$AG163&gt;0,ORÇAMENTO.CustoUnitario&gt;$AG163),AND(TIPOORCAMENTO="LICITADO",ORÇAMENTO.PrecoUnitarioLicitado&gt;$AN163)),"ACIMA REF.","")))))</f>
        <v/>
      </c>
      <c r="AD163" t="str">
        <f ca="1">IF(C163&lt;=CRONO.NivelExibicao,MAX($AD$15:OFFSET(AD163,-1,0))+IF($C163&lt;&gt;1,1,MAX(1,COUNTIF(QCI!$A$13:$A$24,OFFSET($E163,-1,0)))),"")</f>
        <v/>
      </c>
      <c r="AE163" s="7" t="str">
        <f ca="1">IF(AND($C163="S",ORÇAMENTO.CodBarra&lt;&gt;""),IF(ORÇAMENTO.Fonte="",ORÇAMENTO.CodBarra,CONCATENATE(ORÇAMENTO.Fonte," ",ORÇAMENTO.CodBarra)))</f>
        <v>SINAPI 89617</v>
      </c>
      <c r="AF163" s="13" t="str">
        <f ca="1">IF(ISERROR(INDIRECT(ORÇAMENTO.BancoRef)),"(abra o arquivo 'Referência "&amp;Excel_BuiltIn_Database&amp;".xlsm)",IF(OR($C163&lt;&gt;"S",ORÇAMENTO.CodBarra=""),"(Sem Código)",IF(ISERROR(MATCH($AE163,INDIRECT(ORÇAMENTO.BancoRef),0)),"(Código não identificado nas referências)",MATCH($AE163,INDIRECT(ORÇAMENTO.BancoRef),0))))</f>
        <v>(abra o arquivo 'Referência 03-2024.xlsm)</v>
      </c>
      <c r="AG163" s="498">
        <f ca="1">ROUND(IF(DESONERACAO="sim",REFERENCIA.Desonerado,REFERENCIA.NaoDesonerado),2)</f>
        <v>0</v>
      </c>
      <c r="AH163" s="499">
        <f ca="1">ROUND(IF(ISNUMBER(ORÇAMENTO.OpcaoBDI),ORÇAMENTO.OpcaoBDI,IF(LEFT(ORÇAMENTO.OpcaoBDI,3)="BDI",HLOOKUP(ORÇAMENTO.OpcaoBDI,$F$4:$H$5,2,FALSE),0)),15-11*$AF$9)</f>
        <v>0.28170000000000001</v>
      </c>
      <c r="AJ163" s="501">
        <v>5</v>
      </c>
      <c r="AL163" s="527"/>
      <c r="AM163" s="381">
        <f t="shared" ca="1" si="50"/>
        <v>47.5</v>
      </c>
      <c r="AN163" s="566">
        <f ca="1">ROUND(ORÇAMENTO.CustoUnitario*(1+$AH163),2)</f>
        <v>9.5</v>
      </c>
    </row>
    <row r="164" spans="1:40" ht="25.5" x14ac:dyDescent="0.2">
      <c r="A164" t="str">
        <f t="shared" si="36"/>
        <v>S</v>
      </c>
      <c r="B164">
        <f t="shared" ca="1" si="37"/>
        <v>3</v>
      </c>
      <c r="C164" t="str">
        <f t="shared" ca="1" si="38"/>
        <v>S</v>
      </c>
      <c r="D164">
        <f t="shared" ca="1" si="39"/>
        <v>0</v>
      </c>
      <c r="E164">
        <f ca="1">IF($C164=1,OFFSET(E164,-1,0)+MAX(1,COUNTIF(QCI!$A$13:$A$24,OFFSET(ORÇAMENTO!E164,-1,0))),OFFSET(E164,-1,0))</f>
        <v>1</v>
      </c>
      <c r="F164">
        <f t="shared" ca="1" si="40"/>
        <v>6</v>
      </c>
      <c r="G164">
        <f t="shared" ca="1" si="41"/>
        <v>16</v>
      </c>
      <c r="H164">
        <f t="shared" ca="1" si="42"/>
        <v>0</v>
      </c>
      <c r="I164">
        <f t="shared" ca="1" si="43"/>
        <v>8</v>
      </c>
      <c r="J164">
        <f t="shared" ca="1" si="35"/>
        <v>0</v>
      </c>
      <c r="K164">
        <f ca="1">IF(OR($C164="S",$C164=0),0,MATCH(OFFSET($D164,0,$C164)+IF($C164&lt;&gt;1,1,COUNTIF(QCI!$A$13:$A$24,ORÇAMENTO!E164)),OFFSET($D164,1,$C164,ROW($C$290)-ROW($C164)),0))</f>
        <v>0</v>
      </c>
      <c r="L164" s="116" t="str">
        <f t="shared" ca="1" si="44"/>
        <v>F</v>
      </c>
      <c r="M164" s="117" t="s">
        <v>199</v>
      </c>
      <c r="N164" s="118" t="str">
        <f t="shared" ca="1" si="45"/>
        <v>Serviço</v>
      </c>
      <c r="O164" s="119" t="str">
        <f t="shared" ca="1" si="46"/>
        <v>1.6.16.8.</v>
      </c>
      <c r="P164" s="120" t="s">
        <v>462</v>
      </c>
      <c r="Q164" s="121" t="s">
        <v>472</v>
      </c>
      <c r="R164" s="122" t="str">
        <f ca="1">IF($C164="S",REFERENCIA.Descricao,"(digite a descrição aqui)")</f>
        <v>(abra o arquivo 'Referência 03-2024.xlsm)</v>
      </c>
      <c r="S164" s="123" t="str">
        <f ca="1">REFERENCIA.Unidade</f>
        <v>-</v>
      </c>
      <c r="T164" s="124">
        <f ca="1">OFFSET(CÁLCULO!H$15,ROW($T164)-ROW(T$15),0)</f>
        <v>10</v>
      </c>
      <c r="U164" s="125">
        <v>2.64</v>
      </c>
      <c r="V164" s="126" t="s">
        <v>156</v>
      </c>
      <c r="W164" s="124">
        <f ca="1">IF($C164="S",ROUND(IF(TIPOORCAMENTO="Proposto",ORÇAMENTO.CustoUnitario*(1+$AH164),ORÇAMENTO.PrecoUnitarioLicitado),15-13*$AF$10),0)</f>
        <v>3.38</v>
      </c>
      <c r="X164" s="127">
        <f ca="1">IF($C164="S",IF(Import.TipoArredondamento&lt;&gt;"TransfereGOV",VTOTAL1,SUM(OFFSET(CÁLCULO!$AA$15,ROW($X164)-ROW($X$15),1):OFFSET(CÁLCULO!$AL$15,ROW($X164)-ROW($X$15),-1))),IF($C164=0,0,ROUND(SomaAgrup,15-13*$AF$11)))</f>
        <v>33.799999999999997</v>
      </c>
      <c r="Y164" s="128" t="s">
        <v>245</v>
      </c>
      <c r="Z164" t="str">
        <f t="shared" ca="1" si="47"/>
        <v>RA</v>
      </c>
      <c r="AA164" s="129">
        <f ca="1">IF($C164="S",IF($Z164="CP",$X164,IF($Z164="RA",(($X164)*QCI!$AA$3),0)),SomaAgrup)</f>
        <v>33.799999999999997</v>
      </c>
      <c r="AB164" s="130">
        <f t="shared" ca="1" si="48"/>
        <v>0</v>
      </c>
      <c r="AC164" s="131" t="str">
        <f ca="1">IF($N164="","",IF(ORÇAMENTO.Descricao="","DESCRIÇÃO",IF(AND($C164="S",ORÇAMENTO.Unidade=""),"UNIDADE",IF($X164&lt;0,"VALOR NEGATIVO",IF(OR(AND(TIPOORCAMENTO="Proposto",$AG164&lt;&gt;"",$AG164&gt;0,ORÇAMENTO.CustoUnitario&gt;$AG164),AND(TIPOORCAMENTO="LICITADO",ORÇAMENTO.PrecoUnitarioLicitado&gt;$AN164)),"ACIMA REF.","")))))</f>
        <v/>
      </c>
      <c r="AD164" t="str">
        <f ca="1">IF(C164&lt;=CRONO.NivelExibicao,MAX($AD$15:OFFSET(AD164,-1,0))+IF($C164&lt;&gt;1,1,MAX(1,COUNTIF(QCI!$A$13:$A$24,OFFSET($E164,-1,0)))),"")</f>
        <v/>
      </c>
      <c r="AE164" s="7" t="str">
        <f ca="1">IF(AND($C164="S",ORÇAMENTO.CodBarra&lt;&gt;""),IF(ORÇAMENTO.Fonte="",ORÇAMENTO.CodBarra,CONCATENATE(ORÇAMENTO.Fonte," ",ORÇAMENTO.CodBarra)))</f>
        <v>Composição 9</v>
      </c>
      <c r="AF164" s="13" t="str">
        <f ca="1">IF(ISERROR(INDIRECT(ORÇAMENTO.BancoRef)),"(abra o arquivo 'Referência "&amp;Excel_BuiltIn_Database&amp;".xlsm)",IF(OR($C164&lt;&gt;"S",ORÇAMENTO.CodBarra=""),"(Sem Código)",IF(ISERROR(MATCH($AE164,INDIRECT(ORÇAMENTO.BancoRef),0)),"(Código não identificado nas referências)",MATCH($AE164,INDIRECT(ORÇAMENTO.BancoRef),0))))</f>
        <v>(abra o arquivo 'Referência 03-2024.xlsm)</v>
      </c>
      <c r="AG164" s="498">
        <f ca="1">ROUND(IF(DESONERACAO="sim",REFERENCIA.Desonerado,REFERENCIA.NaoDesonerado),2)</f>
        <v>0</v>
      </c>
      <c r="AH164" s="499">
        <f t="shared" ca="1" si="49"/>
        <v>0.28170000000000001</v>
      </c>
      <c r="AJ164" s="501">
        <v>10</v>
      </c>
      <c r="AL164" s="527"/>
      <c r="AM164" s="381">
        <f t="shared" ca="1" si="50"/>
        <v>33.799999999999997</v>
      </c>
      <c r="AN164" s="566">
        <f t="shared" ca="1" si="51"/>
        <v>3.38</v>
      </c>
    </row>
    <row r="165" spans="1:40" ht="38.25" x14ac:dyDescent="0.2">
      <c r="A165" t="str">
        <f t="shared" si="36"/>
        <v>S</v>
      </c>
      <c r="B165">
        <f t="shared" ca="1" si="37"/>
        <v>3</v>
      </c>
      <c r="C165" t="str">
        <f t="shared" ca="1" si="38"/>
        <v>S</v>
      </c>
      <c r="D165">
        <f t="shared" ca="1" si="39"/>
        <v>0</v>
      </c>
      <c r="E165">
        <f ca="1">IF($C165=1,OFFSET(E165,-1,0)+MAX(1,COUNTIF(QCI!$A$13:$A$24,OFFSET(ORÇAMENTO!E165,-1,0))),OFFSET(E165,-1,0))</f>
        <v>1</v>
      </c>
      <c r="F165">
        <f t="shared" ca="1" si="40"/>
        <v>6</v>
      </c>
      <c r="G165">
        <f t="shared" ca="1" si="41"/>
        <v>16</v>
      </c>
      <c r="H165">
        <f t="shared" ca="1" si="42"/>
        <v>0</v>
      </c>
      <c r="I165">
        <f t="shared" ca="1" si="43"/>
        <v>9</v>
      </c>
      <c r="J165">
        <f t="shared" ca="1" si="35"/>
        <v>0</v>
      </c>
      <c r="K165">
        <f ca="1">IF(OR($C165="S",$C165=0),0,MATCH(OFFSET($D165,0,$C165)+IF($C165&lt;&gt;1,1,COUNTIF(QCI!$A$13:$A$24,ORÇAMENTO!E165)),OFFSET($D165,1,$C165,ROW($C$290)-ROW($C165)),0))</f>
        <v>0</v>
      </c>
      <c r="L165" s="116" t="str">
        <f t="shared" ca="1" si="44"/>
        <v>F</v>
      </c>
      <c r="M165" s="117" t="s">
        <v>199</v>
      </c>
      <c r="N165" s="118" t="str">
        <f t="shared" ca="1" si="45"/>
        <v>Serviço</v>
      </c>
      <c r="O165" s="119" t="str">
        <f t="shared" ca="1" si="46"/>
        <v>1.6.16.9.</v>
      </c>
      <c r="P165" s="120" t="s">
        <v>247</v>
      </c>
      <c r="Q165" s="121" t="s">
        <v>551</v>
      </c>
      <c r="R165" s="122" t="str">
        <f ca="1">IF($C165="S",REFERENCIA.Descricao,"(digite a descrição aqui)")</f>
        <v>(abra o arquivo 'Referência 03-2024.xlsm)</v>
      </c>
      <c r="S165" s="123" t="str">
        <f ca="1">REFERENCIA.Unidade</f>
        <v>-</v>
      </c>
      <c r="T165" s="124">
        <f ca="1">OFFSET(CÁLCULO!H$15,ROW($T165)-ROW(T$15),0)</f>
        <v>2</v>
      </c>
      <c r="U165" s="125">
        <v>18.239999999999998</v>
      </c>
      <c r="V165" s="126" t="s">
        <v>156</v>
      </c>
      <c r="W165" s="124">
        <f ca="1">IF($C165="S",ROUND(IF(TIPOORCAMENTO="Proposto",ORÇAMENTO.CustoUnitario*(1+$AH165),ORÇAMENTO.PrecoUnitarioLicitado),15-13*$AF$10),0)</f>
        <v>23.38</v>
      </c>
      <c r="X165" s="127">
        <f ca="1">IF($C165="S",IF(Import.TipoArredondamento&lt;&gt;"TransfereGOV",VTOTAL1,SUM(OFFSET(CÁLCULO!$AA$15,ROW($X165)-ROW($X$15),1):OFFSET(CÁLCULO!$AL$15,ROW($X165)-ROW($X$15),-1))),IF($C165=0,0,ROUND(SomaAgrup,15-13*$AF$11)))</f>
        <v>46.76</v>
      </c>
      <c r="Y165" s="128" t="s">
        <v>245</v>
      </c>
      <c r="Z165" t="str">
        <f t="shared" ca="1" si="47"/>
        <v>RA</v>
      </c>
      <c r="AA165" s="129">
        <f ca="1">IF($C165="S",IF($Z165="CP",$X165,IF($Z165="RA",(($X165)*QCI!$AA$3),0)),SomaAgrup)</f>
        <v>46.76</v>
      </c>
      <c r="AB165" s="130">
        <f t="shared" ca="1" si="48"/>
        <v>0</v>
      </c>
      <c r="AC165" s="131" t="str">
        <f ca="1">IF($N165="","",IF(ORÇAMENTO.Descricao="","DESCRIÇÃO",IF(AND($C165="S",ORÇAMENTO.Unidade=""),"UNIDADE",IF($X165&lt;0,"VALOR NEGATIVO",IF(OR(AND(TIPOORCAMENTO="Proposto",$AG165&lt;&gt;"",$AG165&gt;0,ORÇAMENTO.CustoUnitario&gt;$AG165),AND(TIPOORCAMENTO="LICITADO",ORÇAMENTO.PrecoUnitarioLicitado&gt;$AN165)),"ACIMA REF.","")))))</f>
        <v/>
      </c>
      <c r="AD165" t="str">
        <f ca="1">IF(C165&lt;=CRONO.NivelExibicao,MAX($AD$15:OFFSET(AD165,-1,0))+IF($C165&lt;&gt;1,1,MAX(1,COUNTIF(QCI!$A$13:$A$24,OFFSET($E165,-1,0)))),"")</f>
        <v/>
      </c>
      <c r="AE165" s="7" t="str">
        <f ca="1">IF(AND($C165="S",ORÇAMENTO.CodBarra&lt;&gt;""),IF(ORÇAMENTO.Fonte="",ORÇAMENTO.CodBarra,CONCATENATE(ORÇAMENTO.Fonte," ",ORÇAMENTO.CodBarra)))</f>
        <v>SINAPI 104327</v>
      </c>
      <c r="AF165" s="13" t="str">
        <f ca="1">IF(ISERROR(INDIRECT(ORÇAMENTO.BancoRef)),"(abra o arquivo 'Referência "&amp;Excel_BuiltIn_Database&amp;".xlsm)",IF(OR($C165&lt;&gt;"S",ORÇAMENTO.CodBarra=""),"(Sem Código)",IF(ISERROR(MATCH($AE165,INDIRECT(ORÇAMENTO.BancoRef),0)),"(Código não identificado nas referências)",MATCH($AE165,INDIRECT(ORÇAMENTO.BancoRef),0))))</f>
        <v>(abra o arquivo 'Referência 03-2024.xlsm)</v>
      </c>
      <c r="AG165" s="498">
        <f ca="1">ROUND(IF(DESONERACAO="sim",REFERENCIA.Desonerado,REFERENCIA.NaoDesonerado),2)</f>
        <v>0</v>
      </c>
      <c r="AH165" s="499">
        <f t="shared" ca="1" si="49"/>
        <v>0.28170000000000001</v>
      </c>
      <c r="AJ165" s="501">
        <v>2</v>
      </c>
      <c r="AL165" s="527"/>
      <c r="AM165" s="381">
        <f t="shared" ca="1" si="50"/>
        <v>46.76</v>
      </c>
      <c r="AN165" s="566">
        <f t="shared" ca="1" si="51"/>
        <v>23.38</v>
      </c>
    </row>
    <row r="166" spans="1:40" ht="38.25" x14ac:dyDescent="0.2">
      <c r="A166" t="str">
        <f t="shared" si="36"/>
        <v>S</v>
      </c>
      <c r="B166">
        <f t="shared" ca="1" si="37"/>
        <v>3</v>
      </c>
      <c r="C166" t="str">
        <f t="shared" ca="1" si="38"/>
        <v>S</v>
      </c>
      <c r="D166">
        <f t="shared" ca="1" si="39"/>
        <v>0</v>
      </c>
      <c r="E166">
        <f ca="1">IF($C166=1,OFFSET(E166,-1,0)+MAX(1,COUNTIF(QCI!$A$13:$A$24,OFFSET(ORÇAMENTO!E166,-1,0))),OFFSET(E166,-1,0))</f>
        <v>1</v>
      </c>
      <c r="F166">
        <f t="shared" ca="1" si="40"/>
        <v>6</v>
      </c>
      <c r="G166">
        <f t="shared" ca="1" si="41"/>
        <v>16</v>
      </c>
      <c r="H166">
        <f t="shared" ca="1" si="42"/>
        <v>0</v>
      </c>
      <c r="I166">
        <f t="shared" ca="1" si="43"/>
        <v>10</v>
      </c>
      <c r="J166">
        <f t="shared" ca="1" si="35"/>
        <v>0</v>
      </c>
      <c r="K166">
        <f ca="1">IF(OR($C166="S",$C166=0),0,MATCH(OFFSET($D166,0,$C166)+IF($C166&lt;&gt;1,1,COUNTIF(QCI!$A$13:$A$24,ORÇAMENTO!E166)),OFFSET($D166,1,$C166,ROW($C$290)-ROW($C166)),0))</f>
        <v>0</v>
      </c>
      <c r="L166" s="116" t="str">
        <f t="shared" ca="1" si="44"/>
        <v>F</v>
      </c>
      <c r="M166" s="117" t="s">
        <v>199</v>
      </c>
      <c r="N166" s="118" t="str">
        <f t="shared" ca="1" si="45"/>
        <v>Serviço</v>
      </c>
      <c r="O166" s="119" t="str">
        <f t="shared" ca="1" si="46"/>
        <v>1.6.16.10.</v>
      </c>
      <c r="P166" s="120" t="s">
        <v>462</v>
      </c>
      <c r="Q166" s="121" t="s">
        <v>552</v>
      </c>
      <c r="R166" s="122" t="str">
        <f ca="1">IF($C166="S",REFERENCIA.Descricao,"(digite a descrição aqui)")</f>
        <v>(abra o arquivo 'Referência 03-2024.xlsm)</v>
      </c>
      <c r="S166" s="123" t="str">
        <f ca="1">REFERENCIA.Unidade</f>
        <v>-</v>
      </c>
      <c r="T166" s="124">
        <f ca="1">OFFSET(CÁLCULO!H$15,ROW($T166)-ROW(T$15),0)</f>
        <v>6</v>
      </c>
      <c r="U166" s="125">
        <v>14.45</v>
      </c>
      <c r="V166" s="126" t="s">
        <v>156</v>
      </c>
      <c r="W166" s="124">
        <f ca="1">IF($C166="S",ROUND(IF(TIPOORCAMENTO="Proposto",ORÇAMENTO.CustoUnitario*(1+$AH166),ORÇAMENTO.PrecoUnitarioLicitado),15-13*$AF$10),0)</f>
        <v>18.52</v>
      </c>
      <c r="X166" s="127">
        <f ca="1">IF($C166="S",IF(Import.TipoArredondamento&lt;&gt;"TransfereGOV",VTOTAL1,SUM(OFFSET(CÁLCULO!$AA$15,ROW($X166)-ROW($X$15),1):OFFSET(CÁLCULO!$AL$15,ROW($X166)-ROW($X$15),-1))),IF($C166=0,0,ROUND(SomaAgrup,15-13*$AF$11)))</f>
        <v>111.12</v>
      </c>
      <c r="Y166" s="128" t="s">
        <v>245</v>
      </c>
      <c r="Z166" t="str">
        <f t="shared" ca="1" si="47"/>
        <v>RA</v>
      </c>
      <c r="AA166" s="129">
        <f ca="1">IF($C166="S",IF($Z166="CP",$X166,IF($Z166="RA",(($X166)*QCI!$AA$3),0)),SomaAgrup)</f>
        <v>111.12</v>
      </c>
      <c r="AB166" s="130">
        <f t="shared" ca="1" si="48"/>
        <v>0</v>
      </c>
      <c r="AC166" s="131" t="str">
        <f ca="1">IF($N166="","",IF(ORÇAMENTO.Descricao="","DESCRIÇÃO",IF(AND($C166="S",ORÇAMENTO.Unidade=""),"UNIDADE",IF($X166&lt;0,"VALOR NEGATIVO",IF(OR(AND(TIPOORCAMENTO="Proposto",$AG166&lt;&gt;"",$AG166&gt;0,ORÇAMENTO.CustoUnitario&gt;$AG166),AND(TIPOORCAMENTO="LICITADO",ORÇAMENTO.PrecoUnitarioLicitado&gt;$AN166)),"ACIMA REF.","")))))</f>
        <v/>
      </c>
      <c r="AD166" t="str">
        <f ca="1">IF(C166&lt;=CRONO.NivelExibicao,MAX($AD$15:OFFSET(AD166,-1,0))+IF($C166&lt;&gt;1,1,MAX(1,COUNTIF(QCI!$A$13:$A$24,OFFSET($E166,-1,0)))),"")</f>
        <v/>
      </c>
      <c r="AE166" s="7" t="str">
        <f ca="1">IF(AND($C166="S",ORÇAMENTO.CodBarra&lt;&gt;""),IF(ORÇAMENTO.Fonte="",ORÇAMENTO.CodBarra,CONCATENATE(ORÇAMENTO.Fonte," ",ORÇAMENTO.CodBarra)))</f>
        <v>Composição 53</v>
      </c>
      <c r="AF166" s="13" t="str">
        <f ca="1">IF(ISERROR(INDIRECT(ORÇAMENTO.BancoRef)),"(abra o arquivo 'Referência "&amp;Excel_BuiltIn_Database&amp;".xlsm)",IF(OR($C166&lt;&gt;"S",ORÇAMENTO.CodBarra=""),"(Sem Código)",IF(ISERROR(MATCH($AE166,INDIRECT(ORÇAMENTO.BancoRef),0)),"(Código não identificado nas referências)",MATCH($AE166,INDIRECT(ORÇAMENTO.BancoRef),0))))</f>
        <v>(abra o arquivo 'Referência 03-2024.xlsm)</v>
      </c>
      <c r="AG166" s="498">
        <f ca="1">ROUND(IF(DESONERACAO="sim",REFERENCIA.Desonerado,REFERENCIA.NaoDesonerado),2)</f>
        <v>0</v>
      </c>
      <c r="AH166" s="499">
        <f t="shared" ca="1" si="49"/>
        <v>0.28170000000000001</v>
      </c>
      <c r="AJ166" s="501">
        <v>6</v>
      </c>
      <c r="AL166" s="527"/>
      <c r="AM166" s="381">
        <f t="shared" ca="1" si="50"/>
        <v>111.12</v>
      </c>
      <c r="AN166" s="566">
        <f t="shared" ca="1" si="51"/>
        <v>18.52</v>
      </c>
    </row>
    <row r="167" spans="1:40" ht="38.25" x14ac:dyDescent="0.2">
      <c r="A167" t="str">
        <f>CHOOSE(1+LOG(1+2*(ORÇAMENTO.Nivel="Meta")+4*(ORÇAMENTO.Nivel="Nível 2")+8*(ORÇAMENTO.Nivel="Nível 3")+16*(ORÇAMENTO.Nivel="Nível 4")+32*(ORÇAMENTO.Nivel="Serviço"),2),0,1,2,3,4,"S")</f>
        <v>S</v>
      </c>
      <c r="B167">
        <f ca="1">IF(OR(C167="s",C167=0),OFFSET(B167,-1,0),C167)</f>
        <v>3</v>
      </c>
      <c r="C167" t="str">
        <f ca="1">IF(OFFSET(C167,-1,0)="L",1,IF(OFFSET(C167,-1,0)=1,2,IF(OR(A167="s",A167=0),"S",IF(AND(OFFSET(C167,-1,0)=2,A167=4),3,IF(AND(OR(OFFSET(C167,-1,0)="s",OFFSET(C167,-1,0)=0),A167&lt;&gt;"s",A167&gt;OFFSET(B167,-1,0)),OFFSET(B167,-1,0),A167)))))</f>
        <v>S</v>
      </c>
      <c r="D167">
        <f ca="1">IF(OR(C167="S",C167=0),0,IF(ISERROR(K167),J167,SMALL(J167:K167,1)))</f>
        <v>0</v>
      </c>
      <c r="E167">
        <f ca="1">IF($C167=1,OFFSET(E167,-1,0)+MAX(1,COUNTIF(QCI!$A$13:$A$24,OFFSET(ORÇAMENTO!E167,-1,0))),OFFSET(E167,-1,0))</f>
        <v>1</v>
      </c>
      <c r="F167">
        <f ca="1">IF($C167=1,0,IF($C167=2,OFFSET(F167,-1,0)+1,OFFSET(F167,-1,0)))</f>
        <v>6</v>
      </c>
      <c r="G167">
        <f ca="1">IF(AND($C167&lt;=2,$C167&lt;&gt;0),0,IF($C167=3,OFFSET(G167,-1,0)+1,OFFSET(G167,-1,0)))</f>
        <v>16</v>
      </c>
      <c r="H167">
        <f ca="1">IF(AND($C167&lt;=3,$C167&lt;&gt;0),0,IF($C167=4,OFFSET(H167,-1,0)+1,OFFSET(H167,-1,0)))</f>
        <v>0</v>
      </c>
      <c r="I167">
        <f ca="1">IF(AND($C167&lt;=4,$C167&lt;&gt;0),0,IF(AND($C167="S",$X167&gt;0),OFFSET(I167,-1,0)+1,OFFSET(I167,-1,0)))</f>
        <v>11</v>
      </c>
      <c r="J167">
        <f t="shared" ca="1" si="35"/>
        <v>0</v>
      </c>
      <c r="K167">
        <f ca="1">IF(OR($C167="S",$C167=0),0,MATCH(OFFSET($D167,0,$C167)+IF($C167&lt;&gt;1,1,COUNTIF(QCI!$A$13:$A$24,ORÇAMENTO!E167)),OFFSET($D167,1,$C167,ROW($C$290)-ROW($C167)),0))</f>
        <v>0</v>
      </c>
      <c r="L167" s="116" t="str">
        <f ca="1">IF(OR($X167&gt;0,$C167=1,$C167=2,$C167=3,$C167=4),"F","")</f>
        <v>F</v>
      </c>
      <c r="M167" s="117" t="s">
        <v>199</v>
      </c>
      <c r="N167" s="118" t="str">
        <f ca="1">CHOOSE(1+LOG(1+2*(C167=1)+4*(C167=2)+8*(C167=3)+16*(C167=4)+32*(C167="S"),2),"","Meta","Nível 2","Nível 3","Nível 4","Serviço")</f>
        <v>Serviço</v>
      </c>
      <c r="O167" s="119" t="str">
        <f ca="1">IF(OR($C167=0,$L167=""),"-",CONCATENATE(E167&amp;".",IF(AND($A$5&gt;=2,$C167&gt;=2),F167&amp;".",""),IF(AND($A$5&gt;=3,$C167&gt;=3),G167&amp;".",""),IF(AND($A$5&gt;=4,$C167&gt;=4),H167&amp;".",""),IF($C167="S",I167&amp;".","")))</f>
        <v>1.6.16.11.</v>
      </c>
      <c r="P167" s="120" t="s">
        <v>247</v>
      </c>
      <c r="Q167" s="121" t="s">
        <v>556</v>
      </c>
      <c r="R167" s="122" t="str">
        <f ca="1">IF($C167="S",REFERENCIA.Descricao,"(digite a descrição aqui)")</f>
        <v>(abra o arquivo 'Referência 03-2024.xlsm)</v>
      </c>
      <c r="S167" s="123" t="str">
        <f ca="1">REFERENCIA.Unidade</f>
        <v>-</v>
      </c>
      <c r="T167" s="124">
        <f ca="1">OFFSET(CÁLCULO!H$15,ROW($T167)-ROW(T$15),0)</f>
        <v>2</v>
      </c>
      <c r="U167" s="125">
        <v>13.44</v>
      </c>
      <c r="V167" s="126" t="s">
        <v>156</v>
      </c>
      <c r="W167" s="124">
        <f ca="1">IF($C167="S",ROUND(IF(TIPOORCAMENTO="Proposto",ORÇAMENTO.CustoUnitario*(1+$AH167),ORÇAMENTO.PrecoUnitarioLicitado),15-13*$AF$10),0)</f>
        <v>17.23</v>
      </c>
      <c r="X167" s="127">
        <f ca="1">IF($C167="S",IF(Import.TipoArredondamento&lt;&gt;"TransfereGOV",VTOTAL1,SUM(OFFSET(CÁLCULO!$AA$15,ROW($X167)-ROW($X$15),1):OFFSET(CÁLCULO!$AL$15,ROW($X167)-ROW($X$15),-1))),IF($C167=0,0,ROUND(SomaAgrup,15-13*$AF$11)))</f>
        <v>34.46</v>
      </c>
      <c r="Y167" s="128" t="s">
        <v>245</v>
      </c>
      <c r="Z167" t="str">
        <f ca="1">IF(AND($C167="S",$X167&gt;0),IF(ISBLANK($Y167),"RA",LEFT($Y167,2)),"")</f>
        <v>RA</v>
      </c>
      <c r="AA167" s="129">
        <f ca="1">IF($C167="S",IF($Z167="CP",$X167,IF($Z167="RA",(($X167)*QCI!$AA$3),0)),SomaAgrup)</f>
        <v>34.46</v>
      </c>
      <c r="AB167" s="130">
        <f ca="1">IF($C167="S",IF($Z167="OU",ROUND($X167,2),0),SomaAgrup)</f>
        <v>0</v>
      </c>
      <c r="AC167" s="131" t="str">
        <f ca="1">IF($N167="","",IF(ORÇAMENTO.Descricao="","DESCRIÇÃO",IF(AND($C167="S",ORÇAMENTO.Unidade=""),"UNIDADE",IF($X167&lt;0,"VALOR NEGATIVO",IF(OR(AND(TIPOORCAMENTO="Proposto",$AG167&lt;&gt;"",$AG167&gt;0,ORÇAMENTO.CustoUnitario&gt;$AG167),AND(TIPOORCAMENTO="LICITADO",ORÇAMENTO.PrecoUnitarioLicitado&gt;$AN167)),"ACIMA REF.","")))))</f>
        <v/>
      </c>
      <c r="AD167" t="str">
        <f ca="1">IF(C167&lt;=CRONO.NivelExibicao,MAX($AD$15:OFFSET(AD167,-1,0))+IF($C167&lt;&gt;1,1,MAX(1,COUNTIF(QCI!$A$13:$A$24,OFFSET($E167,-1,0)))),"")</f>
        <v/>
      </c>
      <c r="AE167" s="7" t="str">
        <f ca="1">IF(AND($C167="S",ORÇAMENTO.CodBarra&lt;&gt;""),IF(ORÇAMENTO.Fonte="",ORÇAMENTO.CodBarra,CONCATENATE(ORÇAMENTO.Fonte," ",ORÇAMENTO.CodBarra)))</f>
        <v>SINAPI 89798</v>
      </c>
      <c r="AF167" s="13" t="str">
        <f ca="1">IF(ISERROR(INDIRECT(ORÇAMENTO.BancoRef)),"(abra o arquivo 'Referência "&amp;Excel_BuiltIn_Database&amp;".xlsm)",IF(OR($C167&lt;&gt;"S",ORÇAMENTO.CodBarra=""),"(Sem Código)",IF(ISERROR(MATCH($AE167,INDIRECT(ORÇAMENTO.BancoRef),0)),"(Código não identificado nas referências)",MATCH($AE167,INDIRECT(ORÇAMENTO.BancoRef),0))))</f>
        <v>(abra o arquivo 'Referência 03-2024.xlsm)</v>
      </c>
      <c r="AG167" s="498">
        <f ca="1">ROUND(IF(DESONERACAO="sim",REFERENCIA.Desonerado,REFERENCIA.NaoDesonerado),2)</f>
        <v>0</v>
      </c>
      <c r="AH167" s="499">
        <f ca="1">ROUND(IF(ISNUMBER(ORÇAMENTO.OpcaoBDI),ORÇAMENTO.OpcaoBDI,IF(LEFT(ORÇAMENTO.OpcaoBDI,3)="BDI",HLOOKUP(ORÇAMENTO.OpcaoBDI,$F$4:$H$5,2,FALSE),0)),15-11*$AF$9)</f>
        <v>0.28170000000000001</v>
      </c>
      <c r="AJ167" s="501">
        <v>2</v>
      </c>
      <c r="AL167" s="527"/>
      <c r="AM167" s="381">
        <f t="shared" ca="1" si="50"/>
        <v>34.46</v>
      </c>
      <c r="AN167" s="566">
        <f ca="1">ROUND(ORÇAMENTO.CustoUnitario*(1+$AH167),2)</f>
        <v>17.23</v>
      </c>
    </row>
    <row r="168" spans="1:40" ht="38.25" x14ac:dyDescent="0.2">
      <c r="A168" t="str">
        <f t="shared" si="36"/>
        <v>S</v>
      </c>
      <c r="B168">
        <f t="shared" ca="1" si="37"/>
        <v>3</v>
      </c>
      <c r="C168" t="str">
        <f t="shared" ca="1" si="38"/>
        <v>S</v>
      </c>
      <c r="D168">
        <f t="shared" ca="1" si="39"/>
        <v>0</v>
      </c>
      <c r="E168">
        <f ca="1">IF($C168=1,OFFSET(E168,-1,0)+MAX(1,COUNTIF(QCI!$A$13:$A$24,OFFSET(ORÇAMENTO!E168,-1,0))),OFFSET(E168,-1,0))</f>
        <v>1</v>
      </c>
      <c r="F168">
        <f t="shared" ca="1" si="40"/>
        <v>6</v>
      </c>
      <c r="G168">
        <f t="shared" ca="1" si="41"/>
        <v>16</v>
      </c>
      <c r="H168">
        <f t="shared" ca="1" si="42"/>
        <v>0</v>
      </c>
      <c r="I168">
        <f t="shared" ca="1" si="43"/>
        <v>12</v>
      </c>
      <c r="J168">
        <f t="shared" ca="1" si="35"/>
        <v>0</v>
      </c>
      <c r="K168">
        <f ca="1">IF(OR($C168="S",$C168=0),0,MATCH(OFFSET($D168,0,$C168)+IF($C168&lt;&gt;1,1,COUNTIF(QCI!$A$13:$A$24,ORÇAMENTO!E168)),OFFSET($D168,1,$C168,ROW($C$290)-ROW($C168)),0))</f>
        <v>0</v>
      </c>
      <c r="L168" s="116" t="str">
        <f t="shared" ca="1" si="44"/>
        <v>F</v>
      </c>
      <c r="M168" s="117" t="s">
        <v>199</v>
      </c>
      <c r="N168" s="118" t="str">
        <f t="shared" ca="1" si="45"/>
        <v>Serviço</v>
      </c>
      <c r="O168" s="119" t="str">
        <f t="shared" ca="1" si="46"/>
        <v>1.6.16.12.</v>
      </c>
      <c r="P168" s="120" t="s">
        <v>462</v>
      </c>
      <c r="Q168" s="121" t="s">
        <v>553</v>
      </c>
      <c r="R168" s="122" t="str">
        <f ca="1">IF($C168="S",REFERENCIA.Descricao,"(digite a descrição aqui)")</f>
        <v>(abra o arquivo 'Referência 03-2024.xlsm)</v>
      </c>
      <c r="S168" s="123" t="str">
        <f ca="1">REFERENCIA.Unidade</f>
        <v>-</v>
      </c>
      <c r="T168" s="124">
        <f ca="1">OFFSET(CÁLCULO!H$15,ROW($T168)-ROW(T$15),0)</f>
        <v>12</v>
      </c>
      <c r="U168" s="125">
        <v>27.28</v>
      </c>
      <c r="V168" s="126" t="s">
        <v>156</v>
      </c>
      <c r="W168" s="124">
        <f ca="1">IF($C168="S",ROUND(IF(TIPOORCAMENTO="Proposto",ORÇAMENTO.CustoUnitario*(1+$AH168),ORÇAMENTO.PrecoUnitarioLicitado),15-13*$AF$10),0)</f>
        <v>34.96</v>
      </c>
      <c r="X168" s="127">
        <f ca="1">IF($C168="S",IF(Import.TipoArredondamento&lt;&gt;"TransfereGOV",VTOTAL1,SUM(OFFSET(CÁLCULO!$AA$15,ROW($X168)-ROW($X$15),1):OFFSET(CÁLCULO!$AL$15,ROW($X168)-ROW($X$15),-1))),IF($C168=0,0,ROUND(SomaAgrup,15-13*$AF$11)))</f>
        <v>419.52</v>
      </c>
      <c r="Y168" s="128" t="s">
        <v>245</v>
      </c>
      <c r="Z168" t="str">
        <f t="shared" ca="1" si="47"/>
        <v>RA</v>
      </c>
      <c r="AA168" s="129">
        <f ca="1">IF($C168="S",IF($Z168="CP",$X168,IF($Z168="RA",(($X168)*QCI!$AA$3),0)),SomaAgrup)</f>
        <v>419.52</v>
      </c>
      <c r="AB168" s="130">
        <f t="shared" ca="1" si="48"/>
        <v>0</v>
      </c>
      <c r="AC168" s="131" t="str">
        <f ca="1">IF($N168="","",IF(ORÇAMENTO.Descricao="","DESCRIÇÃO",IF(AND($C168="S",ORÇAMENTO.Unidade=""),"UNIDADE",IF($X168&lt;0,"VALOR NEGATIVO",IF(OR(AND(TIPOORCAMENTO="Proposto",$AG168&lt;&gt;"",$AG168&gt;0,ORÇAMENTO.CustoUnitario&gt;$AG168),AND(TIPOORCAMENTO="LICITADO",ORÇAMENTO.PrecoUnitarioLicitado&gt;$AN168)),"ACIMA REF.","")))))</f>
        <v/>
      </c>
      <c r="AD168" t="str">
        <f ca="1">IF(C168&lt;=CRONO.NivelExibicao,MAX($AD$15:OFFSET(AD168,-1,0))+IF($C168&lt;&gt;1,1,MAX(1,COUNTIF(QCI!$A$13:$A$24,OFFSET($E168,-1,0)))),"")</f>
        <v/>
      </c>
      <c r="AE168" s="7" t="str">
        <f ca="1">IF(AND($C168="S",ORÇAMENTO.CodBarra&lt;&gt;""),IF(ORÇAMENTO.Fonte="",ORÇAMENTO.CodBarra,CONCATENATE(ORÇAMENTO.Fonte," ",ORÇAMENTO.CodBarra)))</f>
        <v>Composição 54</v>
      </c>
      <c r="AF168" s="13" t="str">
        <f ca="1">IF(ISERROR(INDIRECT(ORÇAMENTO.BancoRef)),"(abra o arquivo 'Referência "&amp;Excel_BuiltIn_Database&amp;".xlsm)",IF(OR($C168&lt;&gt;"S",ORÇAMENTO.CodBarra=""),"(Sem Código)",IF(ISERROR(MATCH($AE168,INDIRECT(ORÇAMENTO.BancoRef),0)),"(Código não identificado nas referências)",MATCH($AE168,INDIRECT(ORÇAMENTO.BancoRef),0))))</f>
        <v>(abra o arquivo 'Referência 03-2024.xlsm)</v>
      </c>
      <c r="AG168" s="498">
        <f ca="1">ROUND(IF(DESONERACAO="sim",REFERENCIA.Desonerado,REFERENCIA.NaoDesonerado),2)</f>
        <v>0</v>
      </c>
      <c r="AH168" s="499">
        <f t="shared" ca="1" si="49"/>
        <v>0.28170000000000001</v>
      </c>
      <c r="AJ168" s="501">
        <v>12</v>
      </c>
      <c r="AL168" s="527"/>
      <c r="AM168" s="381">
        <f t="shared" ca="1" si="50"/>
        <v>419.52</v>
      </c>
      <c r="AN168" s="566">
        <f t="shared" ca="1" si="51"/>
        <v>34.96</v>
      </c>
    </row>
    <row r="169" spans="1:40" ht="38.25" x14ac:dyDescent="0.2">
      <c r="A169" t="str">
        <f t="shared" si="36"/>
        <v>S</v>
      </c>
      <c r="B169">
        <f t="shared" ca="1" si="37"/>
        <v>3</v>
      </c>
      <c r="C169" t="str">
        <f t="shared" ca="1" si="38"/>
        <v>S</v>
      </c>
      <c r="D169">
        <f t="shared" ca="1" si="39"/>
        <v>0</v>
      </c>
      <c r="E169">
        <f ca="1">IF($C169=1,OFFSET(E169,-1,0)+MAX(1,COUNTIF(QCI!$A$13:$A$24,OFFSET(ORÇAMENTO!E169,-1,0))),OFFSET(E169,-1,0))</f>
        <v>1</v>
      </c>
      <c r="F169">
        <f t="shared" ca="1" si="40"/>
        <v>6</v>
      </c>
      <c r="G169">
        <f t="shared" ca="1" si="41"/>
        <v>16</v>
      </c>
      <c r="H169">
        <f t="shared" ca="1" si="42"/>
        <v>0</v>
      </c>
      <c r="I169">
        <f t="shared" ca="1" si="43"/>
        <v>13</v>
      </c>
      <c r="J169">
        <f t="shared" ca="1" si="35"/>
        <v>0</v>
      </c>
      <c r="K169">
        <f ca="1">IF(OR($C169="S",$C169=0),0,MATCH(OFFSET($D169,0,$C169)+IF($C169&lt;&gt;1,1,COUNTIF(QCI!$A$13:$A$24,ORÇAMENTO!E169)),OFFSET($D169,1,$C169,ROW($C$290)-ROW($C169)),0))</f>
        <v>0</v>
      </c>
      <c r="L169" s="116" t="str">
        <f t="shared" ca="1" si="44"/>
        <v>F</v>
      </c>
      <c r="M169" s="117" t="s">
        <v>199</v>
      </c>
      <c r="N169" s="118" t="str">
        <f t="shared" ca="1" si="45"/>
        <v>Serviço</v>
      </c>
      <c r="O169" s="119" t="str">
        <f t="shared" ca="1" si="46"/>
        <v>1.6.16.13.</v>
      </c>
      <c r="P169" s="120" t="s">
        <v>247</v>
      </c>
      <c r="Q169" s="121" t="s">
        <v>554</v>
      </c>
      <c r="R169" s="122" t="str">
        <f ca="1">IF($C169="S",REFERENCIA.Descricao,"(digite a descrição aqui)")</f>
        <v>(abra o arquivo 'Referência 03-2024.xlsm)</v>
      </c>
      <c r="S169" s="123" t="str">
        <f ca="1">REFERENCIA.Unidade</f>
        <v>-</v>
      </c>
      <c r="T169" s="124">
        <f ca="1">OFFSET(CÁLCULO!H$15,ROW($T169)-ROW(T$15),0)</f>
        <v>6</v>
      </c>
      <c r="U169" s="125">
        <v>27.43</v>
      </c>
      <c r="V169" s="126" t="s">
        <v>156</v>
      </c>
      <c r="W169" s="124">
        <f ca="1">IF($C169="S",ROUND(IF(TIPOORCAMENTO="Proposto",ORÇAMENTO.CustoUnitario*(1+$AH169),ORÇAMENTO.PrecoUnitarioLicitado),15-13*$AF$10),0)</f>
        <v>35.159999999999997</v>
      </c>
      <c r="X169" s="127">
        <f ca="1">IF($C169="S",IF(Import.TipoArredondamento&lt;&gt;"TransfereGOV",VTOTAL1,SUM(OFFSET(CÁLCULO!$AA$15,ROW($X169)-ROW($X$15),1):OFFSET(CÁLCULO!$AL$15,ROW($X169)-ROW($X$15),-1))),IF($C169=0,0,ROUND(SomaAgrup,15-13*$AF$11)))</f>
        <v>210.96</v>
      </c>
      <c r="Y169" s="128" t="s">
        <v>245</v>
      </c>
      <c r="Z169" t="str">
        <f t="shared" ca="1" si="47"/>
        <v>RA</v>
      </c>
      <c r="AA169" s="129">
        <f ca="1">IF($C169="S",IF($Z169="CP",$X169,IF($Z169="RA",(($X169)*QCI!$AA$3),0)),SomaAgrup)</f>
        <v>210.96</v>
      </c>
      <c r="AB169" s="130">
        <f t="shared" ca="1" si="48"/>
        <v>0</v>
      </c>
      <c r="AC169" s="131" t="str">
        <f ca="1">IF($N169="","",IF(ORÇAMENTO.Descricao="","DESCRIÇÃO",IF(AND($C169="S",ORÇAMENTO.Unidade=""),"UNIDADE",IF($X169&lt;0,"VALOR NEGATIVO",IF(OR(AND(TIPOORCAMENTO="Proposto",$AG169&lt;&gt;"",$AG169&gt;0,ORÇAMENTO.CustoUnitario&gt;$AG169),AND(TIPOORCAMENTO="LICITADO",ORÇAMENTO.PrecoUnitarioLicitado&gt;$AN169)),"ACIMA REF.","")))))</f>
        <v/>
      </c>
      <c r="AD169" t="str">
        <f ca="1">IF(C169&lt;=CRONO.NivelExibicao,MAX($AD$15:OFFSET(AD169,-1,0))+IF($C169&lt;&gt;1,1,MAX(1,COUNTIF(QCI!$A$13:$A$24,OFFSET($E169,-1,0)))),"")</f>
        <v/>
      </c>
      <c r="AE169" s="7" t="str">
        <f ca="1">IF(AND($C169="S",ORÇAMENTO.CodBarra&lt;&gt;""),IF(ORÇAMENTO.Fonte="",ORÇAMENTO.CodBarra,CONCATENATE(ORÇAMENTO.Fonte," ",ORÇAMENTO.CodBarra)))</f>
        <v>SINAPI 89746</v>
      </c>
      <c r="AF169" s="13" t="str">
        <f ca="1">IF(ISERROR(INDIRECT(ORÇAMENTO.BancoRef)),"(abra o arquivo 'Referência "&amp;Excel_BuiltIn_Database&amp;".xlsm)",IF(OR($C169&lt;&gt;"S",ORÇAMENTO.CodBarra=""),"(Sem Código)",IF(ISERROR(MATCH($AE169,INDIRECT(ORÇAMENTO.BancoRef),0)),"(Código não identificado nas referências)",MATCH($AE169,INDIRECT(ORÇAMENTO.BancoRef),0))))</f>
        <v>(abra o arquivo 'Referência 03-2024.xlsm)</v>
      </c>
      <c r="AG169" s="498">
        <f ca="1">ROUND(IF(DESONERACAO="sim",REFERENCIA.Desonerado,REFERENCIA.NaoDesonerado),2)</f>
        <v>0</v>
      </c>
      <c r="AH169" s="499">
        <f t="shared" ca="1" si="49"/>
        <v>0.28170000000000001</v>
      </c>
      <c r="AJ169" s="501">
        <v>6</v>
      </c>
      <c r="AL169" s="527"/>
      <c r="AM169" s="381">
        <f t="shared" ca="1" si="50"/>
        <v>210.96</v>
      </c>
      <c r="AN169" s="566">
        <f t="shared" ca="1" si="51"/>
        <v>35.159999999999997</v>
      </c>
    </row>
    <row r="170" spans="1:40" ht="38.25" x14ac:dyDescent="0.2">
      <c r="A170" t="str">
        <f t="shared" si="36"/>
        <v>S</v>
      </c>
      <c r="B170">
        <f t="shared" ca="1" si="37"/>
        <v>3</v>
      </c>
      <c r="C170" t="str">
        <f t="shared" ca="1" si="38"/>
        <v>S</v>
      </c>
      <c r="D170">
        <f t="shared" ca="1" si="39"/>
        <v>0</v>
      </c>
      <c r="E170">
        <f ca="1">IF($C170=1,OFFSET(E170,-1,0)+MAX(1,COUNTIF(QCI!$A$13:$A$24,OFFSET(ORÇAMENTO!E170,-1,0))),OFFSET(E170,-1,0))</f>
        <v>1</v>
      </c>
      <c r="F170">
        <f t="shared" ca="1" si="40"/>
        <v>6</v>
      </c>
      <c r="G170">
        <f t="shared" ca="1" si="41"/>
        <v>16</v>
      </c>
      <c r="H170">
        <f t="shared" ca="1" si="42"/>
        <v>0</v>
      </c>
      <c r="I170">
        <f t="shared" ca="1" si="43"/>
        <v>14</v>
      </c>
      <c r="J170">
        <f t="shared" ca="1" si="35"/>
        <v>0</v>
      </c>
      <c r="K170">
        <f ca="1">IF(OR($C170="S",$C170=0),0,MATCH(OFFSET($D170,0,$C170)+IF($C170&lt;&gt;1,1,COUNTIF(QCI!$A$13:$A$24,ORÇAMENTO!E170)),OFFSET($D170,1,$C170,ROW($C$290)-ROW($C170)),0))</f>
        <v>0</v>
      </c>
      <c r="L170" s="116" t="str">
        <f t="shared" ca="1" si="44"/>
        <v>F</v>
      </c>
      <c r="M170" s="117" t="s">
        <v>199</v>
      </c>
      <c r="N170" s="118" t="str">
        <f t="shared" ca="1" si="45"/>
        <v>Serviço</v>
      </c>
      <c r="O170" s="119" t="str">
        <f t="shared" ca="1" si="46"/>
        <v>1.6.16.14.</v>
      </c>
      <c r="P170" s="120" t="s">
        <v>247</v>
      </c>
      <c r="Q170" s="121" t="s">
        <v>555</v>
      </c>
      <c r="R170" s="122" t="str">
        <f ca="1">IF($C170="S",REFERENCIA.Descricao,"(digite a descrição aqui)")</f>
        <v>(abra o arquivo 'Referência 03-2024.xlsm)</v>
      </c>
      <c r="S170" s="123" t="str">
        <f ca="1">REFERENCIA.Unidade</f>
        <v>-</v>
      </c>
      <c r="T170" s="124">
        <f ca="1">OFFSET(CÁLCULO!H$15,ROW($T170)-ROW(T$15),0)</f>
        <v>4</v>
      </c>
      <c r="U170" s="125">
        <v>10.06</v>
      </c>
      <c r="V170" s="126" t="s">
        <v>156</v>
      </c>
      <c r="W170" s="124">
        <f ca="1">IF($C170="S",ROUND(IF(TIPOORCAMENTO="Proposto",ORÇAMENTO.CustoUnitario*(1+$AH170),ORÇAMENTO.PrecoUnitarioLicitado),15-13*$AF$10),0)</f>
        <v>12.89</v>
      </c>
      <c r="X170" s="127">
        <f ca="1">IF($C170="S",IF(Import.TipoArredondamento&lt;&gt;"TransfereGOV",VTOTAL1,SUM(OFFSET(CÁLCULO!$AA$15,ROW($X170)-ROW($X$15),1):OFFSET(CÁLCULO!$AL$15,ROW($X170)-ROW($X$15),-1))),IF($C170=0,0,ROUND(SomaAgrup,15-13*$AF$11)))</f>
        <v>51.56</v>
      </c>
      <c r="Y170" s="128" t="s">
        <v>245</v>
      </c>
      <c r="Z170" t="str">
        <f t="shared" ca="1" si="47"/>
        <v>RA</v>
      </c>
      <c r="AA170" s="129">
        <f ca="1">IF($C170="S",IF($Z170="CP",$X170,IF($Z170="RA",(($X170)*QCI!$AA$3),0)),SomaAgrup)</f>
        <v>51.56</v>
      </c>
      <c r="AB170" s="130">
        <f t="shared" ca="1" si="48"/>
        <v>0</v>
      </c>
      <c r="AC170" s="131" t="str">
        <f ca="1">IF($N170="","",IF(ORÇAMENTO.Descricao="","DESCRIÇÃO",IF(AND($C170="S",ORÇAMENTO.Unidade=""),"UNIDADE",IF($X170&lt;0,"VALOR NEGATIVO",IF(OR(AND(TIPOORCAMENTO="Proposto",$AG170&lt;&gt;"",$AG170&gt;0,ORÇAMENTO.CustoUnitario&gt;$AG170),AND(TIPOORCAMENTO="LICITADO",ORÇAMENTO.PrecoUnitarioLicitado&gt;$AN170)),"ACIMA REF.","")))))</f>
        <v/>
      </c>
      <c r="AD170" t="str">
        <f ca="1">IF(C170&lt;=CRONO.NivelExibicao,MAX($AD$15:OFFSET(AD170,-1,0))+IF($C170&lt;&gt;1,1,MAX(1,COUNTIF(QCI!$A$13:$A$24,OFFSET($E170,-1,0)))),"")</f>
        <v/>
      </c>
      <c r="AE170" s="7" t="str">
        <f ca="1">IF(AND($C170="S",ORÇAMENTO.CodBarra&lt;&gt;""),IF(ORÇAMENTO.Fonte="",ORÇAMENTO.CodBarra,CONCATENATE(ORÇAMENTO.Fonte," ",ORÇAMENTO.CodBarra)))</f>
        <v>SINAPI 89726</v>
      </c>
      <c r="AF170" s="13" t="str">
        <f ca="1">IF(ISERROR(INDIRECT(ORÇAMENTO.BancoRef)),"(abra o arquivo 'Referência "&amp;Excel_BuiltIn_Database&amp;".xlsm)",IF(OR($C170&lt;&gt;"S",ORÇAMENTO.CodBarra=""),"(Sem Código)",IF(ISERROR(MATCH($AE170,INDIRECT(ORÇAMENTO.BancoRef),0)),"(Código não identificado nas referências)",MATCH($AE170,INDIRECT(ORÇAMENTO.BancoRef),0))))</f>
        <v>(abra o arquivo 'Referência 03-2024.xlsm)</v>
      </c>
      <c r="AG170" s="498">
        <f ca="1">ROUND(IF(DESONERACAO="sim",REFERENCIA.Desonerado,REFERENCIA.NaoDesonerado),2)</f>
        <v>0</v>
      </c>
      <c r="AH170" s="499">
        <f t="shared" ca="1" si="49"/>
        <v>0.28170000000000001</v>
      </c>
      <c r="AJ170" s="501">
        <v>4</v>
      </c>
      <c r="AL170" s="527"/>
      <c r="AM170" s="381">
        <f t="shared" ca="1" si="50"/>
        <v>51.56</v>
      </c>
      <c r="AN170" s="566">
        <f t="shared" ca="1" si="51"/>
        <v>12.89</v>
      </c>
    </row>
    <row r="171" spans="1:40" ht="38.25" x14ac:dyDescent="0.2">
      <c r="A171" t="str">
        <f t="shared" si="36"/>
        <v>S</v>
      </c>
      <c r="B171">
        <f t="shared" ca="1" si="37"/>
        <v>3</v>
      </c>
      <c r="C171" t="str">
        <f t="shared" ca="1" si="38"/>
        <v>S</v>
      </c>
      <c r="D171">
        <f t="shared" ca="1" si="39"/>
        <v>0</v>
      </c>
      <c r="E171">
        <f ca="1">IF($C171=1,OFFSET(E171,-1,0)+MAX(1,COUNTIF(QCI!$A$13:$A$24,OFFSET(ORÇAMENTO!E171,-1,0))),OFFSET(E171,-1,0))</f>
        <v>1</v>
      </c>
      <c r="F171">
        <f t="shared" ca="1" si="40"/>
        <v>6</v>
      </c>
      <c r="G171">
        <f t="shared" ca="1" si="41"/>
        <v>16</v>
      </c>
      <c r="H171">
        <f t="shared" ca="1" si="42"/>
        <v>0</v>
      </c>
      <c r="I171">
        <f t="shared" ca="1" si="43"/>
        <v>15</v>
      </c>
      <c r="J171">
        <f t="shared" ca="1" si="35"/>
        <v>0</v>
      </c>
      <c r="K171">
        <f ca="1">IF(OR($C171="S",$C171=0),0,MATCH(OFFSET($D171,0,$C171)+IF($C171&lt;&gt;1,1,COUNTIF(QCI!$A$13:$A$24,ORÇAMENTO!E171)),OFFSET($D171,1,$C171,ROW($C$290)-ROW($C171)),0))</f>
        <v>0</v>
      </c>
      <c r="L171" s="116" t="str">
        <f t="shared" ca="1" si="44"/>
        <v>F</v>
      </c>
      <c r="M171" s="117" t="s">
        <v>199</v>
      </c>
      <c r="N171" s="118" t="str">
        <f t="shared" ca="1" si="45"/>
        <v>Serviço</v>
      </c>
      <c r="O171" s="119" t="str">
        <f t="shared" ca="1" si="46"/>
        <v>1.6.16.15.</v>
      </c>
      <c r="P171" s="120" t="s">
        <v>247</v>
      </c>
      <c r="Q171" s="121" t="s">
        <v>557</v>
      </c>
      <c r="R171" s="122" t="str">
        <f ca="1">IF($C171="S",REFERENCIA.Descricao,"(digite a descrição aqui)")</f>
        <v>(abra o arquivo 'Referência 03-2024.xlsm)</v>
      </c>
      <c r="S171" s="123" t="str">
        <f ca="1">REFERENCIA.Unidade</f>
        <v>-</v>
      </c>
      <c r="T171" s="124">
        <f ca="1">OFFSET(CÁLCULO!H$15,ROW($T171)-ROW(T$15),0)</f>
        <v>4</v>
      </c>
      <c r="U171" s="125">
        <v>9.49</v>
      </c>
      <c r="V171" s="126" t="s">
        <v>156</v>
      </c>
      <c r="W171" s="124">
        <f ca="1">IF($C171="S",ROUND(IF(TIPOORCAMENTO="Proposto",ORÇAMENTO.CustoUnitario*(1+$AH171),ORÇAMENTO.PrecoUnitarioLicitado),15-13*$AF$10),0)</f>
        <v>12.16</v>
      </c>
      <c r="X171" s="127">
        <f ca="1">IF($C171="S",IF(Import.TipoArredondamento&lt;&gt;"TransfereGOV",VTOTAL1,SUM(OFFSET(CÁLCULO!$AA$15,ROW($X171)-ROW($X$15),1):OFFSET(CÁLCULO!$AL$15,ROW($X171)-ROW($X$15),-1))),IF($C171=0,0,ROUND(SomaAgrup,15-13*$AF$11)))</f>
        <v>48.64</v>
      </c>
      <c r="Y171" s="128" t="s">
        <v>245</v>
      </c>
      <c r="Z171" t="str">
        <f t="shared" ca="1" si="47"/>
        <v>RA</v>
      </c>
      <c r="AA171" s="129">
        <f ca="1">IF($C171="S",IF($Z171="CP",$X171,IF($Z171="RA",(($X171)*QCI!$AA$3),0)),SomaAgrup)</f>
        <v>48.64</v>
      </c>
      <c r="AB171" s="130">
        <f t="shared" ca="1" si="48"/>
        <v>0</v>
      </c>
      <c r="AC171" s="131" t="str">
        <f ca="1">IF($N171="","",IF(ORÇAMENTO.Descricao="","DESCRIÇÃO",IF(AND($C171="S",ORÇAMENTO.Unidade=""),"UNIDADE",IF($X171&lt;0,"VALOR NEGATIVO",IF(OR(AND(TIPOORCAMENTO="Proposto",$AG171&lt;&gt;"",$AG171&gt;0,ORÇAMENTO.CustoUnitario&gt;$AG171),AND(TIPOORCAMENTO="LICITADO",ORÇAMENTO.PrecoUnitarioLicitado&gt;$AN171)),"ACIMA REF.","")))))</f>
        <v/>
      </c>
      <c r="AD171" t="str">
        <f ca="1">IF(C171&lt;=CRONO.NivelExibicao,MAX($AD$15:OFFSET(AD171,-1,0))+IF($C171&lt;&gt;1,1,MAX(1,COUNTIF(QCI!$A$13:$A$24,OFFSET($E171,-1,0)))),"")</f>
        <v/>
      </c>
      <c r="AE171" s="7" t="str">
        <f ca="1">IF(AND($C171="S",ORÇAMENTO.CodBarra&lt;&gt;""),IF(ORÇAMENTO.Fonte="",ORÇAMENTO.CodBarra,CONCATENATE(ORÇAMENTO.Fonte," ",ORÇAMENTO.CodBarra)))</f>
        <v>SINAPI 89801</v>
      </c>
      <c r="AF171" s="13" t="str">
        <f ca="1">IF(ISERROR(INDIRECT(ORÇAMENTO.BancoRef)),"(abra o arquivo 'Referência "&amp;Excel_BuiltIn_Database&amp;".xlsm)",IF(OR($C171&lt;&gt;"S",ORÇAMENTO.CodBarra=""),"(Sem Código)",IF(ISERROR(MATCH($AE171,INDIRECT(ORÇAMENTO.BancoRef),0)),"(Código não identificado nas referências)",MATCH($AE171,INDIRECT(ORÇAMENTO.BancoRef),0))))</f>
        <v>(abra o arquivo 'Referência 03-2024.xlsm)</v>
      </c>
      <c r="AG171" s="498">
        <f ca="1">ROUND(IF(DESONERACAO="sim",REFERENCIA.Desonerado,REFERENCIA.NaoDesonerado),2)</f>
        <v>0</v>
      </c>
      <c r="AH171" s="499">
        <f t="shared" ca="1" si="49"/>
        <v>0.28170000000000001</v>
      </c>
      <c r="AJ171" s="501">
        <v>4</v>
      </c>
      <c r="AL171" s="527"/>
      <c r="AM171" s="381">
        <f t="shared" ca="1" si="50"/>
        <v>48.64</v>
      </c>
      <c r="AN171" s="566">
        <f t="shared" ca="1" si="51"/>
        <v>12.16</v>
      </c>
    </row>
    <row r="172" spans="1:40" ht="25.5" x14ac:dyDescent="0.2">
      <c r="A172" t="str">
        <f t="shared" si="36"/>
        <v>S</v>
      </c>
      <c r="B172">
        <f t="shared" ca="1" si="37"/>
        <v>3</v>
      </c>
      <c r="C172" t="str">
        <f t="shared" ca="1" si="38"/>
        <v>S</v>
      </c>
      <c r="D172">
        <f t="shared" ca="1" si="39"/>
        <v>0</v>
      </c>
      <c r="E172">
        <f ca="1">IF($C172=1,OFFSET(E172,-1,0)+MAX(1,COUNTIF(QCI!$A$13:$A$24,OFFSET(ORÇAMENTO!E172,-1,0))),OFFSET(E172,-1,0))</f>
        <v>1</v>
      </c>
      <c r="F172">
        <f t="shared" ca="1" si="40"/>
        <v>6</v>
      </c>
      <c r="G172">
        <f t="shared" ca="1" si="41"/>
        <v>16</v>
      </c>
      <c r="H172">
        <f t="shared" ca="1" si="42"/>
        <v>0</v>
      </c>
      <c r="I172">
        <f t="shared" ca="1" si="43"/>
        <v>16</v>
      </c>
      <c r="J172">
        <f t="shared" ca="1" si="35"/>
        <v>0</v>
      </c>
      <c r="K172">
        <f ca="1">IF(OR($C172="S",$C172=0),0,MATCH(OFFSET($D172,0,$C172)+IF($C172&lt;&gt;1,1,COUNTIF(QCI!$A$13:$A$24,ORÇAMENTO!E172)),OFFSET($D172,1,$C172,ROW($C$290)-ROW($C172)),0))</f>
        <v>0</v>
      </c>
      <c r="L172" s="116" t="str">
        <f t="shared" ca="1" si="44"/>
        <v>F</v>
      </c>
      <c r="M172" s="117" t="s">
        <v>199</v>
      </c>
      <c r="N172" s="118" t="str">
        <f t="shared" ca="1" si="45"/>
        <v>Serviço</v>
      </c>
      <c r="O172" s="119" t="str">
        <f t="shared" ca="1" si="46"/>
        <v>1.6.16.16.</v>
      </c>
      <c r="P172" s="120" t="s">
        <v>462</v>
      </c>
      <c r="Q172" s="121" t="s">
        <v>559</v>
      </c>
      <c r="R172" s="122" t="str">
        <f ca="1">IF($C172="S",REFERENCIA.Descricao,"(digite a descrição aqui)")</f>
        <v>(abra o arquivo 'Referência 03-2024.xlsm)</v>
      </c>
      <c r="S172" s="123" t="str">
        <f ca="1">REFERENCIA.Unidade</f>
        <v>-</v>
      </c>
      <c r="T172" s="124">
        <f ca="1">OFFSET(CÁLCULO!H$15,ROW($T172)-ROW(T$15),0)</f>
        <v>2</v>
      </c>
      <c r="U172" s="125">
        <v>24.05</v>
      </c>
      <c r="V172" s="126" t="s">
        <v>156</v>
      </c>
      <c r="W172" s="124">
        <f ca="1">IF($C172="S",ROUND(IF(TIPOORCAMENTO="Proposto",ORÇAMENTO.CustoUnitario*(1+$AH172),ORÇAMENTO.PrecoUnitarioLicitado),15-13*$AF$10),0)</f>
        <v>30.82</v>
      </c>
      <c r="X172" s="127">
        <f ca="1">IF($C172="S",IF(Import.TipoArredondamento&lt;&gt;"TransfereGOV",VTOTAL1,SUM(OFFSET(CÁLCULO!$AA$15,ROW($X172)-ROW($X$15),1):OFFSET(CÁLCULO!$AL$15,ROW($X172)-ROW($X$15),-1))),IF($C172=0,0,ROUND(SomaAgrup,15-13*$AF$11)))</f>
        <v>61.64</v>
      </c>
      <c r="Y172" s="128" t="s">
        <v>245</v>
      </c>
      <c r="Z172" t="str">
        <f t="shared" ca="1" si="47"/>
        <v>RA</v>
      </c>
      <c r="AA172" s="129">
        <f ca="1">IF($C172="S",IF($Z172="CP",$X172,IF($Z172="RA",(($X172)*QCI!$AA$3),0)),SomaAgrup)</f>
        <v>61.64</v>
      </c>
      <c r="AB172" s="130">
        <f t="shared" ca="1" si="48"/>
        <v>0</v>
      </c>
      <c r="AC172" s="131" t="str">
        <f ca="1">IF($N172="","",IF(ORÇAMENTO.Descricao="","DESCRIÇÃO",IF(AND($C172="S",ORÇAMENTO.Unidade=""),"UNIDADE",IF($X172&lt;0,"VALOR NEGATIVO",IF(OR(AND(TIPOORCAMENTO="Proposto",$AG172&lt;&gt;"",$AG172&gt;0,ORÇAMENTO.CustoUnitario&gt;$AG172),AND(TIPOORCAMENTO="LICITADO",ORÇAMENTO.PrecoUnitarioLicitado&gt;$AN172)),"ACIMA REF.","")))))</f>
        <v/>
      </c>
      <c r="AD172" t="str">
        <f ca="1">IF(C172&lt;=CRONO.NivelExibicao,MAX($AD$15:OFFSET(AD172,-1,0))+IF($C172&lt;&gt;1,1,MAX(1,COUNTIF(QCI!$A$13:$A$24,OFFSET($E172,-1,0)))),"")</f>
        <v/>
      </c>
      <c r="AE172" s="7" t="str">
        <f ca="1">IF(AND($C172="S",ORÇAMENTO.CodBarra&lt;&gt;""),IF(ORÇAMENTO.Fonte="",ORÇAMENTO.CodBarra,CONCATENATE(ORÇAMENTO.Fonte," ",ORÇAMENTO.CodBarra)))</f>
        <v>Composição 55</v>
      </c>
      <c r="AF172" s="13" t="str">
        <f ca="1">IF(ISERROR(INDIRECT(ORÇAMENTO.BancoRef)),"(abra o arquivo 'Referência "&amp;Excel_BuiltIn_Database&amp;".xlsm)",IF(OR($C172&lt;&gt;"S",ORÇAMENTO.CodBarra=""),"(Sem Código)",IF(ISERROR(MATCH($AE172,INDIRECT(ORÇAMENTO.BancoRef),0)),"(Código não identificado nas referências)",MATCH($AE172,INDIRECT(ORÇAMENTO.BancoRef),0))))</f>
        <v>(abra o arquivo 'Referência 03-2024.xlsm)</v>
      </c>
      <c r="AG172" s="498">
        <f ca="1">ROUND(IF(DESONERACAO="sim",REFERENCIA.Desonerado,REFERENCIA.NaoDesonerado),2)</f>
        <v>0</v>
      </c>
      <c r="AH172" s="499">
        <f t="shared" ca="1" si="49"/>
        <v>0.28170000000000001</v>
      </c>
      <c r="AJ172" s="501">
        <v>2</v>
      </c>
      <c r="AL172" s="527"/>
      <c r="AM172" s="381">
        <f t="shared" ca="1" si="50"/>
        <v>61.64</v>
      </c>
      <c r="AN172" s="566">
        <f t="shared" ca="1" si="51"/>
        <v>30.82</v>
      </c>
    </row>
    <row r="173" spans="1:40" ht="25.5" x14ac:dyDescent="0.2">
      <c r="A173" t="str">
        <f t="shared" si="36"/>
        <v>S</v>
      </c>
      <c r="B173">
        <f t="shared" ca="1" si="37"/>
        <v>3</v>
      </c>
      <c r="C173" t="str">
        <f t="shared" ca="1" si="38"/>
        <v>S</v>
      </c>
      <c r="D173">
        <f t="shared" ca="1" si="39"/>
        <v>0</v>
      </c>
      <c r="E173">
        <f ca="1">IF($C173=1,OFFSET(E173,-1,0)+MAX(1,COUNTIF(QCI!$A$13:$A$24,OFFSET(ORÇAMENTO!E173,-1,0))),OFFSET(E173,-1,0))</f>
        <v>1</v>
      </c>
      <c r="F173">
        <f t="shared" ca="1" si="40"/>
        <v>6</v>
      </c>
      <c r="G173">
        <f t="shared" ca="1" si="41"/>
        <v>16</v>
      </c>
      <c r="H173">
        <f t="shared" ca="1" si="42"/>
        <v>0</v>
      </c>
      <c r="I173">
        <f t="shared" ca="1" si="43"/>
        <v>17</v>
      </c>
      <c r="J173">
        <f t="shared" ca="1" si="35"/>
        <v>0</v>
      </c>
      <c r="K173">
        <f ca="1">IF(OR($C173="S",$C173=0),0,MATCH(OFFSET($D173,0,$C173)+IF($C173&lt;&gt;1,1,COUNTIF(QCI!$A$13:$A$24,ORÇAMENTO!E173)),OFFSET($D173,1,$C173,ROW($C$290)-ROW($C173)),0))</f>
        <v>0</v>
      </c>
      <c r="L173" s="116" t="str">
        <f t="shared" ca="1" si="44"/>
        <v>F</v>
      </c>
      <c r="M173" s="117" t="s">
        <v>199</v>
      </c>
      <c r="N173" s="118" t="str">
        <f t="shared" ca="1" si="45"/>
        <v>Serviço</v>
      </c>
      <c r="O173" s="119" t="str">
        <f t="shared" ca="1" si="46"/>
        <v>1.6.16.17.</v>
      </c>
      <c r="P173" s="120" t="s">
        <v>462</v>
      </c>
      <c r="Q173" s="121" t="s">
        <v>560</v>
      </c>
      <c r="R173" s="122" t="str">
        <f ca="1">IF($C173="S",REFERENCIA.Descricao,"(digite a descrição aqui)")</f>
        <v>(abra o arquivo 'Referência 03-2024.xlsm)</v>
      </c>
      <c r="S173" s="123" t="str">
        <f ca="1">REFERENCIA.Unidade</f>
        <v>-</v>
      </c>
      <c r="T173" s="124">
        <f ca="1">OFFSET(CÁLCULO!H$15,ROW($T173)-ROW(T$15),0)</f>
        <v>2</v>
      </c>
      <c r="U173" s="125">
        <v>139.58000000000001</v>
      </c>
      <c r="V173" s="126" t="s">
        <v>156</v>
      </c>
      <c r="W173" s="124">
        <f ca="1">IF($C173="S",ROUND(IF(TIPOORCAMENTO="Proposto",ORÇAMENTO.CustoUnitario*(1+$AH173),ORÇAMENTO.PrecoUnitarioLicitado),15-13*$AF$10),0)</f>
        <v>178.9</v>
      </c>
      <c r="X173" s="127">
        <f ca="1">IF($C173="S",IF(Import.TipoArredondamento&lt;&gt;"TransfereGOV",VTOTAL1,SUM(OFFSET(CÁLCULO!$AA$15,ROW($X173)-ROW($X$15),1):OFFSET(CÁLCULO!$AL$15,ROW($X173)-ROW($X$15),-1))),IF($C173=0,0,ROUND(SomaAgrup,15-13*$AF$11)))</f>
        <v>357.8</v>
      </c>
      <c r="Y173" s="128" t="s">
        <v>245</v>
      </c>
      <c r="Z173" t="str">
        <f t="shared" ca="1" si="47"/>
        <v>RA</v>
      </c>
      <c r="AA173" s="129">
        <f ca="1">IF($C173="S",IF($Z173="CP",$X173,IF($Z173="RA",(($X173)*QCI!$AA$3),0)),SomaAgrup)</f>
        <v>357.8</v>
      </c>
      <c r="AB173" s="130">
        <f t="shared" ca="1" si="48"/>
        <v>0</v>
      </c>
      <c r="AC173" s="131" t="str">
        <f ca="1">IF($N173="","",IF(ORÇAMENTO.Descricao="","DESCRIÇÃO",IF(AND($C173="S",ORÇAMENTO.Unidade=""),"UNIDADE",IF($X173&lt;0,"VALOR NEGATIVO",IF(OR(AND(TIPOORCAMENTO="Proposto",$AG173&lt;&gt;"",$AG173&gt;0,ORÇAMENTO.CustoUnitario&gt;$AG173),AND(TIPOORCAMENTO="LICITADO",ORÇAMENTO.PrecoUnitarioLicitado&gt;$AN173)),"ACIMA REF.","")))))</f>
        <v/>
      </c>
      <c r="AD173" t="str">
        <f ca="1">IF(C173&lt;=CRONO.NivelExibicao,MAX($AD$15:OFFSET(AD173,-1,0))+IF($C173&lt;&gt;1,1,MAX(1,COUNTIF(QCI!$A$13:$A$24,OFFSET($E173,-1,0)))),"")</f>
        <v/>
      </c>
      <c r="AE173" s="7" t="str">
        <f ca="1">IF(AND($C173="S",ORÇAMENTO.CodBarra&lt;&gt;""),IF(ORÇAMENTO.Fonte="",ORÇAMENTO.CodBarra,CONCATENATE(ORÇAMENTO.Fonte," ",ORÇAMENTO.CodBarra)))</f>
        <v>Composição 56</v>
      </c>
      <c r="AF173" s="13" t="str">
        <f ca="1">IF(ISERROR(INDIRECT(ORÇAMENTO.BancoRef)),"(abra o arquivo 'Referência "&amp;Excel_BuiltIn_Database&amp;".xlsm)",IF(OR($C173&lt;&gt;"S",ORÇAMENTO.CodBarra=""),"(Sem Código)",IF(ISERROR(MATCH($AE173,INDIRECT(ORÇAMENTO.BancoRef),0)),"(Código não identificado nas referências)",MATCH($AE173,INDIRECT(ORÇAMENTO.BancoRef),0))))</f>
        <v>(abra o arquivo 'Referência 03-2024.xlsm)</v>
      </c>
      <c r="AG173" s="498">
        <f ca="1">ROUND(IF(DESONERACAO="sim",REFERENCIA.Desonerado,REFERENCIA.NaoDesonerado),2)</f>
        <v>0</v>
      </c>
      <c r="AH173" s="499">
        <f t="shared" ca="1" si="49"/>
        <v>0.28170000000000001</v>
      </c>
      <c r="AJ173" s="501">
        <v>2</v>
      </c>
      <c r="AL173" s="527"/>
      <c r="AM173" s="381">
        <f t="shared" ca="1" si="50"/>
        <v>357.8</v>
      </c>
      <c r="AN173" s="566">
        <f t="shared" ca="1" si="51"/>
        <v>178.9</v>
      </c>
    </row>
    <row r="174" spans="1:40" ht="51" x14ac:dyDescent="0.2">
      <c r="A174" t="str">
        <f t="shared" si="36"/>
        <v>S</v>
      </c>
      <c r="B174">
        <f t="shared" ca="1" si="37"/>
        <v>3</v>
      </c>
      <c r="C174" t="str">
        <f t="shared" ca="1" si="38"/>
        <v>S</v>
      </c>
      <c r="D174">
        <f t="shared" ca="1" si="39"/>
        <v>0</v>
      </c>
      <c r="E174">
        <f ca="1">IF($C174=1,OFFSET(E174,-1,0)+MAX(1,COUNTIF(QCI!$A$13:$A$24,OFFSET(ORÇAMENTO!E174,-1,0))),OFFSET(E174,-1,0))</f>
        <v>1</v>
      </c>
      <c r="F174">
        <f t="shared" ca="1" si="40"/>
        <v>6</v>
      </c>
      <c r="G174">
        <f t="shared" ca="1" si="41"/>
        <v>16</v>
      </c>
      <c r="H174">
        <f t="shared" ca="1" si="42"/>
        <v>0</v>
      </c>
      <c r="I174">
        <f t="shared" ca="1" si="43"/>
        <v>18</v>
      </c>
      <c r="J174">
        <f t="shared" ca="1" si="35"/>
        <v>0</v>
      </c>
      <c r="K174">
        <f ca="1">IF(OR($C174="S",$C174=0),0,MATCH(OFFSET($D174,0,$C174)+IF($C174&lt;&gt;1,1,COUNTIF(QCI!$A$13:$A$24,ORÇAMENTO!E174)),OFFSET($D174,1,$C174,ROW($C$290)-ROW($C174)),0))</f>
        <v>0</v>
      </c>
      <c r="L174" s="116" t="str">
        <f t="shared" ca="1" si="44"/>
        <v>F</v>
      </c>
      <c r="M174" s="117" t="s">
        <v>199</v>
      </c>
      <c r="N174" s="118" t="str">
        <f t="shared" ca="1" si="45"/>
        <v>Serviço</v>
      </c>
      <c r="O174" s="119" t="str">
        <f t="shared" ca="1" si="46"/>
        <v>1.6.16.18.</v>
      </c>
      <c r="P174" s="120" t="s">
        <v>462</v>
      </c>
      <c r="Q174" s="121" t="s">
        <v>562</v>
      </c>
      <c r="R174" s="122" t="str">
        <f ca="1">IF($C174="S",REFERENCIA.Descricao,"(digite a descrição aqui)")</f>
        <v>(abra o arquivo 'Referência 03-2024.xlsm)</v>
      </c>
      <c r="S174" s="123" t="str">
        <f ca="1">REFERENCIA.Unidade</f>
        <v>-</v>
      </c>
      <c r="T174" s="124">
        <f ca="1">OFFSET(CÁLCULO!H$15,ROW($T174)-ROW(T$15),0)</f>
        <v>1</v>
      </c>
      <c r="U174" s="125">
        <v>398.15</v>
      </c>
      <c r="V174" s="126" t="s">
        <v>156</v>
      </c>
      <c r="W174" s="124">
        <f ca="1">IF($C174="S",ROUND(IF(TIPOORCAMENTO="Proposto",ORÇAMENTO.CustoUnitario*(1+$AH174),ORÇAMENTO.PrecoUnitarioLicitado),15-13*$AF$10),0)</f>
        <v>510.31</v>
      </c>
      <c r="X174" s="127">
        <f ca="1">IF($C174="S",IF(Import.TipoArredondamento&lt;&gt;"TransfereGOV",VTOTAL1,SUM(OFFSET(CÁLCULO!$AA$15,ROW($X174)-ROW($X$15),1):OFFSET(CÁLCULO!$AL$15,ROW($X174)-ROW($X$15),-1))),IF($C174=0,0,ROUND(SomaAgrup,15-13*$AF$11)))</f>
        <v>510.31</v>
      </c>
      <c r="Y174" s="128" t="s">
        <v>245</v>
      </c>
      <c r="Z174" t="str">
        <f t="shared" ca="1" si="47"/>
        <v>RA</v>
      </c>
      <c r="AA174" s="129">
        <f ca="1">IF($C174="S",IF($Z174="CP",$X174,IF($Z174="RA",(($X174)*QCI!$AA$3),0)),SomaAgrup)</f>
        <v>510.31</v>
      </c>
      <c r="AB174" s="130">
        <f t="shared" ca="1" si="48"/>
        <v>0</v>
      </c>
      <c r="AC174" s="131" t="str">
        <f ca="1">IF($N174="","",IF(ORÇAMENTO.Descricao="","DESCRIÇÃO",IF(AND($C174="S",ORÇAMENTO.Unidade=""),"UNIDADE",IF($X174&lt;0,"VALOR NEGATIVO",IF(OR(AND(TIPOORCAMENTO="Proposto",$AG174&lt;&gt;"",$AG174&gt;0,ORÇAMENTO.CustoUnitario&gt;$AG174),AND(TIPOORCAMENTO="LICITADO",ORÇAMENTO.PrecoUnitarioLicitado&gt;$AN174)),"ACIMA REF.","")))))</f>
        <v/>
      </c>
      <c r="AD174" t="str">
        <f ca="1">IF(C174&lt;=CRONO.NivelExibicao,MAX($AD$15:OFFSET(AD174,-1,0))+IF($C174&lt;&gt;1,1,MAX(1,COUNTIF(QCI!$A$13:$A$24,OFFSET($E174,-1,0)))),"")</f>
        <v/>
      </c>
      <c r="AE174" s="7" t="str">
        <f ca="1">IF(AND($C174="S",ORÇAMENTO.CodBarra&lt;&gt;""),IF(ORÇAMENTO.Fonte="",ORÇAMENTO.CodBarra,CONCATENATE(ORÇAMENTO.Fonte," ",ORÇAMENTO.CodBarra)))</f>
        <v>Composição 57</v>
      </c>
      <c r="AF174" s="13" t="str">
        <f ca="1">IF(ISERROR(INDIRECT(ORÇAMENTO.BancoRef)),"(abra o arquivo 'Referência "&amp;Excel_BuiltIn_Database&amp;".xlsm)",IF(OR($C174&lt;&gt;"S",ORÇAMENTO.CodBarra=""),"(Sem Código)",IF(ISERROR(MATCH($AE174,INDIRECT(ORÇAMENTO.BancoRef),0)),"(Código não identificado nas referências)",MATCH($AE174,INDIRECT(ORÇAMENTO.BancoRef),0))))</f>
        <v>(abra o arquivo 'Referência 03-2024.xlsm)</v>
      </c>
      <c r="AG174" s="498">
        <f ca="1">ROUND(IF(DESONERACAO="sim",REFERENCIA.Desonerado,REFERENCIA.NaoDesonerado),2)</f>
        <v>0</v>
      </c>
      <c r="AH174" s="499">
        <f t="shared" ca="1" si="49"/>
        <v>0.28170000000000001</v>
      </c>
      <c r="AJ174" s="501">
        <v>1</v>
      </c>
      <c r="AL174" s="527"/>
      <c r="AM174" s="381">
        <f t="shared" ca="1" si="50"/>
        <v>510.31</v>
      </c>
      <c r="AN174" s="566">
        <f t="shared" ca="1" si="51"/>
        <v>510.31</v>
      </c>
    </row>
    <row r="175" spans="1:40" ht="38.25" x14ac:dyDescent="0.2">
      <c r="A175" t="str">
        <f t="shared" si="36"/>
        <v>S</v>
      </c>
      <c r="B175">
        <f t="shared" ca="1" si="37"/>
        <v>3</v>
      </c>
      <c r="C175" t="str">
        <f t="shared" ca="1" si="38"/>
        <v>S</v>
      </c>
      <c r="D175">
        <f t="shared" ca="1" si="39"/>
        <v>0</v>
      </c>
      <c r="E175">
        <f ca="1">IF($C175=1,OFFSET(E175,-1,0)+MAX(1,COUNTIF(QCI!$A$13:$A$24,OFFSET(ORÇAMENTO!E175,-1,0))),OFFSET(E175,-1,0))</f>
        <v>1</v>
      </c>
      <c r="F175">
        <f t="shared" ca="1" si="40"/>
        <v>6</v>
      </c>
      <c r="G175">
        <f t="shared" ca="1" si="41"/>
        <v>16</v>
      </c>
      <c r="H175">
        <f t="shared" ca="1" si="42"/>
        <v>0</v>
      </c>
      <c r="I175">
        <f t="shared" ca="1" si="43"/>
        <v>19</v>
      </c>
      <c r="J175">
        <f t="shared" ca="1" si="35"/>
        <v>0</v>
      </c>
      <c r="K175">
        <f ca="1">IF(OR($C175="S",$C175=0),0,MATCH(OFFSET($D175,0,$C175)+IF($C175&lt;&gt;1,1,COUNTIF(QCI!$A$13:$A$24,ORÇAMENTO!E175)),OFFSET($D175,1,$C175,ROW($C$290)-ROW($C175)),0))</f>
        <v>0</v>
      </c>
      <c r="L175" s="116" t="str">
        <f t="shared" ca="1" si="44"/>
        <v>F</v>
      </c>
      <c r="M175" s="117" t="s">
        <v>199</v>
      </c>
      <c r="N175" s="118" t="str">
        <f t="shared" ca="1" si="45"/>
        <v>Serviço</v>
      </c>
      <c r="O175" s="119" t="str">
        <f t="shared" ca="1" si="46"/>
        <v>1.6.16.19.</v>
      </c>
      <c r="P175" s="120" t="s">
        <v>462</v>
      </c>
      <c r="Q175" s="121" t="s">
        <v>563</v>
      </c>
      <c r="R175" s="122" t="str">
        <f ca="1">IF($C175="S",REFERENCIA.Descricao,"(digite a descrição aqui)")</f>
        <v>(abra o arquivo 'Referência 03-2024.xlsm)</v>
      </c>
      <c r="S175" s="123" t="str">
        <f ca="1">REFERENCIA.Unidade</f>
        <v>-</v>
      </c>
      <c r="T175" s="124">
        <f ca="1">OFFSET(CÁLCULO!H$15,ROW($T175)-ROW(T$15),0)</f>
        <v>1</v>
      </c>
      <c r="U175" s="125">
        <v>2489.2399999999998</v>
      </c>
      <c r="V175" s="126" t="s">
        <v>156</v>
      </c>
      <c r="W175" s="124">
        <f ca="1">IF($C175="S",ROUND(IF(TIPOORCAMENTO="Proposto",ORÇAMENTO.CustoUnitario*(1+$AH175),ORÇAMENTO.PrecoUnitarioLicitado),15-13*$AF$10),0)</f>
        <v>3190.46</v>
      </c>
      <c r="X175" s="127">
        <f ca="1">IF($C175="S",IF(Import.TipoArredondamento&lt;&gt;"TransfereGOV",VTOTAL1,SUM(OFFSET(CÁLCULO!$AA$15,ROW($X175)-ROW($X$15),1):OFFSET(CÁLCULO!$AL$15,ROW($X175)-ROW($X$15),-1))),IF($C175=0,0,ROUND(SomaAgrup,15-13*$AF$11)))</f>
        <v>3190.46</v>
      </c>
      <c r="Y175" s="128" t="s">
        <v>245</v>
      </c>
      <c r="Z175" t="str">
        <f t="shared" ca="1" si="47"/>
        <v>RA</v>
      </c>
      <c r="AA175" s="129">
        <f ca="1">IF($C175="S",IF($Z175="CP",$X175,IF($Z175="RA",(($X175)*QCI!$AA$3),0)),SomaAgrup)</f>
        <v>3190.46</v>
      </c>
      <c r="AB175" s="130">
        <f t="shared" ca="1" si="48"/>
        <v>0</v>
      </c>
      <c r="AC175" s="131" t="str">
        <f ca="1">IF($N175="","",IF(ORÇAMENTO.Descricao="","DESCRIÇÃO",IF(AND($C175="S",ORÇAMENTO.Unidade=""),"UNIDADE",IF($X175&lt;0,"VALOR NEGATIVO",IF(OR(AND(TIPOORCAMENTO="Proposto",$AG175&lt;&gt;"",$AG175&gt;0,ORÇAMENTO.CustoUnitario&gt;$AG175),AND(TIPOORCAMENTO="LICITADO",ORÇAMENTO.PrecoUnitarioLicitado&gt;$AN175)),"ACIMA REF.","")))))</f>
        <v/>
      </c>
      <c r="AD175" t="str">
        <f ca="1">IF(C175&lt;=CRONO.NivelExibicao,MAX($AD$15:OFFSET(AD175,-1,0))+IF($C175&lt;&gt;1,1,MAX(1,COUNTIF(QCI!$A$13:$A$24,OFFSET($E175,-1,0)))),"")</f>
        <v/>
      </c>
      <c r="AE175" s="7" t="str">
        <f ca="1">IF(AND($C175="S",ORÇAMENTO.CodBarra&lt;&gt;""),IF(ORÇAMENTO.Fonte="",ORÇAMENTO.CodBarra,CONCATENATE(ORÇAMENTO.Fonte," ",ORÇAMENTO.CodBarra)))</f>
        <v>Composição 58</v>
      </c>
      <c r="AF175" s="13" t="str">
        <f ca="1">IF(ISERROR(INDIRECT(ORÇAMENTO.BancoRef)),"(abra o arquivo 'Referência "&amp;Excel_BuiltIn_Database&amp;".xlsm)",IF(OR($C175&lt;&gt;"S",ORÇAMENTO.CodBarra=""),"(Sem Código)",IF(ISERROR(MATCH($AE175,INDIRECT(ORÇAMENTO.BancoRef),0)),"(Código não identificado nas referências)",MATCH($AE175,INDIRECT(ORÇAMENTO.BancoRef),0))))</f>
        <v>(abra o arquivo 'Referência 03-2024.xlsm)</v>
      </c>
      <c r="AG175" s="498">
        <f ca="1">ROUND(IF(DESONERACAO="sim",REFERENCIA.Desonerado,REFERENCIA.NaoDesonerado),2)</f>
        <v>0</v>
      </c>
      <c r="AH175" s="499">
        <f t="shared" ca="1" si="49"/>
        <v>0.28170000000000001</v>
      </c>
      <c r="AJ175" s="501">
        <v>1</v>
      </c>
      <c r="AL175" s="527"/>
      <c r="AM175" s="381">
        <f t="shared" ca="1" si="50"/>
        <v>3190.46</v>
      </c>
      <c r="AN175" s="566">
        <f t="shared" ca="1" si="51"/>
        <v>3190.46</v>
      </c>
    </row>
    <row r="176" spans="1:40" ht="25.5" x14ac:dyDescent="0.2">
      <c r="A176" t="str">
        <f>CHOOSE(1+LOG(1+2*(ORÇAMENTO.Nivel="Meta")+4*(ORÇAMENTO.Nivel="Nível 2")+8*(ORÇAMENTO.Nivel="Nível 3")+16*(ORÇAMENTO.Nivel="Nível 4")+32*(ORÇAMENTO.Nivel="Serviço"),2),0,1,2,3,4,"S")</f>
        <v>S</v>
      </c>
      <c r="B176">
        <f ca="1">IF(OR(C176="s",C176=0),OFFSET(B176,-1,0),C176)</f>
        <v>3</v>
      </c>
      <c r="C176" t="str">
        <f ca="1">IF(OFFSET(C176,-1,0)="L",1,IF(OFFSET(C176,-1,0)=1,2,IF(OR(A176="s",A176=0),"S",IF(AND(OFFSET(C176,-1,0)=2,A176=4),3,IF(AND(OR(OFFSET(C176,-1,0)="s",OFFSET(C176,-1,0)=0),A176&lt;&gt;"s",A176&gt;OFFSET(B176,-1,0)),OFFSET(B176,-1,0),A176)))))</f>
        <v>S</v>
      </c>
      <c r="D176">
        <f ca="1">IF(OR(C176="S",C176=0),0,IF(ISERROR(K176),J176,SMALL(J176:K176,1)))</f>
        <v>0</v>
      </c>
      <c r="E176">
        <f ca="1">IF($C176=1,OFFSET(E176,-1,0)+MAX(1,COUNTIF(QCI!$A$13:$A$24,OFFSET(ORÇAMENTO!E176,-1,0))),OFFSET(E176,-1,0))</f>
        <v>1</v>
      </c>
      <c r="F176">
        <f ca="1">IF($C176=1,0,IF($C176=2,OFFSET(F176,-1,0)+1,OFFSET(F176,-1,0)))</f>
        <v>6</v>
      </c>
      <c r="G176">
        <f ca="1">IF(AND($C176&lt;=2,$C176&lt;&gt;0),0,IF($C176=3,OFFSET(G176,-1,0)+1,OFFSET(G176,-1,0)))</f>
        <v>16</v>
      </c>
      <c r="H176">
        <f ca="1">IF(AND($C176&lt;=3,$C176&lt;&gt;0),0,IF($C176=4,OFFSET(H176,-1,0)+1,OFFSET(H176,-1,0)))</f>
        <v>0</v>
      </c>
      <c r="I176">
        <f ca="1">IF(AND($C176&lt;=4,$C176&lt;&gt;0),0,IF(AND($C176="S",$X176&gt;0),OFFSET(I176,-1,0)+1,OFFSET(I176,-1,0)))</f>
        <v>20</v>
      </c>
      <c r="J176">
        <f t="shared" ca="1" si="35"/>
        <v>0</v>
      </c>
      <c r="K176">
        <f ca="1">IF(OR($C176="S",$C176=0),0,MATCH(OFFSET($D176,0,$C176)+IF($C176&lt;&gt;1,1,COUNTIF(QCI!$A$13:$A$24,ORÇAMENTO!E176)),OFFSET($D176,1,$C176,ROW($C$290)-ROW($C176)),0))</f>
        <v>0</v>
      </c>
      <c r="L176" s="116" t="str">
        <f ca="1">IF(OR($X176&gt;0,$C176=1,$C176=2,$C176=3,$C176=4),"F","")</f>
        <v>F</v>
      </c>
      <c r="M176" s="117" t="s">
        <v>199</v>
      </c>
      <c r="N176" s="118" t="str">
        <f ca="1">CHOOSE(1+LOG(1+2*(C176=1)+4*(C176=2)+8*(C176=3)+16*(C176=4)+32*(C176="S"),2),"","Meta","Nível 2","Nível 3","Nível 4","Serviço")</f>
        <v>Serviço</v>
      </c>
      <c r="O176" s="119" t="str">
        <f ca="1">IF(OR($C176=0,$L176=""),"-",CONCATENATE(E176&amp;".",IF(AND($A$5&gt;=2,$C176&gt;=2),F176&amp;".",""),IF(AND($A$5&gt;=3,$C176&gt;=3),G176&amp;".",""),IF(AND($A$5&gt;=4,$C176&gt;=4),H176&amp;".",""),IF($C176="S",I176&amp;".","")))</f>
        <v>1.6.16.20.</v>
      </c>
      <c r="P176" s="120" t="s">
        <v>462</v>
      </c>
      <c r="Q176" s="121" t="s">
        <v>564</v>
      </c>
      <c r="R176" s="122" t="str">
        <f ca="1">IF($C176="S",REFERENCIA.Descricao,"(digite a descrição aqui)")</f>
        <v>(abra o arquivo 'Referência 03-2024.xlsm)</v>
      </c>
      <c r="S176" s="123" t="str">
        <f ca="1">REFERENCIA.Unidade</f>
        <v>-</v>
      </c>
      <c r="T176" s="124">
        <f ca="1">OFFSET(CÁLCULO!H$15,ROW($T176)-ROW(T$15),0)</f>
        <v>1</v>
      </c>
      <c r="U176" s="125">
        <v>332.84</v>
      </c>
      <c r="V176" s="126" t="s">
        <v>156</v>
      </c>
      <c r="W176" s="124">
        <f ca="1">IF($C176="S",ROUND(IF(TIPOORCAMENTO="Proposto",ORÇAMENTO.CustoUnitario*(1+$AH176),ORÇAMENTO.PrecoUnitarioLicitado),15-13*$AF$10),0)</f>
        <v>426.6</v>
      </c>
      <c r="X176" s="127">
        <f ca="1">IF($C176="S",IF(Import.TipoArredondamento&lt;&gt;"TransfereGOV",VTOTAL1,SUM(OFFSET(CÁLCULO!$AA$15,ROW($X176)-ROW($X$15),1):OFFSET(CÁLCULO!$AL$15,ROW($X176)-ROW($X$15),-1))),IF($C176=0,0,ROUND(SomaAgrup,15-13*$AF$11)))</f>
        <v>426.6</v>
      </c>
      <c r="Y176" s="128" t="s">
        <v>245</v>
      </c>
      <c r="Z176" t="str">
        <f ca="1">IF(AND($C176="S",$X176&gt;0),IF(ISBLANK($Y176),"RA",LEFT($Y176,2)),"")</f>
        <v>RA</v>
      </c>
      <c r="AA176" s="129">
        <f ca="1">IF($C176="S",IF($Z176="CP",$X176,IF($Z176="RA",(($X176)*QCI!$AA$3),0)),SomaAgrup)</f>
        <v>426.6</v>
      </c>
      <c r="AB176" s="130">
        <f ca="1">IF($C176="S",IF($Z176="OU",ROUND($X176,2),0),SomaAgrup)</f>
        <v>0</v>
      </c>
      <c r="AC176" s="131" t="str">
        <f ca="1">IF($N176="","",IF(ORÇAMENTO.Descricao="","DESCRIÇÃO",IF(AND($C176="S",ORÇAMENTO.Unidade=""),"UNIDADE",IF($X176&lt;0,"VALOR NEGATIVO",IF(OR(AND(TIPOORCAMENTO="Proposto",$AG176&lt;&gt;"",$AG176&gt;0,ORÇAMENTO.CustoUnitario&gt;$AG176),AND(TIPOORCAMENTO="LICITADO",ORÇAMENTO.PrecoUnitarioLicitado&gt;$AN176)),"ACIMA REF.","")))))</f>
        <v/>
      </c>
      <c r="AD176" t="str">
        <f ca="1">IF(C176&lt;=CRONO.NivelExibicao,MAX($AD$15:OFFSET(AD176,-1,0))+IF($C176&lt;&gt;1,1,MAX(1,COUNTIF(QCI!$A$13:$A$24,OFFSET($E176,-1,0)))),"")</f>
        <v/>
      </c>
      <c r="AE176" s="7" t="str">
        <f ca="1">IF(AND($C176="S",ORÇAMENTO.CodBarra&lt;&gt;""),IF(ORÇAMENTO.Fonte="",ORÇAMENTO.CodBarra,CONCATENATE(ORÇAMENTO.Fonte," ",ORÇAMENTO.CodBarra)))</f>
        <v>Composição 59</v>
      </c>
      <c r="AF176" s="13" t="str">
        <f ca="1">IF(ISERROR(INDIRECT(ORÇAMENTO.BancoRef)),"(abra o arquivo 'Referência "&amp;Excel_BuiltIn_Database&amp;".xlsm)",IF(OR($C176&lt;&gt;"S",ORÇAMENTO.CodBarra=""),"(Sem Código)",IF(ISERROR(MATCH($AE176,INDIRECT(ORÇAMENTO.BancoRef),0)),"(Código não identificado nas referências)",MATCH($AE176,INDIRECT(ORÇAMENTO.BancoRef),0))))</f>
        <v>(abra o arquivo 'Referência 03-2024.xlsm)</v>
      </c>
      <c r="AG176" s="498">
        <f ca="1">ROUND(IF(DESONERACAO="sim",REFERENCIA.Desonerado,REFERENCIA.NaoDesonerado),2)</f>
        <v>0</v>
      </c>
      <c r="AH176" s="499">
        <f ca="1">ROUND(IF(ISNUMBER(ORÇAMENTO.OpcaoBDI),ORÇAMENTO.OpcaoBDI,IF(LEFT(ORÇAMENTO.OpcaoBDI,3)="BDI",HLOOKUP(ORÇAMENTO.OpcaoBDI,$F$4:$H$5,2,FALSE),0)),15-11*$AF$9)</f>
        <v>0.28170000000000001</v>
      </c>
      <c r="AJ176" s="501">
        <v>1</v>
      </c>
      <c r="AL176" s="527"/>
      <c r="AM176" s="381">
        <f t="shared" ca="1" si="50"/>
        <v>426.6</v>
      </c>
      <c r="AN176" s="566">
        <f ca="1">ROUND(ORÇAMENTO.CustoUnitario*(1+$AH176),2)</f>
        <v>426.6</v>
      </c>
    </row>
    <row r="177" spans="1:40" x14ac:dyDescent="0.2">
      <c r="A177">
        <f t="shared" si="36"/>
        <v>3</v>
      </c>
      <c r="B177">
        <f t="shared" ca="1" si="37"/>
        <v>3</v>
      </c>
      <c r="C177">
        <f t="shared" ca="1" si="38"/>
        <v>3</v>
      </c>
      <c r="D177">
        <f t="shared" ca="1" si="39"/>
        <v>11</v>
      </c>
      <c r="E177">
        <f ca="1">IF($C177=1,OFFSET(E177,-1,0)+MAX(1,COUNTIF(QCI!$A$13:$A$24,OFFSET(ORÇAMENTO!E177,-1,0))),OFFSET(E177,-1,0))</f>
        <v>1</v>
      </c>
      <c r="F177">
        <f t="shared" ca="1" si="40"/>
        <v>6</v>
      </c>
      <c r="G177">
        <f t="shared" ca="1" si="41"/>
        <v>17</v>
      </c>
      <c r="H177">
        <f t="shared" ca="1" si="42"/>
        <v>0</v>
      </c>
      <c r="I177">
        <f t="shared" ca="1" si="43"/>
        <v>0</v>
      </c>
      <c r="J177">
        <f t="shared" ca="1" si="35"/>
        <v>15</v>
      </c>
      <c r="K177">
        <f ca="1">IF(OR($C177="S",$C177=0),0,MATCH(OFFSET($D177,0,$C177)+IF($C177&lt;&gt;1,1,COUNTIF(QCI!$A$13:$A$24,ORÇAMENTO!E177)),OFFSET($D177,1,$C177,ROW($C$290)-ROW($C177)),0))</f>
        <v>11</v>
      </c>
      <c r="L177" s="116" t="str">
        <f t="shared" ca="1" si="44"/>
        <v>F</v>
      </c>
      <c r="M177" s="117" t="s">
        <v>197</v>
      </c>
      <c r="N177" s="118" t="str">
        <f t="shared" ca="1" si="45"/>
        <v>Nível 3</v>
      </c>
      <c r="O177" s="119" t="str">
        <f t="shared" ca="1" si="46"/>
        <v>1.6.17.</v>
      </c>
      <c r="P177" s="120" t="s">
        <v>247</v>
      </c>
      <c r="Q177" s="121"/>
      <c r="R177" s="122" t="s">
        <v>561</v>
      </c>
      <c r="S177" s="123" t="str">
        <f ca="1">REFERENCIA.Unidade</f>
        <v>-</v>
      </c>
      <c r="T177" s="124">
        <f ca="1">OFFSET(CÁLCULO!H$15,ROW($T177)-ROW(T$15),0)</f>
        <v>0</v>
      </c>
      <c r="U177" s="125">
        <v>0</v>
      </c>
      <c r="V177" s="126" t="s">
        <v>156</v>
      </c>
      <c r="W177" s="124">
        <f ca="1">IF($C177="S",ROUND(IF(TIPOORCAMENTO="Proposto",ORÇAMENTO.CustoUnitario*(1+$AH177),ORÇAMENTO.PrecoUnitarioLicitado),15-13*$AF$10),0)</f>
        <v>0</v>
      </c>
      <c r="X177" s="127">
        <f ca="1">IF($C177="S",IF(Import.TipoArredondamento&lt;&gt;"TransfereGOV",VTOTAL1,SUM(OFFSET(CÁLCULO!$AA$15,ROW($X177)-ROW($X$15),1):OFFSET(CÁLCULO!$AL$15,ROW($X177)-ROW($X$15),-1))),IF($C177=0,0,ROUND(SomaAgrup,15-13*$AF$11)))</f>
        <v>2001.59</v>
      </c>
      <c r="Y177" s="128" t="s">
        <v>245</v>
      </c>
      <c r="Z177" t="str">
        <f t="shared" ca="1" si="47"/>
        <v/>
      </c>
      <c r="AA177" s="129">
        <f ca="1">IF($C177="S",IF($Z177="CP",$X177,IF($Z177="RA",(($X177)*QCI!$AA$3),0)),SomaAgrup)</f>
        <v>2001.59</v>
      </c>
      <c r="AB177" s="130">
        <f t="shared" ca="1" si="48"/>
        <v>0</v>
      </c>
      <c r="AC177" s="131" t="str">
        <f ca="1">IF($N177="","",IF(ORÇAMENTO.Descricao="","DESCRIÇÃO",IF(AND($C177="S",ORÇAMENTO.Unidade=""),"UNIDADE",IF($X177&lt;0,"VALOR NEGATIVO",IF(OR(AND(TIPOORCAMENTO="Proposto",$AG177&lt;&gt;"",$AG177&gt;0,ORÇAMENTO.CustoUnitario&gt;$AG177),AND(TIPOORCAMENTO="LICITADO",ORÇAMENTO.PrecoUnitarioLicitado&gt;$AN177)),"ACIMA REF.","")))))</f>
        <v/>
      </c>
      <c r="AD177">
        <f ca="1">IF(C177&lt;=CRONO.NivelExibicao,MAX($AD$15:OFFSET(AD177,-1,0))+IF($C177&lt;&gt;1,1,MAX(1,COUNTIF(QCI!$A$13:$A$24,OFFSET($E177,-1,0)))),"")</f>
        <v>26</v>
      </c>
      <c r="AE177" s="7" t="b">
        <f ca="1">IF(AND($C177="S",ORÇAMENTO.CodBarra&lt;&gt;""),IF(ORÇAMENTO.Fonte="",ORÇAMENTO.CodBarra,CONCATENATE(ORÇAMENTO.Fonte," ",ORÇAMENTO.CodBarra)))</f>
        <v>0</v>
      </c>
      <c r="AF177" s="13" t="str">
        <f ca="1">IF(ISERROR(INDIRECT(ORÇAMENTO.BancoRef)),"(abra o arquivo 'Referência "&amp;Excel_BuiltIn_Database&amp;".xlsm)",IF(OR($C177&lt;&gt;"S",ORÇAMENTO.CodBarra=""),"(Sem Código)",IF(ISERROR(MATCH($AE177,INDIRECT(ORÇAMENTO.BancoRef),0)),"(Código não identificado nas referências)",MATCH($AE177,INDIRECT(ORÇAMENTO.BancoRef),0))))</f>
        <v>(abra o arquivo 'Referência 03-2024.xlsm)</v>
      </c>
      <c r="AG177" s="498">
        <f ca="1">ROUND(IF(DESONERACAO="sim",REFERENCIA.Desonerado,REFERENCIA.NaoDesonerado),2)</f>
        <v>0</v>
      </c>
      <c r="AH177" s="499">
        <f t="shared" ca="1" si="49"/>
        <v>0.28170000000000001</v>
      </c>
      <c r="AJ177" s="501"/>
      <c r="AL177" s="527"/>
      <c r="AM177" s="381">
        <f t="shared" ca="1" si="50"/>
        <v>2001.59</v>
      </c>
      <c r="AN177" s="566">
        <f t="shared" ca="1" si="51"/>
        <v>0</v>
      </c>
    </row>
    <row r="178" spans="1:40" ht="38.25" x14ac:dyDescent="0.2">
      <c r="A178" t="str">
        <f t="shared" si="36"/>
        <v>S</v>
      </c>
      <c r="B178">
        <f t="shared" ca="1" si="37"/>
        <v>3</v>
      </c>
      <c r="C178" t="str">
        <f t="shared" ca="1" si="38"/>
        <v>S</v>
      </c>
      <c r="D178">
        <f t="shared" ca="1" si="39"/>
        <v>0</v>
      </c>
      <c r="E178">
        <f ca="1">IF($C178=1,OFFSET(E178,-1,0)+MAX(1,COUNTIF(QCI!$A$13:$A$24,OFFSET(ORÇAMENTO!E178,-1,0))),OFFSET(E178,-1,0))</f>
        <v>1</v>
      </c>
      <c r="F178">
        <f t="shared" ca="1" si="40"/>
        <v>6</v>
      </c>
      <c r="G178">
        <f t="shared" ca="1" si="41"/>
        <v>17</v>
      </c>
      <c r="H178">
        <f t="shared" ca="1" si="42"/>
        <v>0</v>
      </c>
      <c r="I178">
        <f t="shared" ca="1" si="43"/>
        <v>1</v>
      </c>
      <c r="J178">
        <f t="shared" ca="1" si="35"/>
        <v>0</v>
      </c>
      <c r="K178">
        <f ca="1">IF(OR($C178="S",$C178=0),0,MATCH(OFFSET($D178,0,$C178)+IF($C178&lt;&gt;1,1,COUNTIF(QCI!$A$13:$A$24,ORÇAMENTO!E178)),OFFSET($D178,1,$C178,ROW($C$290)-ROW($C178)),0))</f>
        <v>0</v>
      </c>
      <c r="L178" s="116" t="str">
        <f t="shared" ca="1" si="44"/>
        <v>F</v>
      </c>
      <c r="M178" s="117" t="s">
        <v>199</v>
      </c>
      <c r="N178" s="118" t="str">
        <f t="shared" ca="1" si="45"/>
        <v>Serviço</v>
      </c>
      <c r="O178" s="119" t="str">
        <f t="shared" ca="1" si="46"/>
        <v>1.6.17.1.</v>
      </c>
      <c r="P178" s="120" t="s">
        <v>462</v>
      </c>
      <c r="Q178" s="121" t="s">
        <v>565</v>
      </c>
      <c r="R178" s="122" t="str">
        <f ca="1">IF($C178="S",REFERENCIA.Descricao,"(digite a descrição aqui)")</f>
        <v>(abra o arquivo 'Referência 03-2024.xlsm)</v>
      </c>
      <c r="S178" s="123" t="str">
        <f ca="1">REFERENCIA.Unidade</f>
        <v>-</v>
      </c>
      <c r="T178" s="124">
        <f ca="1">OFFSET(CÁLCULO!H$15,ROW($T178)-ROW(T$15),0)</f>
        <v>1</v>
      </c>
      <c r="U178" s="125">
        <v>107.39</v>
      </c>
      <c r="V178" s="126" t="s">
        <v>156</v>
      </c>
      <c r="W178" s="124">
        <f ca="1">IF($C178="S",ROUND(IF(TIPOORCAMENTO="Proposto",ORÇAMENTO.CustoUnitario*(1+$AH178),ORÇAMENTO.PrecoUnitarioLicitado),15-13*$AF$10),0)</f>
        <v>137.63999999999999</v>
      </c>
      <c r="X178" s="127">
        <f ca="1">IF($C178="S",IF(Import.TipoArredondamento&lt;&gt;"TransfereGOV",VTOTAL1,SUM(OFFSET(CÁLCULO!$AA$15,ROW($X178)-ROW($X$15),1):OFFSET(CÁLCULO!$AL$15,ROW($X178)-ROW($X$15),-1))),IF($C178=0,0,ROUND(SomaAgrup,15-13*$AF$11)))</f>
        <v>137.63999999999999</v>
      </c>
      <c r="Y178" s="128" t="s">
        <v>245</v>
      </c>
      <c r="Z178" t="str">
        <f t="shared" ca="1" si="47"/>
        <v>RA</v>
      </c>
      <c r="AA178" s="129">
        <f ca="1">IF($C178="S",IF($Z178="CP",$X178,IF($Z178="RA",(($X178)*QCI!$AA$3),0)),SomaAgrup)</f>
        <v>137.63999999999999</v>
      </c>
      <c r="AB178" s="130">
        <f t="shared" ca="1" si="48"/>
        <v>0</v>
      </c>
      <c r="AC178" s="131" t="str">
        <f ca="1">IF($N178="","",IF(ORÇAMENTO.Descricao="","DESCRIÇÃO",IF(AND($C178="S",ORÇAMENTO.Unidade=""),"UNIDADE",IF($X178&lt;0,"VALOR NEGATIVO",IF(OR(AND(TIPOORCAMENTO="Proposto",$AG178&lt;&gt;"",$AG178&gt;0,ORÇAMENTO.CustoUnitario&gt;$AG178),AND(TIPOORCAMENTO="LICITADO",ORÇAMENTO.PrecoUnitarioLicitado&gt;$AN178)),"ACIMA REF.","")))))</f>
        <v/>
      </c>
      <c r="AD178" t="str">
        <f ca="1">IF(C178&lt;=CRONO.NivelExibicao,MAX($AD$15:OFFSET(AD178,-1,0))+IF($C178&lt;&gt;1,1,MAX(1,COUNTIF(QCI!$A$13:$A$24,OFFSET($E178,-1,0)))),"")</f>
        <v/>
      </c>
      <c r="AE178" s="7" t="str">
        <f ca="1">IF(AND($C178="S",ORÇAMENTO.CodBarra&lt;&gt;""),IF(ORÇAMENTO.Fonte="",ORÇAMENTO.CodBarra,CONCATENATE(ORÇAMENTO.Fonte," ",ORÇAMENTO.CodBarra)))</f>
        <v>Composição 60</v>
      </c>
      <c r="AF178" s="13" t="str">
        <f ca="1">IF(ISERROR(INDIRECT(ORÇAMENTO.BancoRef)),"(abra o arquivo 'Referência "&amp;Excel_BuiltIn_Database&amp;".xlsm)",IF(OR($C178&lt;&gt;"S",ORÇAMENTO.CodBarra=""),"(Sem Código)",IF(ISERROR(MATCH($AE178,INDIRECT(ORÇAMENTO.BancoRef),0)),"(Código não identificado nas referências)",MATCH($AE178,INDIRECT(ORÇAMENTO.BancoRef),0))))</f>
        <v>(abra o arquivo 'Referência 03-2024.xlsm)</v>
      </c>
      <c r="AG178" s="498">
        <f ca="1">ROUND(IF(DESONERACAO="sim",REFERENCIA.Desonerado,REFERENCIA.NaoDesonerado),2)</f>
        <v>0</v>
      </c>
      <c r="AH178" s="499">
        <f t="shared" ca="1" si="49"/>
        <v>0.28170000000000001</v>
      </c>
      <c r="AJ178" s="501">
        <v>1</v>
      </c>
      <c r="AL178" s="527"/>
      <c r="AM178" s="381">
        <f t="shared" ca="1" si="50"/>
        <v>137.63999999999999</v>
      </c>
      <c r="AN178" s="566">
        <f t="shared" ca="1" si="51"/>
        <v>137.63999999999999</v>
      </c>
    </row>
    <row r="179" spans="1:40" ht="25.5" x14ac:dyDescent="0.2">
      <c r="A179" t="str">
        <f t="shared" si="36"/>
        <v>S</v>
      </c>
      <c r="B179">
        <f t="shared" ca="1" si="37"/>
        <v>3</v>
      </c>
      <c r="C179" t="str">
        <f t="shared" ca="1" si="38"/>
        <v>S</v>
      </c>
      <c r="D179">
        <f t="shared" ca="1" si="39"/>
        <v>0</v>
      </c>
      <c r="E179">
        <f ca="1">IF($C179=1,OFFSET(E179,-1,0)+MAX(1,COUNTIF(QCI!$A$13:$A$24,OFFSET(ORÇAMENTO!E179,-1,0))),OFFSET(E179,-1,0))</f>
        <v>1</v>
      </c>
      <c r="F179">
        <f t="shared" ca="1" si="40"/>
        <v>6</v>
      </c>
      <c r="G179">
        <f t="shared" ca="1" si="41"/>
        <v>17</v>
      </c>
      <c r="H179">
        <f t="shared" ca="1" si="42"/>
        <v>0</v>
      </c>
      <c r="I179">
        <f t="shared" ca="1" si="43"/>
        <v>2</v>
      </c>
      <c r="J179">
        <f t="shared" ca="1" si="35"/>
        <v>0</v>
      </c>
      <c r="K179">
        <f ca="1">IF(OR($C179="S",$C179=0),0,MATCH(OFFSET($D179,0,$C179)+IF($C179&lt;&gt;1,1,COUNTIF(QCI!$A$13:$A$24,ORÇAMENTO!E179)),OFFSET($D179,1,$C179,ROW($C$290)-ROW($C179)),0))</f>
        <v>0</v>
      </c>
      <c r="L179" s="116" t="str">
        <f t="shared" ca="1" si="44"/>
        <v>F</v>
      </c>
      <c r="M179" s="117" t="s">
        <v>199</v>
      </c>
      <c r="N179" s="118" t="str">
        <f t="shared" ca="1" si="45"/>
        <v>Serviço</v>
      </c>
      <c r="O179" s="119" t="str">
        <f t="shared" ca="1" si="46"/>
        <v>1.6.17.2.</v>
      </c>
      <c r="P179" s="120" t="s">
        <v>247</v>
      </c>
      <c r="Q179" s="121" t="s">
        <v>482</v>
      </c>
      <c r="R179" s="122" t="str">
        <f ca="1">IF($C179="S",REFERENCIA.Descricao,"(digite a descrição aqui)")</f>
        <v>(abra o arquivo 'Referência 03-2024.xlsm)</v>
      </c>
      <c r="S179" s="123" t="str">
        <f ca="1">REFERENCIA.Unidade</f>
        <v>-</v>
      </c>
      <c r="T179" s="124">
        <f ca="1">OFFSET(CÁLCULO!H$15,ROW($T179)-ROW(T$15),0)</f>
        <v>4</v>
      </c>
      <c r="U179" s="125">
        <v>10.7</v>
      </c>
      <c r="V179" s="126" t="s">
        <v>156</v>
      </c>
      <c r="W179" s="124">
        <f ca="1">IF($C179="S",ROUND(IF(TIPOORCAMENTO="Proposto",ORÇAMENTO.CustoUnitario*(1+$AH179),ORÇAMENTO.PrecoUnitarioLicitado),15-13*$AF$10),0)</f>
        <v>13.71</v>
      </c>
      <c r="X179" s="127">
        <f ca="1">IF($C179="S",IF(Import.TipoArredondamento&lt;&gt;"TransfereGOV",VTOTAL1,SUM(OFFSET(CÁLCULO!$AA$15,ROW($X179)-ROW($X$15),1):OFFSET(CÁLCULO!$AL$15,ROW($X179)-ROW($X$15),-1))),IF($C179=0,0,ROUND(SomaAgrup,15-13*$AF$11)))</f>
        <v>54.84</v>
      </c>
      <c r="Y179" s="128" t="s">
        <v>245</v>
      </c>
      <c r="Z179" t="str">
        <f t="shared" ca="1" si="47"/>
        <v>RA</v>
      </c>
      <c r="AA179" s="129">
        <f ca="1">IF($C179="S",IF($Z179="CP",$X179,IF($Z179="RA",(($X179)*QCI!$AA$3),0)),SomaAgrup)</f>
        <v>54.84</v>
      </c>
      <c r="AB179" s="130">
        <f t="shared" ca="1" si="48"/>
        <v>0</v>
      </c>
      <c r="AC179" s="131" t="str">
        <f ca="1">IF($N179="","",IF(ORÇAMENTO.Descricao="","DESCRIÇÃO",IF(AND($C179="S",ORÇAMENTO.Unidade=""),"UNIDADE",IF($X179&lt;0,"VALOR NEGATIVO",IF(OR(AND(TIPOORCAMENTO="Proposto",$AG179&lt;&gt;"",$AG179&gt;0,ORÇAMENTO.CustoUnitario&gt;$AG179),AND(TIPOORCAMENTO="LICITADO",ORÇAMENTO.PrecoUnitarioLicitado&gt;$AN179)),"ACIMA REF.","")))))</f>
        <v/>
      </c>
      <c r="AD179" t="str">
        <f ca="1">IF(C179&lt;=CRONO.NivelExibicao,MAX($AD$15:OFFSET(AD179,-1,0))+IF($C179&lt;&gt;1,1,MAX(1,COUNTIF(QCI!$A$13:$A$24,OFFSET($E179,-1,0)))),"")</f>
        <v/>
      </c>
      <c r="AE179" s="7" t="str">
        <f ca="1">IF(AND($C179="S",ORÇAMENTO.CodBarra&lt;&gt;""),IF(ORÇAMENTO.Fonte="",ORÇAMENTO.CodBarra,CONCATENATE(ORÇAMENTO.Fonte," ",ORÇAMENTO.CodBarra)))</f>
        <v>SINAPI 93653</v>
      </c>
      <c r="AF179" s="13" t="str">
        <f ca="1">IF(ISERROR(INDIRECT(ORÇAMENTO.BancoRef)),"(abra o arquivo 'Referência "&amp;Excel_BuiltIn_Database&amp;".xlsm)",IF(OR($C179&lt;&gt;"S",ORÇAMENTO.CodBarra=""),"(Sem Código)",IF(ISERROR(MATCH($AE179,INDIRECT(ORÇAMENTO.BancoRef),0)),"(Código não identificado nas referências)",MATCH($AE179,INDIRECT(ORÇAMENTO.BancoRef),0))))</f>
        <v>(abra o arquivo 'Referência 03-2024.xlsm)</v>
      </c>
      <c r="AG179" s="498">
        <f ca="1">ROUND(IF(DESONERACAO="sim",REFERENCIA.Desonerado,REFERENCIA.NaoDesonerado),2)</f>
        <v>0</v>
      </c>
      <c r="AH179" s="499">
        <f t="shared" ca="1" si="49"/>
        <v>0.28170000000000001</v>
      </c>
      <c r="AJ179" s="501">
        <v>4</v>
      </c>
      <c r="AL179" s="527"/>
      <c r="AM179" s="381">
        <f t="shared" ca="1" si="50"/>
        <v>54.84</v>
      </c>
      <c r="AN179" s="566">
        <f t="shared" ca="1" si="51"/>
        <v>13.71</v>
      </c>
    </row>
    <row r="180" spans="1:40" ht="38.25" x14ac:dyDescent="0.2">
      <c r="A180" t="str">
        <f t="shared" si="36"/>
        <v>S</v>
      </c>
      <c r="B180">
        <f t="shared" ca="1" si="37"/>
        <v>3</v>
      </c>
      <c r="C180" t="str">
        <f t="shared" ca="1" si="38"/>
        <v>S</v>
      </c>
      <c r="D180">
        <f t="shared" ca="1" si="39"/>
        <v>0</v>
      </c>
      <c r="E180">
        <f ca="1">IF($C180=1,OFFSET(E180,-1,0)+MAX(1,COUNTIF(QCI!$A$13:$A$24,OFFSET(ORÇAMENTO!E180,-1,0))),OFFSET(E180,-1,0))</f>
        <v>1</v>
      </c>
      <c r="F180">
        <f t="shared" ca="1" si="40"/>
        <v>6</v>
      </c>
      <c r="G180">
        <f t="shared" ca="1" si="41"/>
        <v>17</v>
      </c>
      <c r="H180">
        <f t="shared" ca="1" si="42"/>
        <v>0</v>
      </c>
      <c r="I180">
        <f t="shared" ca="1" si="43"/>
        <v>3</v>
      </c>
      <c r="J180">
        <f t="shared" ca="1" si="35"/>
        <v>0</v>
      </c>
      <c r="K180">
        <f ca="1">IF(OR($C180="S",$C180=0),0,MATCH(OFFSET($D180,0,$C180)+IF($C180&lt;&gt;1,1,COUNTIF(QCI!$A$13:$A$24,ORÇAMENTO!E180)),OFFSET($D180,1,$C180,ROW($C$290)-ROW($C180)),0))</f>
        <v>0</v>
      </c>
      <c r="L180" s="116" t="str">
        <f t="shared" ca="1" si="44"/>
        <v>F</v>
      </c>
      <c r="M180" s="117" t="s">
        <v>199</v>
      </c>
      <c r="N180" s="118" t="str">
        <f t="shared" ca="1" si="45"/>
        <v>Serviço</v>
      </c>
      <c r="O180" s="119" t="str">
        <f t="shared" ca="1" si="46"/>
        <v>1.6.17.3.</v>
      </c>
      <c r="P180" s="120" t="s">
        <v>462</v>
      </c>
      <c r="Q180" s="121" t="s">
        <v>566</v>
      </c>
      <c r="R180" s="122" t="str">
        <f ca="1">IF($C180="S",REFERENCIA.Descricao,"(digite a descrição aqui)")</f>
        <v>(abra o arquivo 'Referência 03-2024.xlsm)</v>
      </c>
      <c r="S180" s="123" t="str">
        <f ca="1">REFERENCIA.Unidade</f>
        <v>-</v>
      </c>
      <c r="T180" s="124">
        <f ca="1">OFFSET(CÁLCULO!H$15,ROW($T180)-ROW(T$15),0)</f>
        <v>30</v>
      </c>
      <c r="U180" s="125">
        <v>6.63</v>
      </c>
      <c r="V180" s="126" t="s">
        <v>156</v>
      </c>
      <c r="W180" s="124">
        <f ca="1">IF($C180="S",ROUND(IF(TIPOORCAMENTO="Proposto",ORÇAMENTO.CustoUnitario*(1+$AH180),ORÇAMENTO.PrecoUnitarioLicitado),15-13*$AF$10),0)</f>
        <v>8.5</v>
      </c>
      <c r="X180" s="127">
        <f ca="1">IF($C180="S",IF(Import.TipoArredondamento&lt;&gt;"TransfereGOV",VTOTAL1,SUM(OFFSET(CÁLCULO!$AA$15,ROW($X180)-ROW($X$15),1):OFFSET(CÁLCULO!$AL$15,ROW($X180)-ROW($X$15),-1))),IF($C180=0,0,ROUND(SomaAgrup,15-13*$AF$11)))</f>
        <v>255</v>
      </c>
      <c r="Y180" s="128" t="s">
        <v>245</v>
      </c>
      <c r="Z180" t="str">
        <f t="shared" ca="1" si="47"/>
        <v>RA</v>
      </c>
      <c r="AA180" s="129">
        <f ca="1">IF($C180="S",IF($Z180="CP",$X180,IF($Z180="RA",(($X180)*QCI!$AA$3),0)),SomaAgrup)</f>
        <v>255</v>
      </c>
      <c r="AB180" s="130">
        <f t="shared" ca="1" si="48"/>
        <v>0</v>
      </c>
      <c r="AC180" s="131" t="str">
        <f ca="1">IF($N180="","",IF(ORÇAMENTO.Descricao="","DESCRIÇÃO",IF(AND($C180="S",ORÇAMENTO.Unidade=""),"UNIDADE",IF($X180&lt;0,"VALOR NEGATIVO",IF(OR(AND(TIPOORCAMENTO="Proposto",$AG180&lt;&gt;"",$AG180&gt;0,ORÇAMENTO.CustoUnitario&gt;$AG180),AND(TIPOORCAMENTO="LICITADO",ORÇAMENTO.PrecoUnitarioLicitado&gt;$AN180)),"ACIMA REF.","")))))</f>
        <v/>
      </c>
      <c r="AD180" t="str">
        <f ca="1">IF(C180&lt;=CRONO.NivelExibicao,MAX($AD$15:OFFSET(AD180,-1,0))+IF($C180&lt;&gt;1,1,MAX(1,COUNTIF(QCI!$A$13:$A$24,OFFSET($E180,-1,0)))),"")</f>
        <v/>
      </c>
      <c r="AE180" s="7" t="str">
        <f ca="1">IF(AND($C180="S",ORÇAMENTO.CodBarra&lt;&gt;""),IF(ORÇAMENTO.Fonte="",ORÇAMENTO.CodBarra,CONCATENATE(ORÇAMENTO.Fonte," ",ORÇAMENTO.CodBarra)))</f>
        <v>Composição 61</v>
      </c>
      <c r="AF180" s="13" t="str">
        <f ca="1">IF(ISERROR(INDIRECT(ORÇAMENTO.BancoRef)),"(abra o arquivo 'Referência "&amp;Excel_BuiltIn_Database&amp;".xlsm)",IF(OR($C180&lt;&gt;"S",ORÇAMENTO.CodBarra=""),"(Sem Código)",IF(ISERROR(MATCH($AE180,INDIRECT(ORÇAMENTO.BancoRef),0)),"(Código não identificado nas referências)",MATCH($AE180,INDIRECT(ORÇAMENTO.BancoRef),0))))</f>
        <v>(abra o arquivo 'Referência 03-2024.xlsm)</v>
      </c>
      <c r="AG180" s="498">
        <f ca="1">ROUND(IF(DESONERACAO="sim",REFERENCIA.Desonerado,REFERENCIA.NaoDesonerado),2)</f>
        <v>0</v>
      </c>
      <c r="AH180" s="499">
        <f t="shared" ca="1" si="49"/>
        <v>0.28170000000000001</v>
      </c>
      <c r="AJ180" s="501">
        <v>30</v>
      </c>
      <c r="AL180" s="527"/>
      <c r="AM180" s="381">
        <f t="shared" ca="1" si="50"/>
        <v>255</v>
      </c>
      <c r="AN180" s="566">
        <f t="shared" ca="1" si="51"/>
        <v>8.5</v>
      </c>
    </row>
    <row r="181" spans="1:40" ht="25.5" x14ac:dyDescent="0.2">
      <c r="A181" t="str">
        <f t="shared" si="36"/>
        <v>S</v>
      </c>
      <c r="B181">
        <f t="shared" ca="1" si="37"/>
        <v>3</v>
      </c>
      <c r="C181" t="str">
        <f t="shared" ca="1" si="38"/>
        <v>S</v>
      </c>
      <c r="D181">
        <f t="shared" ca="1" si="39"/>
        <v>0</v>
      </c>
      <c r="E181">
        <f ca="1">IF($C181=1,OFFSET(E181,-1,0)+MAX(1,COUNTIF(QCI!$A$13:$A$24,OFFSET(ORÇAMENTO!E181,-1,0))),OFFSET(E181,-1,0))</f>
        <v>1</v>
      </c>
      <c r="F181">
        <f t="shared" ca="1" si="40"/>
        <v>6</v>
      </c>
      <c r="G181">
        <f t="shared" ca="1" si="41"/>
        <v>17</v>
      </c>
      <c r="H181">
        <f t="shared" ca="1" si="42"/>
        <v>0</v>
      </c>
      <c r="I181">
        <f t="shared" ca="1" si="43"/>
        <v>4</v>
      </c>
      <c r="J181">
        <f t="shared" ca="1" si="35"/>
        <v>0</v>
      </c>
      <c r="K181">
        <f ca="1">IF(OR($C181="S",$C181=0),0,MATCH(OFFSET($D181,0,$C181)+IF($C181&lt;&gt;1,1,COUNTIF(QCI!$A$13:$A$24,ORÇAMENTO!E181)),OFFSET($D181,1,$C181,ROW($C$290)-ROW($C181)),0))</f>
        <v>0</v>
      </c>
      <c r="L181" s="116" t="str">
        <f t="shared" ca="1" si="44"/>
        <v>F</v>
      </c>
      <c r="M181" s="117" t="s">
        <v>199</v>
      </c>
      <c r="N181" s="118" t="str">
        <f t="shared" ca="1" si="45"/>
        <v>Serviço</v>
      </c>
      <c r="O181" s="119" t="str">
        <f t="shared" ca="1" si="46"/>
        <v>1.6.17.4.</v>
      </c>
      <c r="P181" s="120" t="s">
        <v>247</v>
      </c>
      <c r="Q181" s="121" t="s">
        <v>567</v>
      </c>
      <c r="R181" s="122" t="str">
        <f ca="1">IF($C181="S",REFERENCIA.Descricao,"(digite a descrição aqui)")</f>
        <v>(abra o arquivo 'Referência 03-2024.xlsm)</v>
      </c>
      <c r="S181" s="123" t="str">
        <f ca="1">REFERENCIA.Unidade</f>
        <v>-</v>
      </c>
      <c r="T181" s="124">
        <f ca="1">OFFSET(CÁLCULO!H$15,ROW($T181)-ROW(T$15),0)</f>
        <v>2</v>
      </c>
      <c r="U181" s="125">
        <v>44.78</v>
      </c>
      <c r="V181" s="126" t="s">
        <v>156</v>
      </c>
      <c r="W181" s="124">
        <f ca="1">IF($C181="S",ROUND(IF(TIPOORCAMENTO="Proposto",ORÇAMENTO.CustoUnitario*(1+$AH181),ORÇAMENTO.PrecoUnitarioLicitado),15-13*$AF$10),0)</f>
        <v>57.39</v>
      </c>
      <c r="X181" s="127">
        <f ca="1">IF($C181="S",IF(Import.TipoArredondamento&lt;&gt;"TransfereGOV",VTOTAL1,SUM(OFFSET(CÁLCULO!$AA$15,ROW($X181)-ROW($X$15),1):OFFSET(CÁLCULO!$AL$15,ROW($X181)-ROW($X$15),-1))),IF($C181=0,0,ROUND(SomaAgrup,15-13*$AF$11)))</f>
        <v>114.78</v>
      </c>
      <c r="Y181" s="128" t="s">
        <v>245</v>
      </c>
      <c r="Z181" t="str">
        <f t="shared" ca="1" si="47"/>
        <v>RA</v>
      </c>
      <c r="AA181" s="129">
        <f ca="1">IF($C181="S",IF($Z181="CP",$X181,IF($Z181="RA",(($X181)*QCI!$AA$3),0)),SomaAgrup)</f>
        <v>114.78</v>
      </c>
      <c r="AB181" s="130">
        <f t="shared" ca="1" si="48"/>
        <v>0</v>
      </c>
      <c r="AC181" s="131" t="str">
        <f ca="1">IF($N181="","",IF(ORÇAMENTO.Descricao="","DESCRIÇÃO",IF(AND($C181="S",ORÇAMENTO.Unidade=""),"UNIDADE",IF($X181&lt;0,"VALOR NEGATIVO",IF(OR(AND(TIPOORCAMENTO="Proposto",$AG181&lt;&gt;"",$AG181&gt;0,ORÇAMENTO.CustoUnitario&gt;$AG181),AND(TIPOORCAMENTO="LICITADO",ORÇAMENTO.PrecoUnitarioLicitado&gt;$AN181)),"ACIMA REF.","")))))</f>
        <v/>
      </c>
      <c r="AD181" t="str">
        <f ca="1">IF(C181&lt;=CRONO.NivelExibicao,MAX($AD$15:OFFSET(AD181,-1,0))+IF($C181&lt;&gt;1,1,MAX(1,COUNTIF(QCI!$A$13:$A$24,OFFSET($E181,-1,0)))),"")</f>
        <v/>
      </c>
      <c r="AE181" s="7" t="str">
        <f ca="1">IF(AND($C181="S",ORÇAMENTO.CodBarra&lt;&gt;""),IF(ORÇAMENTO.Fonte="",ORÇAMENTO.CodBarra,CONCATENATE(ORÇAMENTO.Fonte," ",ORÇAMENTO.CodBarra)))</f>
        <v>SINAPI 91992</v>
      </c>
      <c r="AF181" s="13" t="str">
        <f ca="1">IF(ISERROR(INDIRECT(ORÇAMENTO.BancoRef)),"(abra o arquivo 'Referência "&amp;Excel_BuiltIn_Database&amp;".xlsm)",IF(OR($C181&lt;&gt;"S",ORÇAMENTO.CodBarra=""),"(Sem Código)",IF(ISERROR(MATCH($AE181,INDIRECT(ORÇAMENTO.BancoRef),0)),"(Código não identificado nas referências)",MATCH($AE181,INDIRECT(ORÇAMENTO.BancoRef),0))))</f>
        <v>(abra o arquivo 'Referência 03-2024.xlsm)</v>
      </c>
      <c r="AG181" s="498">
        <f ca="1">ROUND(IF(DESONERACAO="sim",REFERENCIA.Desonerado,REFERENCIA.NaoDesonerado),2)</f>
        <v>0</v>
      </c>
      <c r="AH181" s="499">
        <f t="shared" ca="1" si="49"/>
        <v>0.28170000000000001</v>
      </c>
      <c r="AJ181" s="501">
        <v>2</v>
      </c>
      <c r="AL181" s="527"/>
      <c r="AM181" s="381">
        <f t="shared" ca="1" si="50"/>
        <v>114.78</v>
      </c>
      <c r="AN181" s="566">
        <f t="shared" ca="1" si="51"/>
        <v>57.39</v>
      </c>
    </row>
    <row r="182" spans="1:40" ht="25.5" x14ac:dyDescent="0.2">
      <c r="A182" t="str">
        <f t="shared" si="36"/>
        <v>S</v>
      </c>
      <c r="B182">
        <f t="shared" ca="1" si="37"/>
        <v>3</v>
      </c>
      <c r="C182" t="str">
        <f t="shared" ca="1" si="38"/>
        <v>S</v>
      </c>
      <c r="D182">
        <f t="shared" ca="1" si="39"/>
        <v>0</v>
      </c>
      <c r="E182">
        <f ca="1">IF($C182=1,OFFSET(E182,-1,0)+MAX(1,COUNTIF(QCI!$A$13:$A$24,OFFSET(ORÇAMENTO!E182,-1,0))),OFFSET(E182,-1,0))</f>
        <v>1</v>
      </c>
      <c r="F182">
        <f t="shared" ca="1" si="40"/>
        <v>6</v>
      </c>
      <c r="G182">
        <f t="shared" ca="1" si="41"/>
        <v>17</v>
      </c>
      <c r="H182">
        <f t="shared" ca="1" si="42"/>
        <v>0</v>
      </c>
      <c r="I182">
        <f t="shared" ca="1" si="43"/>
        <v>5</v>
      </c>
      <c r="J182">
        <f t="shared" ca="1" si="35"/>
        <v>0</v>
      </c>
      <c r="K182">
        <f ca="1">IF(OR($C182="S",$C182=0),0,MATCH(OFFSET($D182,0,$C182)+IF($C182&lt;&gt;1,1,COUNTIF(QCI!$A$13:$A$24,ORÇAMENTO!E182)),OFFSET($D182,1,$C182,ROW($C$290)-ROW($C182)),0))</f>
        <v>0</v>
      </c>
      <c r="L182" s="116" t="str">
        <f t="shared" ca="1" si="44"/>
        <v>F</v>
      </c>
      <c r="M182" s="117" t="s">
        <v>199</v>
      </c>
      <c r="N182" s="118" t="str">
        <f t="shared" ca="1" si="45"/>
        <v>Serviço</v>
      </c>
      <c r="O182" s="119" t="str">
        <f t="shared" ca="1" si="46"/>
        <v>1.6.17.5.</v>
      </c>
      <c r="P182" s="120" t="s">
        <v>247</v>
      </c>
      <c r="Q182" s="121" t="s">
        <v>568</v>
      </c>
      <c r="R182" s="122" t="str">
        <f ca="1">IF($C182="S",REFERENCIA.Descricao,"(digite a descrição aqui)")</f>
        <v>(abra o arquivo 'Referência 03-2024.xlsm)</v>
      </c>
      <c r="S182" s="123" t="str">
        <f ca="1">REFERENCIA.Unidade</f>
        <v>-</v>
      </c>
      <c r="T182" s="124">
        <f ca="1">OFFSET(CÁLCULO!H$15,ROW($T182)-ROW(T$15),0)</f>
        <v>2</v>
      </c>
      <c r="U182" s="125">
        <v>35.61</v>
      </c>
      <c r="V182" s="126" t="s">
        <v>156</v>
      </c>
      <c r="W182" s="124">
        <f ca="1">IF($C182="S",ROUND(IF(TIPOORCAMENTO="Proposto",ORÇAMENTO.CustoUnitario*(1+$AH182),ORÇAMENTO.PrecoUnitarioLicitado),15-13*$AF$10),0)</f>
        <v>45.64</v>
      </c>
      <c r="X182" s="127">
        <f ca="1">IF($C182="S",IF(Import.TipoArredondamento&lt;&gt;"TransfereGOV",VTOTAL1,SUM(OFFSET(CÁLCULO!$AA$15,ROW($X182)-ROW($X$15),1):OFFSET(CÁLCULO!$AL$15,ROW($X182)-ROW($X$15),-1))),IF($C182=0,0,ROUND(SomaAgrup,15-13*$AF$11)))</f>
        <v>91.28</v>
      </c>
      <c r="Y182" s="128" t="s">
        <v>245</v>
      </c>
      <c r="Z182" t="str">
        <f t="shared" ca="1" si="47"/>
        <v>RA</v>
      </c>
      <c r="AA182" s="129">
        <f ca="1">IF($C182="S",IF($Z182="CP",$X182,IF($Z182="RA",(($X182)*QCI!$AA$3),0)),SomaAgrup)</f>
        <v>91.28</v>
      </c>
      <c r="AB182" s="130">
        <f t="shared" ca="1" si="48"/>
        <v>0</v>
      </c>
      <c r="AC182" s="131" t="str">
        <f ca="1">IF($N182="","",IF(ORÇAMENTO.Descricao="","DESCRIÇÃO",IF(AND($C182="S",ORÇAMENTO.Unidade=""),"UNIDADE",IF($X182&lt;0,"VALOR NEGATIVO",IF(OR(AND(TIPOORCAMENTO="Proposto",$AG182&lt;&gt;"",$AG182&gt;0,ORÇAMENTO.CustoUnitario&gt;$AG182),AND(TIPOORCAMENTO="LICITADO",ORÇAMENTO.PrecoUnitarioLicitado&gt;$AN182)),"ACIMA REF.","")))))</f>
        <v/>
      </c>
      <c r="AD182" t="str">
        <f ca="1">IF(C182&lt;=CRONO.NivelExibicao,MAX($AD$15:OFFSET(AD182,-1,0))+IF($C182&lt;&gt;1,1,MAX(1,COUNTIF(QCI!$A$13:$A$24,OFFSET($E182,-1,0)))),"")</f>
        <v/>
      </c>
      <c r="AE182" s="7" t="str">
        <f ca="1">IF(AND($C182="S",ORÇAMENTO.CodBarra&lt;&gt;""),IF(ORÇAMENTO.Fonte="",ORÇAMENTO.CodBarra,CONCATENATE(ORÇAMENTO.Fonte," ",ORÇAMENTO.CodBarra)))</f>
        <v>SINAPI 91996</v>
      </c>
      <c r="AF182" s="13" t="str">
        <f ca="1">IF(ISERROR(INDIRECT(ORÇAMENTO.BancoRef)),"(abra o arquivo 'Referência "&amp;Excel_BuiltIn_Database&amp;".xlsm)",IF(OR($C182&lt;&gt;"S",ORÇAMENTO.CodBarra=""),"(Sem Código)",IF(ISERROR(MATCH($AE182,INDIRECT(ORÇAMENTO.BancoRef),0)),"(Código não identificado nas referências)",MATCH($AE182,INDIRECT(ORÇAMENTO.BancoRef),0))))</f>
        <v>(abra o arquivo 'Referência 03-2024.xlsm)</v>
      </c>
      <c r="AG182" s="498">
        <f ca="1">ROUND(IF(DESONERACAO="sim",REFERENCIA.Desonerado,REFERENCIA.NaoDesonerado),2)</f>
        <v>0</v>
      </c>
      <c r="AH182" s="499">
        <f t="shared" ca="1" si="49"/>
        <v>0.28170000000000001</v>
      </c>
      <c r="AJ182" s="501">
        <v>2</v>
      </c>
      <c r="AL182" s="527"/>
      <c r="AM182" s="381">
        <f t="shared" ca="1" si="50"/>
        <v>91.28</v>
      </c>
      <c r="AN182" s="566">
        <f t="shared" ca="1" si="51"/>
        <v>45.64</v>
      </c>
    </row>
    <row r="183" spans="1:40" ht="25.5" x14ac:dyDescent="0.2">
      <c r="A183" t="str">
        <f t="shared" si="36"/>
        <v>S</v>
      </c>
      <c r="B183">
        <f t="shared" ca="1" si="37"/>
        <v>3</v>
      </c>
      <c r="C183" t="str">
        <f t="shared" ca="1" si="38"/>
        <v>S</v>
      </c>
      <c r="D183">
        <f t="shared" ca="1" si="39"/>
        <v>0</v>
      </c>
      <c r="E183">
        <f ca="1">IF($C183=1,OFFSET(E183,-1,0)+MAX(1,COUNTIF(QCI!$A$13:$A$24,OFFSET(ORÇAMENTO!E183,-1,0))),OFFSET(E183,-1,0))</f>
        <v>1</v>
      </c>
      <c r="F183">
        <f t="shared" ca="1" si="40"/>
        <v>6</v>
      </c>
      <c r="G183">
        <f t="shared" ca="1" si="41"/>
        <v>17</v>
      </c>
      <c r="H183">
        <f t="shared" ca="1" si="42"/>
        <v>0</v>
      </c>
      <c r="I183">
        <f t="shared" ca="1" si="43"/>
        <v>6</v>
      </c>
      <c r="J183">
        <f t="shared" ca="1" si="35"/>
        <v>0</v>
      </c>
      <c r="K183">
        <f ca="1">IF(OR($C183="S",$C183=0),0,MATCH(OFFSET($D183,0,$C183)+IF($C183&lt;&gt;1,1,COUNTIF(QCI!$A$13:$A$24,ORÇAMENTO!E183)),OFFSET($D183,1,$C183,ROW($C$290)-ROW($C183)),0))</f>
        <v>0</v>
      </c>
      <c r="L183" s="116" t="str">
        <f t="shared" ca="1" si="44"/>
        <v>F</v>
      </c>
      <c r="M183" s="117" t="s">
        <v>199</v>
      </c>
      <c r="N183" s="118" t="str">
        <f t="shared" ca="1" si="45"/>
        <v>Serviço</v>
      </c>
      <c r="O183" s="119" t="str">
        <f t="shared" ca="1" si="46"/>
        <v>1.6.17.6.</v>
      </c>
      <c r="P183" s="120" t="s">
        <v>247</v>
      </c>
      <c r="Q183" s="121" t="s">
        <v>569</v>
      </c>
      <c r="R183" s="122" t="str">
        <f ca="1">IF($C183="S",REFERENCIA.Descricao,"(digite a descrição aqui)")</f>
        <v>(abra o arquivo 'Referência 03-2024.xlsm)</v>
      </c>
      <c r="S183" s="123" t="str">
        <f ca="1">REFERENCIA.Unidade</f>
        <v>-</v>
      </c>
      <c r="T183" s="124">
        <f ca="1">OFFSET(CÁLCULO!H$15,ROW($T183)-ROW(T$15),0)</f>
        <v>2</v>
      </c>
      <c r="U183" s="125">
        <v>30.46</v>
      </c>
      <c r="V183" s="126" t="s">
        <v>156</v>
      </c>
      <c r="W183" s="124">
        <f ca="1">IF($C183="S",ROUND(IF(TIPOORCAMENTO="Proposto",ORÇAMENTO.CustoUnitario*(1+$AH183),ORÇAMENTO.PrecoUnitarioLicitado),15-13*$AF$10),0)</f>
        <v>39.04</v>
      </c>
      <c r="X183" s="127">
        <f ca="1">IF($C183="S",IF(Import.TipoArredondamento&lt;&gt;"TransfereGOV",VTOTAL1,SUM(OFFSET(CÁLCULO!$AA$15,ROW($X183)-ROW($X$15),1):OFFSET(CÁLCULO!$AL$15,ROW($X183)-ROW($X$15),-1))),IF($C183=0,0,ROUND(SomaAgrup,15-13*$AF$11)))</f>
        <v>78.08</v>
      </c>
      <c r="Y183" s="128" t="s">
        <v>245</v>
      </c>
      <c r="Z183" t="str">
        <f t="shared" ca="1" si="47"/>
        <v>RA</v>
      </c>
      <c r="AA183" s="129">
        <f ca="1">IF($C183="S",IF($Z183="CP",$X183,IF($Z183="RA",(($X183)*QCI!$AA$3),0)),SomaAgrup)</f>
        <v>78.08</v>
      </c>
      <c r="AB183" s="130">
        <f t="shared" ca="1" si="48"/>
        <v>0</v>
      </c>
      <c r="AC183" s="131" t="str">
        <f ca="1">IF($N183="","",IF(ORÇAMENTO.Descricao="","DESCRIÇÃO",IF(AND($C183="S",ORÇAMENTO.Unidade=""),"UNIDADE",IF($X183&lt;0,"VALOR NEGATIVO",IF(OR(AND(TIPOORCAMENTO="Proposto",$AG183&lt;&gt;"",$AG183&gt;0,ORÇAMENTO.CustoUnitario&gt;$AG183),AND(TIPOORCAMENTO="LICITADO",ORÇAMENTO.PrecoUnitarioLicitado&gt;$AN183)),"ACIMA REF.","")))))</f>
        <v/>
      </c>
      <c r="AD183" t="str">
        <f ca="1">IF(C183&lt;=CRONO.NivelExibicao,MAX($AD$15:OFFSET(AD183,-1,0))+IF($C183&lt;&gt;1,1,MAX(1,COUNTIF(QCI!$A$13:$A$24,OFFSET($E183,-1,0)))),"")</f>
        <v/>
      </c>
      <c r="AE183" s="7" t="str">
        <f ca="1">IF(AND($C183="S",ORÇAMENTO.CodBarra&lt;&gt;""),IF(ORÇAMENTO.Fonte="",ORÇAMENTO.CodBarra,CONCATENATE(ORÇAMENTO.Fonte," ",ORÇAMENTO.CodBarra)))</f>
        <v>SINAPI 91953</v>
      </c>
      <c r="AF183" s="13" t="str">
        <f ca="1">IF(ISERROR(INDIRECT(ORÇAMENTO.BancoRef)),"(abra o arquivo 'Referência "&amp;Excel_BuiltIn_Database&amp;".xlsm)",IF(OR($C183&lt;&gt;"S",ORÇAMENTO.CodBarra=""),"(Sem Código)",IF(ISERROR(MATCH($AE183,INDIRECT(ORÇAMENTO.BancoRef),0)),"(Código não identificado nas referências)",MATCH($AE183,INDIRECT(ORÇAMENTO.BancoRef),0))))</f>
        <v>(abra o arquivo 'Referência 03-2024.xlsm)</v>
      </c>
      <c r="AG183" s="498">
        <f ca="1">ROUND(IF(DESONERACAO="sim",REFERENCIA.Desonerado,REFERENCIA.NaoDesonerado),2)</f>
        <v>0</v>
      </c>
      <c r="AH183" s="499">
        <f t="shared" ca="1" si="49"/>
        <v>0.28170000000000001</v>
      </c>
      <c r="AJ183" s="501">
        <v>2</v>
      </c>
      <c r="AL183" s="527"/>
      <c r="AM183" s="381">
        <f t="shared" ca="1" si="50"/>
        <v>78.08</v>
      </c>
      <c r="AN183" s="566">
        <f t="shared" ca="1" si="51"/>
        <v>39.04</v>
      </c>
    </row>
    <row r="184" spans="1:40" ht="38.25" x14ac:dyDescent="0.2">
      <c r="A184" t="str">
        <f t="shared" si="36"/>
        <v>S</v>
      </c>
      <c r="B184">
        <f t="shared" ca="1" si="37"/>
        <v>3</v>
      </c>
      <c r="C184" t="str">
        <f t="shared" ca="1" si="38"/>
        <v>S</v>
      </c>
      <c r="D184">
        <f t="shared" ca="1" si="39"/>
        <v>0</v>
      </c>
      <c r="E184">
        <f ca="1">IF($C184=1,OFFSET(E184,-1,0)+MAX(1,COUNTIF(QCI!$A$13:$A$24,OFFSET(ORÇAMENTO!E184,-1,0))),OFFSET(E184,-1,0))</f>
        <v>1</v>
      </c>
      <c r="F184">
        <f t="shared" ca="1" si="40"/>
        <v>6</v>
      </c>
      <c r="G184">
        <f t="shared" ca="1" si="41"/>
        <v>17</v>
      </c>
      <c r="H184">
        <f t="shared" ca="1" si="42"/>
        <v>0</v>
      </c>
      <c r="I184">
        <f t="shared" ca="1" si="43"/>
        <v>7</v>
      </c>
      <c r="J184">
        <f t="shared" ca="1" si="35"/>
        <v>0</v>
      </c>
      <c r="K184">
        <f ca="1">IF(OR($C184="S",$C184=0),0,MATCH(OFFSET($D184,0,$C184)+IF($C184&lt;&gt;1,1,COUNTIF(QCI!$A$13:$A$24,ORÇAMENTO!E184)),OFFSET($D184,1,$C184,ROW($C$290)-ROW($C184)),0))</f>
        <v>0</v>
      </c>
      <c r="L184" s="116" t="str">
        <f t="shared" ca="1" si="44"/>
        <v>F</v>
      </c>
      <c r="M184" s="117" t="s">
        <v>199</v>
      </c>
      <c r="N184" s="118" t="str">
        <f t="shared" ca="1" si="45"/>
        <v>Serviço</v>
      </c>
      <c r="O184" s="119" t="str">
        <f t="shared" ca="1" si="46"/>
        <v>1.6.17.7.</v>
      </c>
      <c r="P184" s="120" t="s">
        <v>247</v>
      </c>
      <c r="Q184" s="121" t="s">
        <v>570</v>
      </c>
      <c r="R184" s="122" t="str">
        <f ca="1">IF($C184="S",REFERENCIA.Descricao,"(digite a descrição aqui)")</f>
        <v>(abra o arquivo 'Referência 03-2024.xlsm)</v>
      </c>
      <c r="S184" s="123" t="str">
        <f ca="1">REFERENCIA.Unidade</f>
        <v>-</v>
      </c>
      <c r="T184" s="124">
        <f ca="1">OFFSET(CÁLCULO!H$15,ROW($T184)-ROW(T$15),0)</f>
        <v>90</v>
      </c>
      <c r="U184" s="125">
        <v>3.86</v>
      </c>
      <c r="V184" s="126" t="s">
        <v>156</v>
      </c>
      <c r="W184" s="124">
        <f ca="1">IF($C184="S",ROUND(IF(TIPOORCAMENTO="Proposto",ORÇAMENTO.CustoUnitario*(1+$AH184),ORÇAMENTO.PrecoUnitarioLicitado),15-13*$AF$10),0)</f>
        <v>4.95</v>
      </c>
      <c r="X184" s="127">
        <f ca="1">IF($C184="S",IF(Import.TipoArredondamento&lt;&gt;"TransfereGOV",VTOTAL1,SUM(OFFSET(CÁLCULO!$AA$15,ROW($X184)-ROW($X$15),1):OFFSET(CÁLCULO!$AL$15,ROW($X184)-ROW($X$15),-1))),IF($C184=0,0,ROUND(SomaAgrup,15-13*$AF$11)))</f>
        <v>445.5</v>
      </c>
      <c r="Y184" s="128" t="s">
        <v>245</v>
      </c>
      <c r="Z184" t="str">
        <f t="shared" ca="1" si="47"/>
        <v>RA</v>
      </c>
      <c r="AA184" s="129">
        <f ca="1">IF($C184="S",IF($Z184="CP",$X184,IF($Z184="RA",(($X184)*QCI!$AA$3),0)),SomaAgrup)</f>
        <v>445.5</v>
      </c>
      <c r="AB184" s="130">
        <f t="shared" ca="1" si="48"/>
        <v>0</v>
      </c>
      <c r="AC184" s="131" t="str">
        <f ca="1">IF($N184="","",IF(ORÇAMENTO.Descricao="","DESCRIÇÃO",IF(AND($C184="S",ORÇAMENTO.Unidade=""),"UNIDADE",IF($X184&lt;0,"VALOR NEGATIVO",IF(OR(AND(TIPOORCAMENTO="Proposto",$AG184&lt;&gt;"",$AG184&gt;0,ORÇAMENTO.CustoUnitario&gt;$AG184),AND(TIPOORCAMENTO="LICITADO",ORÇAMENTO.PrecoUnitarioLicitado&gt;$AN184)),"ACIMA REF.","")))))</f>
        <v/>
      </c>
      <c r="AD184" t="str">
        <f ca="1">IF(C184&lt;=CRONO.NivelExibicao,MAX($AD$15:OFFSET(AD184,-1,0))+IF($C184&lt;&gt;1,1,MAX(1,COUNTIF(QCI!$A$13:$A$24,OFFSET($E184,-1,0)))),"")</f>
        <v/>
      </c>
      <c r="AE184" s="7" t="str">
        <f ca="1">IF(AND($C184="S",ORÇAMENTO.CodBarra&lt;&gt;""),IF(ORÇAMENTO.Fonte="",ORÇAMENTO.CodBarra,CONCATENATE(ORÇAMENTO.Fonte," ",ORÇAMENTO.CodBarra)))</f>
        <v>SINAPI 91926</v>
      </c>
      <c r="AF184" s="13" t="str">
        <f ca="1">IF(ISERROR(INDIRECT(ORÇAMENTO.BancoRef)),"(abra o arquivo 'Referência "&amp;Excel_BuiltIn_Database&amp;".xlsm)",IF(OR($C184&lt;&gt;"S",ORÇAMENTO.CodBarra=""),"(Sem Código)",IF(ISERROR(MATCH($AE184,INDIRECT(ORÇAMENTO.BancoRef),0)),"(Código não identificado nas referências)",MATCH($AE184,INDIRECT(ORÇAMENTO.BancoRef),0))))</f>
        <v>(abra o arquivo 'Referência 03-2024.xlsm)</v>
      </c>
      <c r="AG184" s="498">
        <f ca="1">ROUND(IF(DESONERACAO="sim",REFERENCIA.Desonerado,REFERENCIA.NaoDesonerado),2)</f>
        <v>0</v>
      </c>
      <c r="AH184" s="499">
        <f t="shared" ca="1" si="49"/>
        <v>0.28170000000000001</v>
      </c>
      <c r="AJ184" s="501">
        <v>90</v>
      </c>
      <c r="AL184" s="527"/>
      <c r="AM184" s="381">
        <f t="shared" ca="1" si="50"/>
        <v>445.5</v>
      </c>
      <c r="AN184" s="566">
        <f t="shared" ca="1" si="51"/>
        <v>4.95</v>
      </c>
    </row>
    <row r="185" spans="1:40" ht="38.25" x14ac:dyDescent="0.2">
      <c r="A185" t="str">
        <f t="shared" si="36"/>
        <v>S</v>
      </c>
      <c r="B185">
        <f t="shared" ca="1" si="37"/>
        <v>3</v>
      </c>
      <c r="C185" t="str">
        <f t="shared" ca="1" si="38"/>
        <v>S</v>
      </c>
      <c r="D185">
        <f t="shared" ca="1" si="39"/>
        <v>0</v>
      </c>
      <c r="E185">
        <f ca="1">IF($C185=1,OFFSET(E185,-1,0)+MAX(1,COUNTIF(QCI!$A$13:$A$24,OFFSET(ORÇAMENTO!E185,-1,0))),OFFSET(E185,-1,0))</f>
        <v>1</v>
      </c>
      <c r="F185">
        <f t="shared" ca="1" si="40"/>
        <v>6</v>
      </c>
      <c r="G185">
        <f t="shared" ca="1" si="41"/>
        <v>17</v>
      </c>
      <c r="H185">
        <f t="shared" ca="1" si="42"/>
        <v>0</v>
      </c>
      <c r="I185">
        <f t="shared" ca="1" si="43"/>
        <v>8</v>
      </c>
      <c r="J185">
        <f t="shared" ca="1" si="35"/>
        <v>0</v>
      </c>
      <c r="K185">
        <f ca="1">IF(OR($C185="S",$C185=0),0,MATCH(OFFSET($D185,0,$C185)+IF($C185&lt;&gt;1,1,COUNTIF(QCI!$A$13:$A$24,ORÇAMENTO!E185)),OFFSET($D185,1,$C185,ROW($C$290)-ROW($C185)),0))</f>
        <v>0</v>
      </c>
      <c r="L185" s="116" t="str">
        <f t="shared" ca="1" si="44"/>
        <v>F</v>
      </c>
      <c r="M185" s="117" t="s">
        <v>199</v>
      </c>
      <c r="N185" s="118" t="str">
        <f t="shared" ca="1" si="45"/>
        <v>Serviço</v>
      </c>
      <c r="O185" s="119" t="str">
        <f t="shared" ca="1" si="46"/>
        <v>1.6.17.8.</v>
      </c>
      <c r="P185" s="120" t="s">
        <v>247</v>
      </c>
      <c r="Q185" s="121" t="s">
        <v>571</v>
      </c>
      <c r="R185" s="122" t="str">
        <f ca="1">IF($C185="S",REFERENCIA.Descricao,"(digite a descrição aqui)")</f>
        <v>(abra o arquivo 'Referência 03-2024.xlsm)</v>
      </c>
      <c r="S185" s="123" t="str">
        <f ca="1">REFERENCIA.Unidade</f>
        <v>-</v>
      </c>
      <c r="T185" s="124">
        <f ca="1">OFFSET(CÁLCULO!H$15,ROW($T185)-ROW(T$15),0)</f>
        <v>2</v>
      </c>
      <c r="U185" s="125">
        <v>89.53</v>
      </c>
      <c r="V185" s="126" t="s">
        <v>156</v>
      </c>
      <c r="W185" s="124">
        <f ca="1">IF($C185="S",ROUND(IF(TIPOORCAMENTO="Proposto",ORÇAMENTO.CustoUnitario*(1+$AH185),ORÇAMENTO.PrecoUnitarioLicitado),15-13*$AF$10),0)</f>
        <v>114.75</v>
      </c>
      <c r="X185" s="127">
        <f ca="1">IF($C185="S",IF(Import.TipoArredondamento&lt;&gt;"TransfereGOV",VTOTAL1,SUM(OFFSET(CÁLCULO!$AA$15,ROW($X185)-ROW($X$15),1):OFFSET(CÁLCULO!$AL$15,ROW($X185)-ROW($X$15),-1))),IF($C185=0,0,ROUND(SomaAgrup,15-13*$AF$11)))</f>
        <v>229.5</v>
      </c>
      <c r="Y185" s="128" t="s">
        <v>245</v>
      </c>
      <c r="Z185" t="str">
        <f t="shared" ca="1" si="47"/>
        <v>RA</v>
      </c>
      <c r="AA185" s="129">
        <f ca="1">IF($C185="S",IF($Z185="CP",$X185,IF($Z185="RA",(($X185)*QCI!$AA$3),0)),SomaAgrup)</f>
        <v>229.5</v>
      </c>
      <c r="AB185" s="130">
        <f t="shared" ca="1" si="48"/>
        <v>0</v>
      </c>
      <c r="AC185" s="131" t="str">
        <f ca="1">IF($N185="","",IF(ORÇAMENTO.Descricao="","DESCRIÇÃO",IF(AND($C185="S",ORÇAMENTO.Unidade=""),"UNIDADE",IF($X185&lt;0,"VALOR NEGATIVO",IF(OR(AND(TIPOORCAMENTO="Proposto",$AG185&lt;&gt;"",$AG185&gt;0,ORÇAMENTO.CustoUnitario&gt;$AG185),AND(TIPOORCAMENTO="LICITADO",ORÇAMENTO.PrecoUnitarioLicitado&gt;$AN185)),"ACIMA REF.","")))))</f>
        <v/>
      </c>
      <c r="AD185" t="str">
        <f ca="1">IF(C185&lt;=CRONO.NivelExibicao,MAX($AD$15:OFFSET(AD185,-1,0))+IF($C185&lt;&gt;1,1,MAX(1,COUNTIF(QCI!$A$13:$A$24,OFFSET($E185,-1,0)))),"")</f>
        <v/>
      </c>
      <c r="AE185" s="7" t="str">
        <f ca="1">IF(AND($C185="S",ORÇAMENTO.CodBarra&lt;&gt;""),IF(ORÇAMENTO.Fonte="",ORÇAMENTO.CodBarra,CONCATENATE(ORÇAMENTO.Fonte," ",ORÇAMENTO.CodBarra)))</f>
        <v>SINAPI 97605</v>
      </c>
      <c r="AF185" s="13" t="str">
        <f ca="1">IF(ISERROR(INDIRECT(ORÇAMENTO.BancoRef)),"(abra o arquivo 'Referência "&amp;Excel_BuiltIn_Database&amp;".xlsm)",IF(OR($C185&lt;&gt;"S",ORÇAMENTO.CodBarra=""),"(Sem Código)",IF(ISERROR(MATCH($AE185,INDIRECT(ORÇAMENTO.BancoRef),0)),"(Código não identificado nas referências)",MATCH($AE185,INDIRECT(ORÇAMENTO.BancoRef),0))))</f>
        <v>(abra o arquivo 'Referência 03-2024.xlsm)</v>
      </c>
      <c r="AG185" s="498">
        <f ca="1">ROUND(IF(DESONERACAO="sim",REFERENCIA.Desonerado,REFERENCIA.NaoDesonerado),2)</f>
        <v>0</v>
      </c>
      <c r="AH185" s="499">
        <f t="shared" ca="1" si="49"/>
        <v>0.28170000000000001</v>
      </c>
      <c r="AJ185" s="501">
        <v>2</v>
      </c>
      <c r="AL185" s="527"/>
      <c r="AM185" s="381">
        <f t="shared" ca="1" si="50"/>
        <v>229.5</v>
      </c>
      <c r="AN185" s="566">
        <f t="shared" ca="1" si="51"/>
        <v>114.75</v>
      </c>
    </row>
    <row r="186" spans="1:40" ht="38.25" x14ac:dyDescent="0.2">
      <c r="A186" t="str">
        <f t="shared" si="36"/>
        <v>S</v>
      </c>
      <c r="B186">
        <f t="shared" ca="1" si="37"/>
        <v>3</v>
      </c>
      <c r="C186" t="str">
        <f t="shared" ca="1" si="38"/>
        <v>S</v>
      </c>
      <c r="D186">
        <f t="shared" ca="1" si="39"/>
        <v>0</v>
      </c>
      <c r="E186">
        <f ca="1">IF($C186=1,OFFSET(E186,-1,0)+MAX(1,COUNTIF(QCI!$A$13:$A$24,OFFSET(ORÇAMENTO!E186,-1,0))),OFFSET(E186,-1,0))</f>
        <v>1</v>
      </c>
      <c r="F186">
        <f t="shared" ca="1" si="40"/>
        <v>6</v>
      </c>
      <c r="G186">
        <f t="shared" ca="1" si="41"/>
        <v>17</v>
      </c>
      <c r="H186">
        <f t="shared" ca="1" si="42"/>
        <v>0</v>
      </c>
      <c r="I186">
        <f t="shared" ca="1" si="43"/>
        <v>9</v>
      </c>
      <c r="J186">
        <f t="shared" ca="1" si="35"/>
        <v>0</v>
      </c>
      <c r="K186">
        <f ca="1">IF(OR($C186="S",$C186=0),0,MATCH(OFFSET($D186,0,$C186)+IF($C186&lt;&gt;1,1,COUNTIF(QCI!$A$13:$A$24,ORÇAMENTO!E186)),OFFSET($D186,1,$C186,ROW($C$290)-ROW($C186)),0))</f>
        <v>0</v>
      </c>
      <c r="L186" s="116" t="str">
        <f t="shared" ca="1" si="44"/>
        <v>F</v>
      </c>
      <c r="M186" s="117" t="s">
        <v>199</v>
      </c>
      <c r="N186" s="118" t="str">
        <f t="shared" ca="1" si="45"/>
        <v>Serviço</v>
      </c>
      <c r="O186" s="119" t="str">
        <f t="shared" ca="1" si="46"/>
        <v>1.6.17.9.</v>
      </c>
      <c r="P186" s="120" t="s">
        <v>247</v>
      </c>
      <c r="Q186" s="121" t="s">
        <v>572</v>
      </c>
      <c r="R186" s="122" t="str">
        <f ca="1">IF($C186="S",REFERENCIA.Descricao,"(digite a descrição aqui)")</f>
        <v>(abra o arquivo 'Referência 03-2024.xlsm)</v>
      </c>
      <c r="S186" s="123" t="str">
        <f ca="1">REFERENCIA.Unidade</f>
        <v>-</v>
      </c>
      <c r="T186" s="124">
        <f ca="1">OFFSET(CÁLCULO!H$15,ROW($T186)-ROW(T$15),0)</f>
        <v>4</v>
      </c>
      <c r="U186" s="125">
        <v>98.61</v>
      </c>
      <c r="V186" s="126" t="s">
        <v>156</v>
      </c>
      <c r="W186" s="124">
        <f ca="1">IF($C186="S",ROUND(IF(TIPOORCAMENTO="Proposto",ORÇAMENTO.CustoUnitario*(1+$AH186),ORÇAMENTO.PrecoUnitarioLicitado),15-13*$AF$10),0)</f>
        <v>126.39</v>
      </c>
      <c r="X186" s="127">
        <f ca="1">IF($C186="S",IF(Import.TipoArredondamento&lt;&gt;"TransfereGOV",VTOTAL1,SUM(OFFSET(CÁLCULO!$AA$15,ROW($X186)-ROW($X$15),1):OFFSET(CÁLCULO!$AL$15,ROW($X186)-ROW($X$15),-1))),IF($C186=0,0,ROUND(SomaAgrup,15-13*$AF$11)))</f>
        <v>505.56</v>
      </c>
      <c r="Y186" s="128" t="s">
        <v>245</v>
      </c>
      <c r="Z186" t="str">
        <f t="shared" ca="1" si="47"/>
        <v>RA</v>
      </c>
      <c r="AA186" s="129">
        <f ca="1">IF($C186="S",IF($Z186="CP",$X186,IF($Z186="RA",(($X186)*QCI!$AA$3),0)),SomaAgrup)</f>
        <v>505.56</v>
      </c>
      <c r="AB186" s="130">
        <f t="shared" ca="1" si="48"/>
        <v>0</v>
      </c>
      <c r="AC186" s="131" t="str">
        <f ca="1">IF($N186="","",IF(ORÇAMENTO.Descricao="","DESCRIÇÃO",IF(AND($C186="S",ORÇAMENTO.Unidade=""),"UNIDADE",IF($X186&lt;0,"VALOR NEGATIVO",IF(OR(AND(TIPOORCAMENTO="Proposto",$AG186&lt;&gt;"",$AG186&gt;0,ORÇAMENTO.CustoUnitario&gt;$AG186),AND(TIPOORCAMENTO="LICITADO",ORÇAMENTO.PrecoUnitarioLicitado&gt;$AN186)),"ACIMA REF.","")))))</f>
        <v/>
      </c>
      <c r="AD186" t="str">
        <f ca="1">IF(C186&lt;=CRONO.NivelExibicao,MAX($AD$15:OFFSET(AD186,-1,0))+IF($C186&lt;&gt;1,1,MAX(1,COUNTIF(QCI!$A$13:$A$24,OFFSET($E186,-1,0)))),"")</f>
        <v/>
      </c>
      <c r="AE186" s="7" t="str">
        <f ca="1">IF(AND($C186="S",ORÇAMENTO.CodBarra&lt;&gt;""),IF(ORÇAMENTO.Fonte="",ORÇAMENTO.CodBarra,CONCATENATE(ORÇAMENTO.Fonte," ",ORÇAMENTO.CodBarra)))</f>
        <v>SINAPI 97590</v>
      </c>
      <c r="AF186" s="13" t="str">
        <f ca="1">IF(ISERROR(INDIRECT(ORÇAMENTO.BancoRef)),"(abra o arquivo 'Referência "&amp;Excel_BuiltIn_Database&amp;".xlsm)",IF(OR($C186&lt;&gt;"S",ORÇAMENTO.CodBarra=""),"(Sem Código)",IF(ISERROR(MATCH($AE186,INDIRECT(ORÇAMENTO.BancoRef),0)),"(Código não identificado nas referências)",MATCH($AE186,INDIRECT(ORÇAMENTO.BancoRef),0))))</f>
        <v>(abra o arquivo 'Referência 03-2024.xlsm)</v>
      </c>
      <c r="AG186" s="498">
        <f ca="1">ROUND(IF(DESONERACAO="sim",REFERENCIA.Desonerado,REFERENCIA.NaoDesonerado),2)</f>
        <v>0</v>
      </c>
      <c r="AH186" s="499">
        <f t="shared" ca="1" si="49"/>
        <v>0.28170000000000001</v>
      </c>
      <c r="AJ186" s="501">
        <v>4</v>
      </c>
      <c r="AL186" s="527"/>
      <c r="AM186" s="381">
        <f t="shared" ca="1" si="50"/>
        <v>505.56</v>
      </c>
      <c r="AN186" s="566">
        <f t="shared" ca="1" si="51"/>
        <v>126.39</v>
      </c>
    </row>
    <row r="187" spans="1:40" ht="25.5" x14ac:dyDescent="0.2">
      <c r="A187" t="str">
        <f t="shared" si="36"/>
        <v>S</v>
      </c>
      <c r="B187">
        <f t="shared" ca="1" si="37"/>
        <v>3</v>
      </c>
      <c r="C187" t="str">
        <f t="shared" ca="1" si="38"/>
        <v>S</v>
      </c>
      <c r="D187">
        <f t="shared" ca="1" si="39"/>
        <v>0</v>
      </c>
      <c r="E187">
        <f ca="1">IF($C187=1,OFFSET(E187,-1,0)+MAX(1,COUNTIF(QCI!$A$13:$A$24,OFFSET(ORÇAMENTO!E187,-1,0))),OFFSET(E187,-1,0))</f>
        <v>1</v>
      </c>
      <c r="F187">
        <f t="shared" ca="1" si="40"/>
        <v>6</v>
      </c>
      <c r="G187">
        <f t="shared" ca="1" si="41"/>
        <v>17</v>
      </c>
      <c r="H187">
        <f t="shared" ca="1" si="42"/>
        <v>0</v>
      </c>
      <c r="I187">
        <f t="shared" ca="1" si="43"/>
        <v>10</v>
      </c>
      <c r="J187">
        <f t="shared" ca="1" si="35"/>
        <v>0</v>
      </c>
      <c r="K187">
        <f ca="1">IF(OR($C187="S",$C187=0),0,MATCH(OFFSET($D187,0,$C187)+IF($C187&lt;&gt;1,1,COUNTIF(QCI!$A$13:$A$24,ORÇAMENTO!E187)),OFFSET($D187,1,$C187,ROW($C$290)-ROW($C187)),0))</f>
        <v>0</v>
      </c>
      <c r="L187" s="116" t="str">
        <f t="shared" ca="1" si="44"/>
        <v>F</v>
      </c>
      <c r="M187" s="117" t="s">
        <v>199</v>
      </c>
      <c r="N187" s="118" t="str">
        <f t="shared" ca="1" si="45"/>
        <v>Serviço</v>
      </c>
      <c r="O187" s="119" t="str">
        <f t="shared" ca="1" si="46"/>
        <v>1.6.17.10.</v>
      </c>
      <c r="P187" s="120" t="s">
        <v>247</v>
      </c>
      <c r="Q187" s="121" t="s">
        <v>573</v>
      </c>
      <c r="R187" s="122" t="str">
        <f ca="1">IF($C187="S",REFERENCIA.Descricao,"(digite a descrição aqui)")</f>
        <v>(abra o arquivo 'Referência 03-2024.xlsm)</v>
      </c>
      <c r="S187" s="123" t="str">
        <f ca="1">REFERENCIA.Unidade</f>
        <v>-</v>
      </c>
      <c r="T187" s="124">
        <f ca="1">OFFSET(CÁLCULO!H$15,ROW($T187)-ROW(T$15),0)</f>
        <v>1</v>
      </c>
      <c r="U187" s="125">
        <v>69.760000000000005</v>
      </c>
      <c r="V187" s="126" t="s">
        <v>156</v>
      </c>
      <c r="W187" s="124">
        <f ca="1">IF($C187="S",ROUND(IF(TIPOORCAMENTO="Proposto",ORÇAMENTO.CustoUnitario*(1+$AH187),ORÇAMENTO.PrecoUnitarioLicitado),15-13*$AF$10),0)</f>
        <v>89.41</v>
      </c>
      <c r="X187" s="127">
        <f ca="1">IF($C187="S",IF(Import.TipoArredondamento&lt;&gt;"TransfereGOV",VTOTAL1,SUM(OFFSET(CÁLCULO!$AA$15,ROW($X187)-ROW($X$15),1):OFFSET(CÁLCULO!$AL$15,ROW($X187)-ROW($X$15),-1))),IF($C187=0,0,ROUND(SomaAgrup,15-13*$AF$11)))</f>
        <v>89.41</v>
      </c>
      <c r="Y187" s="128" t="s">
        <v>245</v>
      </c>
      <c r="Z187" t="str">
        <f t="shared" ca="1" si="47"/>
        <v>RA</v>
      </c>
      <c r="AA187" s="129">
        <f ca="1">IF($C187="S",IF($Z187="CP",$X187,IF($Z187="RA",(($X187)*QCI!$AA$3),0)),SomaAgrup)</f>
        <v>89.41</v>
      </c>
      <c r="AB187" s="130">
        <f t="shared" ca="1" si="48"/>
        <v>0</v>
      </c>
      <c r="AC187" s="131" t="str">
        <f ca="1">IF($N187="","",IF(ORÇAMENTO.Descricao="","DESCRIÇÃO",IF(AND($C187="S",ORÇAMENTO.Unidade=""),"UNIDADE",IF($X187&lt;0,"VALOR NEGATIVO",IF(OR(AND(TIPOORCAMENTO="Proposto",$AG187&lt;&gt;"",$AG187&gt;0,ORÇAMENTO.CustoUnitario&gt;$AG187),AND(TIPOORCAMENTO="LICITADO",ORÇAMENTO.PrecoUnitarioLicitado&gt;$AN187)),"ACIMA REF.","")))))</f>
        <v/>
      </c>
      <c r="AD187" t="str">
        <f ca="1">IF(C187&lt;=CRONO.NivelExibicao,MAX($AD$15:OFFSET(AD187,-1,0))+IF($C187&lt;&gt;1,1,MAX(1,COUNTIF(QCI!$A$13:$A$24,OFFSET($E187,-1,0)))),"")</f>
        <v/>
      </c>
      <c r="AE187" s="7" t="str">
        <f ca="1">IF(AND($C187="S",ORÇAMENTO.CodBarra&lt;&gt;""),IF(ORÇAMENTO.Fonte="",ORÇAMENTO.CodBarra,CONCATENATE(ORÇAMENTO.Fonte," ",ORÇAMENTO.CodBarra)))</f>
        <v>SINAPI 97597</v>
      </c>
      <c r="AF187" s="13" t="str">
        <f ca="1">IF(ISERROR(INDIRECT(ORÇAMENTO.BancoRef)),"(abra o arquivo 'Referência "&amp;Excel_BuiltIn_Database&amp;".xlsm)",IF(OR($C187&lt;&gt;"S",ORÇAMENTO.CodBarra=""),"(Sem Código)",IF(ISERROR(MATCH($AE187,INDIRECT(ORÇAMENTO.BancoRef),0)),"(Código não identificado nas referências)",MATCH($AE187,INDIRECT(ORÇAMENTO.BancoRef),0))))</f>
        <v>(abra o arquivo 'Referência 03-2024.xlsm)</v>
      </c>
      <c r="AG187" s="498">
        <f ca="1">ROUND(IF(DESONERACAO="sim",REFERENCIA.Desonerado,REFERENCIA.NaoDesonerado),2)</f>
        <v>0</v>
      </c>
      <c r="AH187" s="499">
        <f t="shared" ca="1" si="49"/>
        <v>0.28170000000000001</v>
      </c>
      <c r="AJ187" s="501">
        <v>1</v>
      </c>
      <c r="AL187" s="527"/>
      <c r="AM187" s="381">
        <f t="shared" ca="1" si="50"/>
        <v>89.41</v>
      </c>
      <c r="AN187" s="566">
        <f t="shared" ca="1" si="51"/>
        <v>89.41</v>
      </c>
    </row>
    <row r="188" spans="1:40" x14ac:dyDescent="0.2">
      <c r="A188">
        <f t="shared" si="36"/>
        <v>3</v>
      </c>
      <c r="B188">
        <f t="shared" ca="1" si="37"/>
        <v>3</v>
      </c>
      <c r="C188">
        <f t="shared" ca="1" si="38"/>
        <v>3</v>
      </c>
      <c r="D188">
        <f t="shared" ca="1" si="39"/>
        <v>4</v>
      </c>
      <c r="E188">
        <f ca="1">IF($C188=1,OFFSET(E188,-1,0)+MAX(1,COUNTIF(QCI!$A$13:$A$24,OFFSET(ORÇAMENTO!E188,-1,0))),OFFSET(E188,-1,0))</f>
        <v>1</v>
      </c>
      <c r="F188">
        <f t="shared" ca="1" si="40"/>
        <v>6</v>
      </c>
      <c r="G188">
        <f t="shared" ca="1" si="41"/>
        <v>18</v>
      </c>
      <c r="H188">
        <f t="shared" ca="1" si="42"/>
        <v>0</v>
      </c>
      <c r="I188">
        <f t="shared" ca="1" si="43"/>
        <v>0</v>
      </c>
      <c r="J188">
        <f t="shared" ca="1" si="35"/>
        <v>4</v>
      </c>
      <c r="K188" t="e">
        <f ca="1">IF(OR($C188="S",$C188=0),0,MATCH(OFFSET($D188,0,$C188)+IF($C188&lt;&gt;1,1,COUNTIF(QCI!$A$13:$A$24,ORÇAMENTO!E188)),OFFSET($D188,1,$C188,ROW($C$290)-ROW($C188)),0))</f>
        <v>#N/A</v>
      </c>
      <c r="L188" s="116" t="str">
        <f t="shared" ca="1" si="44"/>
        <v>F</v>
      </c>
      <c r="M188" s="117" t="s">
        <v>197</v>
      </c>
      <c r="N188" s="118" t="str">
        <f t="shared" ca="1" si="45"/>
        <v>Nível 3</v>
      </c>
      <c r="O188" s="119" t="str">
        <f t="shared" ca="1" si="46"/>
        <v>1.6.18.</v>
      </c>
      <c r="P188" s="120" t="s">
        <v>247</v>
      </c>
      <c r="Q188" s="121"/>
      <c r="R188" s="122" t="s">
        <v>574</v>
      </c>
      <c r="S188" s="123" t="str">
        <f ca="1">REFERENCIA.Unidade</f>
        <v>-</v>
      </c>
      <c r="T188" s="124">
        <f ca="1">OFFSET(CÁLCULO!H$15,ROW($T188)-ROW(T$15),0)</f>
        <v>0</v>
      </c>
      <c r="U188" s="125">
        <v>0</v>
      </c>
      <c r="V188" s="126" t="s">
        <v>156</v>
      </c>
      <c r="W188" s="124">
        <f ca="1">IF($C188="S",ROUND(IF(TIPOORCAMENTO="Proposto",ORÇAMENTO.CustoUnitario*(1+$AH188),ORÇAMENTO.PrecoUnitarioLicitado),15-13*$AF$10),0)</f>
        <v>0</v>
      </c>
      <c r="X188" s="127">
        <f ca="1">IF($C188="S",IF(Import.TipoArredondamento&lt;&gt;"TransfereGOV",VTOTAL1,SUM(OFFSET(CÁLCULO!$AA$15,ROW($X188)-ROW($X$15),1):OFFSET(CÁLCULO!$AL$15,ROW($X188)-ROW($X$15),-1))),IF($C188=0,0,ROUND(SomaAgrup,15-13*$AF$11)))</f>
        <v>1274.93</v>
      </c>
      <c r="Y188" s="128" t="s">
        <v>245</v>
      </c>
      <c r="Z188" t="str">
        <f t="shared" ca="1" si="47"/>
        <v/>
      </c>
      <c r="AA188" s="129">
        <f ca="1">IF($C188="S",IF($Z188="CP",$X188,IF($Z188="RA",(($X188)*QCI!$AA$3),0)),SomaAgrup)</f>
        <v>1274.93</v>
      </c>
      <c r="AB188" s="130">
        <f t="shared" ca="1" si="48"/>
        <v>0</v>
      </c>
      <c r="AC188" s="131" t="str">
        <f ca="1">IF($N188="","",IF(ORÇAMENTO.Descricao="","DESCRIÇÃO",IF(AND($C188="S",ORÇAMENTO.Unidade=""),"UNIDADE",IF($X188&lt;0,"VALOR NEGATIVO",IF(OR(AND(TIPOORCAMENTO="Proposto",$AG188&lt;&gt;"",$AG188&gt;0,ORÇAMENTO.CustoUnitario&gt;$AG188),AND(TIPOORCAMENTO="LICITADO",ORÇAMENTO.PrecoUnitarioLicitado&gt;$AN188)),"ACIMA REF.","")))))</f>
        <v/>
      </c>
      <c r="AD188">
        <f ca="1">IF(C188&lt;=CRONO.NivelExibicao,MAX($AD$15:OFFSET(AD188,-1,0))+IF($C188&lt;&gt;1,1,MAX(1,COUNTIF(QCI!$A$13:$A$24,OFFSET($E188,-1,0)))),"")</f>
        <v>27</v>
      </c>
      <c r="AE188" s="7" t="b">
        <f ca="1">IF(AND($C188="S",ORÇAMENTO.CodBarra&lt;&gt;""),IF(ORÇAMENTO.Fonte="",ORÇAMENTO.CodBarra,CONCATENATE(ORÇAMENTO.Fonte," ",ORÇAMENTO.CodBarra)))</f>
        <v>0</v>
      </c>
      <c r="AF188" s="13" t="str">
        <f ca="1">IF(ISERROR(INDIRECT(ORÇAMENTO.BancoRef)),"(abra o arquivo 'Referência "&amp;Excel_BuiltIn_Database&amp;".xlsm)",IF(OR($C188&lt;&gt;"S",ORÇAMENTO.CodBarra=""),"(Sem Código)",IF(ISERROR(MATCH($AE188,INDIRECT(ORÇAMENTO.BancoRef),0)),"(Código não identificado nas referências)",MATCH($AE188,INDIRECT(ORÇAMENTO.BancoRef),0))))</f>
        <v>(abra o arquivo 'Referência 03-2024.xlsm)</v>
      </c>
      <c r="AG188" s="498">
        <f ca="1">ROUND(IF(DESONERACAO="sim",REFERENCIA.Desonerado,REFERENCIA.NaoDesonerado),2)</f>
        <v>0</v>
      </c>
      <c r="AH188" s="499">
        <f t="shared" ca="1" si="49"/>
        <v>0.28170000000000001</v>
      </c>
      <c r="AJ188" s="501"/>
      <c r="AL188" s="527"/>
      <c r="AM188" s="381">
        <f t="shared" ca="1" si="50"/>
        <v>1274.93</v>
      </c>
      <c r="AN188" s="566">
        <f t="shared" ca="1" si="51"/>
        <v>0</v>
      </c>
    </row>
    <row r="189" spans="1:40" ht="25.5" x14ac:dyDescent="0.2">
      <c r="A189" t="str">
        <f t="shared" si="36"/>
        <v>S</v>
      </c>
      <c r="B189">
        <f t="shared" ca="1" si="37"/>
        <v>3</v>
      </c>
      <c r="C189" t="str">
        <f t="shared" ca="1" si="38"/>
        <v>S</v>
      </c>
      <c r="D189">
        <f t="shared" ca="1" si="39"/>
        <v>0</v>
      </c>
      <c r="E189">
        <f ca="1">IF($C189=1,OFFSET(E189,-1,0)+MAX(1,COUNTIF(QCI!$A$13:$A$24,OFFSET(ORÇAMENTO!E189,-1,0))),OFFSET(E189,-1,0))</f>
        <v>1</v>
      </c>
      <c r="F189">
        <f t="shared" ca="1" si="40"/>
        <v>6</v>
      </c>
      <c r="G189">
        <f t="shared" ca="1" si="41"/>
        <v>18</v>
      </c>
      <c r="H189">
        <f t="shared" ca="1" si="42"/>
        <v>0</v>
      </c>
      <c r="I189">
        <f t="shared" ca="1" si="43"/>
        <v>1</v>
      </c>
      <c r="J189">
        <f t="shared" ca="1" si="35"/>
        <v>0</v>
      </c>
      <c r="K189">
        <f ca="1">IF(OR($C189="S",$C189=0),0,MATCH(OFFSET($D189,0,$C189)+IF($C189&lt;&gt;1,1,COUNTIF(QCI!$A$13:$A$24,ORÇAMENTO!E189)),OFFSET($D189,1,$C189,ROW($C$290)-ROW($C189)),0))</f>
        <v>0</v>
      </c>
      <c r="L189" s="116" t="str">
        <f t="shared" ca="1" si="44"/>
        <v>F</v>
      </c>
      <c r="M189" s="117" t="s">
        <v>199</v>
      </c>
      <c r="N189" s="118" t="str">
        <f t="shared" ca="1" si="45"/>
        <v>Serviço</v>
      </c>
      <c r="O189" s="119" t="str">
        <f t="shared" ca="1" si="46"/>
        <v>1.6.18.1.</v>
      </c>
      <c r="P189" s="120" t="s">
        <v>462</v>
      </c>
      <c r="Q189" s="121" t="s">
        <v>575</v>
      </c>
      <c r="R189" s="122" t="str">
        <f ca="1">IF($C189="S",REFERENCIA.Descricao,"(digite a descrição aqui)")</f>
        <v>(abra o arquivo 'Referência 03-2024.xlsm)</v>
      </c>
      <c r="S189" s="123" t="str">
        <f ca="1">REFERENCIA.Unidade</f>
        <v>-</v>
      </c>
      <c r="T189" s="124">
        <f ca="1">OFFSET(CÁLCULO!H$15,ROW($T189)-ROW(T$15),0)</f>
        <v>3</v>
      </c>
      <c r="U189" s="125">
        <v>3.19</v>
      </c>
      <c r="V189" s="126" t="s">
        <v>156</v>
      </c>
      <c r="W189" s="124">
        <f ca="1">IF($C189="S",ROUND(IF(TIPOORCAMENTO="Proposto",ORÇAMENTO.CustoUnitario*(1+$AH189),ORÇAMENTO.PrecoUnitarioLicitado),15-13*$AF$10),0)</f>
        <v>4.09</v>
      </c>
      <c r="X189" s="127">
        <f ca="1">IF($C189="S",IF(Import.TipoArredondamento&lt;&gt;"TransfereGOV",VTOTAL1,SUM(OFFSET(CÁLCULO!$AA$15,ROW($X189)-ROW($X$15),1):OFFSET(CÁLCULO!$AL$15,ROW($X189)-ROW($X$15),-1))),IF($C189=0,0,ROUND(SomaAgrup,15-13*$AF$11)))</f>
        <v>12.27</v>
      </c>
      <c r="Y189" s="128" t="s">
        <v>245</v>
      </c>
      <c r="Z189" t="str">
        <f t="shared" ca="1" si="47"/>
        <v>RA</v>
      </c>
      <c r="AA189" s="129">
        <f ca="1">IF($C189="S",IF($Z189="CP",$X189,IF($Z189="RA",(($X189)*QCI!$AA$3),0)),SomaAgrup)</f>
        <v>12.27</v>
      </c>
      <c r="AB189" s="130">
        <f t="shared" ca="1" si="48"/>
        <v>0</v>
      </c>
      <c r="AC189" s="131" t="str">
        <f ca="1">IF($N189="","",IF(ORÇAMENTO.Descricao="","DESCRIÇÃO",IF(AND($C189="S",ORÇAMENTO.Unidade=""),"UNIDADE",IF($X189&lt;0,"VALOR NEGATIVO",IF(OR(AND(TIPOORCAMENTO="Proposto",$AG189&lt;&gt;"",$AG189&gt;0,ORÇAMENTO.CustoUnitario&gt;$AG189),AND(TIPOORCAMENTO="LICITADO",ORÇAMENTO.PrecoUnitarioLicitado&gt;$AN189)),"ACIMA REF.","")))))</f>
        <v/>
      </c>
      <c r="AD189" t="str">
        <f ca="1">IF(C189&lt;=CRONO.NivelExibicao,MAX($AD$15:OFFSET(AD189,-1,0))+IF($C189&lt;&gt;1,1,MAX(1,COUNTIF(QCI!$A$13:$A$24,OFFSET($E189,-1,0)))),"")</f>
        <v/>
      </c>
      <c r="AE189" s="7" t="str">
        <f ca="1">IF(AND($C189="S",ORÇAMENTO.CodBarra&lt;&gt;""),IF(ORÇAMENTO.Fonte="",ORÇAMENTO.CodBarra,CONCATENATE(ORÇAMENTO.Fonte," ",ORÇAMENTO.CodBarra)))</f>
        <v>Composição 62</v>
      </c>
      <c r="AF189" s="13" t="str">
        <f ca="1">IF(ISERROR(INDIRECT(ORÇAMENTO.BancoRef)),"(abra o arquivo 'Referência "&amp;Excel_BuiltIn_Database&amp;".xlsm)",IF(OR($C189&lt;&gt;"S",ORÇAMENTO.CodBarra=""),"(Sem Código)",IF(ISERROR(MATCH($AE189,INDIRECT(ORÇAMENTO.BancoRef),0)),"(Código não identificado nas referências)",MATCH($AE189,INDIRECT(ORÇAMENTO.BancoRef),0))))</f>
        <v>(abra o arquivo 'Referência 03-2024.xlsm)</v>
      </c>
      <c r="AG189" s="498">
        <f ca="1">ROUND(IF(DESONERACAO="sim",REFERENCIA.Desonerado,REFERENCIA.NaoDesonerado),2)</f>
        <v>0</v>
      </c>
      <c r="AH189" s="499">
        <f t="shared" ca="1" si="49"/>
        <v>0.28170000000000001</v>
      </c>
      <c r="AJ189" s="501">
        <v>3</v>
      </c>
      <c r="AL189" s="527"/>
      <c r="AM189" s="381">
        <f t="shared" ca="1" si="50"/>
        <v>12.27</v>
      </c>
      <c r="AN189" s="566">
        <f t="shared" ca="1" si="51"/>
        <v>4.09</v>
      </c>
    </row>
    <row r="190" spans="1:40" ht="38.25" x14ac:dyDescent="0.2">
      <c r="A190" t="str">
        <f t="shared" si="36"/>
        <v>S</v>
      </c>
      <c r="B190">
        <f t="shared" ca="1" si="37"/>
        <v>3</v>
      </c>
      <c r="C190" t="str">
        <f t="shared" ca="1" si="38"/>
        <v>S</v>
      </c>
      <c r="D190">
        <f t="shared" ca="1" si="39"/>
        <v>0</v>
      </c>
      <c r="E190">
        <f ca="1">IF($C190=1,OFFSET(E190,-1,0)+MAX(1,COUNTIF(QCI!$A$13:$A$24,OFFSET(ORÇAMENTO!E190,-1,0))),OFFSET(E190,-1,0))</f>
        <v>1</v>
      </c>
      <c r="F190">
        <f t="shared" ca="1" si="40"/>
        <v>6</v>
      </c>
      <c r="G190">
        <f t="shared" ca="1" si="41"/>
        <v>18</v>
      </c>
      <c r="H190">
        <f t="shared" ca="1" si="42"/>
        <v>0</v>
      </c>
      <c r="I190">
        <f t="shared" ca="1" si="43"/>
        <v>2</v>
      </c>
      <c r="J190">
        <f t="shared" ca="1" si="35"/>
        <v>0</v>
      </c>
      <c r="K190">
        <f ca="1">IF(OR($C190="S",$C190=0),0,MATCH(OFFSET($D190,0,$C190)+IF($C190&lt;&gt;1,1,COUNTIF(QCI!$A$13:$A$24,ORÇAMENTO!E190)),OFFSET($D190,1,$C190,ROW($C$290)-ROW($C190)),0))</f>
        <v>0</v>
      </c>
      <c r="L190" s="116" t="str">
        <f t="shared" ca="1" si="44"/>
        <v>F</v>
      </c>
      <c r="M190" s="117" t="s">
        <v>199</v>
      </c>
      <c r="N190" s="118" t="str">
        <f t="shared" ca="1" si="45"/>
        <v>Serviço</v>
      </c>
      <c r="O190" s="119" t="str">
        <f t="shared" ca="1" si="46"/>
        <v>1.6.18.2.</v>
      </c>
      <c r="P190" s="120" t="s">
        <v>462</v>
      </c>
      <c r="Q190" s="121" t="s">
        <v>566</v>
      </c>
      <c r="R190" s="122" t="str">
        <f ca="1">IF($C190="S",REFERENCIA.Descricao,"(digite a descrição aqui)")</f>
        <v>(abra o arquivo 'Referência 03-2024.xlsm)</v>
      </c>
      <c r="S190" s="123" t="str">
        <f ca="1">REFERENCIA.Unidade</f>
        <v>-</v>
      </c>
      <c r="T190" s="124">
        <f ca="1">OFFSET(CÁLCULO!H$15,ROW($T190)-ROW(T$15),0)</f>
        <v>15</v>
      </c>
      <c r="U190" s="125">
        <v>6.63</v>
      </c>
      <c r="V190" s="126" t="s">
        <v>156</v>
      </c>
      <c r="W190" s="124">
        <f ca="1">IF($C190="S",ROUND(IF(TIPOORCAMENTO="Proposto",ORÇAMENTO.CustoUnitario*(1+$AH190),ORÇAMENTO.PrecoUnitarioLicitado),15-13*$AF$10),0)</f>
        <v>8.5</v>
      </c>
      <c r="X190" s="127">
        <f ca="1">IF($C190="S",IF(Import.TipoArredondamento&lt;&gt;"TransfereGOV",VTOTAL1,SUM(OFFSET(CÁLCULO!$AA$15,ROW($X190)-ROW($X$15),1):OFFSET(CÁLCULO!$AL$15,ROW($X190)-ROW($X$15),-1))),IF($C190=0,0,ROUND(SomaAgrup,15-13*$AF$11)))</f>
        <v>127.5</v>
      </c>
      <c r="Y190" s="128" t="s">
        <v>245</v>
      </c>
      <c r="Z190" t="str">
        <f t="shared" ca="1" si="47"/>
        <v>RA</v>
      </c>
      <c r="AA190" s="129">
        <f ca="1">IF($C190="S",IF($Z190="CP",$X190,IF($Z190="RA",(($X190)*QCI!$AA$3),0)),SomaAgrup)</f>
        <v>127.5</v>
      </c>
      <c r="AB190" s="130">
        <f t="shared" ca="1" si="48"/>
        <v>0</v>
      </c>
      <c r="AC190" s="131" t="str">
        <f ca="1">IF($N190="","",IF(ORÇAMENTO.Descricao="","DESCRIÇÃO",IF(AND($C190="S",ORÇAMENTO.Unidade=""),"UNIDADE",IF($X190&lt;0,"VALOR NEGATIVO",IF(OR(AND(TIPOORCAMENTO="Proposto",$AG190&lt;&gt;"",$AG190&gt;0,ORÇAMENTO.CustoUnitario&gt;$AG190),AND(TIPOORCAMENTO="LICITADO",ORÇAMENTO.PrecoUnitarioLicitado&gt;$AN190)),"ACIMA REF.","")))))</f>
        <v/>
      </c>
      <c r="AD190" t="str">
        <f ca="1">IF(C190&lt;=CRONO.NivelExibicao,MAX($AD$15:OFFSET(AD190,-1,0))+IF($C190&lt;&gt;1,1,MAX(1,COUNTIF(QCI!$A$13:$A$24,OFFSET($E190,-1,0)))),"")</f>
        <v/>
      </c>
      <c r="AE190" s="7" t="str">
        <f ca="1">IF(AND($C190="S",ORÇAMENTO.CodBarra&lt;&gt;""),IF(ORÇAMENTO.Fonte="",ORÇAMENTO.CodBarra,CONCATENATE(ORÇAMENTO.Fonte," ",ORÇAMENTO.CodBarra)))</f>
        <v>Composição 61</v>
      </c>
      <c r="AF190" s="13" t="str">
        <f ca="1">IF(ISERROR(INDIRECT(ORÇAMENTO.BancoRef)),"(abra o arquivo 'Referência "&amp;Excel_BuiltIn_Database&amp;".xlsm)",IF(OR($C190&lt;&gt;"S",ORÇAMENTO.CodBarra=""),"(Sem Código)",IF(ISERROR(MATCH($AE190,INDIRECT(ORÇAMENTO.BancoRef),0)),"(Código não identificado nas referências)",MATCH($AE190,INDIRECT(ORÇAMENTO.BancoRef),0))))</f>
        <v>(abra o arquivo 'Referência 03-2024.xlsm)</v>
      </c>
      <c r="AG190" s="498">
        <f ca="1">ROUND(IF(DESONERACAO="sim",REFERENCIA.Desonerado,REFERENCIA.NaoDesonerado),2)</f>
        <v>0</v>
      </c>
      <c r="AH190" s="499">
        <f t="shared" ca="1" si="49"/>
        <v>0.28170000000000001</v>
      </c>
      <c r="AJ190" s="501">
        <v>15</v>
      </c>
      <c r="AL190" s="527"/>
      <c r="AM190" s="381">
        <f t="shared" ca="1" si="50"/>
        <v>127.5</v>
      </c>
      <c r="AN190" s="566">
        <f t="shared" ca="1" si="51"/>
        <v>8.5</v>
      </c>
    </row>
    <row r="191" spans="1:40" ht="38.25" x14ac:dyDescent="0.2">
      <c r="A191" t="str">
        <f t="shared" si="36"/>
        <v>S</v>
      </c>
      <c r="B191">
        <f t="shared" ca="1" si="37"/>
        <v>3</v>
      </c>
      <c r="C191" t="str">
        <f t="shared" ca="1" si="38"/>
        <v>S</v>
      </c>
      <c r="D191">
        <f t="shared" ca="1" si="39"/>
        <v>0</v>
      </c>
      <c r="E191">
        <f ca="1">IF($C191=1,OFFSET(E191,-1,0)+MAX(1,COUNTIF(QCI!$A$13:$A$24,OFFSET(ORÇAMENTO!E191,-1,0))),OFFSET(E191,-1,0))</f>
        <v>1</v>
      </c>
      <c r="F191">
        <f t="shared" ca="1" si="40"/>
        <v>6</v>
      </c>
      <c r="G191">
        <f t="shared" ca="1" si="41"/>
        <v>18</v>
      </c>
      <c r="H191">
        <f t="shared" ca="1" si="42"/>
        <v>0</v>
      </c>
      <c r="I191">
        <f t="shared" ca="1" si="43"/>
        <v>3</v>
      </c>
      <c r="J191">
        <f t="shared" ca="1" si="35"/>
        <v>0</v>
      </c>
      <c r="K191">
        <f ca="1">IF(OR($C191="S",$C191=0),0,MATCH(OFFSET($D191,0,$C191)+IF($C191&lt;&gt;1,1,COUNTIF(QCI!$A$13:$A$24,ORÇAMENTO!E191)),OFFSET($D191,1,$C191,ROW($C$290)-ROW($C191)),0))</f>
        <v>0</v>
      </c>
      <c r="L191" s="116" t="str">
        <f t="shared" ca="1" si="44"/>
        <v>F</v>
      </c>
      <c r="M191" s="117" t="s">
        <v>199</v>
      </c>
      <c r="N191" s="118" t="str">
        <f t="shared" ca="1" si="45"/>
        <v>Serviço</v>
      </c>
      <c r="O191" s="119" t="str">
        <f t="shared" ca="1" si="46"/>
        <v>1.6.18.3.</v>
      </c>
      <c r="P191" s="120" t="s">
        <v>462</v>
      </c>
      <c r="Q191" s="121" t="s">
        <v>576</v>
      </c>
      <c r="R191" s="122" t="str">
        <f ca="1">IF($C191="S",REFERENCIA.Descricao,"(digite a descrição aqui)")</f>
        <v>(abra o arquivo 'Referência 03-2024.xlsm)</v>
      </c>
      <c r="S191" s="123" t="str">
        <f ca="1">REFERENCIA.Unidade</f>
        <v>-</v>
      </c>
      <c r="T191" s="124">
        <f ca="1">OFFSET(CÁLCULO!H$15,ROW($T191)-ROW(T$15),0)</f>
        <v>1</v>
      </c>
      <c r="U191" s="125">
        <v>885.67</v>
      </c>
      <c r="V191" s="126" t="s">
        <v>156</v>
      </c>
      <c r="W191" s="124">
        <f ca="1">IF($C191="S",ROUND(IF(TIPOORCAMENTO="Proposto",ORÇAMENTO.CustoUnitario*(1+$AH191),ORÇAMENTO.PrecoUnitarioLicitado),15-13*$AF$10),0)</f>
        <v>1135.1600000000001</v>
      </c>
      <c r="X191" s="127">
        <f ca="1">IF($C191="S",IF(Import.TipoArredondamento&lt;&gt;"TransfereGOV",VTOTAL1,SUM(OFFSET(CÁLCULO!$AA$15,ROW($X191)-ROW($X$15),1):OFFSET(CÁLCULO!$AL$15,ROW($X191)-ROW($X$15),-1))),IF($C191=0,0,ROUND(SomaAgrup,15-13*$AF$11)))</f>
        <v>1135.1600000000001</v>
      </c>
      <c r="Y191" s="128" t="s">
        <v>245</v>
      </c>
      <c r="Z191" t="str">
        <f t="shared" ca="1" si="47"/>
        <v>RA</v>
      </c>
      <c r="AA191" s="129">
        <f ca="1">IF($C191="S",IF($Z191="CP",$X191,IF($Z191="RA",(($X191)*QCI!$AA$3),0)),SomaAgrup)</f>
        <v>1135.1600000000001</v>
      </c>
      <c r="AB191" s="130">
        <f t="shared" ca="1" si="48"/>
        <v>0</v>
      </c>
      <c r="AC191" s="131" t="str">
        <f ca="1">IF($N191="","",IF(ORÇAMENTO.Descricao="","DESCRIÇÃO",IF(AND($C191="S",ORÇAMENTO.Unidade=""),"UNIDADE",IF($X191&lt;0,"VALOR NEGATIVO",IF(OR(AND(TIPOORCAMENTO="Proposto",$AG191&lt;&gt;"",$AG191&gt;0,ORÇAMENTO.CustoUnitario&gt;$AG191),AND(TIPOORCAMENTO="LICITADO",ORÇAMENTO.PrecoUnitarioLicitado&gt;$AN191)),"ACIMA REF.","")))))</f>
        <v/>
      </c>
      <c r="AD191" t="str">
        <f ca="1">IF(C191&lt;=CRONO.NivelExibicao,MAX($AD$15:OFFSET(AD191,-1,0))+IF($C191&lt;&gt;1,1,MAX(1,COUNTIF(QCI!$A$13:$A$24,OFFSET($E191,-1,0)))),"")</f>
        <v/>
      </c>
      <c r="AE191" s="7" t="str">
        <f ca="1">IF(AND($C191="S",ORÇAMENTO.CodBarra&lt;&gt;""),IF(ORÇAMENTO.Fonte="",ORÇAMENTO.CodBarra,CONCATENATE(ORÇAMENTO.Fonte," ",ORÇAMENTO.CodBarra)))</f>
        <v>Composição 63</v>
      </c>
      <c r="AF191" s="13" t="str">
        <f ca="1">IF(ISERROR(INDIRECT(ORÇAMENTO.BancoRef)),"(abra o arquivo 'Referência "&amp;Excel_BuiltIn_Database&amp;".xlsm)",IF(OR($C191&lt;&gt;"S",ORÇAMENTO.CodBarra=""),"(Sem Código)",IF(ISERROR(MATCH($AE191,INDIRECT(ORÇAMENTO.BancoRef),0)),"(Código não identificado nas referências)",MATCH($AE191,INDIRECT(ORÇAMENTO.BancoRef),0))))</f>
        <v>(abra o arquivo 'Referência 03-2024.xlsm)</v>
      </c>
      <c r="AG191" s="498">
        <f ca="1">ROUND(IF(DESONERACAO="sim",REFERENCIA.Desonerado,REFERENCIA.NaoDesonerado),2)</f>
        <v>0</v>
      </c>
      <c r="AH191" s="499">
        <f t="shared" ca="1" si="49"/>
        <v>0.28170000000000001</v>
      </c>
      <c r="AJ191" s="501">
        <v>1</v>
      </c>
      <c r="AL191" s="527"/>
      <c r="AM191" s="381">
        <f t="shared" ca="1" si="50"/>
        <v>1135.1600000000001</v>
      </c>
      <c r="AN191" s="566">
        <f t="shared" ca="1" si="51"/>
        <v>1135.1600000000001</v>
      </c>
    </row>
    <row r="192" spans="1:40" x14ac:dyDescent="0.2">
      <c r="A192">
        <f t="shared" si="36"/>
        <v>2</v>
      </c>
      <c r="B192">
        <f t="shared" ca="1" si="37"/>
        <v>2</v>
      </c>
      <c r="C192">
        <f t="shared" ca="1" si="38"/>
        <v>2</v>
      </c>
      <c r="D192">
        <f t="shared" ca="1" si="39"/>
        <v>6</v>
      </c>
      <c r="E192">
        <f ca="1">IF($C192=1,OFFSET(E192,-1,0)+MAX(1,COUNTIF(QCI!$A$13:$A$24,OFFSET(ORÇAMENTO!E192,-1,0))),OFFSET(E192,-1,0))</f>
        <v>1</v>
      </c>
      <c r="F192">
        <f t="shared" ca="1" si="40"/>
        <v>7</v>
      </c>
      <c r="G192">
        <f t="shared" ca="1" si="41"/>
        <v>0</v>
      </c>
      <c r="H192">
        <f t="shared" ca="1" si="42"/>
        <v>0</v>
      </c>
      <c r="I192">
        <f t="shared" ca="1" si="43"/>
        <v>0</v>
      </c>
      <c r="J192">
        <f t="shared" ca="1" si="35"/>
        <v>98</v>
      </c>
      <c r="K192">
        <f ca="1">IF(OR($C192="S",$C192=0),0,MATCH(OFFSET($D192,0,$C192)+IF($C192&lt;&gt;1,1,COUNTIF(QCI!$A$13:$A$24,ORÇAMENTO!E192)),OFFSET($D192,1,$C192,ROW($C$290)-ROW($C192)),0))</f>
        <v>6</v>
      </c>
      <c r="L192" s="116" t="str">
        <f t="shared" ca="1" si="44"/>
        <v>F</v>
      </c>
      <c r="M192" s="117" t="s">
        <v>196</v>
      </c>
      <c r="N192" s="118" t="str">
        <f t="shared" ca="1" si="45"/>
        <v>Nível 2</v>
      </c>
      <c r="O192" s="119" t="str">
        <f t="shared" ca="1" si="46"/>
        <v>1.7.</v>
      </c>
      <c r="P192" s="120" t="s">
        <v>247</v>
      </c>
      <c r="Q192" s="121"/>
      <c r="R192" s="122" t="s">
        <v>581</v>
      </c>
      <c r="S192" s="123" t="str">
        <f ca="1">REFERENCIA.Unidade</f>
        <v>-</v>
      </c>
      <c r="T192" s="124">
        <f ca="1">OFFSET(CÁLCULO!H$15,ROW($T192)-ROW(T$15),0)</f>
        <v>0</v>
      </c>
      <c r="U192" s="125">
        <v>0</v>
      </c>
      <c r="V192" s="126" t="s">
        <v>156</v>
      </c>
      <c r="W192" s="124">
        <f ca="1">IF($C192="S",ROUND(IF(TIPOORCAMENTO="Proposto",ORÇAMENTO.CustoUnitario*(1+$AH192),ORÇAMENTO.PrecoUnitarioLicitado),15-13*$AF$10),0)</f>
        <v>0</v>
      </c>
      <c r="X192" s="127">
        <f ca="1">IF($C192="S",IF(Import.TipoArredondamento&lt;&gt;"TransfereGOV",VTOTAL1,SUM(OFFSET(CÁLCULO!$AA$15,ROW($X192)-ROW($X$15),1):OFFSET(CÁLCULO!$AL$15,ROW($X192)-ROW($X$15),-1))),IF($C192=0,0,ROUND(SomaAgrup,15-13*$AF$11)))</f>
        <v>44788.6</v>
      </c>
      <c r="Y192" s="128" t="s">
        <v>245</v>
      </c>
      <c r="Z192" t="str">
        <f t="shared" ca="1" si="47"/>
        <v/>
      </c>
      <c r="AA192" s="129">
        <f ca="1">IF($C192="S",IF($Z192="CP",$X192,IF($Z192="RA",(($X192)*QCI!$AA$3),0)),SomaAgrup)</f>
        <v>44788.6</v>
      </c>
      <c r="AB192" s="130">
        <f t="shared" ca="1" si="48"/>
        <v>0</v>
      </c>
      <c r="AC192" s="131" t="str">
        <f ca="1">IF($N192="","",IF(ORÇAMENTO.Descricao="","DESCRIÇÃO",IF(AND($C192="S",ORÇAMENTO.Unidade=""),"UNIDADE",IF($X192&lt;0,"VALOR NEGATIVO",IF(OR(AND(TIPOORCAMENTO="Proposto",$AG192&lt;&gt;"",$AG192&gt;0,ORÇAMENTO.CustoUnitario&gt;$AG192),AND(TIPOORCAMENTO="LICITADO",ORÇAMENTO.PrecoUnitarioLicitado&gt;$AN192)),"ACIMA REF.","")))))</f>
        <v/>
      </c>
      <c r="AD192">
        <f ca="1">IF(C192&lt;=CRONO.NivelExibicao,MAX($AD$15:OFFSET(AD192,-1,0))+IF($C192&lt;&gt;1,1,MAX(1,COUNTIF(QCI!$A$13:$A$24,OFFSET($E192,-1,0)))),"")</f>
        <v>28</v>
      </c>
      <c r="AE192" s="7" t="b">
        <f ca="1">IF(AND($C192="S",ORÇAMENTO.CodBarra&lt;&gt;""),IF(ORÇAMENTO.Fonte="",ORÇAMENTO.CodBarra,CONCATENATE(ORÇAMENTO.Fonte," ",ORÇAMENTO.CodBarra)))</f>
        <v>0</v>
      </c>
      <c r="AF192" s="13" t="str">
        <f ca="1">IF(ISERROR(INDIRECT(ORÇAMENTO.BancoRef)),"(abra o arquivo 'Referência "&amp;Excel_BuiltIn_Database&amp;".xlsm)",IF(OR($C192&lt;&gt;"S",ORÇAMENTO.CodBarra=""),"(Sem Código)",IF(ISERROR(MATCH($AE192,INDIRECT(ORÇAMENTO.BancoRef),0)),"(Código não identificado nas referências)",MATCH($AE192,INDIRECT(ORÇAMENTO.BancoRef),0))))</f>
        <v>(abra o arquivo 'Referência 03-2024.xlsm)</v>
      </c>
      <c r="AG192" s="498">
        <f ca="1">ROUND(IF(DESONERACAO="sim",REFERENCIA.Desonerado,REFERENCIA.NaoDesonerado),2)</f>
        <v>0</v>
      </c>
      <c r="AH192" s="499">
        <f t="shared" ca="1" si="49"/>
        <v>0.28170000000000001</v>
      </c>
      <c r="AJ192" s="501"/>
      <c r="AL192" s="527"/>
      <c r="AM192" s="381">
        <f t="shared" ca="1" si="50"/>
        <v>44788.6</v>
      </c>
      <c r="AN192" s="566">
        <f t="shared" ca="1" si="51"/>
        <v>0</v>
      </c>
    </row>
    <row r="193" spans="1:40" ht="38.25" x14ac:dyDescent="0.2">
      <c r="A193" t="str">
        <f t="shared" si="36"/>
        <v>S</v>
      </c>
      <c r="B193">
        <f t="shared" ca="1" si="37"/>
        <v>2</v>
      </c>
      <c r="C193" t="str">
        <f t="shared" ca="1" si="38"/>
        <v>S</v>
      </c>
      <c r="D193">
        <f t="shared" ca="1" si="39"/>
        <v>0</v>
      </c>
      <c r="E193">
        <f ca="1">IF($C193=1,OFFSET(E193,-1,0)+MAX(1,COUNTIF(QCI!$A$13:$A$24,OFFSET(ORÇAMENTO!E193,-1,0))),OFFSET(E193,-1,0))</f>
        <v>1</v>
      </c>
      <c r="F193">
        <f t="shared" ca="1" si="40"/>
        <v>7</v>
      </c>
      <c r="G193">
        <f t="shared" ca="1" si="41"/>
        <v>0</v>
      </c>
      <c r="H193">
        <f t="shared" ca="1" si="42"/>
        <v>0</v>
      </c>
      <c r="I193">
        <f t="shared" ca="1" si="43"/>
        <v>1</v>
      </c>
      <c r="J193">
        <f t="shared" ca="1" si="35"/>
        <v>0</v>
      </c>
      <c r="K193">
        <f ca="1">IF(OR($C193="S",$C193=0),0,MATCH(OFFSET($D193,0,$C193)+IF($C193&lt;&gt;1,1,COUNTIF(QCI!$A$13:$A$24,ORÇAMENTO!E193)),OFFSET($D193,1,$C193,ROW($C$290)-ROW($C193)),0))</f>
        <v>0</v>
      </c>
      <c r="L193" s="116" t="str">
        <f t="shared" ca="1" si="44"/>
        <v>F</v>
      </c>
      <c r="M193" s="117" t="s">
        <v>199</v>
      </c>
      <c r="N193" s="118" t="str">
        <f t="shared" ca="1" si="45"/>
        <v>Serviço</v>
      </c>
      <c r="O193" s="119" t="str">
        <f t="shared" ca="1" si="46"/>
        <v>1.7.0.1.</v>
      </c>
      <c r="P193" s="120" t="s">
        <v>462</v>
      </c>
      <c r="Q193" s="121" t="s">
        <v>582</v>
      </c>
      <c r="R193" s="122" t="str">
        <f ca="1">IF($C193="S",REFERENCIA.Descricao,"(digite a descrição aqui)")</f>
        <v>(abra o arquivo 'Referência 03-2024.xlsm)</v>
      </c>
      <c r="S193" s="123" t="str">
        <f ca="1">REFERENCIA.Unidade</f>
        <v>-</v>
      </c>
      <c r="T193" s="124">
        <f ca="1">OFFSET(CÁLCULO!H$15,ROW($T193)-ROW(T$15),0)</f>
        <v>428.8</v>
      </c>
      <c r="U193" s="125">
        <v>1.96</v>
      </c>
      <c r="V193" s="126" t="s">
        <v>156</v>
      </c>
      <c r="W193" s="124">
        <f ca="1">IF($C193="S",ROUND(IF(TIPOORCAMENTO="Proposto",ORÇAMENTO.CustoUnitario*(1+$AH193),ORÇAMENTO.PrecoUnitarioLicitado),15-13*$AF$10),0)</f>
        <v>2.5099999999999998</v>
      </c>
      <c r="X193" s="127">
        <f ca="1">IF($C193="S",IF(Import.TipoArredondamento&lt;&gt;"TransfereGOV",VTOTAL1,SUM(OFFSET(CÁLCULO!$AA$15,ROW($X193)-ROW($X$15),1):OFFSET(CÁLCULO!$AL$15,ROW($X193)-ROW($X$15),-1))),IF($C193=0,0,ROUND(SomaAgrup,15-13*$AF$11)))</f>
        <v>1076.29</v>
      </c>
      <c r="Y193" s="128" t="s">
        <v>245</v>
      </c>
      <c r="Z193" t="str">
        <f t="shared" ca="1" si="47"/>
        <v>RA</v>
      </c>
      <c r="AA193" s="129">
        <f ca="1">IF($C193="S",IF($Z193="CP",$X193,IF($Z193="RA",(($X193)*QCI!$AA$3),0)),SomaAgrup)</f>
        <v>1076.29</v>
      </c>
      <c r="AB193" s="130">
        <f t="shared" ca="1" si="48"/>
        <v>0</v>
      </c>
      <c r="AC193" s="131" t="str">
        <f ca="1">IF($N193="","",IF(ORÇAMENTO.Descricao="","DESCRIÇÃO",IF(AND($C193="S",ORÇAMENTO.Unidade=""),"UNIDADE",IF($X193&lt;0,"VALOR NEGATIVO",IF(OR(AND(TIPOORCAMENTO="Proposto",$AG193&lt;&gt;"",$AG193&gt;0,ORÇAMENTO.CustoUnitario&gt;$AG193),AND(TIPOORCAMENTO="LICITADO",ORÇAMENTO.PrecoUnitarioLicitado&gt;$AN193)),"ACIMA REF.","")))))</f>
        <v/>
      </c>
      <c r="AD193" t="str">
        <f ca="1">IF(C193&lt;=CRONO.NivelExibicao,MAX($AD$15:OFFSET(AD193,-1,0))+IF($C193&lt;&gt;1,1,MAX(1,COUNTIF(QCI!$A$13:$A$24,OFFSET($E193,-1,0)))),"")</f>
        <v/>
      </c>
      <c r="AE193" s="7" t="str">
        <f ca="1">IF(AND($C193="S",ORÇAMENTO.CodBarra&lt;&gt;""),IF(ORÇAMENTO.Fonte="",ORÇAMENTO.CodBarra,CONCATENATE(ORÇAMENTO.Fonte," ",ORÇAMENTO.CodBarra)))</f>
        <v>Composição 69</v>
      </c>
      <c r="AF193" s="13" t="str">
        <f ca="1">IF(ISERROR(INDIRECT(ORÇAMENTO.BancoRef)),"(abra o arquivo 'Referência "&amp;Excel_BuiltIn_Database&amp;".xlsm)",IF(OR($C193&lt;&gt;"S",ORÇAMENTO.CodBarra=""),"(Sem Código)",IF(ISERROR(MATCH($AE193,INDIRECT(ORÇAMENTO.BancoRef),0)),"(Código não identificado nas referências)",MATCH($AE193,INDIRECT(ORÇAMENTO.BancoRef),0))))</f>
        <v>(abra o arquivo 'Referência 03-2024.xlsm)</v>
      </c>
      <c r="AG193" s="498">
        <f ca="1">ROUND(IF(DESONERACAO="sim",REFERENCIA.Desonerado,REFERENCIA.NaoDesonerado),2)</f>
        <v>0</v>
      </c>
      <c r="AH193" s="499">
        <f t="shared" ca="1" si="49"/>
        <v>0.28170000000000001</v>
      </c>
      <c r="AJ193" s="501">
        <v>428.8</v>
      </c>
      <c r="AL193" s="527"/>
      <c r="AM193" s="381">
        <f t="shared" ca="1" si="50"/>
        <v>1076.29</v>
      </c>
      <c r="AN193" s="566">
        <f t="shared" ca="1" si="51"/>
        <v>2.5099999999999998</v>
      </c>
    </row>
    <row r="194" spans="1:40" ht="38.25" x14ac:dyDescent="0.2">
      <c r="A194" t="str">
        <f t="shared" si="36"/>
        <v>S</v>
      </c>
      <c r="B194">
        <f t="shared" ca="1" si="37"/>
        <v>2</v>
      </c>
      <c r="C194" t="str">
        <f t="shared" ca="1" si="38"/>
        <v>S</v>
      </c>
      <c r="D194">
        <f t="shared" ca="1" si="39"/>
        <v>0</v>
      </c>
      <c r="E194">
        <f ca="1">IF($C194=1,OFFSET(E194,-1,0)+MAX(1,COUNTIF(QCI!$A$13:$A$24,OFFSET(ORÇAMENTO!E194,-1,0))),OFFSET(E194,-1,0))</f>
        <v>1</v>
      </c>
      <c r="F194">
        <f t="shared" ca="1" si="40"/>
        <v>7</v>
      </c>
      <c r="G194">
        <f t="shared" ca="1" si="41"/>
        <v>0</v>
      </c>
      <c r="H194">
        <f t="shared" ca="1" si="42"/>
        <v>0</v>
      </c>
      <c r="I194">
        <f t="shared" ca="1" si="43"/>
        <v>2</v>
      </c>
      <c r="J194">
        <f t="shared" ca="1" si="35"/>
        <v>0</v>
      </c>
      <c r="K194">
        <f ca="1">IF(OR($C194="S",$C194=0),0,MATCH(OFFSET($D194,0,$C194)+IF($C194&lt;&gt;1,1,COUNTIF(QCI!$A$13:$A$24,ORÇAMENTO!E194)),OFFSET($D194,1,$C194,ROW($C$290)-ROW($C194)),0))</f>
        <v>0</v>
      </c>
      <c r="L194" s="116" t="str">
        <f t="shared" ca="1" si="44"/>
        <v>F</v>
      </c>
      <c r="M194" s="117" t="s">
        <v>199</v>
      </c>
      <c r="N194" s="118" t="str">
        <f t="shared" ca="1" si="45"/>
        <v>Serviço</v>
      </c>
      <c r="O194" s="119" t="str">
        <f t="shared" ca="1" si="46"/>
        <v>1.7.0.2.</v>
      </c>
      <c r="P194" s="120" t="s">
        <v>462</v>
      </c>
      <c r="Q194" s="121" t="s">
        <v>583</v>
      </c>
      <c r="R194" s="122" t="str">
        <f ca="1">IF($C194="S",REFERENCIA.Descricao,"(digite a descrição aqui)")</f>
        <v>(abra o arquivo 'Referência 03-2024.xlsm)</v>
      </c>
      <c r="S194" s="123" t="str">
        <f ca="1">REFERENCIA.Unidade</f>
        <v>-</v>
      </c>
      <c r="T194" s="124">
        <f ca="1">OFFSET(CÁLCULO!H$15,ROW($T194)-ROW(T$15),0)</f>
        <v>428.8</v>
      </c>
      <c r="U194" s="125">
        <v>71.56</v>
      </c>
      <c r="V194" s="126" t="s">
        <v>156</v>
      </c>
      <c r="W194" s="124">
        <f ca="1">IF($C194="S",ROUND(IF(TIPOORCAMENTO="Proposto",ORÇAMENTO.CustoUnitario*(1+$AH194),ORÇAMENTO.PrecoUnitarioLicitado),15-13*$AF$10),0)</f>
        <v>91.72</v>
      </c>
      <c r="X194" s="127">
        <f ca="1">IF($C194="S",IF(Import.TipoArredondamento&lt;&gt;"TransfereGOV",VTOTAL1,SUM(OFFSET(CÁLCULO!$AA$15,ROW($X194)-ROW($X$15),1):OFFSET(CÁLCULO!$AL$15,ROW($X194)-ROW($X$15),-1))),IF($C194=0,0,ROUND(SomaAgrup,15-13*$AF$11)))</f>
        <v>39329.54</v>
      </c>
      <c r="Y194" s="128" t="s">
        <v>245</v>
      </c>
      <c r="Z194" t="str">
        <f t="shared" ca="1" si="47"/>
        <v>RA</v>
      </c>
      <c r="AA194" s="129">
        <f ca="1">IF($C194="S",IF($Z194="CP",$X194,IF($Z194="RA",(($X194)*QCI!$AA$3),0)),SomaAgrup)</f>
        <v>39329.54</v>
      </c>
      <c r="AB194" s="130">
        <f t="shared" ca="1" si="48"/>
        <v>0</v>
      </c>
      <c r="AC194" s="131" t="str">
        <f ca="1">IF($N194="","",IF(ORÇAMENTO.Descricao="","DESCRIÇÃO",IF(AND($C194="S",ORÇAMENTO.Unidade=""),"UNIDADE",IF($X194&lt;0,"VALOR NEGATIVO",IF(OR(AND(TIPOORCAMENTO="Proposto",$AG194&lt;&gt;"",$AG194&gt;0,ORÇAMENTO.CustoUnitario&gt;$AG194),AND(TIPOORCAMENTO="LICITADO",ORÇAMENTO.PrecoUnitarioLicitado&gt;$AN194)),"ACIMA REF.","")))))</f>
        <v/>
      </c>
      <c r="AD194" t="str">
        <f ca="1">IF(C194&lt;=CRONO.NivelExibicao,MAX($AD$15:OFFSET(AD194,-1,0))+IF($C194&lt;&gt;1,1,MAX(1,COUNTIF(QCI!$A$13:$A$24,OFFSET($E194,-1,0)))),"")</f>
        <v/>
      </c>
      <c r="AE194" s="7" t="str">
        <f ca="1">IF(AND($C194="S",ORÇAMENTO.CodBarra&lt;&gt;""),IF(ORÇAMENTO.Fonte="",ORÇAMENTO.CodBarra,CONCATENATE(ORÇAMENTO.Fonte," ",ORÇAMENTO.CodBarra)))</f>
        <v>Composição 72</v>
      </c>
      <c r="AF194" s="13" t="str">
        <f ca="1">IF(ISERROR(INDIRECT(ORÇAMENTO.BancoRef)),"(abra o arquivo 'Referência "&amp;Excel_BuiltIn_Database&amp;".xlsm)",IF(OR($C194&lt;&gt;"S",ORÇAMENTO.CodBarra=""),"(Sem Código)",IF(ISERROR(MATCH($AE194,INDIRECT(ORÇAMENTO.BancoRef),0)),"(Código não identificado nas referências)",MATCH($AE194,INDIRECT(ORÇAMENTO.BancoRef),0))))</f>
        <v>(abra o arquivo 'Referência 03-2024.xlsm)</v>
      </c>
      <c r="AG194" s="498">
        <f ca="1">ROUND(IF(DESONERACAO="sim",REFERENCIA.Desonerado,REFERENCIA.NaoDesonerado),2)</f>
        <v>0</v>
      </c>
      <c r="AH194" s="499">
        <f t="shared" ca="1" si="49"/>
        <v>0.28170000000000001</v>
      </c>
      <c r="AJ194" s="501">
        <v>428.8</v>
      </c>
      <c r="AL194" s="527"/>
      <c r="AM194" s="381">
        <f t="shared" ca="1" si="50"/>
        <v>39329.54</v>
      </c>
      <c r="AN194" s="566">
        <f t="shared" ca="1" si="51"/>
        <v>91.72</v>
      </c>
    </row>
    <row r="195" spans="1:40" ht="25.5" x14ac:dyDescent="0.2">
      <c r="A195" t="str">
        <f t="shared" si="36"/>
        <v>S</v>
      </c>
      <c r="B195">
        <f t="shared" ca="1" si="37"/>
        <v>2</v>
      </c>
      <c r="C195" t="str">
        <f t="shared" ca="1" si="38"/>
        <v>S</v>
      </c>
      <c r="D195">
        <f t="shared" ca="1" si="39"/>
        <v>0</v>
      </c>
      <c r="E195">
        <f ca="1">IF($C195=1,OFFSET(E195,-1,0)+MAX(1,COUNTIF(QCI!$A$13:$A$24,OFFSET(ORÇAMENTO!E195,-1,0))),OFFSET(E195,-1,0))</f>
        <v>1</v>
      </c>
      <c r="F195">
        <f t="shared" ca="1" si="40"/>
        <v>7</v>
      </c>
      <c r="G195">
        <f t="shared" ca="1" si="41"/>
        <v>0</v>
      </c>
      <c r="H195">
        <f t="shared" ca="1" si="42"/>
        <v>0</v>
      </c>
      <c r="I195">
        <f t="shared" ca="1" si="43"/>
        <v>3</v>
      </c>
      <c r="J195">
        <f t="shared" ca="1" si="35"/>
        <v>0</v>
      </c>
      <c r="K195">
        <f ca="1">IF(OR($C195="S",$C195=0),0,MATCH(OFFSET($D195,0,$C195)+IF($C195&lt;&gt;1,1,COUNTIF(QCI!$A$13:$A$24,ORÇAMENTO!E195)),OFFSET($D195,1,$C195,ROW($C$290)-ROW($C195)),0))</f>
        <v>0</v>
      </c>
      <c r="L195" s="116" t="str">
        <f t="shared" ca="1" si="44"/>
        <v>F</v>
      </c>
      <c r="M195" s="117" t="s">
        <v>199</v>
      </c>
      <c r="N195" s="118" t="str">
        <f t="shared" ca="1" si="45"/>
        <v>Serviço</v>
      </c>
      <c r="O195" s="119" t="str">
        <f t="shared" ca="1" si="46"/>
        <v>1.7.0.3.</v>
      </c>
      <c r="P195" s="120" t="s">
        <v>462</v>
      </c>
      <c r="Q195" s="121" t="s">
        <v>584</v>
      </c>
      <c r="R195" s="122" t="str">
        <f ca="1">IF($C195="S",REFERENCIA.Descricao,"(digite a descrição aqui)")</f>
        <v>(abra o arquivo 'Referência 03-2024.xlsm)</v>
      </c>
      <c r="S195" s="123" t="str">
        <f ca="1">REFERENCIA.Unidade</f>
        <v>-</v>
      </c>
      <c r="T195" s="124">
        <f ca="1">OFFSET(CÁLCULO!H$15,ROW($T195)-ROW(T$15),0)</f>
        <v>8.8000000000000007</v>
      </c>
      <c r="U195" s="125">
        <v>169.06</v>
      </c>
      <c r="V195" s="126" t="s">
        <v>156</v>
      </c>
      <c r="W195" s="124">
        <f ca="1">IF($C195="S",ROUND(IF(TIPOORCAMENTO="Proposto",ORÇAMENTO.CustoUnitario*(1+$AH195),ORÇAMENTO.PrecoUnitarioLicitado),15-13*$AF$10),0)</f>
        <v>216.68</v>
      </c>
      <c r="X195" s="127">
        <f ca="1">IF($C195="S",IF(Import.TipoArredondamento&lt;&gt;"TransfereGOV",VTOTAL1,SUM(OFFSET(CÁLCULO!$AA$15,ROW($X195)-ROW($X$15),1):OFFSET(CÁLCULO!$AL$15,ROW($X195)-ROW($X$15),-1))),IF($C195=0,0,ROUND(SomaAgrup,15-13*$AF$11)))</f>
        <v>1906.78</v>
      </c>
      <c r="Y195" s="128" t="s">
        <v>245</v>
      </c>
      <c r="Z195" t="str">
        <f t="shared" ca="1" si="47"/>
        <v>RA</v>
      </c>
      <c r="AA195" s="129">
        <f ca="1">IF($C195="S",IF($Z195="CP",$X195,IF($Z195="RA",(($X195)*QCI!$AA$3),0)),SomaAgrup)</f>
        <v>1906.78</v>
      </c>
      <c r="AB195" s="130">
        <f t="shared" ca="1" si="48"/>
        <v>0</v>
      </c>
      <c r="AC195" s="131" t="str">
        <f ca="1">IF($N195="","",IF(ORÇAMENTO.Descricao="","DESCRIÇÃO",IF(AND($C195="S",ORÇAMENTO.Unidade=""),"UNIDADE",IF($X195&lt;0,"VALOR NEGATIVO",IF(OR(AND(TIPOORCAMENTO="Proposto",$AG195&lt;&gt;"",$AG195&gt;0,ORÇAMENTO.CustoUnitario&gt;$AG195),AND(TIPOORCAMENTO="LICITADO",ORÇAMENTO.PrecoUnitarioLicitado&gt;$AN195)),"ACIMA REF.","")))))</f>
        <v/>
      </c>
      <c r="AD195" t="str">
        <f ca="1">IF(C195&lt;=CRONO.NivelExibicao,MAX($AD$15:OFFSET(AD195,-1,0))+IF($C195&lt;&gt;1,1,MAX(1,COUNTIF(QCI!$A$13:$A$24,OFFSET($E195,-1,0)))),"")</f>
        <v/>
      </c>
      <c r="AE195" s="7" t="str">
        <f ca="1">IF(AND($C195="S",ORÇAMENTO.CodBarra&lt;&gt;""),IF(ORÇAMENTO.Fonte="",ORÇAMENTO.CodBarra,CONCATENATE(ORÇAMENTO.Fonte," ",ORÇAMENTO.CodBarra)))</f>
        <v>Composição 71</v>
      </c>
      <c r="AF195" s="13" t="str">
        <f ca="1">IF(ISERROR(INDIRECT(ORÇAMENTO.BancoRef)),"(abra o arquivo 'Referência "&amp;Excel_BuiltIn_Database&amp;".xlsm)",IF(OR($C195&lt;&gt;"S",ORÇAMENTO.CodBarra=""),"(Sem Código)",IF(ISERROR(MATCH($AE195,INDIRECT(ORÇAMENTO.BancoRef),0)),"(Código não identificado nas referências)",MATCH($AE195,INDIRECT(ORÇAMENTO.BancoRef),0))))</f>
        <v>(abra o arquivo 'Referência 03-2024.xlsm)</v>
      </c>
      <c r="AG195" s="498">
        <f ca="1">ROUND(IF(DESONERACAO="sim",REFERENCIA.Desonerado,REFERENCIA.NaoDesonerado),2)</f>
        <v>0</v>
      </c>
      <c r="AH195" s="499">
        <f t="shared" ca="1" si="49"/>
        <v>0.28170000000000001</v>
      </c>
      <c r="AJ195" s="501">
        <v>8.8000000000000007</v>
      </c>
      <c r="AL195" s="527"/>
      <c r="AM195" s="381">
        <f t="shared" ca="1" si="50"/>
        <v>1906.78</v>
      </c>
      <c r="AN195" s="566">
        <f t="shared" ca="1" si="51"/>
        <v>216.68</v>
      </c>
    </row>
    <row r="196" spans="1:40" ht="25.5" x14ac:dyDescent="0.2">
      <c r="A196" t="str">
        <f t="shared" si="36"/>
        <v>S</v>
      </c>
      <c r="B196">
        <f t="shared" ca="1" si="37"/>
        <v>2</v>
      </c>
      <c r="C196" t="str">
        <f t="shared" ca="1" si="38"/>
        <v>S</v>
      </c>
      <c r="D196">
        <f t="shared" ca="1" si="39"/>
        <v>0</v>
      </c>
      <c r="E196">
        <f ca="1">IF($C196=1,OFFSET(E196,-1,0)+MAX(1,COUNTIF(QCI!$A$13:$A$24,OFFSET(ORÇAMENTO!E196,-1,0))),OFFSET(E196,-1,0))</f>
        <v>1</v>
      </c>
      <c r="F196">
        <f t="shared" ca="1" si="40"/>
        <v>7</v>
      </c>
      <c r="G196">
        <f t="shared" ca="1" si="41"/>
        <v>0</v>
      </c>
      <c r="H196">
        <f t="shared" ca="1" si="42"/>
        <v>0</v>
      </c>
      <c r="I196">
        <f t="shared" ca="1" si="43"/>
        <v>4</v>
      </c>
      <c r="J196">
        <f t="shared" ca="1" si="35"/>
        <v>0</v>
      </c>
      <c r="K196">
        <f ca="1">IF(OR($C196="S",$C196=0),0,MATCH(OFFSET($D196,0,$C196)+IF($C196&lt;&gt;1,1,COUNTIF(QCI!$A$13:$A$24,ORÇAMENTO!E196)),OFFSET($D196,1,$C196,ROW($C$290)-ROW($C196)),0))</f>
        <v>0</v>
      </c>
      <c r="L196" s="116" t="str">
        <f t="shared" ca="1" si="44"/>
        <v>F</v>
      </c>
      <c r="M196" s="117" t="s">
        <v>199</v>
      </c>
      <c r="N196" s="118" t="str">
        <f t="shared" ca="1" si="45"/>
        <v>Serviço</v>
      </c>
      <c r="O196" s="119" t="str">
        <f t="shared" ca="1" si="46"/>
        <v>1.7.0.4.</v>
      </c>
      <c r="P196" s="120" t="s">
        <v>462</v>
      </c>
      <c r="Q196" s="121" t="s">
        <v>585</v>
      </c>
      <c r="R196" s="122" t="str">
        <f ca="1">IF($C196="S",REFERENCIA.Descricao,"(digite a descrição aqui)")</f>
        <v>(abra o arquivo 'Referência 03-2024.xlsm)</v>
      </c>
      <c r="S196" s="123" t="str">
        <f ca="1">REFERENCIA.Unidade</f>
        <v>-</v>
      </c>
      <c r="T196" s="124">
        <f ca="1">OFFSET(CÁLCULO!H$15,ROW($T196)-ROW(T$15),0)</f>
        <v>4.4000000000000004</v>
      </c>
      <c r="U196" s="125">
        <v>76.2</v>
      </c>
      <c r="V196" s="126" t="s">
        <v>156</v>
      </c>
      <c r="W196" s="124">
        <f ca="1">IF($C196="S",ROUND(IF(TIPOORCAMENTO="Proposto",ORÇAMENTO.CustoUnitario*(1+$AH196),ORÇAMENTO.PrecoUnitarioLicitado),15-13*$AF$10),0)</f>
        <v>97.67</v>
      </c>
      <c r="X196" s="127">
        <f ca="1">IF($C196="S",IF(Import.TipoArredondamento&lt;&gt;"TransfereGOV",VTOTAL1,SUM(OFFSET(CÁLCULO!$AA$15,ROW($X196)-ROW($X$15),1):OFFSET(CÁLCULO!$AL$15,ROW($X196)-ROW($X$15),-1))),IF($C196=0,0,ROUND(SomaAgrup,15-13*$AF$11)))</f>
        <v>429.75</v>
      </c>
      <c r="Y196" s="128" t="s">
        <v>245</v>
      </c>
      <c r="Z196" t="str">
        <f t="shared" ca="1" si="47"/>
        <v>RA</v>
      </c>
      <c r="AA196" s="129">
        <f ca="1">IF($C196="S",IF($Z196="CP",$X196,IF($Z196="RA",(($X196)*QCI!$AA$3),0)),SomaAgrup)</f>
        <v>429.75</v>
      </c>
      <c r="AB196" s="130">
        <f t="shared" ca="1" si="48"/>
        <v>0</v>
      </c>
      <c r="AC196" s="131" t="str">
        <f ca="1">IF($N196="","",IF(ORÇAMENTO.Descricao="","DESCRIÇÃO",IF(AND($C196="S",ORÇAMENTO.Unidade=""),"UNIDADE",IF($X196&lt;0,"VALOR NEGATIVO",IF(OR(AND(TIPOORCAMENTO="Proposto",$AG196&lt;&gt;"",$AG196&gt;0,ORÇAMENTO.CustoUnitario&gt;$AG196),AND(TIPOORCAMENTO="LICITADO",ORÇAMENTO.PrecoUnitarioLicitado&gt;$AN196)),"ACIMA REF.","")))))</f>
        <v/>
      </c>
      <c r="AD196" t="str">
        <f ca="1">IF(C196&lt;=CRONO.NivelExibicao,MAX($AD$15:OFFSET(AD196,-1,0))+IF($C196&lt;&gt;1,1,MAX(1,COUNTIF(QCI!$A$13:$A$24,OFFSET($E196,-1,0)))),"")</f>
        <v/>
      </c>
      <c r="AE196" s="7" t="str">
        <f ca="1">IF(AND($C196="S",ORÇAMENTO.CodBarra&lt;&gt;""),IF(ORÇAMENTO.Fonte="",ORÇAMENTO.CodBarra,CONCATENATE(ORÇAMENTO.Fonte," ",ORÇAMENTO.CodBarra)))</f>
        <v>Composição 70</v>
      </c>
      <c r="AF196" s="13" t="str">
        <f ca="1">IF(ISERROR(INDIRECT(ORÇAMENTO.BancoRef)),"(abra o arquivo 'Referência "&amp;Excel_BuiltIn_Database&amp;".xlsm)",IF(OR($C196&lt;&gt;"S",ORÇAMENTO.CodBarra=""),"(Sem Código)",IF(ISERROR(MATCH($AE196,INDIRECT(ORÇAMENTO.BancoRef),0)),"(Código não identificado nas referências)",MATCH($AE196,INDIRECT(ORÇAMENTO.BancoRef),0))))</f>
        <v>(abra o arquivo 'Referência 03-2024.xlsm)</v>
      </c>
      <c r="AG196" s="498">
        <f ca="1">ROUND(IF(DESONERACAO="sim",REFERENCIA.Desonerado,REFERENCIA.NaoDesonerado),2)</f>
        <v>0</v>
      </c>
      <c r="AH196" s="499">
        <f t="shared" ca="1" si="49"/>
        <v>0.28170000000000001</v>
      </c>
      <c r="AJ196" s="501">
        <v>4.4000000000000004</v>
      </c>
      <c r="AL196" s="527"/>
      <c r="AM196" s="381">
        <f t="shared" ca="1" si="50"/>
        <v>429.75</v>
      </c>
      <c r="AN196" s="566">
        <f t="shared" ca="1" si="51"/>
        <v>97.67</v>
      </c>
    </row>
    <row r="197" spans="1:40" ht="25.5" x14ac:dyDescent="0.2">
      <c r="A197" t="str">
        <f t="shared" si="36"/>
        <v>S</v>
      </c>
      <c r="B197">
        <f t="shared" ca="1" si="37"/>
        <v>2</v>
      </c>
      <c r="C197" t="str">
        <f t="shared" ca="1" si="38"/>
        <v>S</v>
      </c>
      <c r="D197">
        <f t="shared" ca="1" si="39"/>
        <v>0</v>
      </c>
      <c r="E197">
        <f ca="1">IF($C197=1,OFFSET(E197,-1,0)+MAX(1,COUNTIF(QCI!$A$13:$A$24,OFFSET(ORÇAMENTO!E197,-1,0))),OFFSET(E197,-1,0))</f>
        <v>1</v>
      </c>
      <c r="F197">
        <f t="shared" ca="1" si="40"/>
        <v>7</v>
      </c>
      <c r="G197">
        <f t="shared" ca="1" si="41"/>
        <v>0</v>
      </c>
      <c r="H197">
        <f t="shared" ca="1" si="42"/>
        <v>0</v>
      </c>
      <c r="I197">
        <f t="shared" ca="1" si="43"/>
        <v>5</v>
      </c>
      <c r="J197">
        <f t="shared" ca="1" si="35"/>
        <v>0</v>
      </c>
      <c r="K197">
        <f ca="1">IF(OR($C197="S",$C197=0),0,MATCH(OFFSET($D197,0,$C197)+IF($C197&lt;&gt;1,1,COUNTIF(QCI!$A$13:$A$24,ORÇAMENTO!E197)),OFFSET($D197,1,$C197,ROW($C$290)-ROW($C197)),0))</f>
        <v>0</v>
      </c>
      <c r="L197" s="116" t="str">
        <f t="shared" ca="1" si="44"/>
        <v>F</v>
      </c>
      <c r="M197" s="117" t="s">
        <v>199</v>
      </c>
      <c r="N197" s="118" t="str">
        <f t="shared" ca="1" si="45"/>
        <v>Serviço</v>
      </c>
      <c r="O197" s="119" t="str">
        <f t="shared" ca="1" si="46"/>
        <v>1.7.0.5.</v>
      </c>
      <c r="P197" s="120" t="s">
        <v>462</v>
      </c>
      <c r="Q197" s="121" t="s">
        <v>586</v>
      </c>
      <c r="R197" s="122" t="str">
        <f ca="1">IF($C197="S",REFERENCIA.Descricao,"(digite a descrição aqui)")</f>
        <v>(abra o arquivo 'Referência 03-2024.xlsm)</v>
      </c>
      <c r="S197" s="123" t="str">
        <f ca="1">REFERENCIA.Unidade</f>
        <v>-</v>
      </c>
      <c r="T197" s="124">
        <f ca="1">OFFSET(CÁLCULO!H$15,ROW($T197)-ROW(T$15),0)</f>
        <v>98</v>
      </c>
      <c r="U197" s="125">
        <v>16.29</v>
      </c>
      <c r="V197" s="126" t="s">
        <v>156</v>
      </c>
      <c r="W197" s="124">
        <f ca="1">IF($C197="S",ROUND(IF(TIPOORCAMENTO="Proposto",ORÇAMENTO.CustoUnitario*(1+$AH197),ORÇAMENTO.PrecoUnitarioLicitado),15-13*$AF$10),0)</f>
        <v>20.88</v>
      </c>
      <c r="X197" s="127">
        <f ca="1">IF($C197="S",IF(Import.TipoArredondamento&lt;&gt;"TransfereGOV",VTOTAL1,SUM(OFFSET(CÁLCULO!$AA$15,ROW($X197)-ROW($X$15),1):OFFSET(CÁLCULO!$AL$15,ROW($X197)-ROW($X$15),-1))),IF($C197=0,0,ROUND(SomaAgrup,15-13*$AF$11)))</f>
        <v>2046.24</v>
      </c>
      <c r="Y197" s="128" t="s">
        <v>245</v>
      </c>
      <c r="Z197" t="str">
        <f t="shared" ca="1" si="47"/>
        <v>RA</v>
      </c>
      <c r="AA197" s="129">
        <f ca="1">IF($C197="S",IF($Z197="CP",$X197,IF($Z197="RA",(($X197)*QCI!$AA$3),0)),SomaAgrup)</f>
        <v>2046.24</v>
      </c>
      <c r="AB197" s="130">
        <f t="shared" ca="1" si="48"/>
        <v>0</v>
      </c>
      <c r="AC197" s="131" t="str">
        <f ca="1">IF($N197="","",IF(ORÇAMENTO.Descricao="","DESCRIÇÃO",IF(AND($C197="S",ORÇAMENTO.Unidade=""),"UNIDADE",IF($X197&lt;0,"VALOR NEGATIVO",IF(OR(AND(TIPOORCAMENTO="Proposto",$AG197&lt;&gt;"",$AG197&gt;0,ORÇAMENTO.CustoUnitario&gt;$AG197),AND(TIPOORCAMENTO="LICITADO",ORÇAMENTO.PrecoUnitarioLicitado&gt;$AN197)),"ACIMA REF.","")))))</f>
        <v/>
      </c>
      <c r="AD197" t="str">
        <f ca="1">IF(C197&lt;=CRONO.NivelExibicao,MAX($AD$15:OFFSET(AD197,-1,0))+IF($C197&lt;&gt;1,1,MAX(1,COUNTIF(QCI!$A$13:$A$24,OFFSET($E197,-1,0)))),"")</f>
        <v/>
      </c>
      <c r="AE197" s="7" t="str">
        <f ca="1">IF(AND($C197="S",ORÇAMENTO.CodBarra&lt;&gt;""),IF(ORÇAMENTO.Fonte="",ORÇAMENTO.CodBarra,CONCATENATE(ORÇAMENTO.Fonte," ",ORÇAMENTO.CodBarra)))</f>
        <v>Composição 68</v>
      </c>
      <c r="AF197" s="13" t="str">
        <f ca="1">IF(ISERROR(INDIRECT(ORÇAMENTO.BancoRef)),"(abra o arquivo 'Referência "&amp;Excel_BuiltIn_Database&amp;".xlsm)",IF(OR($C197&lt;&gt;"S",ORÇAMENTO.CodBarra=""),"(Sem Código)",IF(ISERROR(MATCH($AE197,INDIRECT(ORÇAMENTO.BancoRef),0)),"(Código não identificado nas referências)",MATCH($AE197,INDIRECT(ORÇAMENTO.BancoRef),0))))</f>
        <v>(abra o arquivo 'Referência 03-2024.xlsm)</v>
      </c>
      <c r="AG197" s="498">
        <f ca="1">ROUND(IF(DESONERACAO="sim",REFERENCIA.Desonerado,REFERENCIA.NaoDesonerado),2)</f>
        <v>0</v>
      </c>
      <c r="AH197" s="499">
        <f t="shared" ca="1" si="49"/>
        <v>0.28170000000000001</v>
      </c>
      <c r="AJ197" s="501">
        <v>98</v>
      </c>
      <c r="AL197" s="527"/>
      <c r="AM197" s="381">
        <f t="shared" ca="1" si="50"/>
        <v>2046.24</v>
      </c>
      <c r="AN197" s="566">
        <f t="shared" ca="1" si="51"/>
        <v>20.88</v>
      </c>
    </row>
    <row r="198" spans="1:40" x14ac:dyDescent="0.2">
      <c r="A198">
        <f t="shared" si="36"/>
        <v>2</v>
      </c>
      <c r="B198">
        <f t="shared" ca="1" si="37"/>
        <v>2</v>
      </c>
      <c r="C198">
        <f t="shared" ca="1" si="38"/>
        <v>2</v>
      </c>
      <c r="D198">
        <f t="shared" ca="1" si="39"/>
        <v>14</v>
      </c>
      <c r="E198">
        <f ca="1">IF($C198=1,OFFSET(E198,-1,0)+MAX(1,COUNTIF(QCI!$A$13:$A$24,OFFSET(ORÇAMENTO!E198,-1,0))),OFFSET(E198,-1,0))</f>
        <v>1</v>
      </c>
      <c r="F198">
        <f t="shared" ca="1" si="40"/>
        <v>8</v>
      </c>
      <c r="G198">
        <f t="shared" ca="1" si="41"/>
        <v>0</v>
      </c>
      <c r="H198">
        <f t="shared" ca="1" si="42"/>
        <v>0</v>
      </c>
      <c r="I198">
        <f t="shared" ca="1" si="43"/>
        <v>0</v>
      </c>
      <c r="J198">
        <f t="shared" ca="1" si="35"/>
        <v>92</v>
      </c>
      <c r="K198">
        <f ca="1">IF(OR($C198="S",$C198=0),0,MATCH(OFFSET($D198,0,$C198)+IF($C198&lt;&gt;1,1,COUNTIF(QCI!$A$13:$A$24,ORÇAMENTO!E198)),OFFSET($D198,1,$C198,ROW($C$290)-ROW($C198)),0))</f>
        <v>14</v>
      </c>
      <c r="L198" s="116" t="str">
        <f t="shared" ca="1" si="44"/>
        <v>F</v>
      </c>
      <c r="M198" s="117" t="s">
        <v>196</v>
      </c>
      <c r="N198" s="118" t="str">
        <f t="shared" ca="1" si="45"/>
        <v>Nível 2</v>
      </c>
      <c r="O198" s="119" t="str">
        <f t="shared" ca="1" si="46"/>
        <v>1.8.</v>
      </c>
      <c r="P198" s="120" t="s">
        <v>247</v>
      </c>
      <c r="Q198" s="121"/>
      <c r="R198" s="122" t="s">
        <v>588</v>
      </c>
      <c r="S198" s="123" t="str">
        <f ca="1">REFERENCIA.Unidade</f>
        <v>-</v>
      </c>
      <c r="T198" s="124">
        <f ca="1">OFFSET(CÁLCULO!H$15,ROW($T198)-ROW(T$15),0)</f>
        <v>0</v>
      </c>
      <c r="U198" s="125">
        <v>0</v>
      </c>
      <c r="V198" s="126" t="s">
        <v>156</v>
      </c>
      <c r="W198" s="124">
        <f ca="1">IF($C198="S",ROUND(IF(TIPOORCAMENTO="Proposto",ORÇAMENTO.CustoUnitario*(1+$AH198),ORÇAMENTO.PrecoUnitarioLicitado),15-13*$AF$10),0)</f>
        <v>0</v>
      </c>
      <c r="X198" s="127">
        <f ca="1">IF($C198="S",IF(Import.TipoArredondamento&lt;&gt;"TransfereGOV",VTOTAL1,SUM(OFFSET(CÁLCULO!$AA$15,ROW($X198)-ROW($X$15),1):OFFSET(CÁLCULO!$AL$15,ROW($X198)-ROW($X$15),-1))),IF($C198=0,0,ROUND(SomaAgrup,15-13*$AF$11)))</f>
        <v>50680.86</v>
      </c>
      <c r="Y198" s="128" t="s">
        <v>245</v>
      </c>
      <c r="Z198" t="str">
        <f t="shared" ca="1" si="47"/>
        <v/>
      </c>
      <c r="AA198" s="129">
        <f ca="1">IF($C198="S",IF($Z198="CP",$X198,IF($Z198="RA",(($X198)*QCI!$AA$3),0)),SomaAgrup)</f>
        <v>50680.86</v>
      </c>
      <c r="AB198" s="130">
        <f t="shared" ca="1" si="48"/>
        <v>0</v>
      </c>
      <c r="AC198" s="131" t="str">
        <f ca="1">IF($N198="","",IF(ORÇAMENTO.Descricao="","DESCRIÇÃO",IF(AND($C198="S",ORÇAMENTO.Unidade=""),"UNIDADE",IF($X198&lt;0,"VALOR NEGATIVO",IF(OR(AND(TIPOORCAMENTO="Proposto",$AG198&lt;&gt;"",$AG198&gt;0,ORÇAMENTO.CustoUnitario&gt;$AG198),AND(TIPOORCAMENTO="LICITADO",ORÇAMENTO.PrecoUnitarioLicitado&gt;$AN198)),"ACIMA REF.","")))))</f>
        <v/>
      </c>
      <c r="AD198">
        <f ca="1">IF(C198&lt;=CRONO.NivelExibicao,MAX($AD$15:OFFSET(AD198,-1,0))+IF($C198&lt;&gt;1,1,MAX(1,COUNTIF(QCI!$A$13:$A$24,OFFSET($E198,-1,0)))),"")</f>
        <v>29</v>
      </c>
      <c r="AE198" s="7" t="b">
        <f ca="1">IF(AND($C198="S",ORÇAMENTO.CodBarra&lt;&gt;""),IF(ORÇAMENTO.Fonte="",ORÇAMENTO.CodBarra,CONCATENATE(ORÇAMENTO.Fonte," ",ORÇAMENTO.CodBarra)))</f>
        <v>0</v>
      </c>
      <c r="AF198" s="13" t="str">
        <f ca="1">IF(ISERROR(INDIRECT(ORÇAMENTO.BancoRef)),"(abra o arquivo 'Referência "&amp;Excel_BuiltIn_Database&amp;".xlsm)",IF(OR($C198&lt;&gt;"S",ORÇAMENTO.CodBarra=""),"(Sem Código)",IF(ISERROR(MATCH($AE198,INDIRECT(ORÇAMENTO.BancoRef),0)),"(Código não identificado nas referências)",MATCH($AE198,INDIRECT(ORÇAMENTO.BancoRef),0))))</f>
        <v>(abra o arquivo 'Referência 03-2024.xlsm)</v>
      </c>
      <c r="AG198" s="498">
        <f ca="1">ROUND(IF(DESONERACAO="sim",REFERENCIA.Desonerado,REFERENCIA.NaoDesonerado),2)</f>
        <v>0</v>
      </c>
      <c r="AH198" s="499">
        <f t="shared" ca="1" si="49"/>
        <v>0.28170000000000001</v>
      </c>
      <c r="AJ198" s="501"/>
      <c r="AL198" s="527"/>
      <c r="AM198" s="381">
        <f t="shared" ca="1" si="50"/>
        <v>50680.86</v>
      </c>
      <c r="AN198" s="566">
        <f t="shared" ca="1" si="51"/>
        <v>0</v>
      </c>
    </row>
    <row r="199" spans="1:40" ht="63.75" x14ac:dyDescent="0.2">
      <c r="A199" t="str">
        <f t="shared" si="36"/>
        <v>S</v>
      </c>
      <c r="B199">
        <f t="shared" ca="1" si="37"/>
        <v>2</v>
      </c>
      <c r="C199" t="str">
        <f t="shared" ca="1" si="38"/>
        <v>S</v>
      </c>
      <c r="D199">
        <f t="shared" ca="1" si="39"/>
        <v>0</v>
      </c>
      <c r="E199">
        <f ca="1">IF($C199=1,OFFSET(E199,-1,0)+MAX(1,COUNTIF(QCI!$A$13:$A$24,OFFSET(ORÇAMENTO!E199,-1,0))),OFFSET(E199,-1,0))</f>
        <v>1</v>
      </c>
      <c r="F199">
        <f t="shared" ca="1" si="40"/>
        <v>8</v>
      </c>
      <c r="G199">
        <f t="shared" ca="1" si="41"/>
        <v>0</v>
      </c>
      <c r="H199">
        <f t="shared" ca="1" si="42"/>
        <v>0</v>
      </c>
      <c r="I199">
        <f t="shared" ca="1" si="43"/>
        <v>1</v>
      </c>
      <c r="J199">
        <f t="shared" ca="1" si="35"/>
        <v>0</v>
      </c>
      <c r="K199">
        <f ca="1">IF(OR($C199="S",$C199=0),0,MATCH(OFFSET($D199,0,$C199)+IF($C199&lt;&gt;1,1,COUNTIF(QCI!$A$13:$A$24,ORÇAMENTO!E199)),OFFSET($D199,1,$C199,ROW($C$290)-ROW($C199)),0))</f>
        <v>0</v>
      </c>
      <c r="L199" s="116" t="str">
        <f t="shared" ca="1" si="44"/>
        <v>F</v>
      </c>
      <c r="M199" s="117" t="s">
        <v>199</v>
      </c>
      <c r="N199" s="118" t="str">
        <f t="shared" ca="1" si="45"/>
        <v>Serviço</v>
      </c>
      <c r="O199" s="119" t="str">
        <f t="shared" ca="1" si="46"/>
        <v>1.8.0.1.</v>
      </c>
      <c r="P199" s="120" t="s">
        <v>247</v>
      </c>
      <c r="Q199" s="121" t="s">
        <v>492</v>
      </c>
      <c r="R199" s="122" t="str">
        <f ca="1">IF($C199="S",REFERENCIA.Descricao,"(digite a descrição aqui)")</f>
        <v>(abra o arquivo 'Referência 03-2024.xlsm)</v>
      </c>
      <c r="S199" s="123" t="str">
        <f ca="1">REFERENCIA.Unidade</f>
        <v>-</v>
      </c>
      <c r="T199" s="124">
        <f ca="1">OFFSET(CÁLCULO!H$15,ROW($T199)-ROW(T$15),0)</f>
        <v>5.04</v>
      </c>
      <c r="U199" s="125">
        <v>6.45</v>
      </c>
      <c r="V199" s="126" t="s">
        <v>156</v>
      </c>
      <c r="W199" s="124">
        <f ca="1">IF($C199="S",ROUND(IF(TIPOORCAMENTO="Proposto",ORÇAMENTO.CustoUnitario*(1+$AH199),ORÇAMENTO.PrecoUnitarioLicitado),15-13*$AF$10),0)</f>
        <v>8.27</v>
      </c>
      <c r="X199" s="127">
        <f ca="1">IF($C199="S",IF(Import.TipoArredondamento&lt;&gt;"TransfereGOV",VTOTAL1,SUM(OFFSET(CÁLCULO!$AA$15,ROW($X199)-ROW($X$15),1):OFFSET(CÁLCULO!$AL$15,ROW($X199)-ROW($X$15),-1))),IF($C199=0,0,ROUND(SomaAgrup,15-13*$AF$11)))</f>
        <v>41.68</v>
      </c>
      <c r="Y199" s="128" t="s">
        <v>245</v>
      </c>
      <c r="Z199" t="str">
        <f t="shared" ca="1" si="47"/>
        <v>RA</v>
      </c>
      <c r="AA199" s="129">
        <f ca="1">IF($C199="S",IF($Z199="CP",$X199,IF($Z199="RA",(($X199)*QCI!$AA$3),0)),SomaAgrup)</f>
        <v>41.68</v>
      </c>
      <c r="AB199" s="130">
        <f t="shared" ca="1" si="48"/>
        <v>0</v>
      </c>
      <c r="AC199" s="131" t="str">
        <f ca="1">IF($N199="","",IF(ORÇAMENTO.Descricao="","DESCRIÇÃO",IF(AND($C199="S",ORÇAMENTO.Unidade=""),"UNIDADE",IF($X199&lt;0,"VALOR NEGATIVO",IF(OR(AND(TIPOORCAMENTO="Proposto",$AG199&lt;&gt;"",$AG199&gt;0,ORÇAMENTO.CustoUnitario&gt;$AG199),AND(TIPOORCAMENTO="LICITADO",ORÇAMENTO.PrecoUnitarioLicitado&gt;$AN199)),"ACIMA REF.","")))))</f>
        <v/>
      </c>
      <c r="AD199" t="str">
        <f ca="1">IF(C199&lt;=CRONO.NivelExibicao,MAX($AD$15:OFFSET(AD199,-1,0))+IF($C199&lt;&gt;1,1,MAX(1,COUNTIF(QCI!$A$13:$A$24,OFFSET($E199,-1,0)))),"")</f>
        <v/>
      </c>
      <c r="AE199" s="7" t="str">
        <f ca="1">IF(AND($C199="S",ORÇAMENTO.CodBarra&lt;&gt;""),IF(ORÇAMENTO.Fonte="",ORÇAMENTO.CodBarra,CONCATENATE(ORÇAMENTO.Fonte," ",ORÇAMENTO.CodBarra)))</f>
        <v>SINAPI 90091</v>
      </c>
      <c r="AF199" s="13" t="str">
        <f ca="1">IF(ISERROR(INDIRECT(ORÇAMENTO.BancoRef)),"(abra o arquivo 'Referência "&amp;Excel_BuiltIn_Database&amp;".xlsm)",IF(OR($C199&lt;&gt;"S",ORÇAMENTO.CodBarra=""),"(Sem Código)",IF(ISERROR(MATCH($AE199,INDIRECT(ORÇAMENTO.BancoRef),0)),"(Código não identificado nas referências)",MATCH($AE199,INDIRECT(ORÇAMENTO.BancoRef),0))))</f>
        <v>(abra o arquivo 'Referência 03-2024.xlsm)</v>
      </c>
      <c r="AG199" s="498">
        <f ca="1">ROUND(IF(DESONERACAO="sim",REFERENCIA.Desonerado,REFERENCIA.NaoDesonerado),2)</f>
        <v>0</v>
      </c>
      <c r="AH199" s="499">
        <f t="shared" ca="1" si="49"/>
        <v>0.28170000000000001</v>
      </c>
      <c r="AJ199" s="501">
        <v>5.04</v>
      </c>
      <c r="AL199" s="527"/>
      <c r="AM199" s="381">
        <f t="shared" ca="1" si="50"/>
        <v>41.68</v>
      </c>
      <c r="AN199" s="566">
        <f t="shared" ca="1" si="51"/>
        <v>8.27</v>
      </c>
    </row>
    <row r="200" spans="1:40" ht="51" x14ac:dyDescent="0.2">
      <c r="A200" t="str">
        <f t="shared" si="36"/>
        <v>S</v>
      </c>
      <c r="B200">
        <f t="shared" ca="1" si="37"/>
        <v>2</v>
      </c>
      <c r="C200" t="str">
        <f t="shared" ca="1" si="38"/>
        <v>S</v>
      </c>
      <c r="D200">
        <f t="shared" ca="1" si="39"/>
        <v>0</v>
      </c>
      <c r="E200">
        <f ca="1">IF($C200=1,OFFSET(E200,-1,0)+MAX(1,COUNTIF(QCI!$A$13:$A$24,OFFSET(ORÇAMENTO!E200,-1,0))),OFFSET(E200,-1,0))</f>
        <v>1</v>
      </c>
      <c r="F200">
        <f t="shared" ca="1" si="40"/>
        <v>8</v>
      </c>
      <c r="G200">
        <f t="shared" ca="1" si="41"/>
        <v>0</v>
      </c>
      <c r="H200">
        <f t="shared" ca="1" si="42"/>
        <v>0</v>
      </c>
      <c r="I200">
        <f t="shared" ca="1" si="43"/>
        <v>2</v>
      </c>
      <c r="J200">
        <f t="shared" ca="1" si="35"/>
        <v>0</v>
      </c>
      <c r="K200">
        <f ca="1">IF(OR($C200="S",$C200=0),0,MATCH(OFFSET($D200,0,$C200)+IF($C200&lt;&gt;1,1,COUNTIF(QCI!$A$13:$A$24,ORÇAMENTO!E200)),OFFSET($D200,1,$C200,ROW($C$290)-ROW($C200)),0))</f>
        <v>0</v>
      </c>
      <c r="L200" s="116" t="str">
        <f t="shared" ca="1" si="44"/>
        <v>F</v>
      </c>
      <c r="M200" s="117" t="s">
        <v>199</v>
      </c>
      <c r="N200" s="118" t="str">
        <f t="shared" ca="1" si="45"/>
        <v>Serviço</v>
      </c>
      <c r="O200" s="119" t="str">
        <f t="shared" ca="1" si="46"/>
        <v>1.8.0.2.</v>
      </c>
      <c r="P200" s="120" t="s">
        <v>462</v>
      </c>
      <c r="Q200" s="121" t="s">
        <v>493</v>
      </c>
      <c r="R200" s="122" t="str">
        <f ca="1">IF($C200="S",REFERENCIA.Descricao,"(digite a descrição aqui)")</f>
        <v>(abra o arquivo 'Referência 03-2024.xlsm)</v>
      </c>
      <c r="S200" s="123" t="str">
        <f ca="1">REFERENCIA.Unidade</f>
        <v>-</v>
      </c>
      <c r="T200" s="124">
        <f ca="1">OFFSET(CÁLCULO!H$15,ROW($T200)-ROW(T$15),0)</f>
        <v>1.26</v>
      </c>
      <c r="U200" s="125">
        <v>9.16</v>
      </c>
      <c r="V200" s="126" t="s">
        <v>156</v>
      </c>
      <c r="W200" s="124">
        <f ca="1">IF($C200="S",ROUND(IF(TIPOORCAMENTO="Proposto",ORÇAMENTO.CustoUnitario*(1+$AH200),ORÇAMENTO.PrecoUnitarioLicitado),15-13*$AF$10),0)</f>
        <v>11.74</v>
      </c>
      <c r="X200" s="127">
        <f ca="1">IF($C200="S",IF(Import.TipoArredondamento&lt;&gt;"TransfereGOV",VTOTAL1,SUM(OFFSET(CÁLCULO!$AA$15,ROW($X200)-ROW($X$15),1):OFFSET(CÁLCULO!$AL$15,ROW($X200)-ROW($X$15),-1))),IF($C200=0,0,ROUND(SomaAgrup,15-13*$AF$11)))</f>
        <v>14.79</v>
      </c>
      <c r="Y200" s="128" t="s">
        <v>245</v>
      </c>
      <c r="Z200" t="str">
        <f t="shared" ca="1" si="47"/>
        <v>RA</v>
      </c>
      <c r="AA200" s="129">
        <f ca="1">IF($C200="S",IF($Z200="CP",$X200,IF($Z200="RA",(($X200)*QCI!$AA$3),0)),SomaAgrup)</f>
        <v>14.79</v>
      </c>
      <c r="AB200" s="130">
        <f t="shared" ca="1" si="48"/>
        <v>0</v>
      </c>
      <c r="AC200" s="131" t="str">
        <f ca="1">IF($N200="","",IF(ORÇAMENTO.Descricao="","DESCRIÇÃO",IF(AND($C200="S",ORÇAMENTO.Unidade=""),"UNIDADE",IF($X200&lt;0,"VALOR NEGATIVO",IF(OR(AND(TIPOORCAMENTO="Proposto",$AG200&lt;&gt;"",$AG200&gt;0,ORÇAMENTO.CustoUnitario&gt;$AG200),AND(TIPOORCAMENTO="LICITADO",ORÇAMENTO.PrecoUnitarioLicitado&gt;$AN200)),"ACIMA REF.","")))))</f>
        <v/>
      </c>
      <c r="AD200" t="str">
        <f ca="1">IF(C200&lt;=CRONO.NivelExibicao,MAX($AD$15:OFFSET(AD200,-1,0))+IF($C200&lt;&gt;1,1,MAX(1,COUNTIF(QCI!$A$13:$A$24,OFFSET($E200,-1,0)))),"")</f>
        <v/>
      </c>
      <c r="AE200" s="7" t="str">
        <f ca="1">IF(AND($C200="S",ORÇAMENTO.CodBarra&lt;&gt;""),IF(ORÇAMENTO.Fonte="",ORÇAMENTO.CodBarra,CONCATENATE(ORÇAMENTO.Fonte," ",ORÇAMENTO.CodBarra)))</f>
        <v>Composição 22</v>
      </c>
      <c r="AF200" s="13" t="str">
        <f ca="1">IF(ISERROR(INDIRECT(ORÇAMENTO.BancoRef)),"(abra o arquivo 'Referência "&amp;Excel_BuiltIn_Database&amp;".xlsm)",IF(OR($C200&lt;&gt;"S",ORÇAMENTO.CodBarra=""),"(Sem Código)",IF(ISERROR(MATCH($AE200,INDIRECT(ORÇAMENTO.BancoRef),0)),"(Código não identificado nas referências)",MATCH($AE200,INDIRECT(ORÇAMENTO.BancoRef),0))))</f>
        <v>(abra o arquivo 'Referência 03-2024.xlsm)</v>
      </c>
      <c r="AG200" s="498">
        <f ca="1">ROUND(IF(DESONERACAO="sim",REFERENCIA.Desonerado,REFERENCIA.NaoDesonerado),2)</f>
        <v>0</v>
      </c>
      <c r="AH200" s="499">
        <f t="shared" ca="1" si="49"/>
        <v>0.28170000000000001</v>
      </c>
      <c r="AJ200" s="501">
        <v>1.26</v>
      </c>
      <c r="AL200" s="527"/>
      <c r="AM200" s="381">
        <f t="shared" ca="1" si="50"/>
        <v>14.79</v>
      </c>
      <c r="AN200" s="566">
        <f t="shared" ca="1" si="51"/>
        <v>11.74</v>
      </c>
    </row>
    <row r="201" spans="1:40" ht="38.25" x14ac:dyDescent="0.2">
      <c r="A201" t="str">
        <f t="shared" si="36"/>
        <v>S</v>
      </c>
      <c r="B201">
        <f t="shared" ca="1" si="37"/>
        <v>2</v>
      </c>
      <c r="C201" t="str">
        <f t="shared" ca="1" si="38"/>
        <v>S</v>
      </c>
      <c r="D201">
        <f t="shared" ca="1" si="39"/>
        <v>0</v>
      </c>
      <c r="E201">
        <f ca="1">IF($C201=1,OFFSET(E201,-1,0)+MAX(1,COUNTIF(QCI!$A$13:$A$24,OFFSET(ORÇAMENTO!E201,-1,0))),OFFSET(E201,-1,0))</f>
        <v>1</v>
      </c>
      <c r="F201">
        <f t="shared" ca="1" si="40"/>
        <v>8</v>
      </c>
      <c r="G201">
        <f t="shared" ca="1" si="41"/>
        <v>0</v>
      </c>
      <c r="H201">
        <f t="shared" ca="1" si="42"/>
        <v>0</v>
      </c>
      <c r="I201">
        <f t="shared" ca="1" si="43"/>
        <v>3</v>
      </c>
      <c r="J201">
        <f t="shared" ca="1" si="35"/>
        <v>0</v>
      </c>
      <c r="K201">
        <f ca="1">IF(OR($C201="S",$C201=0),0,MATCH(OFFSET($D201,0,$C201)+IF($C201&lt;&gt;1,1,COUNTIF(QCI!$A$13:$A$24,ORÇAMENTO!E201)),OFFSET($D201,1,$C201,ROW($C$290)-ROW($C201)),0))</f>
        <v>0</v>
      </c>
      <c r="L201" s="116" t="str">
        <f t="shared" ca="1" si="44"/>
        <v>F</v>
      </c>
      <c r="M201" s="117" t="s">
        <v>199</v>
      </c>
      <c r="N201" s="118" t="str">
        <f t="shared" ca="1" si="45"/>
        <v>Serviço</v>
      </c>
      <c r="O201" s="119" t="str">
        <f t="shared" ca="1" si="46"/>
        <v>1.8.0.3.</v>
      </c>
      <c r="P201" s="120" t="s">
        <v>462</v>
      </c>
      <c r="Q201" s="121" t="s">
        <v>474</v>
      </c>
      <c r="R201" s="122" t="str">
        <f ca="1">IF($C201="S",REFERENCIA.Descricao,"(digite a descrição aqui)")</f>
        <v>(abra o arquivo 'Referência 03-2024.xlsm)</v>
      </c>
      <c r="S201" s="123" t="str">
        <f ca="1">REFERENCIA.Unidade</f>
        <v>-</v>
      </c>
      <c r="T201" s="124">
        <f ca="1">OFFSET(CÁLCULO!H$15,ROW($T201)-ROW(T$15),0)</f>
        <v>25.2</v>
      </c>
      <c r="U201" s="125">
        <v>50.64</v>
      </c>
      <c r="V201" s="126" t="s">
        <v>156</v>
      </c>
      <c r="W201" s="124">
        <f ca="1">IF($C201="S",ROUND(IF(TIPOORCAMENTO="Proposto",ORÇAMENTO.CustoUnitario*(1+$AH201),ORÇAMENTO.PrecoUnitarioLicitado),15-13*$AF$10),0)</f>
        <v>64.91</v>
      </c>
      <c r="X201" s="127">
        <f ca="1">IF($C201="S",IF(Import.TipoArredondamento&lt;&gt;"TransfereGOV",VTOTAL1,SUM(OFFSET(CÁLCULO!$AA$15,ROW($X201)-ROW($X$15),1):OFFSET(CÁLCULO!$AL$15,ROW($X201)-ROW($X$15),-1))),IF($C201=0,0,ROUND(SomaAgrup,15-13*$AF$11)))</f>
        <v>1635.73</v>
      </c>
      <c r="Y201" s="128" t="s">
        <v>245</v>
      </c>
      <c r="Z201" t="str">
        <f t="shared" ca="1" si="47"/>
        <v>RA</v>
      </c>
      <c r="AA201" s="129">
        <f ca="1">IF($C201="S",IF($Z201="CP",$X201,IF($Z201="RA",(($X201)*QCI!$AA$3),0)),SomaAgrup)</f>
        <v>1635.73</v>
      </c>
      <c r="AB201" s="130">
        <f t="shared" ca="1" si="48"/>
        <v>0</v>
      </c>
      <c r="AC201" s="131" t="str">
        <f ca="1">IF($N201="","",IF(ORÇAMENTO.Descricao="","DESCRIÇÃO",IF(AND($C201="S",ORÇAMENTO.Unidade=""),"UNIDADE",IF($X201&lt;0,"VALOR NEGATIVO",IF(OR(AND(TIPOORCAMENTO="Proposto",$AG201&lt;&gt;"",$AG201&gt;0,ORÇAMENTO.CustoUnitario&gt;$AG201),AND(TIPOORCAMENTO="LICITADO",ORÇAMENTO.PrecoUnitarioLicitado&gt;$AN201)),"ACIMA REF.","")))))</f>
        <v/>
      </c>
      <c r="AD201" t="str">
        <f ca="1">IF(C201&lt;=CRONO.NivelExibicao,MAX($AD$15:OFFSET(AD201,-1,0))+IF($C201&lt;&gt;1,1,MAX(1,COUNTIF(QCI!$A$13:$A$24,OFFSET($E201,-1,0)))),"")</f>
        <v/>
      </c>
      <c r="AE201" s="7" t="str">
        <f ca="1">IF(AND($C201="S",ORÇAMENTO.CodBarra&lt;&gt;""),IF(ORÇAMENTO.Fonte="",ORÇAMENTO.CodBarra,CONCATENATE(ORÇAMENTO.Fonte," ",ORÇAMENTO.CodBarra)))</f>
        <v>Composição 10</v>
      </c>
      <c r="AF201" s="13" t="str">
        <f ca="1">IF(ISERROR(INDIRECT(ORÇAMENTO.BancoRef)),"(abra o arquivo 'Referência "&amp;Excel_BuiltIn_Database&amp;".xlsm)",IF(OR($C201&lt;&gt;"S",ORÇAMENTO.CodBarra=""),"(Sem Código)",IF(ISERROR(MATCH($AE201,INDIRECT(ORÇAMENTO.BancoRef),0)),"(Código não identificado nas referências)",MATCH($AE201,INDIRECT(ORÇAMENTO.BancoRef),0))))</f>
        <v>(abra o arquivo 'Referência 03-2024.xlsm)</v>
      </c>
      <c r="AG201" s="498">
        <f ca="1">ROUND(IF(DESONERACAO="sim",REFERENCIA.Desonerado,REFERENCIA.NaoDesonerado),2)</f>
        <v>0</v>
      </c>
      <c r="AH201" s="499">
        <f t="shared" ca="1" si="49"/>
        <v>0.28170000000000001</v>
      </c>
      <c r="AJ201" s="501">
        <v>25.2</v>
      </c>
      <c r="AL201" s="527"/>
      <c r="AM201" s="381">
        <f t="shared" ca="1" si="50"/>
        <v>1635.73</v>
      </c>
      <c r="AN201" s="566">
        <f t="shared" ca="1" si="51"/>
        <v>64.91</v>
      </c>
    </row>
    <row r="202" spans="1:40" ht="51" x14ac:dyDescent="0.2">
      <c r="A202" t="str">
        <f t="shared" si="36"/>
        <v>S</v>
      </c>
      <c r="B202">
        <f t="shared" ca="1" si="37"/>
        <v>2</v>
      </c>
      <c r="C202" t="str">
        <f t="shared" ca="1" si="38"/>
        <v>S</v>
      </c>
      <c r="D202">
        <f t="shared" ca="1" si="39"/>
        <v>0</v>
      </c>
      <c r="E202">
        <f ca="1">IF($C202=1,OFFSET(E202,-1,0)+MAX(1,COUNTIF(QCI!$A$13:$A$24,OFFSET(ORÇAMENTO!E202,-1,0))),OFFSET(E202,-1,0))</f>
        <v>1</v>
      </c>
      <c r="F202">
        <f t="shared" ca="1" si="40"/>
        <v>8</v>
      </c>
      <c r="G202">
        <f t="shared" ca="1" si="41"/>
        <v>0</v>
      </c>
      <c r="H202">
        <f t="shared" ca="1" si="42"/>
        <v>0</v>
      </c>
      <c r="I202">
        <f t="shared" ca="1" si="43"/>
        <v>4</v>
      </c>
      <c r="J202">
        <f t="shared" ca="1" si="35"/>
        <v>0</v>
      </c>
      <c r="K202">
        <f ca="1">IF(OR($C202="S",$C202=0),0,MATCH(OFFSET($D202,0,$C202)+IF($C202&lt;&gt;1,1,COUNTIF(QCI!$A$13:$A$24,ORÇAMENTO!E202)),OFFSET($D202,1,$C202,ROW($C$290)-ROW($C202)),0))</f>
        <v>0</v>
      </c>
      <c r="L202" s="116" t="str">
        <f t="shared" ca="1" si="44"/>
        <v>F</v>
      </c>
      <c r="M202" s="117" t="s">
        <v>199</v>
      </c>
      <c r="N202" s="118" t="str">
        <f t="shared" ca="1" si="45"/>
        <v>Serviço</v>
      </c>
      <c r="O202" s="119" t="str">
        <f t="shared" ca="1" si="46"/>
        <v>1.8.0.4.</v>
      </c>
      <c r="P202" s="120" t="s">
        <v>462</v>
      </c>
      <c r="Q202" s="121" t="s">
        <v>475</v>
      </c>
      <c r="R202" s="122" t="str">
        <f ca="1">IF($C202="S",REFERENCIA.Descricao,"(digite a descrição aqui)")</f>
        <v>(abra o arquivo 'Referência 03-2024.xlsm)</v>
      </c>
      <c r="S202" s="123" t="str">
        <f ca="1">REFERENCIA.Unidade</f>
        <v>-</v>
      </c>
      <c r="T202" s="124">
        <f ca="1">OFFSET(CÁLCULO!H$15,ROW($T202)-ROW(T$15),0)</f>
        <v>2.52</v>
      </c>
      <c r="U202" s="125">
        <v>502.29</v>
      </c>
      <c r="V202" s="126" t="s">
        <v>156</v>
      </c>
      <c r="W202" s="124">
        <f ca="1">IF($C202="S",ROUND(IF(TIPOORCAMENTO="Proposto",ORÇAMENTO.CustoUnitario*(1+$AH202),ORÇAMENTO.PrecoUnitarioLicitado),15-13*$AF$10),0)</f>
        <v>643.79</v>
      </c>
      <c r="X202" s="127">
        <f ca="1">IF($C202="S",IF(Import.TipoArredondamento&lt;&gt;"TransfereGOV",VTOTAL1,SUM(OFFSET(CÁLCULO!$AA$15,ROW($X202)-ROW($X$15),1):OFFSET(CÁLCULO!$AL$15,ROW($X202)-ROW($X$15),-1))),IF($C202=0,0,ROUND(SomaAgrup,15-13*$AF$11)))</f>
        <v>1622.35</v>
      </c>
      <c r="Y202" s="128" t="s">
        <v>245</v>
      </c>
      <c r="Z202" t="str">
        <f t="shared" ca="1" si="47"/>
        <v>RA</v>
      </c>
      <c r="AA202" s="129">
        <f ca="1">IF($C202="S",IF($Z202="CP",$X202,IF($Z202="RA",(($X202)*QCI!$AA$3),0)),SomaAgrup)</f>
        <v>1622.35</v>
      </c>
      <c r="AB202" s="130">
        <f t="shared" ca="1" si="48"/>
        <v>0</v>
      </c>
      <c r="AC202" s="131" t="str">
        <f ca="1">IF($N202="","",IF(ORÇAMENTO.Descricao="","DESCRIÇÃO",IF(AND($C202="S",ORÇAMENTO.Unidade=""),"UNIDADE",IF($X202&lt;0,"VALOR NEGATIVO",IF(OR(AND(TIPOORCAMENTO="Proposto",$AG202&lt;&gt;"",$AG202&gt;0,ORÇAMENTO.CustoUnitario&gt;$AG202),AND(TIPOORCAMENTO="LICITADO",ORÇAMENTO.PrecoUnitarioLicitado&gt;$AN202)),"ACIMA REF.","")))))</f>
        <v/>
      </c>
      <c r="AD202" t="str">
        <f ca="1">IF(C202&lt;=CRONO.NivelExibicao,MAX($AD$15:OFFSET(AD202,-1,0))+IF($C202&lt;&gt;1,1,MAX(1,COUNTIF(QCI!$A$13:$A$24,OFFSET($E202,-1,0)))),"")</f>
        <v/>
      </c>
      <c r="AE202" s="7" t="str">
        <f ca="1">IF(AND($C202="S",ORÇAMENTO.CodBarra&lt;&gt;""),IF(ORÇAMENTO.Fonte="",ORÇAMENTO.CodBarra,CONCATENATE(ORÇAMENTO.Fonte," ",ORÇAMENTO.CodBarra)))</f>
        <v>Composição 11</v>
      </c>
      <c r="AF202" s="13" t="str">
        <f ca="1">IF(ISERROR(INDIRECT(ORÇAMENTO.BancoRef)),"(abra o arquivo 'Referência "&amp;Excel_BuiltIn_Database&amp;".xlsm)",IF(OR($C202&lt;&gt;"S",ORÇAMENTO.CodBarra=""),"(Sem Código)",IF(ISERROR(MATCH($AE202,INDIRECT(ORÇAMENTO.BancoRef),0)),"(Código não identificado nas referências)",MATCH($AE202,INDIRECT(ORÇAMENTO.BancoRef),0))))</f>
        <v>(abra o arquivo 'Referência 03-2024.xlsm)</v>
      </c>
      <c r="AG202" s="498">
        <f ca="1">ROUND(IF(DESONERACAO="sim",REFERENCIA.Desonerado,REFERENCIA.NaoDesonerado),2)</f>
        <v>0</v>
      </c>
      <c r="AH202" s="499">
        <f t="shared" ca="1" si="49"/>
        <v>0.28170000000000001</v>
      </c>
      <c r="AJ202" s="501">
        <v>2.52</v>
      </c>
      <c r="AL202" s="527"/>
      <c r="AM202" s="381">
        <f t="shared" ca="1" si="50"/>
        <v>1622.35</v>
      </c>
      <c r="AN202" s="566">
        <f t="shared" ca="1" si="51"/>
        <v>643.79</v>
      </c>
    </row>
    <row r="203" spans="1:40" ht="38.25" x14ac:dyDescent="0.2">
      <c r="A203" t="str">
        <f t="shared" si="36"/>
        <v>S</v>
      </c>
      <c r="B203">
        <f t="shared" ca="1" si="37"/>
        <v>2</v>
      </c>
      <c r="C203" t="str">
        <f t="shared" ca="1" si="38"/>
        <v>S</v>
      </c>
      <c r="D203">
        <f t="shared" ca="1" si="39"/>
        <v>0</v>
      </c>
      <c r="E203">
        <f ca="1">IF($C203=1,OFFSET(E203,-1,0)+MAX(1,COUNTIF(QCI!$A$13:$A$24,OFFSET(ORÇAMENTO!E203,-1,0))),OFFSET(E203,-1,0))</f>
        <v>1</v>
      </c>
      <c r="F203">
        <f t="shared" ca="1" si="40"/>
        <v>8</v>
      </c>
      <c r="G203">
        <f t="shared" ca="1" si="41"/>
        <v>0</v>
      </c>
      <c r="H203">
        <f t="shared" ca="1" si="42"/>
        <v>0</v>
      </c>
      <c r="I203">
        <f t="shared" ca="1" si="43"/>
        <v>5</v>
      </c>
      <c r="J203">
        <f t="shared" ca="1" si="35"/>
        <v>0</v>
      </c>
      <c r="K203">
        <f ca="1">IF(OR($C203="S",$C203=0),0,MATCH(OFFSET($D203,0,$C203)+IF($C203&lt;&gt;1,1,COUNTIF(QCI!$A$13:$A$24,ORÇAMENTO!E203)),OFFSET($D203,1,$C203,ROW($C$290)-ROW($C203)),0))</f>
        <v>0</v>
      </c>
      <c r="L203" s="116" t="str">
        <f t="shared" ca="1" si="44"/>
        <v>F</v>
      </c>
      <c r="M203" s="117" t="s">
        <v>199</v>
      </c>
      <c r="N203" s="118" t="str">
        <f t="shared" ca="1" si="45"/>
        <v>Serviço</v>
      </c>
      <c r="O203" s="119" t="str">
        <f t="shared" ca="1" si="46"/>
        <v>1.8.0.5.</v>
      </c>
      <c r="P203" s="120" t="s">
        <v>462</v>
      </c>
      <c r="Q203" s="121" t="s">
        <v>476</v>
      </c>
      <c r="R203" s="122" t="str">
        <f ca="1">IF($C203="S",REFERENCIA.Descricao,"(digite a descrição aqui)")</f>
        <v>(abra o arquivo 'Referência 03-2024.xlsm)</v>
      </c>
      <c r="S203" s="123" t="str">
        <f ca="1">REFERENCIA.Unidade</f>
        <v>-</v>
      </c>
      <c r="T203" s="124">
        <f ca="1">OFFSET(CÁLCULO!H$15,ROW($T203)-ROW(T$15),0)</f>
        <v>42.69</v>
      </c>
      <c r="U203" s="125">
        <v>11.53</v>
      </c>
      <c r="V203" s="126" t="s">
        <v>156</v>
      </c>
      <c r="W203" s="124">
        <f ca="1">IF($C203="S",ROUND(IF(TIPOORCAMENTO="Proposto",ORÇAMENTO.CustoUnitario*(1+$AH203),ORÇAMENTO.PrecoUnitarioLicitado),15-13*$AF$10),0)</f>
        <v>14.78</v>
      </c>
      <c r="X203" s="127">
        <f ca="1">IF($C203="S",IF(Import.TipoArredondamento&lt;&gt;"TransfereGOV",VTOTAL1,SUM(OFFSET(CÁLCULO!$AA$15,ROW($X203)-ROW($X$15),1):OFFSET(CÁLCULO!$AL$15,ROW($X203)-ROW($X$15),-1))),IF($C203=0,0,ROUND(SomaAgrup,15-13*$AF$11)))</f>
        <v>630.96</v>
      </c>
      <c r="Y203" s="128" t="s">
        <v>245</v>
      </c>
      <c r="Z203" t="str">
        <f t="shared" ca="1" si="47"/>
        <v>RA</v>
      </c>
      <c r="AA203" s="129">
        <f ca="1">IF($C203="S",IF($Z203="CP",$X203,IF($Z203="RA",(($X203)*QCI!$AA$3),0)),SomaAgrup)</f>
        <v>630.96</v>
      </c>
      <c r="AB203" s="130">
        <f t="shared" ca="1" si="48"/>
        <v>0</v>
      </c>
      <c r="AC203" s="131" t="str">
        <f ca="1">IF($N203="","",IF(ORÇAMENTO.Descricao="","DESCRIÇÃO",IF(AND($C203="S",ORÇAMENTO.Unidade=""),"UNIDADE",IF($X203&lt;0,"VALOR NEGATIVO",IF(OR(AND(TIPOORCAMENTO="Proposto",$AG203&lt;&gt;"",$AG203&gt;0,ORÇAMENTO.CustoUnitario&gt;$AG203),AND(TIPOORCAMENTO="LICITADO",ORÇAMENTO.PrecoUnitarioLicitado&gt;$AN203)),"ACIMA REF.","")))))</f>
        <v/>
      </c>
      <c r="AD203" t="str">
        <f ca="1">IF(C203&lt;=CRONO.NivelExibicao,MAX($AD$15:OFFSET(AD203,-1,0))+IF($C203&lt;&gt;1,1,MAX(1,COUNTIF(QCI!$A$13:$A$24,OFFSET($E203,-1,0)))),"")</f>
        <v/>
      </c>
      <c r="AE203" s="7" t="str">
        <f ca="1">IF(AND($C203="S",ORÇAMENTO.CodBarra&lt;&gt;""),IF(ORÇAMENTO.Fonte="",ORÇAMENTO.CodBarra,CONCATENATE(ORÇAMENTO.Fonte," ",ORÇAMENTO.CodBarra)))</f>
        <v>Composição 12</v>
      </c>
      <c r="AF203" s="13" t="str">
        <f ca="1">IF(ISERROR(INDIRECT(ORÇAMENTO.BancoRef)),"(abra o arquivo 'Referência "&amp;Excel_BuiltIn_Database&amp;".xlsm)",IF(OR($C203&lt;&gt;"S",ORÇAMENTO.CodBarra=""),"(Sem Código)",IF(ISERROR(MATCH($AE203,INDIRECT(ORÇAMENTO.BancoRef),0)),"(Código não identificado nas referências)",MATCH($AE203,INDIRECT(ORÇAMENTO.BancoRef),0))))</f>
        <v>(abra o arquivo 'Referência 03-2024.xlsm)</v>
      </c>
      <c r="AG203" s="498">
        <f ca="1">ROUND(IF(DESONERACAO="sim",REFERENCIA.Desonerado,REFERENCIA.NaoDesonerado),2)</f>
        <v>0</v>
      </c>
      <c r="AH203" s="499">
        <f t="shared" ca="1" si="49"/>
        <v>0.28170000000000001</v>
      </c>
      <c r="AJ203" s="501">
        <v>42.69</v>
      </c>
      <c r="AL203" s="527"/>
      <c r="AM203" s="381">
        <f t="shared" ca="1" si="50"/>
        <v>630.96</v>
      </c>
      <c r="AN203" s="566">
        <f t="shared" ca="1" si="51"/>
        <v>14.78</v>
      </c>
    </row>
    <row r="204" spans="1:40" ht="38.25" x14ac:dyDescent="0.2">
      <c r="A204" t="str">
        <f t="shared" si="36"/>
        <v>S</v>
      </c>
      <c r="B204">
        <f t="shared" ca="1" si="37"/>
        <v>2</v>
      </c>
      <c r="C204" t="str">
        <f t="shared" ca="1" si="38"/>
        <v>S</v>
      </c>
      <c r="D204">
        <f t="shared" ca="1" si="39"/>
        <v>0</v>
      </c>
      <c r="E204">
        <f ca="1">IF($C204=1,OFFSET(E204,-1,0)+MAX(1,COUNTIF(QCI!$A$13:$A$24,OFFSET(ORÇAMENTO!E204,-1,0))),OFFSET(E204,-1,0))</f>
        <v>1</v>
      </c>
      <c r="F204">
        <f t="shared" ca="1" si="40"/>
        <v>8</v>
      </c>
      <c r="G204">
        <f t="shared" ca="1" si="41"/>
        <v>0</v>
      </c>
      <c r="H204">
        <f t="shared" ca="1" si="42"/>
        <v>0</v>
      </c>
      <c r="I204">
        <f t="shared" ca="1" si="43"/>
        <v>6</v>
      </c>
      <c r="J204">
        <f t="shared" ca="1" si="35"/>
        <v>0</v>
      </c>
      <c r="K204">
        <f ca="1">IF(OR($C204="S",$C204=0),0,MATCH(OFFSET($D204,0,$C204)+IF($C204&lt;&gt;1,1,COUNTIF(QCI!$A$13:$A$24,ORÇAMENTO!E204)),OFFSET($D204,1,$C204,ROW($C$290)-ROW($C204)),0))</f>
        <v>0</v>
      </c>
      <c r="L204" s="116" t="str">
        <f t="shared" ca="1" si="44"/>
        <v>F</v>
      </c>
      <c r="M204" s="117" t="s">
        <v>199</v>
      </c>
      <c r="N204" s="118" t="str">
        <f t="shared" ca="1" si="45"/>
        <v>Serviço</v>
      </c>
      <c r="O204" s="119" t="str">
        <f t="shared" ca="1" si="46"/>
        <v>1.8.0.6.</v>
      </c>
      <c r="P204" s="120" t="s">
        <v>462</v>
      </c>
      <c r="Q204" s="121" t="s">
        <v>477</v>
      </c>
      <c r="R204" s="122" t="str">
        <f ca="1">IF($C204="S",REFERENCIA.Descricao,"(digite a descrição aqui)")</f>
        <v>(abra o arquivo 'Referência 03-2024.xlsm)</v>
      </c>
      <c r="S204" s="123" t="str">
        <f ca="1">REFERENCIA.Unidade</f>
        <v>-</v>
      </c>
      <c r="T204" s="124">
        <f ca="1">OFFSET(CÁLCULO!H$15,ROW($T204)-ROW(T$15),0)</f>
        <v>99.54</v>
      </c>
      <c r="U204" s="125">
        <v>10.97</v>
      </c>
      <c r="V204" s="126" t="s">
        <v>156</v>
      </c>
      <c r="W204" s="124">
        <f ca="1">IF($C204="S",ROUND(IF(TIPOORCAMENTO="Proposto",ORÇAMENTO.CustoUnitario*(1+$AH204),ORÇAMENTO.PrecoUnitarioLicitado),15-13*$AF$10),0)</f>
        <v>14.06</v>
      </c>
      <c r="X204" s="127">
        <f ca="1">IF($C204="S",IF(Import.TipoArredondamento&lt;&gt;"TransfereGOV",VTOTAL1,SUM(OFFSET(CÁLCULO!$AA$15,ROW($X204)-ROW($X$15),1):OFFSET(CÁLCULO!$AL$15,ROW($X204)-ROW($X$15),-1))),IF($C204=0,0,ROUND(SomaAgrup,15-13*$AF$11)))</f>
        <v>1399.53</v>
      </c>
      <c r="Y204" s="128" t="s">
        <v>245</v>
      </c>
      <c r="Z204" t="str">
        <f t="shared" ca="1" si="47"/>
        <v>RA</v>
      </c>
      <c r="AA204" s="129">
        <f ca="1">IF($C204="S",IF($Z204="CP",$X204,IF($Z204="RA",(($X204)*QCI!$AA$3),0)),SomaAgrup)</f>
        <v>1399.53</v>
      </c>
      <c r="AB204" s="130">
        <f t="shared" ca="1" si="48"/>
        <v>0</v>
      </c>
      <c r="AC204" s="131" t="str">
        <f ca="1">IF($N204="","",IF(ORÇAMENTO.Descricao="","DESCRIÇÃO",IF(AND($C204="S",ORÇAMENTO.Unidade=""),"UNIDADE",IF($X204&lt;0,"VALOR NEGATIVO",IF(OR(AND(TIPOORCAMENTO="Proposto",$AG204&lt;&gt;"",$AG204&gt;0,ORÇAMENTO.CustoUnitario&gt;$AG204),AND(TIPOORCAMENTO="LICITADO",ORÇAMENTO.PrecoUnitarioLicitado&gt;$AN204)),"ACIMA REF.","")))))</f>
        <v/>
      </c>
      <c r="AD204" t="str">
        <f ca="1">IF(C204&lt;=CRONO.NivelExibicao,MAX($AD$15:OFFSET(AD204,-1,0))+IF($C204&lt;&gt;1,1,MAX(1,COUNTIF(QCI!$A$13:$A$24,OFFSET($E204,-1,0)))),"")</f>
        <v/>
      </c>
      <c r="AE204" s="7" t="str">
        <f ca="1">IF(AND($C204="S",ORÇAMENTO.CodBarra&lt;&gt;""),IF(ORÇAMENTO.Fonte="",ORÇAMENTO.CodBarra,CONCATENATE(ORÇAMENTO.Fonte," ",ORÇAMENTO.CodBarra)))</f>
        <v>Composição 13</v>
      </c>
      <c r="AF204" s="13" t="str">
        <f ca="1">IF(ISERROR(INDIRECT(ORÇAMENTO.BancoRef)),"(abra o arquivo 'Referência "&amp;Excel_BuiltIn_Database&amp;".xlsm)",IF(OR($C204&lt;&gt;"S",ORÇAMENTO.CodBarra=""),"(Sem Código)",IF(ISERROR(MATCH($AE204,INDIRECT(ORÇAMENTO.BancoRef),0)),"(Código não identificado nas referências)",MATCH($AE204,INDIRECT(ORÇAMENTO.BancoRef),0))))</f>
        <v>(abra o arquivo 'Referência 03-2024.xlsm)</v>
      </c>
      <c r="AG204" s="498">
        <f ca="1">ROUND(IF(DESONERACAO="sim",REFERENCIA.Desonerado,REFERENCIA.NaoDesonerado),2)</f>
        <v>0</v>
      </c>
      <c r="AH204" s="499">
        <f t="shared" ca="1" si="49"/>
        <v>0.28170000000000001</v>
      </c>
      <c r="AJ204" s="501">
        <v>99.54</v>
      </c>
      <c r="AL204" s="527"/>
      <c r="AM204" s="381">
        <f t="shared" ca="1" si="50"/>
        <v>1399.53</v>
      </c>
      <c r="AN204" s="566">
        <f t="shared" ca="1" si="51"/>
        <v>14.06</v>
      </c>
    </row>
    <row r="205" spans="1:40" ht="51" x14ac:dyDescent="0.2">
      <c r="A205" t="str">
        <f t="shared" si="36"/>
        <v>S</v>
      </c>
      <c r="B205">
        <f t="shared" ca="1" si="37"/>
        <v>2</v>
      </c>
      <c r="C205" t="str">
        <f t="shared" ca="1" si="38"/>
        <v>S</v>
      </c>
      <c r="D205">
        <f t="shared" ca="1" si="39"/>
        <v>0</v>
      </c>
      <c r="E205">
        <f ca="1">IF($C205=1,OFFSET(E205,-1,0)+MAX(1,COUNTIF(QCI!$A$13:$A$24,OFFSET(ORÇAMENTO!E205,-1,0))),OFFSET(E205,-1,0))</f>
        <v>1</v>
      </c>
      <c r="F205">
        <f t="shared" ca="1" si="40"/>
        <v>8</v>
      </c>
      <c r="G205">
        <f t="shared" ca="1" si="41"/>
        <v>0</v>
      </c>
      <c r="H205">
        <f t="shared" ca="1" si="42"/>
        <v>0</v>
      </c>
      <c r="I205">
        <f t="shared" ca="1" si="43"/>
        <v>7</v>
      </c>
      <c r="J205">
        <f t="shared" ca="1" si="35"/>
        <v>0</v>
      </c>
      <c r="K205">
        <f ca="1">IF(OR($C205="S",$C205=0),0,MATCH(OFFSET($D205,0,$C205)+IF($C205&lt;&gt;1,1,COUNTIF(QCI!$A$13:$A$24,ORÇAMENTO!E205)),OFFSET($D205,1,$C205,ROW($C$290)-ROW($C205)),0))</f>
        <v>0</v>
      </c>
      <c r="L205" s="116" t="str">
        <f t="shared" ca="1" si="44"/>
        <v>F</v>
      </c>
      <c r="M205" s="117" t="s">
        <v>199</v>
      </c>
      <c r="N205" s="118" t="str">
        <f t="shared" ca="1" si="45"/>
        <v>Serviço</v>
      </c>
      <c r="O205" s="119" t="str">
        <f t="shared" ca="1" si="46"/>
        <v>1.8.0.7.</v>
      </c>
      <c r="P205" s="120" t="s">
        <v>462</v>
      </c>
      <c r="Q205" s="121" t="s">
        <v>589</v>
      </c>
      <c r="R205" s="122" t="str">
        <f ca="1">IF($C205="S",REFERENCIA.Descricao,"(digite a descrição aqui)")</f>
        <v>(abra o arquivo 'Referência 03-2024.xlsm)</v>
      </c>
      <c r="S205" s="123" t="str">
        <f ca="1">REFERENCIA.Unidade</f>
        <v>-</v>
      </c>
      <c r="T205" s="124">
        <f ca="1">OFFSET(CÁLCULO!H$15,ROW($T205)-ROW(T$15),0)</f>
        <v>63</v>
      </c>
      <c r="U205" s="125">
        <v>27.03</v>
      </c>
      <c r="V205" s="126" t="s">
        <v>156</v>
      </c>
      <c r="W205" s="124">
        <f ca="1">IF($C205="S",ROUND(IF(TIPOORCAMENTO="Proposto",ORÇAMENTO.CustoUnitario*(1+$AH205),ORÇAMENTO.PrecoUnitarioLicitado),15-13*$AF$10),0)</f>
        <v>34.64</v>
      </c>
      <c r="X205" s="127">
        <f ca="1">IF($C205="S",IF(Import.TipoArredondamento&lt;&gt;"TransfereGOV",VTOTAL1,SUM(OFFSET(CÁLCULO!$AA$15,ROW($X205)-ROW($X$15),1):OFFSET(CÁLCULO!$AL$15,ROW($X205)-ROW($X$15),-1))),IF($C205=0,0,ROUND(SomaAgrup,15-13*$AF$11)))</f>
        <v>2182.3200000000002</v>
      </c>
      <c r="Y205" s="128" t="s">
        <v>245</v>
      </c>
      <c r="Z205" t="str">
        <f t="shared" ca="1" si="47"/>
        <v>RA</v>
      </c>
      <c r="AA205" s="129">
        <f ca="1">IF($C205="S",IF($Z205="CP",$X205,IF($Z205="RA",(($X205)*QCI!$AA$3),0)),SomaAgrup)</f>
        <v>2182.3200000000002</v>
      </c>
      <c r="AB205" s="130">
        <f t="shared" ca="1" si="48"/>
        <v>0</v>
      </c>
      <c r="AC205" s="131" t="str">
        <f ca="1">IF($N205="","",IF(ORÇAMENTO.Descricao="","DESCRIÇÃO",IF(AND($C205="S",ORÇAMENTO.Unidade=""),"UNIDADE",IF($X205&lt;0,"VALOR NEGATIVO",IF(OR(AND(TIPOORCAMENTO="Proposto",$AG205&lt;&gt;"",$AG205&gt;0,ORÇAMENTO.CustoUnitario&gt;$AG205),AND(TIPOORCAMENTO="LICITADO",ORÇAMENTO.PrecoUnitarioLicitado&gt;$AN205)),"ACIMA REF.","")))))</f>
        <v/>
      </c>
      <c r="AD205" t="str">
        <f ca="1">IF(C205&lt;=CRONO.NivelExibicao,MAX($AD$15:OFFSET(AD205,-1,0))+IF($C205&lt;&gt;1,1,MAX(1,COUNTIF(QCI!$A$13:$A$24,OFFSET($E205,-1,0)))),"")</f>
        <v/>
      </c>
      <c r="AE205" s="7" t="str">
        <f ca="1">IF(AND($C205="S",ORÇAMENTO.CodBarra&lt;&gt;""),IF(ORÇAMENTO.Fonte="",ORÇAMENTO.CodBarra,CONCATENATE(ORÇAMENTO.Fonte," ",ORÇAMENTO.CodBarra)))</f>
        <v>Composição 73</v>
      </c>
      <c r="AF205" s="13" t="str">
        <f ca="1">IF(ISERROR(INDIRECT(ORÇAMENTO.BancoRef)),"(abra o arquivo 'Referência "&amp;Excel_BuiltIn_Database&amp;".xlsm)",IF(OR($C205&lt;&gt;"S",ORÇAMENTO.CodBarra=""),"(Sem Código)",IF(ISERROR(MATCH($AE205,INDIRECT(ORÇAMENTO.BancoRef),0)),"(Código não identificado nas referências)",MATCH($AE205,INDIRECT(ORÇAMENTO.BancoRef),0))))</f>
        <v>(abra o arquivo 'Referência 03-2024.xlsm)</v>
      </c>
      <c r="AG205" s="498">
        <f ca="1">ROUND(IF(DESONERACAO="sim",REFERENCIA.Desonerado,REFERENCIA.NaoDesonerado),2)</f>
        <v>0</v>
      </c>
      <c r="AH205" s="499">
        <f t="shared" ca="1" si="49"/>
        <v>0.28170000000000001</v>
      </c>
      <c r="AJ205" s="501">
        <v>63</v>
      </c>
      <c r="AL205" s="527"/>
      <c r="AM205" s="381">
        <f t="shared" ca="1" si="50"/>
        <v>2182.3200000000002</v>
      </c>
      <c r="AN205" s="566">
        <f t="shared" ca="1" si="51"/>
        <v>34.64</v>
      </c>
    </row>
    <row r="206" spans="1:40" ht="51" x14ac:dyDescent="0.2">
      <c r="A206" t="str">
        <f>CHOOSE(1+LOG(1+2*(ORÇAMENTO.Nivel="Meta")+4*(ORÇAMENTO.Nivel="Nível 2")+8*(ORÇAMENTO.Nivel="Nível 3")+16*(ORÇAMENTO.Nivel="Nível 4")+32*(ORÇAMENTO.Nivel="Serviço"),2),0,1,2,3,4,"S")</f>
        <v>S</v>
      </c>
      <c r="B206">
        <f ca="1">IF(OR(C206="s",C206=0),OFFSET(B206,-1,0),C206)</f>
        <v>2</v>
      </c>
      <c r="C206" t="str">
        <f ca="1">IF(OFFSET(C206,-1,0)="L",1,IF(OFFSET(C206,-1,0)=1,2,IF(OR(A206="s",A206=0),"S",IF(AND(OFFSET(C206,-1,0)=2,A206=4),3,IF(AND(OR(OFFSET(C206,-1,0)="s",OFFSET(C206,-1,0)=0),A206&lt;&gt;"s",A206&gt;OFFSET(B206,-1,0)),OFFSET(B206,-1,0),A206)))))</f>
        <v>S</v>
      </c>
      <c r="D206">
        <f ca="1">IF(OR(C206="S",C206=0),0,IF(ISERROR(K206),J206,SMALL(J206:K206,1)))</f>
        <v>0</v>
      </c>
      <c r="E206">
        <f ca="1">IF($C206=1,OFFSET(E206,-1,0)+MAX(1,COUNTIF(QCI!$A$13:$A$24,OFFSET(ORÇAMENTO!E206,-1,0))),OFFSET(E206,-1,0))</f>
        <v>1</v>
      </c>
      <c r="F206">
        <f ca="1">IF($C206=1,0,IF($C206=2,OFFSET(F206,-1,0)+1,OFFSET(F206,-1,0)))</f>
        <v>8</v>
      </c>
      <c r="G206">
        <f ca="1">IF(AND($C206&lt;=2,$C206&lt;&gt;0),0,IF($C206=3,OFFSET(G206,-1,0)+1,OFFSET(G206,-1,0)))</f>
        <v>0</v>
      </c>
      <c r="H206">
        <f ca="1">IF(AND($C206&lt;=3,$C206&lt;&gt;0),0,IF($C206=4,OFFSET(H206,-1,0)+1,OFFSET(H206,-1,0)))</f>
        <v>0</v>
      </c>
      <c r="I206">
        <f ca="1">IF(AND($C206&lt;=4,$C206&lt;&gt;0),0,IF(AND($C206="S",$X206&gt;0),OFFSET(I206,-1,0)+1,OFFSET(I206,-1,0)))</f>
        <v>8</v>
      </c>
      <c r="J206">
        <f t="shared" ca="1" si="35"/>
        <v>0</v>
      </c>
      <c r="K206">
        <f ca="1">IF(OR($C206="S",$C206=0),0,MATCH(OFFSET($D206,0,$C206)+IF($C206&lt;&gt;1,1,COUNTIF(QCI!$A$13:$A$24,ORÇAMENTO!E206)),OFFSET($D206,1,$C206,ROW($C$290)-ROW($C206)),0))</f>
        <v>0</v>
      </c>
      <c r="L206" s="116" t="str">
        <f ca="1">IF(OR($X206&gt;0,$C206=1,$C206=2,$C206=3,$C206=4),"F","")</f>
        <v>F</v>
      </c>
      <c r="M206" s="117" t="s">
        <v>199</v>
      </c>
      <c r="N206" s="118" t="str">
        <f ca="1">CHOOSE(1+LOG(1+2*(C206=1)+4*(C206=2)+8*(C206=3)+16*(C206=4)+32*(C206="S"),2),"","Meta","Nível 2","Nível 3","Nível 4","Serviço")</f>
        <v>Serviço</v>
      </c>
      <c r="O206" s="119" t="str">
        <f ca="1">IF(OR($C206=0,$L206=""),"-",CONCATENATE(E206&amp;".",IF(AND($A$5&gt;=2,$C206&gt;=2),F206&amp;".",""),IF(AND($A$5&gt;=3,$C206&gt;=3),G206&amp;".",""),IF(AND($A$5&gt;=4,$C206&gt;=4),H206&amp;".",""),IF($C206="S",I206&amp;".","")))</f>
        <v>1.8.0.8.</v>
      </c>
      <c r="P206" s="120" t="s">
        <v>462</v>
      </c>
      <c r="Q206" s="121" t="s">
        <v>590</v>
      </c>
      <c r="R206" s="122" t="str">
        <f ca="1">IF($C206="S",REFERENCIA.Descricao,"(digite a descrição aqui)")</f>
        <v>(abra o arquivo 'Referência 03-2024.xlsm)</v>
      </c>
      <c r="S206" s="123" t="str">
        <f ca="1">REFERENCIA.Unidade</f>
        <v>-</v>
      </c>
      <c r="T206" s="124">
        <f ca="1">OFFSET(CÁLCULO!H$15,ROW($T206)-ROW(T$15),0)</f>
        <v>227.81</v>
      </c>
      <c r="U206" s="125">
        <v>3.33</v>
      </c>
      <c r="V206" s="126" t="s">
        <v>156</v>
      </c>
      <c r="W206" s="124">
        <f ca="1">IF($C206="S",ROUND(IF(TIPOORCAMENTO="Proposto",ORÇAMENTO.CustoUnitario*(1+$AH206),ORÇAMENTO.PrecoUnitarioLicitado),15-13*$AF$10),0)</f>
        <v>4.2699999999999996</v>
      </c>
      <c r="X206" s="127">
        <f ca="1">IF($C206="S",IF(Import.TipoArredondamento&lt;&gt;"TransfereGOV",VTOTAL1,SUM(OFFSET(CÁLCULO!$AA$15,ROW($X206)-ROW($X$15),1):OFFSET(CÁLCULO!$AL$15,ROW($X206)-ROW($X$15),-1))),IF($C206=0,0,ROUND(SomaAgrup,15-13*$AF$11)))</f>
        <v>972.75</v>
      </c>
      <c r="Y206" s="128" t="s">
        <v>245</v>
      </c>
      <c r="Z206" t="str">
        <f ca="1">IF(AND($C206="S",$X206&gt;0),IF(ISBLANK($Y206),"RA",LEFT($Y206,2)),"")</f>
        <v>RA</v>
      </c>
      <c r="AA206" s="129">
        <f ca="1">IF($C206="S",IF($Z206="CP",$X206,IF($Z206="RA",(($X206)*QCI!$AA$3),0)),SomaAgrup)</f>
        <v>972.75</v>
      </c>
      <c r="AB206" s="130">
        <f ca="1">IF($C206="S",IF($Z206="OU",ROUND($X206,2),0),SomaAgrup)</f>
        <v>0</v>
      </c>
      <c r="AC206" s="131" t="str">
        <f ca="1">IF($N206="","",IF(ORÇAMENTO.Descricao="","DESCRIÇÃO",IF(AND($C206="S",ORÇAMENTO.Unidade=""),"UNIDADE",IF($X206&lt;0,"VALOR NEGATIVO",IF(OR(AND(TIPOORCAMENTO="Proposto",$AG206&lt;&gt;"",$AG206&gt;0,ORÇAMENTO.CustoUnitario&gt;$AG206),AND(TIPOORCAMENTO="LICITADO",ORÇAMENTO.PrecoUnitarioLicitado&gt;$AN206)),"ACIMA REF.","")))))</f>
        <v/>
      </c>
      <c r="AD206" t="str">
        <f ca="1">IF(C206&lt;=CRONO.NivelExibicao,MAX($AD$15:OFFSET(AD206,-1,0))+IF($C206&lt;&gt;1,1,MAX(1,COUNTIF(QCI!$A$13:$A$24,OFFSET($E206,-1,0)))),"")</f>
        <v/>
      </c>
      <c r="AE206" s="7" t="str">
        <f ca="1">IF(AND($C206="S",ORÇAMENTO.CodBarra&lt;&gt;""),IF(ORÇAMENTO.Fonte="",ORÇAMENTO.CodBarra,CONCATENATE(ORÇAMENTO.Fonte," ",ORÇAMENTO.CodBarra)))</f>
        <v>Composição 74</v>
      </c>
      <c r="AF206" s="13" t="str">
        <f ca="1">IF(ISERROR(INDIRECT(ORÇAMENTO.BancoRef)),"(abra o arquivo 'Referência "&amp;Excel_BuiltIn_Database&amp;".xlsm)",IF(OR($C206&lt;&gt;"S",ORÇAMENTO.CodBarra=""),"(Sem Código)",IF(ISERROR(MATCH($AE206,INDIRECT(ORÇAMENTO.BancoRef),0)),"(Código não identificado nas referências)",MATCH($AE206,INDIRECT(ORÇAMENTO.BancoRef),0))))</f>
        <v>(abra o arquivo 'Referência 03-2024.xlsm)</v>
      </c>
      <c r="AG206" s="498">
        <f ca="1">ROUND(IF(DESONERACAO="sim",REFERENCIA.Desonerado,REFERENCIA.NaoDesonerado),2)</f>
        <v>0</v>
      </c>
      <c r="AH206" s="499">
        <f ca="1">ROUND(IF(ISNUMBER(ORÇAMENTO.OpcaoBDI),ORÇAMENTO.OpcaoBDI,IF(LEFT(ORÇAMENTO.OpcaoBDI,3)="BDI",HLOOKUP(ORÇAMENTO.OpcaoBDI,$F$4:$H$5,2,FALSE),0)),15-11*$AF$9)</f>
        <v>0.28170000000000001</v>
      </c>
      <c r="AJ206" s="501">
        <v>227.81</v>
      </c>
      <c r="AL206" s="527"/>
      <c r="AM206" s="381">
        <f t="shared" ca="1" si="50"/>
        <v>972.75</v>
      </c>
      <c r="AN206" s="566">
        <f ca="1">ROUND(ORÇAMENTO.CustoUnitario*(1+$AH206),2)</f>
        <v>4.2699999999999996</v>
      </c>
    </row>
    <row r="207" spans="1:40" ht="25.5" x14ac:dyDescent="0.2">
      <c r="A207" t="str">
        <f>CHOOSE(1+LOG(1+2*(ORÇAMENTO.Nivel="Meta")+4*(ORÇAMENTO.Nivel="Nível 2")+8*(ORÇAMENTO.Nivel="Nível 3")+16*(ORÇAMENTO.Nivel="Nível 4")+32*(ORÇAMENTO.Nivel="Serviço"),2),0,1,2,3,4,"S")</f>
        <v>S</v>
      </c>
      <c r="B207">
        <f ca="1">IF(OR(C207="s",C207=0),OFFSET(B207,-1,0),C207)</f>
        <v>2</v>
      </c>
      <c r="C207" t="str">
        <f ca="1">IF(OFFSET(C207,-1,0)="L",1,IF(OFFSET(C207,-1,0)=1,2,IF(OR(A207="s",A207=0),"S",IF(AND(OFFSET(C207,-1,0)=2,A207=4),3,IF(AND(OR(OFFSET(C207,-1,0)="s",OFFSET(C207,-1,0)=0),A207&lt;&gt;"s",A207&gt;OFFSET(B207,-1,0)),OFFSET(B207,-1,0),A207)))))</f>
        <v>S</v>
      </c>
      <c r="D207">
        <f ca="1">IF(OR(C207="S",C207=0),0,IF(ISERROR(K207),J207,SMALL(J207:K207,1)))</f>
        <v>0</v>
      </c>
      <c r="E207">
        <f ca="1">IF($C207=1,OFFSET(E207,-1,0)+MAX(1,COUNTIF(QCI!$A$13:$A$24,OFFSET(ORÇAMENTO!E207,-1,0))),OFFSET(E207,-1,0))</f>
        <v>1</v>
      </c>
      <c r="F207">
        <f ca="1">IF($C207=1,0,IF($C207=2,OFFSET(F207,-1,0)+1,OFFSET(F207,-1,0)))</f>
        <v>8</v>
      </c>
      <c r="G207">
        <f ca="1">IF(AND($C207&lt;=2,$C207&lt;&gt;0),0,IF($C207=3,OFFSET(G207,-1,0)+1,OFFSET(G207,-1,0)))</f>
        <v>0</v>
      </c>
      <c r="H207">
        <f ca="1">IF(AND($C207&lt;=3,$C207&lt;&gt;0),0,IF($C207=4,OFFSET(H207,-1,0)+1,OFFSET(H207,-1,0)))</f>
        <v>0</v>
      </c>
      <c r="I207">
        <f ca="1">IF(AND($C207&lt;=4,$C207&lt;&gt;0),0,IF(AND($C207="S",$X207&gt;0),OFFSET(I207,-1,0)+1,OFFSET(I207,-1,0)))</f>
        <v>9</v>
      </c>
      <c r="J207">
        <f t="shared" ca="1" si="35"/>
        <v>0</v>
      </c>
      <c r="K207">
        <f ca="1">IF(OR($C207="S",$C207=0),0,MATCH(OFFSET($D207,0,$C207)+IF($C207&lt;&gt;1,1,COUNTIF(QCI!$A$13:$A$24,ORÇAMENTO!E207)),OFFSET($D207,1,$C207,ROW($C$290)-ROW($C207)),0))</f>
        <v>0</v>
      </c>
      <c r="L207" s="116" t="str">
        <f ca="1">IF(OR($X207&gt;0,$C207=1,$C207=2,$C207=3,$C207=4),"F","")</f>
        <v>F</v>
      </c>
      <c r="M207" s="117" t="s">
        <v>199</v>
      </c>
      <c r="N207" s="118" t="str">
        <f ca="1">CHOOSE(1+LOG(1+2*(C207=1)+4*(C207=2)+8*(C207=3)+16*(C207=4)+32*(C207="S"),2),"","Meta","Nível 2","Nível 3","Nível 4","Serviço")</f>
        <v>Serviço</v>
      </c>
      <c r="O207" s="119" t="str">
        <f ca="1">IF(OR($C207=0,$L207=""),"-",CONCATENATE(E207&amp;".",IF(AND($A$5&gt;=2,$C207&gt;=2),F207&amp;".",""),IF(AND($A$5&gt;=3,$C207&gt;=3),G207&amp;".",""),IF(AND($A$5&gt;=4,$C207&gt;=4),H207&amp;".",""),IF($C207="S",I207&amp;".","")))</f>
        <v>1.8.0.9.</v>
      </c>
      <c r="P207" s="120" t="s">
        <v>462</v>
      </c>
      <c r="Q207" s="121" t="s">
        <v>591</v>
      </c>
      <c r="R207" s="122" t="str">
        <f ca="1">IF($C207="S",REFERENCIA.Descricao,"(digite a descrição aqui)")</f>
        <v>(abra o arquivo 'Referência 03-2024.xlsm)</v>
      </c>
      <c r="S207" s="123" t="str">
        <f ca="1">REFERENCIA.Unidade</f>
        <v>-</v>
      </c>
      <c r="T207" s="124">
        <f ca="1">OFFSET(CÁLCULO!H$15,ROW($T207)-ROW(T$15),0)</f>
        <v>227.81</v>
      </c>
      <c r="U207" s="125">
        <v>28.33</v>
      </c>
      <c r="V207" s="126" t="s">
        <v>156</v>
      </c>
      <c r="W207" s="124">
        <f ca="1">IF($C207="S",ROUND(IF(TIPOORCAMENTO="Proposto",ORÇAMENTO.CustoUnitario*(1+$AH207),ORÇAMENTO.PrecoUnitarioLicitado),15-13*$AF$10),0)</f>
        <v>36.31</v>
      </c>
      <c r="X207" s="127">
        <f ca="1">IF($C207="S",IF(Import.TipoArredondamento&lt;&gt;"TransfereGOV",VTOTAL1,SUM(OFFSET(CÁLCULO!$AA$15,ROW($X207)-ROW($X$15),1):OFFSET(CÁLCULO!$AL$15,ROW($X207)-ROW($X$15),-1))),IF($C207=0,0,ROUND(SomaAgrup,15-13*$AF$11)))</f>
        <v>8271.7800000000007</v>
      </c>
      <c r="Y207" s="128" t="s">
        <v>245</v>
      </c>
      <c r="Z207" t="str">
        <f ca="1">IF(AND($C207="S",$X207&gt;0),IF(ISBLANK($Y207),"RA",LEFT($Y207,2)),"")</f>
        <v>RA</v>
      </c>
      <c r="AA207" s="129">
        <f ca="1">IF($C207="S",IF($Z207="CP",$X207,IF($Z207="RA",(($X207)*QCI!$AA$3),0)),SomaAgrup)</f>
        <v>8271.7800000000007</v>
      </c>
      <c r="AB207" s="130">
        <f ca="1">IF($C207="S",IF($Z207="OU",ROUND($X207,2),0),SomaAgrup)</f>
        <v>0</v>
      </c>
      <c r="AC207" s="131" t="str">
        <f ca="1">IF($N207="","",IF(ORÇAMENTO.Descricao="","DESCRIÇÃO",IF(AND($C207="S",ORÇAMENTO.Unidade=""),"UNIDADE",IF($X207&lt;0,"VALOR NEGATIVO",IF(OR(AND(TIPOORCAMENTO="Proposto",$AG207&lt;&gt;"",$AG207&gt;0,ORÇAMENTO.CustoUnitario&gt;$AG207),AND(TIPOORCAMENTO="LICITADO",ORÇAMENTO.PrecoUnitarioLicitado&gt;$AN207)),"ACIMA REF.","")))))</f>
        <v/>
      </c>
      <c r="AD207" t="str">
        <f ca="1">IF(C207&lt;=CRONO.NivelExibicao,MAX($AD$15:OFFSET(AD207,-1,0))+IF($C207&lt;&gt;1,1,MAX(1,COUNTIF(QCI!$A$13:$A$24,OFFSET($E207,-1,0)))),"")</f>
        <v/>
      </c>
      <c r="AE207" s="7" t="str">
        <f ca="1">IF(AND($C207="S",ORÇAMENTO.CodBarra&lt;&gt;""),IF(ORÇAMENTO.Fonte="",ORÇAMENTO.CodBarra,CONCATENATE(ORÇAMENTO.Fonte," ",ORÇAMENTO.CodBarra)))</f>
        <v>Composição 75</v>
      </c>
      <c r="AF207" s="13" t="str">
        <f ca="1">IF(ISERROR(INDIRECT(ORÇAMENTO.BancoRef)),"(abra o arquivo 'Referência "&amp;Excel_BuiltIn_Database&amp;".xlsm)",IF(OR($C207&lt;&gt;"S",ORÇAMENTO.CodBarra=""),"(Sem Código)",IF(ISERROR(MATCH($AE207,INDIRECT(ORÇAMENTO.BancoRef),0)),"(Código não identificado nas referências)",MATCH($AE207,INDIRECT(ORÇAMENTO.BancoRef),0))))</f>
        <v>(abra o arquivo 'Referência 03-2024.xlsm)</v>
      </c>
      <c r="AG207" s="498">
        <f ca="1">ROUND(IF(DESONERACAO="sim",REFERENCIA.Desonerado,REFERENCIA.NaoDesonerado),2)</f>
        <v>0</v>
      </c>
      <c r="AH207" s="499">
        <f ca="1">ROUND(IF(ISNUMBER(ORÇAMENTO.OpcaoBDI),ORÇAMENTO.OpcaoBDI,IF(LEFT(ORÇAMENTO.OpcaoBDI,3)="BDI",HLOOKUP(ORÇAMENTO.OpcaoBDI,$F$4:$H$5,2,FALSE),0)),15-11*$AF$9)</f>
        <v>0.28170000000000001</v>
      </c>
      <c r="AJ207" s="501">
        <v>227.81</v>
      </c>
      <c r="AL207" s="527"/>
      <c r="AM207" s="381">
        <f t="shared" ca="1" si="50"/>
        <v>8271.7800000000007</v>
      </c>
      <c r="AN207" s="566">
        <f ca="1">ROUND(ORÇAMENTO.CustoUnitario*(1+$AH207),2)</f>
        <v>36.31</v>
      </c>
    </row>
    <row r="208" spans="1:40" ht="25.5" x14ac:dyDescent="0.2">
      <c r="A208" t="str">
        <f>CHOOSE(1+LOG(1+2*(ORÇAMENTO.Nivel="Meta")+4*(ORÇAMENTO.Nivel="Nível 2")+8*(ORÇAMENTO.Nivel="Nível 3")+16*(ORÇAMENTO.Nivel="Nível 4")+32*(ORÇAMENTO.Nivel="Serviço"),2),0,1,2,3,4,"S")</f>
        <v>S</v>
      </c>
      <c r="B208">
        <f t="shared" ref="B208:B209" ca="1" si="52">IF(OR(C208="s",C208=0),OFFSET(B208,-1,0),C208)</f>
        <v>2</v>
      </c>
      <c r="C208" t="str">
        <f t="shared" ref="C208:C209" ca="1" si="53">IF(OFFSET(C208,-1,0)="L",1,IF(OFFSET(C208,-1,0)=1,2,IF(OR(A208="s",A208=0),"S",IF(AND(OFFSET(C208,-1,0)=2,A208=4),3,IF(AND(OR(OFFSET(C208,-1,0)="s",OFFSET(C208,-1,0)=0),A208&lt;&gt;"s",A208&gt;OFFSET(B208,-1,0)),OFFSET(B208,-1,0),A208)))))</f>
        <v>S</v>
      </c>
      <c r="D208">
        <f t="shared" ref="D208:D209" ca="1" si="54">IF(OR(C208="S",C208=0),0,IF(ISERROR(K208),J208,SMALL(J208:K208,1)))</f>
        <v>0</v>
      </c>
      <c r="E208">
        <f ca="1">IF($C208=1,OFFSET(E208,-1,0)+MAX(1,COUNTIF(QCI!$A$13:$A$24,OFFSET(ORÇAMENTO!E208,-1,0))),OFFSET(E208,-1,0))</f>
        <v>1</v>
      </c>
      <c r="F208">
        <f t="shared" ref="F208:F209" ca="1" si="55">IF($C208=1,0,IF($C208=2,OFFSET(F208,-1,0)+1,OFFSET(F208,-1,0)))</f>
        <v>8</v>
      </c>
      <c r="G208">
        <f t="shared" ref="G208:G209" ca="1" si="56">IF(AND($C208&lt;=2,$C208&lt;&gt;0),0,IF($C208=3,OFFSET(G208,-1,0)+1,OFFSET(G208,-1,0)))</f>
        <v>0</v>
      </c>
      <c r="H208">
        <f t="shared" ref="H208:H209" ca="1" si="57">IF(AND($C208&lt;=3,$C208&lt;&gt;0),0,IF($C208=4,OFFSET(H208,-1,0)+1,OFFSET(H208,-1,0)))</f>
        <v>0</v>
      </c>
      <c r="I208">
        <f t="shared" ref="I208:I209" ca="1" si="58">IF(AND($C208&lt;=4,$C208&lt;&gt;0),0,IF(AND($C208="S",$X208&gt;0),OFFSET(I208,-1,0)+1,OFFSET(I208,-1,0)))</f>
        <v>10</v>
      </c>
      <c r="J208">
        <f t="shared" ref="J208:J274" ca="1" si="59">IF(OR($C208="S",$C208=0),0,MATCH(0,OFFSET($D208,1,$C208,ROW($C$290)-ROW($C208)),0))</f>
        <v>0</v>
      </c>
      <c r="K208">
        <f ca="1">IF(OR($C208="S",$C208=0),0,MATCH(OFFSET($D208,0,$C208)+IF($C208&lt;&gt;1,1,COUNTIF(QCI!$A$13:$A$24,ORÇAMENTO!E208)),OFFSET($D208,1,$C208,ROW($C$290)-ROW($C208)),0))</f>
        <v>0</v>
      </c>
      <c r="L208" s="116" t="str">
        <f t="shared" ref="L208:L209" ca="1" si="60">IF(OR($X208&gt;0,$C208=1,$C208=2,$C208=3,$C208=4),"F","")</f>
        <v>F</v>
      </c>
      <c r="M208" s="117" t="s">
        <v>199</v>
      </c>
      <c r="N208" s="118" t="str">
        <f t="shared" ref="N208:N209" ca="1" si="61">CHOOSE(1+LOG(1+2*(C208=1)+4*(C208=2)+8*(C208=3)+16*(C208=4)+32*(C208="S"),2),"","Meta","Nível 2","Nível 3","Nível 4","Serviço")</f>
        <v>Serviço</v>
      </c>
      <c r="O208" s="119" t="str">
        <f t="shared" ref="O208:O209" ca="1" si="62">IF(OR($C208=0,$L208=""),"-",CONCATENATE(E208&amp;".",IF(AND($A$5&gt;=2,$C208&gt;=2),F208&amp;".",""),IF(AND($A$5&gt;=3,$C208&gt;=3),G208&amp;".",""),IF(AND($A$5&gt;=4,$C208&gt;=4),H208&amp;".",""),IF($C208="S",I208&amp;".","")))</f>
        <v>1.8.0.10.</v>
      </c>
      <c r="P208" s="120" t="s">
        <v>462</v>
      </c>
      <c r="Q208" s="121" t="s">
        <v>592</v>
      </c>
      <c r="R208" s="122" t="str">
        <f ca="1">IF($C208="S",REFERENCIA.Descricao,"(digite a descrição aqui)")</f>
        <v>(abra o arquivo 'Referência 03-2024.xlsm)</v>
      </c>
      <c r="S208" s="123" t="str">
        <f ca="1">REFERENCIA.Unidade</f>
        <v>-</v>
      </c>
      <c r="T208" s="124">
        <f ca="1">OFFSET(CÁLCULO!H$15,ROW($T208)-ROW(T$15),0)</f>
        <v>105</v>
      </c>
      <c r="U208" s="125">
        <v>0.47</v>
      </c>
      <c r="V208" s="126" t="s">
        <v>156</v>
      </c>
      <c r="W208" s="124">
        <f ca="1">IF($C208="S",ROUND(IF(TIPOORCAMENTO="Proposto",ORÇAMENTO.CustoUnitario*(1+$AH208),ORÇAMENTO.PrecoUnitarioLicitado),15-13*$AF$10),0)</f>
        <v>0.6</v>
      </c>
      <c r="X208" s="127">
        <f ca="1">IF($C208="S",IF(Import.TipoArredondamento&lt;&gt;"TransfereGOV",VTOTAL1,SUM(OFFSET(CÁLCULO!$AA$15,ROW($X208)-ROW($X$15),1):OFFSET(CÁLCULO!$AL$15,ROW($X208)-ROW($X$15),-1))),IF($C208=0,0,ROUND(SomaAgrup,15-13*$AF$11)))</f>
        <v>63</v>
      </c>
      <c r="Y208" s="128" t="s">
        <v>245</v>
      </c>
      <c r="Z208" t="str">
        <f t="shared" ref="Z208:Z209" ca="1" si="63">IF(AND($C208="S",$X208&gt;0),IF(ISBLANK($Y208),"RA",LEFT($Y208,2)),"")</f>
        <v>RA</v>
      </c>
      <c r="AA208" s="129">
        <f ca="1">IF($C208="S",IF($Z208="CP",$X208,IF($Z208="RA",(($X208)*QCI!$AA$3),0)),SomaAgrup)</f>
        <v>63</v>
      </c>
      <c r="AB208" s="130">
        <f ca="1">IF($C208="S",IF($Z208="OU",ROUND($X208,2),0),SomaAgrup)</f>
        <v>0</v>
      </c>
      <c r="AC208" s="131" t="str">
        <f ca="1">IF($N208="","",IF(ORÇAMENTO.Descricao="","DESCRIÇÃO",IF(AND($C208="S",ORÇAMENTO.Unidade=""),"UNIDADE",IF($X208&lt;0,"VALOR NEGATIVO",IF(OR(AND(TIPOORCAMENTO="Proposto",$AG208&lt;&gt;"",$AG208&gt;0,ORÇAMENTO.CustoUnitario&gt;$AG208),AND(TIPOORCAMENTO="LICITADO",ORÇAMENTO.PrecoUnitarioLicitado&gt;$AN208)),"ACIMA REF.","")))))</f>
        <v/>
      </c>
      <c r="AD208" t="str">
        <f ca="1">IF(C208&lt;=CRONO.NivelExibicao,MAX($AD$15:OFFSET(AD208,-1,0))+IF($C208&lt;&gt;1,1,MAX(1,COUNTIF(QCI!$A$13:$A$24,OFFSET($E208,-1,0)))),"")</f>
        <v/>
      </c>
      <c r="AE208" s="7" t="str">
        <f ca="1">IF(AND($C208="S",ORÇAMENTO.CodBarra&lt;&gt;""),IF(ORÇAMENTO.Fonte="",ORÇAMENTO.CodBarra,CONCATENATE(ORÇAMENTO.Fonte," ",ORÇAMENTO.CodBarra)))</f>
        <v>Composição 76</v>
      </c>
      <c r="AF208" s="13" t="str">
        <f ca="1">IF(ISERROR(INDIRECT(ORÇAMENTO.BancoRef)),"(abra o arquivo 'Referência "&amp;Excel_BuiltIn_Database&amp;".xlsm)",IF(OR($C208&lt;&gt;"S",ORÇAMENTO.CodBarra=""),"(Sem Código)",IF(ISERROR(MATCH($AE208,INDIRECT(ORÇAMENTO.BancoRef),0)),"(Código não identificado nas referências)",MATCH($AE208,INDIRECT(ORÇAMENTO.BancoRef),0))))</f>
        <v>(abra o arquivo 'Referência 03-2024.xlsm)</v>
      </c>
      <c r="AG208" s="498">
        <f ca="1">ROUND(IF(DESONERACAO="sim",REFERENCIA.Desonerado,REFERENCIA.NaoDesonerado),2)</f>
        <v>0</v>
      </c>
      <c r="AH208" s="499">
        <f ca="1">ROUND(IF(ISNUMBER(ORÇAMENTO.OpcaoBDI),ORÇAMENTO.OpcaoBDI,IF(LEFT(ORÇAMENTO.OpcaoBDI,3)="BDI",HLOOKUP(ORÇAMENTO.OpcaoBDI,$F$4:$H$5,2,FALSE),0)),15-11*$AF$9)</f>
        <v>0.28170000000000001</v>
      </c>
      <c r="AJ208" s="501">
        <v>105</v>
      </c>
      <c r="AL208" s="527"/>
      <c r="AM208" s="381">
        <f t="shared" ca="1" si="50"/>
        <v>63</v>
      </c>
      <c r="AN208" s="566">
        <f ca="1">ROUND(ORÇAMENTO.CustoUnitario*(1+$AH208),2)</f>
        <v>0.6</v>
      </c>
    </row>
    <row r="209" spans="1:40" ht="51" x14ac:dyDescent="0.2">
      <c r="A209" t="str">
        <f>CHOOSE(1+LOG(1+2*(ORÇAMENTO.Nivel="Meta")+4*(ORÇAMENTO.Nivel="Nível 2")+8*(ORÇAMENTO.Nivel="Nível 3")+16*(ORÇAMENTO.Nivel="Nível 4")+32*(ORÇAMENTO.Nivel="Serviço"),2),0,1,2,3,4,"S")</f>
        <v>S</v>
      </c>
      <c r="B209">
        <f t="shared" ca="1" si="52"/>
        <v>2</v>
      </c>
      <c r="C209" t="str">
        <f t="shared" ca="1" si="53"/>
        <v>S</v>
      </c>
      <c r="D209">
        <f t="shared" ca="1" si="54"/>
        <v>0</v>
      </c>
      <c r="E209">
        <f ca="1">IF($C209=1,OFFSET(E209,-1,0)+MAX(1,COUNTIF(QCI!$A$13:$A$24,OFFSET(ORÇAMENTO!E209,-1,0))),OFFSET(E209,-1,0))</f>
        <v>1</v>
      </c>
      <c r="F209">
        <f t="shared" ca="1" si="55"/>
        <v>8</v>
      </c>
      <c r="G209">
        <f t="shared" ca="1" si="56"/>
        <v>0</v>
      </c>
      <c r="H209">
        <f t="shared" ca="1" si="57"/>
        <v>0</v>
      </c>
      <c r="I209">
        <f t="shared" ca="1" si="58"/>
        <v>11</v>
      </c>
      <c r="J209">
        <f t="shared" ca="1" si="59"/>
        <v>0</v>
      </c>
      <c r="K209">
        <f ca="1">IF(OR($C209="S",$C209=0),0,MATCH(OFFSET($D209,0,$C209)+IF($C209&lt;&gt;1,1,COUNTIF(QCI!$A$13:$A$24,ORÇAMENTO!E209)),OFFSET($D209,1,$C209,ROW($C$290)-ROW($C209)),0))</f>
        <v>0</v>
      </c>
      <c r="L209" s="116" t="str">
        <f t="shared" ca="1" si="60"/>
        <v>F</v>
      </c>
      <c r="M209" s="117" t="s">
        <v>199</v>
      </c>
      <c r="N209" s="118" t="str">
        <f t="shared" ca="1" si="61"/>
        <v>Serviço</v>
      </c>
      <c r="O209" s="119" t="str">
        <f t="shared" ca="1" si="62"/>
        <v>1.8.0.11.</v>
      </c>
      <c r="P209" s="120" t="s">
        <v>462</v>
      </c>
      <c r="Q209" s="121" t="s">
        <v>593</v>
      </c>
      <c r="R209" s="122" t="str">
        <f ca="1">IF($C209="S",REFERENCIA.Descricao,"(digite a descrição aqui)")</f>
        <v>(abra o arquivo 'Referência 03-2024.xlsm)</v>
      </c>
      <c r="S209" s="123" t="str">
        <f ca="1">REFERENCIA.Unidade</f>
        <v>-</v>
      </c>
      <c r="T209" s="124">
        <f ca="1">OFFSET(CÁLCULO!H$15,ROW($T209)-ROW(T$15),0)</f>
        <v>1</v>
      </c>
      <c r="U209" s="125">
        <v>5314.32</v>
      </c>
      <c r="V209" s="126" t="s">
        <v>156</v>
      </c>
      <c r="W209" s="124">
        <f ca="1">IF($C209="S",ROUND(IF(TIPOORCAMENTO="Proposto",ORÇAMENTO.CustoUnitario*(1+$AH209),ORÇAMENTO.PrecoUnitarioLicitado),15-13*$AF$10),0)</f>
        <v>6811.36</v>
      </c>
      <c r="X209" s="127">
        <f ca="1">IF($C209="S",IF(Import.TipoArredondamento&lt;&gt;"TransfereGOV",VTOTAL1,SUM(OFFSET(CÁLCULO!$AA$15,ROW($X209)-ROW($X$15),1):OFFSET(CÁLCULO!$AL$15,ROW($X209)-ROW($X$15),-1))),IF($C209=0,0,ROUND(SomaAgrup,15-13*$AF$11)))</f>
        <v>6811.36</v>
      </c>
      <c r="Y209" s="128" t="s">
        <v>245</v>
      </c>
      <c r="Z209" t="str">
        <f t="shared" ca="1" si="63"/>
        <v>RA</v>
      </c>
      <c r="AA209" s="129">
        <f ca="1">IF($C209="S",IF($Z209="CP",$X209,IF($Z209="RA",(($X209)*QCI!$AA$3),0)),SomaAgrup)</f>
        <v>6811.36</v>
      </c>
      <c r="AB209" s="130">
        <f ca="1">IF($C209="S",IF($Z209="OU",ROUND($X209,2),0),SomaAgrup)</f>
        <v>0</v>
      </c>
      <c r="AC209" s="131" t="str">
        <f ca="1">IF($N209="","",IF(ORÇAMENTO.Descricao="","DESCRIÇÃO",IF(AND($C209="S",ORÇAMENTO.Unidade=""),"UNIDADE",IF($X209&lt;0,"VALOR NEGATIVO",IF(OR(AND(TIPOORCAMENTO="Proposto",$AG209&lt;&gt;"",$AG209&gt;0,ORÇAMENTO.CustoUnitario&gt;$AG209),AND(TIPOORCAMENTO="LICITADO",ORÇAMENTO.PrecoUnitarioLicitado&gt;$AN209)),"ACIMA REF.","")))))</f>
        <v/>
      </c>
      <c r="AD209" t="str">
        <f ca="1">IF(C209&lt;=CRONO.NivelExibicao,MAX($AD$15:OFFSET(AD209,-1,0))+IF($C209&lt;&gt;1,1,MAX(1,COUNTIF(QCI!$A$13:$A$24,OFFSET($E209,-1,0)))),"")</f>
        <v/>
      </c>
      <c r="AE209" s="7" t="str">
        <f ca="1">IF(AND($C209="S",ORÇAMENTO.CodBarra&lt;&gt;""),IF(ORÇAMENTO.Fonte="",ORÇAMENTO.CodBarra,CONCATENATE(ORÇAMENTO.Fonte," ",ORÇAMENTO.CodBarra)))</f>
        <v>Composição 77</v>
      </c>
      <c r="AF209" s="13" t="str">
        <f ca="1">IF(ISERROR(INDIRECT(ORÇAMENTO.BancoRef)),"(abra o arquivo 'Referência "&amp;Excel_BuiltIn_Database&amp;".xlsm)",IF(OR($C209&lt;&gt;"S",ORÇAMENTO.CodBarra=""),"(Sem Código)",IF(ISERROR(MATCH($AE209,INDIRECT(ORÇAMENTO.BancoRef),0)),"(Código não identificado nas referências)",MATCH($AE209,INDIRECT(ORÇAMENTO.BancoRef),0))))</f>
        <v>(abra o arquivo 'Referência 03-2024.xlsm)</v>
      </c>
      <c r="AG209" s="498">
        <f ca="1">ROUND(IF(DESONERACAO="sim",REFERENCIA.Desonerado,REFERENCIA.NaoDesonerado),2)</f>
        <v>0</v>
      </c>
      <c r="AH209" s="499">
        <f ca="1">ROUND(IF(ISNUMBER(ORÇAMENTO.OpcaoBDI),ORÇAMENTO.OpcaoBDI,IF(LEFT(ORÇAMENTO.OpcaoBDI,3)="BDI",HLOOKUP(ORÇAMENTO.OpcaoBDI,$F$4:$H$5,2,FALSE),0)),15-11*$AF$9)</f>
        <v>0.28170000000000001</v>
      </c>
      <c r="AJ209" s="501">
        <v>1</v>
      </c>
      <c r="AL209" s="527"/>
      <c r="AM209" s="381">
        <f t="shared" ca="1" si="50"/>
        <v>6811.36</v>
      </c>
      <c r="AN209" s="566">
        <f ca="1">ROUND(ORÇAMENTO.CustoUnitario*(1+$AH209),2)</f>
        <v>6811.36</v>
      </c>
    </row>
    <row r="210" spans="1:40" ht="63.75" x14ac:dyDescent="0.2">
      <c r="A210" t="str">
        <f t="shared" si="36"/>
        <v>S</v>
      </c>
      <c r="B210">
        <f t="shared" ca="1" si="37"/>
        <v>2</v>
      </c>
      <c r="C210" t="str">
        <f t="shared" ca="1" si="38"/>
        <v>S</v>
      </c>
      <c r="D210">
        <f t="shared" ca="1" si="39"/>
        <v>0</v>
      </c>
      <c r="E210">
        <f ca="1">IF($C210=1,OFFSET(E210,-1,0)+MAX(1,COUNTIF(QCI!$A$13:$A$24,OFFSET(ORÇAMENTO!E210,-1,0))),OFFSET(E210,-1,0))</f>
        <v>1</v>
      </c>
      <c r="F210">
        <f t="shared" ca="1" si="40"/>
        <v>8</v>
      </c>
      <c r="G210">
        <f t="shared" ca="1" si="41"/>
        <v>0</v>
      </c>
      <c r="H210">
        <f t="shared" ca="1" si="42"/>
        <v>0</v>
      </c>
      <c r="I210">
        <f t="shared" ca="1" si="43"/>
        <v>12</v>
      </c>
      <c r="J210">
        <f t="shared" ca="1" si="59"/>
        <v>0</v>
      </c>
      <c r="K210">
        <f ca="1">IF(OR($C210="S",$C210=0),0,MATCH(OFFSET($D210,0,$C210)+IF($C210&lt;&gt;1,1,COUNTIF(QCI!$A$13:$A$24,ORÇAMENTO!E210)),OFFSET($D210,1,$C210,ROW($C$290)-ROW($C210)),0))</f>
        <v>0</v>
      </c>
      <c r="L210" s="116" t="str">
        <f t="shared" ca="1" si="44"/>
        <v>F</v>
      </c>
      <c r="M210" s="117" t="s">
        <v>199</v>
      </c>
      <c r="N210" s="118" t="str">
        <f t="shared" ca="1" si="45"/>
        <v>Serviço</v>
      </c>
      <c r="O210" s="119" t="str">
        <f t="shared" ca="1" si="46"/>
        <v>1.8.0.12.</v>
      </c>
      <c r="P210" s="120" t="s">
        <v>462</v>
      </c>
      <c r="Q210" s="121" t="s">
        <v>594</v>
      </c>
      <c r="R210" s="122" t="str">
        <f ca="1">IF($C210="S",REFERENCIA.Descricao,"(digite a descrição aqui)")</f>
        <v>(abra o arquivo 'Referência 03-2024.xlsm)</v>
      </c>
      <c r="S210" s="123" t="str">
        <f ca="1">REFERENCIA.Unidade</f>
        <v>-</v>
      </c>
      <c r="T210" s="124">
        <f ca="1">OFFSET(CÁLCULO!H$15,ROW($T210)-ROW(T$15),0)</f>
        <v>162.75</v>
      </c>
      <c r="U210" s="125">
        <v>125.92</v>
      </c>
      <c r="V210" s="126" t="s">
        <v>156</v>
      </c>
      <c r="W210" s="124">
        <f ca="1">IF($C210="S",ROUND(IF(TIPOORCAMENTO="Proposto",ORÇAMENTO.CustoUnitario*(1+$AH210),ORÇAMENTO.PrecoUnitarioLicitado),15-13*$AF$10),0)</f>
        <v>161.38999999999999</v>
      </c>
      <c r="X210" s="127">
        <f ca="1">IF($C210="S",IF(Import.TipoArredondamento&lt;&gt;"TransfereGOV",VTOTAL1,SUM(OFFSET(CÁLCULO!$AA$15,ROW($X210)-ROW($X$15),1):OFFSET(CÁLCULO!$AL$15,ROW($X210)-ROW($X$15),-1))),IF($C210=0,0,ROUND(SomaAgrup,15-13*$AF$11)))</f>
        <v>26266.22</v>
      </c>
      <c r="Y210" s="128" t="s">
        <v>245</v>
      </c>
      <c r="Z210" t="str">
        <f t="shared" ca="1" si="47"/>
        <v>RA</v>
      </c>
      <c r="AA210" s="129">
        <f ca="1">IF($C210="S",IF($Z210="CP",$X210,IF($Z210="RA",(($X210)*QCI!$AA$3),0)),SomaAgrup)</f>
        <v>26266.22</v>
      </c>
      <c r="AB210" s="130">
        <f t="shared" ca="1" si="48"/>
        <v>0</v>
      </c>
      <c r="AC210" s="131" t="str">
        <f ca="1">IF($N210="","",IF(ORÇAMENTO.Descricao="","DESCRIÇÃO",IF(AND($C210="S",ORÇAMENTO.Unidade=""),"UNIDADE",IF($X210&lt;0,"VALOR NEGATIVO",IF(OR(AND(TIPOORCAMENTO="Proposto",$AG210&lt;&gt;"",$AG210&gt;0,ORÇAMENTO.CustoUnitario&gt;$AG210),AND(TIPOORCAMENTO="LICITADO",ORÇAMENTO.PrecoUnitarioLicitado&gt;$AN210)),"ACIMA REF.","")))))</f>
        <v/>
      </c>
      <c r="AD210" t="str">
        <f ca="1">IF(C210&lt;=CRONO.NivelExibicao,MAX($AD$15:OFFSET(AD210,-1,0))+IF($C210&lt;&gt;1,1,MAX(1,COUNTIF(QCI!$A$13:$A$24,OFFSET($E210,-1,0)))),"")</f>
        <v/>
      </c>
      <c r="AE210" s="7" t="str">
        <f ca="1">IF(AND($C210="S",ORÇAMENTO.CodBarra&lt;&gt;""),IF(ORÇAMENTO.Fonte="",ORÇAMENTO.CodBarra,CONCATENATE(ORÇAMENTO.Fonte," ",ORÇAMENTO.CodBarra)))</f>
        <v>Composição 79</v>
      </c>
      <c r="AF210" s="13" t="str">
        <f ca="1">IF(ISERROR(INDIRECT(ORÇAMENTO.BancoRef)),"(abra o arquivo 'Referência "&amp;Excel_BuiltIn_Database&amp;".xlsm)",IF(OR($C210&lt;&gt;"S",ORÇAMENTO.CodBarra=""),"(Sem Código)",IF(ISERROR(MATCH($AE210,INDIRECT(ORÇAMENTO.BancoRef),0)),"(Código não identificado nas referências)",MATCH($AE210,INDIRECT(ORÇAMENTO.BancoRef),0))))</f>
        <v>(abra o arquivo 'Referência 03-2024.xlsm)</v>
      </c>
      <c r="AG210" s="498">
        <f ca="1">ROUND(IF(DESONERACAO="sim",REFERENCIA.Desonerado,REFERENCIA.NaoDesonerado),2)</f>
        <v>0</v>
      </c>
      <c r="AH210" s="499">
        <f t="shared" ca="1" si="49"/>
        <v>0.28170000000000001</v>
      </c>
      <c r="AJ210" s="501">
        <v>162.75</v>
      </c>
      <c r="AL210" s="527"/>
      <c r="AM210" s="381">
        <f t="shared" ca="1" si="50"/>
        <v>26266.22</v>
      </c>
      <c r="AN210" s="566">
        <f t="shared" ca="1" si="51"/>
        <v>161.38999999999999</v>
      </c>
    </row>
    <row r="211" spans="1:40" ht="63.75" x14ac:dyDescent="0.2">
      <c r="A211" t="str">
        <f t="shared" si="36"/>
        <v>S</v>
      </c>
      <c r="B211">
        <f t="shared" ca="1" si="37"/>
        <v>2</v>
      </c>
      <c r="C211" t="str">
        <f t="shared" ca="1" si="38"/>
        <v>S</v>
      </c>
      <c r="D211">
        <f t="shared" ca="1" si="39"/>
        <v>0</v>
      </c>
      <c r="E211">
        <f ca="1">IF($C211=1,OFFSET(E211,-1,0)+MAX(1,COUNTIF(QCI!$A$13:$A$24,OFFSET(ORÇAMENTO!E211,-1,0))),OFFSET(E211,-1,0))</f>
        <v>1</v>
      </c>
      <c r="F211">
        <f t="shared" ca="1" si="40"/>
        <v>8</v>
      </c>
      <c r="G211">
        <f t="shared" ca="1" si="41"/>
        <v>0</v>
      </c>
      <c r="H211">
        <f t="shared" ca="1" si="42"/>
        <v>0</v>
      </c>
      <c r="I211">
        <f t="shared" ca="1" si="43"/>
        <v>13</v>
      </c>
      <c r="J211">
        <f t="shared" ca="1" si="59"/>
        <v>0</v>
      </c>
      <c r="K211">
        <f ca="1">IF(OR($C211="S",$C211=0),0,MATCH(OFFSET($D211,0,$C211)+IF($C211&lt;&gt;1,1,COUNTIF(QCI!$A$13:$A$24,ORÇAMENTO!E211)),OFFSET($D211,1,$C211,ROW($C$290)-ROW($C211)),0))</f>
        <v>0</v>
      </c>
      <c r="L211" s="116" t="str">
        <f t="shared" ca="1" si="44"/>
        <v>F</v>
      </c>
      <c r="M211" s="117" t="s">
        <v>199</v>
      </c>
      <c r="N211" s="118" t="str">
        <f t="shared" ca="1" si="45"/>
        <v>Serviço</v>
      </c>
      <c r="O211" s="119" t="str">
        <f t="shared" ca="1" si="46"/>
        <v>1.8.0.13.</v>
      </c>
      <c r="P211" s="120" t="s">
        <v>462</v>
      </c>
      <c r="Q211" s="121" t="s">
        <v>595</v>
      </c>
      <c r="R211" s="122" t="str">
        <f ca="1">IF($C211="S",REFERENCIA.Descricao,"(digite a descrição aqui)")</f>
        <v>(abra o arquivo 'Referência 03-2024.xlsm)</v>
      </c>
      <c r="S211" s="123" t="str">
        <f ca="1">REFERENCIA.Unidade</f>
        <v>-</v>
      </c>
      <c r="T211" s="124">
        <f ca="1">OFFSET(CÁLCULO!H$15,ROW($T211)-ROW(T$15),0)</f>
        <v>3</v>
      </c>
      <c r="U211" s="125">
        <v>199.84</v>
      </c>
      <c r="V211" s="126" t="s">
        <v>156</v>
      </c>
      <c r="W211" s="124">
        <f ca="1">IF($C211="S",ROUND(IF(TIPOORCAMENTO="Proposto",ORÇAMENTO.CustoUnitario*(1+$AH211),ORÇAMENTO.PrecoUnitarioLicitado),15-13*$AF$10),0)</f>
        <v>256.13</v>
      </c>
      <c r="X211" s="127">
        <f ca="1">IF($C211="S",IF(Import.TipoArredondamento&lt;&gt;"TransfereGOV",VTOTAL1,SUM(OFFSET(CÁLCULO!$AA$15,ROW($X211)-ROW($X$15),1):OFFSET(CÁLCULO!$AL$15,ROW($X211)-ROW($X$15),-1))),IF($C211=0,0,ROUND(SomaAgrup,15-13*$AF$11)))</f>
        <v>768.39</v>
      </c>
      <c r="Y211" s="128" t="s">
        <v>245</v>
      </c>
      <c r="Z211" t="str">
        <f t="shared" ca="1" si="47"/>
        <v>RA</v>
      </c>
      <c r="AA211" s="129">
        <f ca="1">IF($C211="S",IF($Z211="CP",$X211,IF($Z211="RA",(($X211)*QCI!$AA$3),0)),SomaAgrup)</f>
        <v>768.39</v>
      </c>
      <c r="AB211" s="130">
        <f t="shared" ca="1" si="48"/>
        <v>0</v>
      </c>
      <c r="AC211" s="131" t="str">
        <f ca="1">IF($N211="","",IF(ORÇAMENTO.Descricao="","DESCRIÇÃO",IF(AND($C211="S",ORÇAMENTO.Unidade=""),"UNIDADE",IF($X211&lt;0,"VALOR NEGATIVO",IF(OR(AND(TIPOORCAMENTO="Proposto",$AG211&lt;&gt;"",$AG211&gt;0,ORÇAMENTO.CustoUnitario&gt;$AG211),AND(TIPOORCAMENTO="LICITADO",ORÇAMENTO.PrecoUnitarioLicitado&gt;$AN211)),"ACIMA REF.","")))))</f>
        <v/>
      </c>
      <c r="AD211" t="str">
        <f ca="1">IF(C211&lt;=CRONO.NivelExibicao,MAX($AD$15:OFFSET(AD211,-1,0))+IF($C211&lt;&gt;1,1,MAX(1,COUNTIF(QCI!$A$13:$A$24,OFFSET($E211,-1,0)))),"")</f>
        <v/>
      </c>
      <c r="AE211" s="7" t="str">
        <f ca="1">IF(AND($C211="S",ORÇAMENTO.CodBarra&lt;&gt;""),IF(ORÇAMENTO.Fonte="",ORÇAMENTO.CodBarra,CONCATENATE(ORÇAMENTO.Fonte," ",ORÇAMENTO.CodBarra)))</f>
        <v>Composição 78</v>
      </c>
      <c r="AF211" s="13" t="str">
        <f ca="1">IF(ISERROR(INDIRECT(ORÇAMENTO.BancoRef)),"(abra o arquivo 'Referência "&amp;Excel_BuiltIn_Database&amp;".xlsm)",IF(OR($C211&lt;&gt;"S",ORÇAMENTO.CodBarra=""),"(Sem Código)",IF(ISERROR(MATCH($AE211,INDIRECT(ORÇAMENTO.BancoRef),0)),"(Código não identificado nas referências)",MATCH($AE211,INDIRECT(ORÇAMENTO.BancoRef),0))))</f>
        <v>(abra o arquivo 'Referência 03-2024.xlsm)</v>
      </c>
      <c r="AG211" s="498">
        <f ca="1">ROUND(IF(DESONERACAO="sim",REFERENCIA.Desonerado,REFERENCIA.NaoDesonerado),2)</f>
        <v>0</v>
      </c>
      <c r="AH211" s="499">
        <f t="shared" ca="1" si="49"/>
        <v>0.28170000000000001</v>
      </c>
      <c r="AJ211" s="501">
        <v>3</v>
      </c>
      <c r="AL211" s="527"/>
      <c r="AM211" s="381">
        <f t="shared" ca="1" si="50"/>
        <v>768.39</v>
      </c>
      <c r="AN211" s="566">
        <f t="shared" ca="1" si="51"/>
        <v>256.13</v>
      </c>
    </row>
    <row r="212" spans="1:40" x14ac:dyDescent="0.2">
      <c r="A212">
        <f t="shared" si="36"/>
        <v>2</v>
      </c>
      <c r="B212">
        <f t="shared" ca="1" si="37"/>
        <v>2</v>
      </c>
      <c r="C212">
        <f t="shared" ca="1" si="38"/>
        <v>2</v>
      </c>
      <c r="D212">
        <f t="shared" ca="1" si="39"/>
        <v>13</v>
      </c>
      <c r="E212">
        <f ca="1">IF($C212=1,OFFSET(E212,-1,0)+MAX(1,COUNTIF(QCI!$A$13:$A$24,OFFSET(ORÇAMENTO!E212,-1,0))),OFFSET(E212,-1,0))</f>
        <v>1</v>
      </c>
      <c r="F212">
        <f t="shared" ca="1" si="40"/>
        <v>9</v>
      </c>
      <c r="G212">
        <f t="shared" ca="1" si="41"/>
        <v>0</v>
      </c>
      <c r="H212">
        <f t="shared" ca="1" si="42"/>
        <v>0</v>
      </c>
      <c r="I212">
        <f t="shared" ca="1" si="43"/>
        <v>0</v>
      </c>
      <c r="J212">
        <f t="shared" ca="1" si="59"/>
        <v>78</v>
      </c>
      <c r="K212">
        <f ca="1">IF(OR($C212="S",$C212=0),0,MATCH(OFFSET($D212,0,$C212)+IF($C212&lt;&gt;1,1,COUNTIF(QCI!$A$13:$A$24,ORÇAMENTO!E212)),OFFSET($D212,1,$C212,ROW($C$290)-ROW($C212)),0))</f>
        <v>13</v>
      </c>
      <c r="L212" s="116" t="str">
        <f t="shared" ca="1" si="44"/>
        <v>F</v>
      </c>
      <c r="M212" s="117" t="s">
        <v>196</v>
      </c>
      <c r="N212" s="118" t="str">
        <f t="shared" ca="1" si="45"/>
        <v>Nível 2</v>
      </c>
      <c r="O212" s="119" t="str">
        <f t="shared" ca="1" si="46"/>
        <v>1.9.</v>
      </c>
      <c r="P212" s="120" t="s">
        <v>247</v>
      </c>
      <c r="Q212" s="121"/>
      <c r="R212" s="122" t="s">
        <v>596</v>
      </c>
      <c r="S212" s="123" t="str">
        <f ca="1">REFERENCIA.Unidade</f>
        <v>-</v>
      </c>
      <c r="T212" s="124">
        <f ca="1">OFFSET(CÁLCULO!H$15,ROW($T212)-ROW(T$15),0)</f>
        <v>0</v>
      </c>
      <c r="U212" s="125">
        <v>0</v>
      </c>
      <c r="V212" s="126" t="s">
        <v>156</v>
      </c>
      <c r="W212" s="124">
        <f ca="1">IF($C212="S",ROUND(IF(TIPOORCAMENTO="Proposto",ORÇAMENTO.CustoUnitario*(1+$AH212),ORÇAMENTO.PrecoUnitarioLicitado),15-13*$AF$10),0)</f>
        <v>0</v>
      </c>
      <c r="X212" s="127">
        <f ca="1">IF($C212="S",IF(Import.TipoArredondamento&lt;&gt;"TransfereGOV",VTOTAL1,SUM(OFFSET(CÁLCULO!$AA$15,ROW($X212)-ROW($X$15),1):OFFSET(CÁLCULO!$AL$15,ROW($X212)-ROW($X$15),-1))),IF($C212=0,0,ROUND(SomaAgrup,15-13*$AF$11)))</f>
        <v>23098.07</v>
      </c>
      <c r="Y212" s="128" t="s">
        <v>245</v>
      </c>
      <c r="Z212" t="str">
        <f t="shared" ca="1" si="47"/>
        <v/>
      </c>
      <c r="AA212" s="129">
        <f ca="1">IF($C212="S",IF($Z212="CP",$X212,IF($Z212="RA",(($X212)*QCI!$AA$3),0)),SomaAgrup)</f>
        <v>23098.07</v>
      </c>
      <c r="AB212" s="130">
        <f t="shared" ca="1" si="48"/>
        <v>0</v>
      </c>
      <c r="AC212" s="131" t="str">
        <f ca="1">IF($N212="","",IF(ORÇAMENTO.Descricao="","DESCRIÇÃO",IF(AND($C212="S",ORÇAMENTO.Unidade=""),"UNIDADE",IF($X212&lt;0,"VALOR NEGATIVO",IF(OR(AND(TIPOORCAMENTO="Proposto",$AG212&lt;&gt;"",$AG212&gt;0,ORÇAMENTO.CustoUnitario&gt;$AG212),AND(TIPOORCAMENTO="LICITADO",ORÇAMENTO.PrecoUnitarioLicitado&gt;$AN212)),"ACIMA REF.","")))))</f>
        <v/>
      </c>
      <c r="AD212">
        <f ca="1">IF(C212&lt;=CRONO.NivelExibicao,MAX($AD$15:OFFSET(AD212,-1,0))+IF($C212&lt;&gt;1,1,MAX(1,COUNTIF(QCI!$A$13:$A$24,OFFSET($E212,-1,0)))),"")</f>
        <v>30</v>
      </c>
      <c r="AE212" s="7" t="b">
        <f ca="1">IF(AND($C212="S",ORÇAMENTO.CodBarra&lt;&gt;""),IF(ORÇAMENTO.Fonte="",ORÇAMENTO.CodBarra,CONCATENATE(ORÇAMENTO.Fonte," ",ORÇAMENTO.CodBarra)))</f>
        <v>0</v>
      </c>
      <c r="AF212" s="13" t="str">
        <f ca="1">IF(ISERROR(INDIRECT(ORÇAMENTO.BancoRef)),"(abra o arquivo 'Referência "&amp;Excel_BuiltIn_Database&amp;".xlsm)",IF(OR($C212&lt;&gt;"S",ORÇAMENTO.CodBarra=""),"(Sem Código)",IF(ISERROR(MATCH($AE212,INDIRECT(ORÇAMENTO.BancoRef),0)),"(Código não identificado nas referências)",MATCH($AE212,INDIRECT(ORÇAMENTO.BancoRef),0))))</f>
        <v>(abra o arquivo 'Referência 03-2024.xlsm)</v>
      </c>
      <c r="AG212" s="498">
        <f ca="1">ROUND(IF(DESONERACAO="sim",REFERENCIA.Desonerado,REFERENCIA.NaoDesonerado),2)</f>
        <v>0</v>
      </c>
      <c r="AH212" s="499">
        <f t="shared" ca="1" si="49"/>
        <v>0.28170000000000001</v>
      </c>
      <c r="AJ212" s="501"/>
      <c r="AL212" s="527"/>
      <c r="AM212" s="381">
        <f t="shared" ca="1" si="50"/>
        <v>23098.07</v>
      </c>
      <c r="AN212" s="566">
        <f t="shared" ca="1" si="51"/>
        <v>0</v>
      </c>
    </row>
    <row r="213" spans="1:40" ht="63.75" x14ac:dyDescent="0.2">
      <c r="A213" t="str">
        <f t="shared" si="36"/>
        <v>S</v>
      </c>
      <c r="B213">
        <f t="shared" ca="1" si="37"/>
        <v>2</v>
      </c>
      <c r="C213" t="str">
        <f t="shared" ca="1" si="38"/>
        <v>S</v>
      </c>
      <c r="D213">
        <f t="shared" ca="1" si="39"/>
        <v>0</v>
      </c>
      <c r="E213">
        <f ca="1">IF($C213=1,OFFSET(E213,-1,0)+MAX(1,COUNTIF(QCI!$A$13:$A$24,OFFSET(ORÇAMENTO!E213,-1,0))),OFFSET(E213,-1,0))</f>
        <v>1</v>
      </c>
      <c r="F213">
        <f t="shared" ca="1" si="40"/>
        <v>9</v>
      </c>
      <c r="G213">
        <f t="shared" ca="1" si="41"/>
        <v>0</v>
      </c>
      <c r="H213">
        <f t="shared" ca="1" si="42"/>
        <v>0</v>
      </c>
      <c r="I213">
        <f t="shared" ca="1" si="43"/>
        <v>1</v>
      </c>
      <c r="J213">
        <f t="shared" ca="1" si="59"/>
        <v>0</v>
      </c>
      <c r="K213">
        <f ca="1">IF(OR($C213="S",$C213=0),0,MATCH(OFFSET($D213,0,$C213)+IF($C213&lt;&gt;1,1,COUNTIF(QCI!$A$13:$A$24,ORÇAMENTO!E213)),OFFSET($D213,1,$C213,ROW($C$290)-ROW($C213)),0))</f>
        <v>0</v>
      </c>
      <c r="L213" s="116" t="str">
        <f t="shared" ca="1" si="44"/>
        <v>F</v>
      </c>
      <c r="M213" s="117" t="s">
        <v>199</v>
      </c>
      <c r="N213" s="118" t="str">
        <f t="shared" ca="1" si="45"/>
        <v>Serviço</v>
      </c>
      <c r="O213" s="119" t="str">
        <f t="shared" ca="1" si="46"/>
        <v>1.9.0.1.</v>
      </c>
      <c r="P213" s="120" t="s">
        <v>247</v>
      </c>
      <c r="Q213" s="121" t="s">
        <v>492</v>
      </c>
      <c r="R213" s="122" t="str">
        <f ca="1">IF($C213="S",REFERENCIA.Descricao,"(digite a descrição aqui)")</f>
        <v>(abra o arquivo 'Referência 03-2024.xlsm)</v>
      </c>
      <c r="S213" s="123" t="str">
        <f ca="1">REFERENCIA.Unidade</f>
        <v>-</v>
      </c>
      <c r="T213" s="124">
        <f ca="1">OFFSET(CÁLCULO!H$15,ROW($T213)-ROW(T$15),0)</f>
        <v>2.75</v>
      </c>
      <c r="U213" s="125">
        <v>6.45</v>
      </c>
      <c r="V213" s="126" t="s">
        <v>156</v>
      </c>
      <c r="W213" s="124">
        <f ca="1">IF($C213="S",ROUND(IF(TIPOORCAMENTO="Proposto",ORÇAMENTO.CustoUnitario*(1+$AH213),ORÇAMENTO.PrecoUnitarioLicitado),15-13*$AF$10),0)</f>
        <v>8.27</v>
      </c>
      <c r="X213" s="127">
        <f ca="1">IF($C213="S",IF(Import.TipoArredondamento&lt;&gt;"TransfereGOV",VTOTAL1,SUM(OFFSET(CÁLCULO!$AA$15,ROW($X213)-ROW($X$15),1):OFFSET(CÁLCULO!$AL$15,ROW($X213)-ROW($X$15),-1))),IF($C213=0,0,ROUND(SomaAgrup,15-13*$AF$11)))</f>
        <v>22.74</v>
      </c>
      <c r="Y213" s="128" t="s">
        <v>245</v>
      </c>
      <c r="Z213" t="str">
        <f t="shared" ca="1" si="47"/>
        <v>RA</v>
      </c>
      <c r="AA213" s="129">
        <f ca="1">IF($C213="S",IF($Z213="CP",$X213,IF($Z213="RA",(($X213)*QCI!$AA$3),0)),SomaAgrup)</f>
        <v>22.74</v>
      </c>
      <c r="AB213" s="130">
        <f t="shared" ca="1" si="48"/>
        <v>0</v>
      </c>
      <c r="AC213" s="131" t="str">
        <f ca="1">IF($N213="","",IF(ORÇAMENTO.Descricao="","DESCRIÇÃO",IF(AND($C213="S",ORÇAMENTO.Unidade=""),"UNIDADE",IF($X213&lt;0,"VALOR NEGATIVO",IF(OR(AND(TIPOORCAMENTO="Proposto",$AG213&lt;&gt;"",$AG213&gt;0,ORÇAMENTO.CustoUnitario&gt;$AG213),AND(TIPOORCAMENTO="LICITADO",ORÇAMENTO.PrecoUnitarioLicitado&gt;$AN213)),"ACIMA REF.","")))))</f>
        <v/>
      </c>
      <c r="AD213" t="str">
        <f ca="1">IF(C213&lt;=CRONO.NivelExibicao,MAX($AD$15:OFFSET(AD213,-1,0))+IF($C213&lt;&gt;1,1,MAX(1,COUNTIF(QCI!$A$13:$A$24,OFFSET($E213,-1,0)))),"")</f>
        <v/>
      </c>
      <c r="AE213" s="7" t="str">
        <f ca="1">IF(AND($C213="S",ORÇAMENTO.CodBarra&lt;&gt;""),IF(ORÇAMENTO.Fonte="",ORÇAMENTO.CodBarra,CONCATENATE(ORÇAMENTO.Fonte," ",ORÇAMENTO.CodBarra)))</f>
        <v>SINAPI 90091</v>
      </c>
      <c r="AF213" s="13" t="str">
        <f ca="1">IF(ISERROR(INDIRECT(ORÇAMENTO.BancoRef)),"(abra o arquivo 'Referência "&amp;Excel_BuiltIn_Database&amp;".xlsm)",IF(OR($C213&lt;&gt;"S",ORÇAMENTO.CodBarra=""),"(Sem Código)",IF(ISERROR(MATCH($AE213,INDIRECT(ORÇAMENTO.BancoRef),0)),"(Código não identificado nas referências)",MATCH($AE213,INDIRECT(ORÇAMENTO.BancoRef),0))))</f>
        <v>(abra o arquivo 'Referência 03-2024.xlsm)</v>
      </c>
      <c r="AG213" s="498">
        <f ca="1">ROUND(IF(DESONERACAO="sim",REFERENCIA.Desonerado,REFERENCIA.NaoDesonerado),2)</f>
        <v>0</v>
      </c>
      <c r="AH213" s="499">
        <f t="shared" ca="1" si="49"/>
        <v>0.28170000000000001</v>
      </c>
      <c r="AJ213" s="501">
        <v>2.75</v>
      </c>
      <c r="AL213" s="527"/>
      <c r="AM213" s="381">
        <f t="shared" ca="1" si="50"/>
        <v>22.74</v>
      </c>
      <c r="AN213" s="566">
        <f t="shared" ca="1" si="51"/>
        <v>8.27</v>
      </c>
    </row>
    <row r="214" spans="1:40" ht="51" x14ac:dyDescent="0.2">
      <c r="A214" t="str">
        <f t="shared" si="36"/>
        <v>S</v>
      </c>
      <c r="B214">
        <f t="shared" ca="1" si="37"/>
        <v>2</v>
      </c>
      <c r="C214" t="str">
        <f t="shared" ca="1" si="38"/>
        <v>S</v>
      </c>
      <c r="D214">
        <f t="shared" ca="1" si="39"/>
        <v>0</v>
      </c>
      <c r="E214">
        <f ca="1">IF($C214=1,OFFSET(E214,-1,0)+MAX(1,COUNTIF(QCI!$A$13:$A$24,OFFSET(ORÇAMENTO!E214,-1,0))),OFFSET(E214,-1,0))</f>
        <v>1</v>
      </c>
      <c r="F214">
        <f t="shared" ca="1" si="40"/>
        <v>9</v>
      </c>
      <c r="G214">
        <f t="shared" ca="1" si="41"/>
        <v>0</v>
      </c>
      <c r="H214">
        <f t="shared" ca="1" si="42"/>
        <v>0</v>
      </c>
      <c r="I214">
        <f t="shared" ca="1" si="43"/>
        <v>2</v>
      </c>
      <c r="J214">
        <f t="shared" ca="1" si="59"/>
        <v>0</v>
      </c>
      <c r="K214">
        <f ca="1">IF(OR($C214="S",$C214=0),0,MATCH(OFFSET($D214,0,$C214)+IF($C214&lt;&gt;1,1,COUNTIF(QCI!$A$13:$A$24,ORÇAMENTO!E214)),OFFSET($D214,1,$C214,ROW($C$290)-ROW($C214)),0))</f>
        <v>0</v>
      </c>
      <c r="L214" s="116" t="str">
        <f t="shared" ca="1" si="44"/>
        <v>F</v>
      </c>
      <c r="M214" s="117" t="s">
        <v>199</v>
      </c>
      <c r="N214" s="118" t="str">
        <f t="shared" ca="1" si="45"/>
        <v>Serviço</v>
      </c>
      <c r="O214" s="119" t="str">
        <f t="shared" ca="1" si="46"/>
        <v>1.9.0.2.</v>
      </c>
      <c r="P214" s="120" t="s">
        <v>462</v>
      </c>
      <c r="Q214" s="121" t="s">
        <v>493</v>
      </c>
      <c r="R214" s="122" t="str">
        <f ca="1">IF($C214="S",REFERENCIA.Descricao,"(digite a descrição aqui)")</f>
        <v>(abra o arquivo 'Referência 03-2024.xlsm)</v>
      </c>
      <c r="S214" s="123" t="str">
        <f ca="1">REFERENCIA.Unidade</f>
        <v>-</v>
      </c>
      <c r="T214" s="124">
        <f ca="1">OFFSET(CÁLCULO!H$15,ROW($T214)-ROW(T$15),0)</f>
        <v>0.69</v>
      </c>
      <c r="U214" s="125">
        <v>9.16</v>
      </c>
      <c r="V214" s="126" t="s">
        <v>156</v>
      </c>
      <c r="W214" s="124">
        <f ca="1">IF($C214="S",ROUND(IF(TIPOORCAMENTO="Proposto",ORÇAMENTO.CustoUnitario*(1+$AH214),ORÇAMENTO.PrecoUnitarioLicitado),15-13*$AF$10),0)</f>
        <v>11.74</v>
      </c>
      <c r="X214" s="127">
        <f ca="1">IF($C214="S",IF(Import.TipoArredondamento&lt;&gt;"TransfereGOV",VTOTAL1,SUM(OFFSET(CÁLCULO!$AA$15,ROW($X214)-ROW($X$15),1):OFFSET(CÁLCULO!$AL$15,ROW($X214)-ROW($X$15),-1))),IF($C214=0,0,ROUND(SomaAgrup,15-13*$AF$11)))</f>
        <v>8.1</v>
      </c>
      <c r="Y214" s="128" t="s">
        <v>245</v>
      </c>
      <c r="Z214" t="str">
        <f t="shared" ca="1" si="47"/>
        <v>RA</v>
      </c>
      <c r="AA214" s="129">
        <f ca="1">IF($C214="S",IF($Z214="CP",$X214,IF($Z214="RA",(($X214)*QCI!$AA$3),0)),SomaAgrup)</f>
        <v>8.1</v>
      </c>
      <c r="AB214" s="130">
        <f t="shared" ca="1" si="48"/>
        <v>0</v>
      </c>
      <c r="AC214" s="131" t="str">
        <f ca="1">IF($N214="","",IF(ORÇAMENTO.Descricao="","DESCRIÇÃO",IF(AND($C214="S",ORÇAMENTO.Unidade=""),"UNIDADE",IF($X214&lt;0,"VALOR NEGATIVO",IF(OR(AND(TIPOORCAMENTO="Proposto",$AG214&lt;&gt;"",$AG214&gt;0,ORÇAMENTO.CustoUnitario&gt;$AG214),AND(TIPOORCAMENTO="LICITADO",ORÇAMENTO.PrecoUnitarioLicitado&gt;$AN214)),"ACIMA REF.","")))))</f>
        <v/>
      </c>
      <c r="AD214" t="str">
        <f ca="1">IF(C214&lt;=CRONO.NivelExibicao,MAX($AD$15:OFFSET(AD214,-1,0))+IF($C214&lt;&gt;1,1,MAX(1,COUNTIF(QCI!$A$13:$A$24,OFFSET($E214,-1,0)))),"")</f>
        <v/>
      </c>
      <c r="AE214" s="7" t="str">
        <f ca="1">IF(AND($C214="S",ORÇAMENTO.CodBarra&lt;&gt;""),IF(ORÇAMENTO.Fonte="",ORÇAMENTO.CodBarra,CONCATENATE(ORÇAMENTO.Fonte," ",ORÇAMENTO.CodBarra)))</f>
        <v>Composição 22</v>
      </c>
      <c r="AF214" s="13" t="str">
        <f ca="1">IF(ISERROR(INDIRECT(ORÇAMENTO.BancoRef)),"(abra o arquivo 'Referência "&amp;Excel_BuiltIn_Database&amp;".xlsm)",IF(OR($C214&lt;&gt;"S",ORÇAMENTO.CodBarra=""),"(Sem Código)",IF(ISERROR(MATCH($AE214,INDIRECT(ORÇAMENTO.BancoRef),0)),"(Código não identificado nas referências)",MATCH($AE214,INDIRECT(ORÇAMENTO.BancoRef),0))))</f>
        <v>(abra o arquivo 'Referência 03-2024.xlsm)</v>
      </c>
      <c r="AG214" s="498">
        <f ca="1">ROUND(IF(DESONERACAO="sim",REFERENCIA.Desonerado,REFERENCIA.NaoDesonerado),2)</f>
        <v>0</v>
      </c>
      <c r="AH214" s="499">
        <f t="shared" ca="1" si="49"/>
        <v>0.28170000000000001</v>
      </c>
      <c r="AJ214" s="501">
        <v>0.69</v>
      </c>
      <c r="AL214" s="527"/>
      <c r="AM214" s="381">
        <f t="shared" ca="1" si="50"/>
        <v>8.1</v>
      </c>
      <c r="AN214" s="566">
        <f t="shared" ca="1" si="51"/>
        <v>11.74</v>
      </c>
    </row>
    <row r="215" spans="1:40" ht="38.25" x14ac:dyDescent="0.2">
      <c r="A215" t="str">
        <f t="shared" si="36"/>
        <v>S</v>
      </c>
      <c r="B215">
        <f t="shared" ca="1" si="37"/>
        <v>2</v>
      </c>
      <c r="C215" t="str">
        <f t="shared" ca="1" si="38"/>
        <v>S</v>
      </c>
      <c r="D215">
        <f t="shared" ca="1" si="39"/>
        <v>0</v>
      </c>
      <c r="E215">
        <f ca="1">IF($C215=1,OFFSET(E215,-1,0)+MAX(1,COUNTIF(QCI!$A$13:$A$24,OFFSET(ORÇAMENTO!E215,-1,0))),OFFSET(E215,-1,0))</f>
        <v>1</v>
      </c>
      <c r="F215">
        <f t="shared" ca="1" si="40"/>
        <v>9</v>
      </c>
      <c r="G215">
        <f t="shared" ca="1" si="41"/>
        <v>0</v>
      </c>
      <c r="H215">
        <f t="shared" ca="1" si="42"/>
        <v>0</v>
      </c>
      <c r="I215">
        <f t="shared" ca="1" si="43"/>
        <v>3</v>
      </c>
      <c r="J215">
        <f t="shared" ca="1" si="59"/>
        <v>0</v>
      </c>
      <c r="K215">
        <f ca="1">IF(OR($C215="S",$C215=0),0,MATCH(OFFSET($D215,0,$C215)+IF($C215&lt;&gt;1,1,COUNTIF(QCI!$A$13:$A$24,ORÇAMENTO!E215)),OFFSET($D215,1,$C215,ROW($C$290)-ROW($C215)),0))</f>
        <v>0</v>
      </c>
      <c r="L215" s="116" t="str">
        <f t="shared" ca="1" si="44"/>
        <v>F</v>
      </c>
      <c r="M215" s="117" t="s">
        <v>199</v>
      </c>
      <c r="N215" s="118" t="str">
        <f t="shared" ca="1" si="45"/>
        <v>Serviço</v>
      </c>
      <c r="O215" s="119" t="str">
        <f t="shared" ca="1" si="46"/>
        <v>1.9.0.3.</v>
      </c>
      <c r="P215" s="120" t="s">
        <v>462</v>
      </c>
      <c r="Q215" s="121" t="s">
        <v>474</v>
      </c>
      <c r="R215" s="122" t="str">
        <f ca="1">IF($C215="S",REFERENCIA.Descricao,"(digite a descrição aqui)")</f>
        <v>(abra o arquivo 'Referência 03-2024.xlsm)</v>
      </c>
      <c r="S215" s="123" t="str">
        <f ca="1">REFERENCIA.Unidade</f>
        <v>-</v>
      </c>
      <c r="T215" s="124">
        <f ca="1">OFFSET(CÁLCULO!H$15,ROW($T215)-ROW(T$15),0)</f>
        <v>13.76</v>
      </c>
      <c r="U215" s="125">
        <v>50.64</v>
      </c>
      <c r="V215" s="126" t="s">
        <v>156</v>
      </c>
      <c r="W215" s="124">
        <f ca="1">IF($C215="S",ROUND(IF(TIPOORCAMENTO="Proposto",ORÇAMENTO.CustoUnitario*(1+$AH215),ORÇAMENTO.PrecoUnitarioLicitado),15-13*$AF$10),0)</f>
        <v>64.91</v>
      </c>
      <c r="X215" s="127">
        <f ca="1">IF($C215="S",IF(Import.TipoArredondamento&lt;&gt;"TransfereGOV",VTOTAL1,SUM(OFFSET(CÁLCULO!$AA$15,ROW($X215)-ROW($X$15),1):OFFSET(CÁLCULO!$AL$15,ROW($X215)-ROW($X$15),-1))),IF($C215=0,0,ROUND(SomaAgrup,15-13*$AF$11)))</f>
        <v>893.16</v>
      </c>
      <c r="Y215" s="128" t="s">
        <v>245</v>
      </c>
      <c r="Z215" t="str">
        <f t="shared" ca="1" si="47"/>
        <v>RA</v>
      </c>
      <c r="AA215" s="129">
        <f ca="1">IF($C215="S",IF($Z215="CP",$X215,IF($Z215="RA",(($X215)*QCI!$AA$3),0)),SomaAgrup)</f>
        <v>893.16</v>
      </c>
      <c r="AB215" s="130">
        <f t="shared" ca="1" si="48"/>
        <v>0</v>
      </c>
      <c r="AC215" s="131" t="str">
        <f ca="1">IF($N215="","",IF(ORÇAMENTO.Descricao="","DESCRIÇÃO",IF(AND($C215="S",ORÇAMENTO.Unidade=""),"UNIDADE",IF($X215&lt;0,"VALOR NEGATIVO",IF(OR(AND(TIPOORCAMENTO="Proposto",$AG215&lt;&gt;"",$AG215&gt;0,ORÇAMENTO.CustoUnitario&gt;$AG215),AND(TIPOORCAMENTO="LICITADO",ORÇAMENTO.PrecoUnitarioLicitado&gt;$AN215)),"ACIMA REF.","")))))</f>
        <v/>
      </c>
      <c r="AD215" t="str">
        <f ca="1">IF(C215&lt;=CRONO.NivelExibicao,MAX($AD$15:OFFSET(AD215,-1,0))+IF($C215&lt;&gt;1,1,MAX(1,COUNTIF(QCI!$A$13:$A$24,OFFSET($E215,-1,0)))),"")</f>
        <v/>
      </c>
      <c r="AE215" s="7" t="str">
        <f ca="1">IF(AND($C215="S",ORÇAMENTO.CodBarra&lt;&gt;""),IF(ORÇAMENTO.Fonte="",ORÇAMENTO.CodBarra,CONCATENATE(ORÇAMENTO.Fonte," ",ORÇAMENTO.CodBarra)))</f>
        <v>Composição 10</v>
      </c>
      <c r="AF215" s="13" t="str">
        <f ca="1">IF(ISERROR(INDIRECT(ORÇAMENTO.BancoRef)),"(abra o arquivo 'Referência "&amp;Excel_BuiltIn_Database&amp;".xlsm)",IF(OR($C215&lt;&gt;"S",ORÇAMENTO.CodBarra=""),"(Sem Código)",IF(ISERROR(MATCH($AE215,INDIRECT(ORÇAMENTO.BancoRef),0)),"(Código não identificado nas referências)",MATCH($AE215,INDIRECT(ORÇAMENTO.BancoRef),0))))</f>
        <v>(abra o arquivo 'Referência 03-2024.xlsm)</v>
      </c>
      <c r="AG215" s="498">
        <f ca="1">ROUND(IF(DESONERACAO="sim",REFERENCIA.Desonerado,REFERENCIA.NaoDesonerado),2)</f>
        <v>0</v>
      </c>
      <c r="AH215" s="499">
        <f t="shared" ca="1" si="49"/>
        <v>0.28170000000000001</v>
      </c>
      <c r="AJ215" s="501">
        <v>13.76</v>
      </c>
      <c r="AL215" s="527"/>
      <c r="AM215" s="381">
        <f t="shared" ca="1" si="50"/>
        <v>893.16</v>
      </c>
      <c r="AN215" s="566">
        <f t="shared" ca="1" si="51"/>
        <v>64.91</v>
      </c>
    </row>
    <row r="216" spans="1:40" ht="51" x14ac:dyDescent="0.2">
      <c r="A216" t="str">
        <f t="shared" si="36"/>
        <v>S</v>
      </c>
      <c r="B216">
        <f t="shared" ca="1" si="37"/>
        <v>2</v>
      </c>
      <c r="C216" t="str">
        <f t="shared" ca="1" si="38"/>
        <v>S</v>
      </c>
      <c r="D216">
        <f t="shared" ca="1" si="39"/>
        <v>0</v>
      </c>
      <c r="E216">
        <f ca="1">IF($C216=1,OFFSET(E216,-1,0)+MAX(1,COUNTIF(QCI!$A$13:$A$24,OFFSET(ORÇAMENTO!E216,-1,0))),OFFSET(E216,-1,0))</f>
        <v>1</v>
      </c>
      <c r="F216">
        <f t="shared" ca="1" si="40"/>
        <v>9</v>
      </c>
      <c r="G216">
        <f t="shared" ca="1" si="41"/>
        <v>0</v>
      </c>
      <c r="H216">
        <f t="shared" ca="1" si="42"/>
        <v>0</v>
      </c>
      <c r="I216">
        <f t="shared" ca="1" si="43"/>
        <v>4</v>
      </c>
      <c r="J216">
        <f t="shared" ca="1" si="59"/>
        <v>0</v>
      </c>
      <c r="K216">
        <f ca="1">IF(OR($C216="S",$C216=0),0,MATCH(OFFSET($D216,0,$C216)+IF($C216&lt;&gt;1,1,COUNTIF(QCI!$A$13:$A$24,ORÇAMENTO!E216)),OFFSET($D216,1,$C216,ROW($C$290)-ROW($C216)),0))</f>
        <v>0</v>
      </c>
      <c r="L216" s="116" t="str">
        <f t="shared" ca="1" si="44"/>
        <v>F</v>
      </c>
      <c r="M216" s="117" t="s">
        <v>199</v>
      </c>
      <c r="N216" s="118" t="str">
        <f t="shared" ca="1" si="45"/>
        <v>Serviço</v>
      </c>
      <c r="O216" s="119" t="str">
        <f t="shared" ca="1" si="46"/>
        <v>1.9.0.4.</v>
      </c>
      <c r="P216" s="120" t="s">
        <v>462</v>
      </c>
      <c r="Q216" s="121" t="s">
        <v>475</v>
      </c>
      <c r="R216" s="122" t="str">
        <f ca="1">IF($C216="S",REFERENCIA.Descricao,"(digite a descrição aqui)")</f>
        <v>(abra o arquivo 'Referência 03-2024.xlsm)</v>
      </c>
      <c r="S216" s="123" t="str">
        <f ca="1">REFERENCIA.Unidade</f>
        <v>-</v>
      </c>
      <c r="T216" s="124">
        <f ca="1">OFFSET(CÁLCULO!H$15,ROW($T216)-ROW(T$15),0)</f>
        <v>1.38</v>
      </c>
      <c r="U216" s="125">
        <v>502.29</v>
      </c>
      <c r="V216" s="126" t="s">
        <v>156</v>
      </c>
      <c r="W216" s="124">
        <f ca="1">IF($C216="S",ROUND(IF(TIPOORCAMENTO="Proposto",ORÇAMENTO.CustoUnitario*(1+$AH216),ORÇAMENTO.PrecoUnitarioLicitado),15-13*$AF$10),0)</f>
        <v>643.79</v>
      </c>
      <c r="X216" s="127">
        <f ca="1">IF($C216="S",IF(Import.TipoArredondamento&lt;&gt;"TransfereGOV",VTOTAL1,SUM(OFFSET(CÁLCULO!$AA$15,ROW($X216)-ROW($X$15),1):OFFSET(CÁLCULO!$AL$15,ROW($X216)-ROW($X$15),-1))),IF($C216=0,0,ROUND(SomaAgrup,15-13*$AF$11)))</f>
        <v>888.43</v>
      </c>
      <c r="Y216" s="128" t="s">
        <v>245</v>
      </c>
      <c r="Z216" t="str">
        <f t="shared" ca="1" si="47"/>
        <v>RA</v>
      </c>
      <c r="AA216" s="129">
        <f ca="1">IF($C216="S",IF($Z216="CP",$X216,IF($Z216="RA",(($X216)*QCI!$AA$3),0)),SomaAgrup)</f>
        <v>888.43</v>
      </c>
      <c r="AB216" s="130">
        <f t="shared" ca="1" si="48"/>
        <v>0</v>
      </c>
      <c r="AC216" s="131" t="str">
        <f ca="1">IF($N216="","",IF(ORÇAMENTO.Descricao="","DESCRIÇÃO",IF(AND($C216="S",ORÇAMENTO.Unidade=""),"UNIDADE",IF($X216&lt;0,"VALOR NEGATIVO",IF(OR(AND(TIPOORCAMENTO="Proposto",$AG216&lt;&gt;"",$AG216&gt;0,ORÇAMENTO.CustoUnitario&gt;$AG216),AND(TIPOORCAMENTO="LICITADO",ORÇAMENTO.PrecoUnitarioLicitado&gt;$AN216)),"ACIMA REF.","")))))</f>
        <v/>
      </c>
      <c r="AD216" t="str">
        <f ca="1">IF(C216&lt;=CRONO.NivelExibicao,MAX($AD$15:OFFSET(AD216,-1,0))+IF($C216&lt;&gt;1,1,MAX(1,COUNTIF(QCI!$A$13:$A$24,OFFSET($E216,-1,0)))),"")</f>
        <v/>
      </c>
      <c r="AE216" s="7" t="str">
        <f ca="1">IF(AND($C216="S",ORÇAMENTO.CodBarra&lt;&gt;""),IF(ORÇAMENTO.Fonte="",ORÇAMENTO.CodBarra,CONCATENATE(ORÇAMENTO.Fonte," ",ORÇAMENTO.CodBarra)))</f>
        <v>Composição 11</v>
      </c>
      <c r="AF216" s="13" t="str">
        <f ca="1">IF(ISERROR(INDIRECT(ORÇAMENTO.BancoRef)),"(abra o arquivo 'Referência "&amp;Excel_BuiltIn_Database&amp;".xlsm)",IF(OR($C216&lt;&gt;"S",ORÇAMENTO.CodBarra=""),"(Sem Código)",IF(ISERROR(MATCH($AE216,INDIRECT(ORÇAMENTO.BancoRef),0)),"(Código não identificado nas referências)",MATCH($AE216,INDIRECT(ORÇAMENTO.BancoRef),0))))</f>
        <v>(abra o arquivo 'Referência 03-2024.xlsm)</v>
      </c>
      <c r="AG216" s="498">
        <f ca="1">ROUND(IF(DESONERACAO="sim",REFERENCIA.Desonerado,REFERENCIA.NaoDesonerado),2)</f>
        <v>0</v>
      </c>
      <c r="AH216" s="499">
        <f t="shared" ca="1" si="49"/>
        <v>0.28170000000000001</v>
      </c>
      <c r="AJ216" s="501">
        <v>1.38</v>
      </c>
      <c r="AL216" s="527"/>
      <c r="AM216" s="381">
        <f t="shared" ca="1" si="50"/>
        <v>888.43</v>
      </c>
      <c r="AN216" s="566">
        <f t="shared" ca="1" si="51"/>
        <v>643.79</v>
      </c>
    </row>
    <row r="217" spans="1:40" ht="38.25" x14ac:dyDescent="0.2">
      <c r="A217" t="str">
        <f t="shared" si="36"/>
        <v>S</v>
      </c>
      <c r="B217">
        <f t="shared" ca="1" si="37"/>
        <v>2</v>
      </c>
      <c r="C217" t="str">
        <f t="shared" ca="1" si="38"/>
        <v>S</v>
      </c>
      <c r="D217">
        <f t="shared" ca="1" si="39"/>
        <v>0</v>
      </c>
      <c r="E217">
        <f ca="1">IF($C217=1,OFFSET(E217,-1,0)+MAX(1,COUNTIF(QCI!$A$13:$A$24,OFFSET(ORÇAMENTO!E217,-1,0))),OFFSET(E217,-1,0))</f>
        <v>1</v>
      </c>
      <c r="F217">
        <f t="shared" ca="1" si="40"/>
        <v>9</v>
      </c>
      <c r="G217">
        <f t="shared" ca="1" si="41"/>
        <v>0</v>
      </c>
      <c r="H217">
        <f t="shared" ca="1" si="42"/>
        <v>0</v>
      </c>
      <c r="I217">
        <f t="shared" ca="1" si="43"/>
        <v>5</v>
      </c>
      <c r="J217">
        <f t="shared" ca="1" si="59"/>
        <v>0</v>
      </c>
      <c r="K217">
        <f ca="1">IF(OR($C217="S",$C217=0),0,MATCH(OFFSET($D217,0,$C217)+IF($C217&lt;&gt;1,1,COUNTIF(QCI!$A$13:$A$24,ORÇAMENTO!E217)),OFFSET($D217,1,$C217,ROW($C$290)-ROW($C217)),0))</f>
        <v>0</v>
      </c>
      <c r="L217" s="116" t="str">
        <f t="shared" ca="1" si="44"/>
        <v>F</v>
      </c>
      <c r="M217" s="117" t="s">
        <v>199</v>
      </c>
      <c r="N217" s="118" t="str">
        <f t="shared" ca="1" si="45"/>
        <v>Serviço</v>
      </c>
      <c r="O217" s="119" t="str">
        <f t="shared" ca="1" si="46"/>
        <v>1.9.0.5.</v>
      </c>
      <c r="P217" s="120" t="s">
        <v>462</v>
      </c>
      <c r="Q217" s="121" t="s">
        <v>476</v>
      </c>
      <c r="R217" s="122" t="str">
        <f ca="1">IF($C217="S",REFERENCIA.Descricao,"(digite a descrição aqui)")</f>
        <v>(abra o arquivo 'Referência 03-2024.xlsm)</v>
      </c>
      <c r="S217" s="123" t="str">
        <f ca="1">REFERENCIA.Unidade</f>
        <v>-</v>
      </c>
      <c r="T217" s="124">
        <f ca="1">OFFSET(CÁLCULO!H$15,ROW($T217)-ROW(T$15),0)</f>
        <v>23.38</v>
      </c>
      <c r="U217" s="125">
        <v>11.53</v>
      </c>
      <c r="V217" s="126" t="s">
        <v>156</v>
      </c>
      <c r="W217" s="124">
        <f ca="1">IF($C217="S",ROUND(IF(TIPOORCAMENTO="Proposto",ORÇAMENTO.CustoUnitario*(1+$AH217),ORÇAMENTO.PrecoUnitarioLicitado),15-13*$AF$10),0)</f>
        <v>14.78</v>
      </c>
      <c r="X217" s="127">
        <f ca="1">IF($C217="S",IF(Import.TipoArredondamento&lt;&gt;"TransfereGOV",VTOTAL1,SUM(OFFSET(CÁLCULO!$AA$15,ROW($X217)-ROW($X$15),1):OFFSET(CÁLCULO!$AL$15,ROW($X217)-ROW($X$15),-1))),IF($C217=0,0,ROUND(SomaAgrup,15-13*$AF$11)))</f>
        <v>345.56</v>
      </c>
      <c r="Y217" s="128" t="s">
        <v>245</v>
      </c>
      <c r="Z217" t="str">
        <f t="shared" ca="1" si="47"/>
        <v>RA</v>
      </c>
      <c r="AA217" s="129">
        <f ca="1">IF($C217="S",IF($Z217="CP",$X217,IF($Z217="RA",(($X217)*QCI!$AA$3),0)),SomaAgrup)</f>
        <v>345.56</v>
      </c>
      <c r="AB217" s="130">
        <f t="shared" ca="1" si="48"/>
        <v>0</v>
      </c>
      <c r="AC217" s="131" t="str">
        <f ca="1">IF($N217="","",IF(ORÇAMENTO.Descricao="","DESCRIÇÃO",IF(AND($C217="S",ORÇAMENTO.Unidade=""),"UNIDADE",IF($X217&lt;0,"VALOR NEGATIVO",IF(OR(AND(TIPOORCAMENTO="Proposto",$AG217&lt;&gt;"",$AG217&gt;0,ORÇAMENTO.CustoUnitario&gt;$AG217),AND(TIPOORCAMENTO="LICITADO",ORÇAMENTO.PrecoUnitarioLicitado&gt;$AN217)),"ACIMA REF.","")))))</f>
        <v/>
      </c>
      <c r="AD217" t="str">
        <f ca="1">IF(C217&lt;=CRONO.NivelExibicao,MAX($AD$15:OFFSET(AD217,-1,0))+IF($C217&lt;&gt;1,1,MAX(1,COUNTIF(QCI!$A$13:$A$24,OFFSET($E217,-1,0)))),"")</f>
        <v/>
      </c>
      <c r="AE217" s="7" t="str">
        <f ca="1">IF(AND($C217="S",ORÇAMENTO.CodBarra&lt;&gt;""),IF(ORÇAMENTO.Fonte="",ORÇAMENTO.CodBarra,CONCATENATE(ORÇAMENTO.Fonte," ",ORÇAMENTO.CodBarra)))</f>
        <v>Composição 12</v>
      </c>
      <c r="AF217" s="13" t="str">
        <f ca="1">IF(ISERROR(INDIRECT(ORÇAMENTO.BancoRef)),"(abra o arquivo 'Referência "&amp;Excel_BuiltIn_Database&amp;".xlsm)",IF(OR($C217&lt;&gt;"S",ORÇAMENTO.CodBarra=""),"(Sem Código)",IF(ISERROR(MATCH($AE217,INDIRECT(ORÇAMENTO.BancoRef),0)),"(Código não identificado nas referências)",MATCH($AE217,INDIRECT(ORÇAMENTO.BancoRef),0))))</f>
        <v>(abra o arquivo 'Referência 03-2024.xlsm)</v>
      </c>
      <c r="AG217" s="498">
        <f ca="1">ROUND(IF(DESONERACAO="sim",REFERENCIA.Desonerado,REFERENCIA.NaoDesonerado),2)</f>
        <v>0</v>
      </c>
      <c r="AH217" s="499">
        <f t="shared" ca="1" si="49"/>
        <v>0.28170000000000001</v>
      </c>
      <c r="AJ217" s="501">
        <v>23.38</v>
      </c>
      <c r="AL217" s="527"/>
      <c r="AM217" s="381">
        <f t="shared" ca="1" si="50"/>
        <v>345.56</v>
      </c>
      <c r="AN217" s="566">
        <f t="shared" ca="1" si="51"/>
        <v>14.78</v>
      </c>
    </row>
    <row r="218" spans="1:40" ht="38.25" x14ac:dyDescent="0.2">
      <c r="A218" t="str">
        <f t="shared" si="36"/>
        <v>S</v>
      </c>
      <c r="B218">
        <f t="shared" ca="1" si="37"/>
        <v>2</v>
      </c>
      <c r="C218" t="str">
        <f t="shared" ca="1" si="38"/>
        <v>S</v>
      </c>
      <c r="D218">
        <f t="shared" ca="1" si="39"/>
        <v>0</v>
      </c>
      <c r="E218">
        <f ca="1">IF($C218=1,OFFSET(E218,-1,0)+MAX(1,COUNTIF(QCI!$A$13:$A$24,OFFSET(ORÇAMENTO!E218,-1,0))),OFFSET(E218,-1,0))</f>
        <v>1</v>
      </c>
      <c r="F218">
        <f t="shared" ca="1" si="40"/>
        <v>9</v>
      </c>
      <c r="G218">
        <f t="shared" ca="1" si="41"/>
        <v>0</v>
      </c>
      <c r="H218">
        <f t="shared" ca="1" si="42"/>
        <v>0</v>
      </c>
      <c r="I218">
        <f t="shared" ca="1" si="43"/>
        <v>6</v>
      </c>
      <c r="J218">
        <f t="shared" ca="1" si="59"/>
        <v>0</v>
      </c>
      <c r="K218">
        <f ca="1">IF(OR($C218="S",$C218=0),0,MATCH(OFFSET($D218,0,$C218)+IF($C218&lt;&gt;1,1,COUNTIF(QCI!$A$13:$A$24,ORÇAMENTO!E218)),OFFSET($D218,1,$C218,ROW($C$290)-ROW($C218)),0))</f>
        <v>0</v>
      </c>
      <c r="L218" s="116" t="str">
        <f t="shared" ca="1" si="44"/>
        <v>F</v>
      </c>
      <c r="M218" s="117" t="s">
        <v>199</v>
      </c>
      <c r="N218" s="118" t="str">
        <f t="shared" ca="1" si="45"/>
        <v>Serviço</v>
      </c>
      <c r="O218" s="119" t="str">
        <f t="shared" ca="1" si="46"/>
        <v>1.9.0.6.</v>
      </c>
      <c r="P218" s="120" t="s">
        <v>462</v>
      </c>
      <c r="Q218" s="121" t="s">
        <v>477</v>
      </c>
      <c r="R218" s="122" t="str">
        <f ca="1">IF($C218="S",REFERENCIA.Descricao,"(digite a descrição aqui)")</f>
        <v>(abra o arquivo 'Referência 03-2024.xlsm)</v>
      </c>
      <c r="S218" s="123" t="str">
        <f ca="1">REFERENCIA.Unidade</f>
        <v>-</v>
      </c>
      <c r="T218" s="124">
        <f ca="1">OFFSET(CÁLCULO!H$15,ROW($T218)-ROW(T$15),0)</f>
        <v>54.35</v>
      </c>
      <c r="U218" s="125">
        <v>10.97</v>
      </c>
      <c r="V218" s="126" t="s">
        <v>156</v>
      </c>
      <c r="W218" s="124">
        <f ca="1">IF($C218="S",ROUND(IF(TIPOORCAMENTO="Proposto",ORÇAMENTO.CustoUnitario*(1+$AH218),ORÇAMENTO.PrecoUnitarioLicitado),15-13*$AF$10),0)</f>
        <v>14.06</v>
      </c>
      <c r="X218" s="127">
        <f ca="1">IF($C218="S",IF(Import.TipoArredondamento&lt;&gt;"TransfereGOV",VTOTAL1,SUM(OFFSET(CÁLCULO!$AA$15,ROW($X218)-ROW($X$15),1):OFFSET(CÁLCULO!$AL$15,ROW($X218)-ROW($X$15),-1))),IF($C218=0,0,ROUND(SomaAgrup,15-13*$AF$11)))</f>
        <v>764.16</v>
      </c>
      <c r="Y218" s="128" t="s">
        <v>245</v>
      </c>
      <c r="Z218" t="str">
        <f t="shared" ca="1" si="47"/>
        <v>RA</v>
      </c>
      <c r="AA218" s="129">
        <f ca="1">IF($C218="S",IF($Z218="CP",$X218,IF($Z218="RA",(($X218)*QCI!$AA$3),0)),SomaAgrup)</f>
        <v>764.16</v>
      </c>
      <c r="AB218" s="130">
        <f t="shared" ca="1" si="48"/>
        <v>0</v>
      </c>
      <c r="AC218" s="131" t="str">
        <f ca="1">IF($N218="","",IF(ORÇAMENTO.Descricao="","DESCRIÇÃO",IF(AND($C218="S",ORÇAMENTO.Unidade=""),"UNIDADE",IF($X218&lt;0,"VALOR NEGATIVO",IF(OR(AND(TIPOORCAMENTO="Proposto",$AG218&lt;&gt;"",$AG218&gt;0,ORÇAMENTO.CustoUnitario&gt;$AG218),AND(TIPOORCAMENTO="LICITADO",ORÇAMENTO.PrecoUnitarioLicitado&gt;$AN218)),"ACIMA REF.","")))))</f>
        <v/>
      </c>
      <c r="AD218" t="str">
        <f ca="1">IF(C218&lt;=CRONO.NivelExibicao,MAX($AD$15:OFFSET(AD218,-1,0))+IF($C218&lt;&gt;1,1,MAX(1,COUNTIF(QCI!$A$13:$A$24,OFFSET($E218,-1,0)))),"")</f>
        <v/>
      </c>
      <c r="AE218" s="7" t="str">
        <f ca="1">IF(AND($C218="S",ORÇAMENTO.CodBarra&lt;&gt;""),IF(ORÇAMENTO.Fonte="",ORÇAMENTO.CodBarra,CONCATENATE(ORÇAMENTO.Fonte," ",ORÇAMENTO.CodBarra)))</f>
        <v>Composição 13</v>
      </c>
      <c r="AF218" s="13" t="str">
        <f ca="1">IF(ISERROR(INDIRECT(ORÇAMENTO.BancoRef)),"(abra o arquivo 'Referência "&amp;Excel_BuiltIn_Database&amp;".xlsm)",IF(OR($C218&lt;&gt;"S",ORÇAMENTO.CodBarra=""),"(Sem Código)",IF(ISERROR(MATCH($AE218,INDIRECT(ORÇAMENTO.BancoRef),0)),"(Código não identificado nas referências)",MATCH($AE218,INDIRECT(ORÇAMENTO.BancoRef),0))))</f>
        <v>(abra o arquivo 'Referência 03-2024.xlsm)</v>
      </c>
      <c r="AG218" s="498">
        <f ca="1">ROUND(IF(DESONERACAO="sim",REFERENCIA.Desonerado,REFERENCIA.NaoDesonerado),2)</f>
        <v>0</v>
      </c>
      <c r="AH218" s="499">
        <f t="shared" ca="1" si="49"/>
        <v>0.28170000000000001</v>
      </c>
      <c r="AJ218" s="501">
        <v>54.35</v>
      </c>
      <c r="AL218" s="527"/>
      <c r="AM218" s="381">
        <f t="shared" ca="1" si="50"/>
        <v>764.16</v>
      </c>
      <c r="AN218" s="566">
        <f t="shared" ca="1" si="51"/>
        <v>14.06</v>
      </c>
    </row>
    <row r="219" spans="1:40" ht="51" x14ac:dyDescent="0.2">
      <c r="A219" t="str">
        <f t="shared" si="36"/>
        <v>S</v>
      </c>
      <c r="B219">
        <f t="shared" ca="1" si="37"/>
        <v>2</v>
      </c>
      <c r="C219" t="str">
        <f t="shared" ca="1" si="38"/>
        <v>S</v>
      </c>
      <c r="D219">
        <f t="shared" ca="1" si="39"/>
        <v>0</v>
      </c>
      <c r="E219">
        <f ca="1">IF($C219=1,OFFSET(E219,-1,0)+MAX(1,COUNTIF(QCI!$A$13:$A$24,OFFSET(ORÇAMENTO!E219,-1,0))),OFFSET(E219,-1,0))</f>
        <v>1</v>
      </c>
      <c r="F219">
        <f t="shared" ca="1" si="40"/>
        <v>9</v>
      </c>
      <c r="G219">
        <f t="shared" ca="1" si="41"/>
        <v>0</v>
      </c>
      <c r="H219">
        <f t="shared" ca="1" si="42"/>
        <v>0</v>
      </c>
      <c r="I219">
        <f t="shared" ca="1" si="43"/>
        <v>7</v>
      </c>
      <c r="J219">
        <f t="shared" ca="1" si="59"/>
        <v>0</v>
      </c>
      <c r="K219">
        <f ca="1">IF(OR($C219="S",$C219=0),0,MATCH(OFFSET($D219,0,$C219)+IF($C219&lt;&gt;1,1,COUNTIF(QCI!$A$13:$A$24,ORÇAMENTO!E219)),OFFSET($D219,1,$C219,ROW($C$290)-ROW($C219)),0))</f>
        <v>0</v>
      </c>
      <c r="L219" s="116" t="str">
        <f t="shared" ca="1" si="44"/>
        <v>F</v>
      </c>
      <c r="M219" s="117" t="s">
        <v>199</v>
      </c>
      <c r="N219" s="118" t="str">
        <f t="shared" ca="1" si="45"/>
        <v>Serviço</v>
      </c>
      <c r="O219" s="119" t="str">
        <f t="shared" ca="1" si="46"/>
        <v>1.9.0.7.</v>
      </c>
      <c r="P219" s="120" t="s">
        <v>462</v>
      </c>
      <c r="Q219" s="121" t="s">
        <v>589</v>
      </c>
      <c r="R219" s="122" t="str">
        <f ca="1">IF($C219="S",REFERENCIA.Descricao,"(digite a descrição aqui)")</f>
        <v>(abra o arquivo 'Referência 03-2024.xlsm)</v>
      </c>
      <c r="S219" s="123" t="str">
        <f ca="1">REFERENCIA.Unidade</f>
        <v>-</v>
      </c>
      <c r="T219" s="124">
        <f ca="1">OFFSET(CÁLCULO!H$15,ROW($T219)-ROW(T$15),0)</f>
        <v>34.4</v>
      </c>
      <c r="U219" s="125">
        <v>27.03</v>
      </c>
      <c r="V219" s="126" t="s">
        <v>156</v>
      </c>
      <c r="W219" s="124">
        <f ca="1">IF($C219="S",ROUND(IF(TIPOORCAMENTO="Proposto",ORÇAMENTO.CustoUnitario*(1+$AH219),ORÇAMENTO.PrecoUnitarioLicitado),15-13*$AF$10),0)</f>
        <v>34.64</v>
      </c>
      <c r="X219" s="127">
        <f ca="1">IF($C219="S",IF(Import.TipoArredondamento&lt;&gt;"TransfereGOV",VTOTAL1,SUM(OFFSET(CÁLCULO!$AA$15,ROW($X219)-ROW($X$15),1):OFFSET(CÁLCULO!$AL$15,ROW($X219)-ROW($X$15),-1))),IF($C219=0,0,ROUND(SomaAgrup,15-13*$AF$11)))</f>
        <v>1191.6199999999999</v>
      </c>
      <c r="Y219" s="128" t="s">
        <v>245</v>
      </c>
      <c r="Z219" t="str">
        <f t="shared" ca="1" si="47"/>
        <v>RA</v>
      </c>
      <c r="AA219" s="129">
        <f ca="1">IF($C219="S",IF($Z219="CP",$X219,IF($Z219="RA",(($X219)*QCI!$AA$3),0)),SomaAgrup)</f>
        <v>1191.6199999999999</v>
      </c>
      <c r="AB219" s="130">
        <f t="shared" ca="1" si="48"/>
        <v>0</v>
      </c>
      <c r="AC219" s="131" t="str">
        <f ca="1">IF($N219="","",IF(ORÇAMENTO.Descricao="","DESCRIÇÃO",IF(AND($C219="S",ORÇAMENTO.Unidade=""),"UNIDADE",IF($X219&lt;0,"VALOR NEGATIVO",IF(OR(AND(TIPOORCAMENTO="Proposto",$AG219&lt;&gt;"",$AG219&gt;0,ORÇAMENTO.CustoUnitario&gt;$AG219),AND(TIPOORCAMENTO="LICITADO",ORÇAMENTO.PrecoUnitarioLicitado&gt;$AN219)),"ACIMA REF.","")))))</f>
        <v/>
      </c>
      <c r="AD219" t="str">
        <f ca="1">IF(C219&lt;=CRONO.NivelExibicao,MAX($AD$15:OFFSET(AD219,-1,0))+IF($C219&lt;&gt;1,1,MAX(1,COUNTIF(QCI!$A$13:$A$24,OFFSET($E219,-1,0)))),"")</f>
        <v/>
      </c>
      <c r="AE219" s="7" t="str">
        <f ca="1">IF(AND($C219="S",ORÇAMENTO.CodBarra&lt;&gt;""),IF(ORÇAMENTO.Fonte="",ORÇAMENTO.CodBarra,CONCATENATE(ORÇAMENTO.Fonte," ",ORÇAMENTO.CodBarra)))</f>
        <v>Composição 73</v>
      </c>
      <c r="AF219" s="13" t="str">
        <f ca="1">IF(ISERROR(INDIRECT(ORÇAMENTO.BancoRef)),"(abra o arquivo 'Referência "&amp;Excel_BuiltIn_Database&amp;".xlsm)",IF(OR($C219&lt;&gt;"S",ORÇAMENTO.CodBarra=""),"(Sem Código)",IF(ISERROR(MATCH($AE219,INDIRECT(ORÇAMENTO.BancoRef),0)),"(Código não identificado nas referências)",MATCH($AE219,INDIRECT(ORÇAMENTO.BancoRef),0))))</f>
        <v>(abra o arquivo 'Referência 03-2024.xlsm)</v>
      </c>
      <c r="AG219" s="498">
        <f ca="1">ROUND(IF(DESONERACAO="sim",REFERENCIA.Desonerado,REFERENCIA.NaoDesonerado),2)</f>
        <v>0</v>
      </c>
      <c r="AH219" s="499">
        <f t="shared" ca="1" si="49"/>
        <v>0.28170000000000001</v>
      </c>
      <c r="AJ219" s="501">
        <v>34.4</v>
      </c>
      <c r="AL219" s="527"/>
      <c r="AM219" s="381">
        <f t="shared" ca="1" si="50"/>
        <v>1191.6199999999999</v>
      </c>
      <c r="AN219" s="566">
        <f t="shared" ca="1" si="51"/>
        <v>34.64</v>
      </c>
    </row>
    <row r="220" spans="1:40" ht="51" x14ac:dyDescent="0.2">
      <c r="A220" t="str">
        <f t="shared" si="36"/>
        <v>S</v>
      </c>
      <c r="B220">
        <f t="shared" ca="1" si="37"/>
        <v>2</v>
      </c>
      <c r="C220" t="str">
        <f t="shared" ca="1" si="38"/>
        <v>S</v>
      </c>
      <c r="D220">
        <f t="shared" ca="1" si="39"/>
        <v>0</v>
      </c>
      <c r="E220">
        <f ca="1">IF($C220=1,OFFSET(E220,-1,0)+MAX(1,COUNTIF(QCI!$A$13:$A$24,OFFSET(ORÇAMENTO!E220,-1,0))),OFFSET(E220,-1,0))</f>
        <v>1</v>
      </c>
      <c r="F220">
        <f t="shared" ca="1" si="40"/>
        <v>9</v>
      </c>
      <c r="G220">
        <f t="shared" ca="1" si="41"/>
        <v>0</v>
      </c>
      <c r="H220">
        <f t="shared" ca="1" si="42"/>
        <v>0</v>
      </c>
      <c r="I220">
        <f t="shared" ca="1" si="43"/>
        <v>8</v>
      </c>
      <c r="J220">
        <f t="shared" ca="1" si="59"/>
        <v>0</v>
      </c>
      <c r="K220">
        <f ca="1">IF(OR($C220="S",$C220=0),0,MATCH(OFFSET($D220,0,$C220)+IF($C220&lt;&gt;1,1,COUNTIF(QCI!$A$13:$A$24,ORÇAMENTO!E220)),OFFSET($D220,1,$C220,ROW($C$290)-ROW($C220)),0))</f>
        <v>0</v>
      </c>
      <c r="L220" s="116" t="str">
        <f t="shared" ca="1" si="44"/>
        <v>F</v>
      </c>
      <c r="M220" s="117" t="s">
        <v>199</v>
      </c>
      <c r="N220" s="118" t="str">
        <f t="shared" ca="1" si="45"/>
        <v>Serviço</v>
      </c>
      <c r="O220" s="119" t="str">
        <f t="shared" ca="1" si="46"/>
        <v>1.9.0.8.</v>
      </c>
      <c r="P220" s="120" t="s">
        <v>462</v>
      </c>
      <c r="Q220" s="121" t="s">
        <v>590</v>
      </c>
      <c r="R220" s="122" t="str">
        <f ca="1">IF($C220="S",REFERENCIA.Descricao,"(digite a descrição aqui)")</f>
        <v>(abra o arquivo 'Referência 03-2024.xlsm)</v>
      </c>
      <c r="S220" s="123" t="str">
        <f ca="1">REFERENCIA.Unidade</f>
        <v>-</v>
      </c>
      <c r="T220" s="124">
        <f ca="1">OFFSET(CÁLCULO!H$15,ROW($T220)-ROW(T$15),0)</f>
        <v>147.84</v>
      </c>
      <c r="U220" s="125">
        <v>3.33</v>
      </c>
      <c r="V220" s="126" t="s">
        <v>156</v>
      </c>
      <c r="W220" s="124">
        <f ca="1">IF($C220="S",ROUND(IF(TIPOORCAMENTO="Proposto",ORÇAMENTO.CustoUnitario*(1+$AH220),ORÇAMENTO.PrecoUnitarioLicitado),15-13*$AF$10),0)</f>
        <v>4.2699999999999996</v>
      </c>
      <c r="X220" s="127">
        <f ca="1">IF($C220="S",IF(Import.TipoArredondamento&lt;&gt;"TransfereGOV",VTOTAL1,SUM(OFFSET(CÁLCULO!$AA$15,ROW($X220)-ROW($X$15),1):OFFSET(CÁLCULO!$AL$15,ROW($X220)-ROW($X$15),-1))),IF($C220=0,0,ROUND(SomaAgrup,15-13*$AF$11)))</f>
        <v>631.28</v>
      </c>
      <c r="Y220" s="128" t="s">
        <v>245</v>
      </c>
      <c r="Z220" t="str">
        <f t="shared" ca="1" si="47"/>
        <v>RA</v>
      </c>
      <c r="AA220" s="129">
        <f ca="1">IF($C220="S",IF($Z220="CP",$X220,IF($Z220="RA",(($X220)*QCI!$AA$3),0)),SomaAgrup)</f>
        <v>631.28</v>
      </c>
      <c r="AB220" s="130">
        <f t="shared" ca="1" si="48"/>
        <v>0</v>
      </c>
      <c r="AC220" s="131" t="str">
        <f ca="1">IF($N220="","",IF(ORÇAMENTO.Descricao="","DESCRIÇÃO",IF(AND($C220="S",ORÇAMENTO.Unidade=""),"UNIDADE",IF($X220&lt;0,"VALOR NEGATIVO",IF(OR(AND(TIPOORCAMENTO="Proposto",$AG220&lt;&gt;"",$AG220&gt;0,ORÇAMENTO.CustoUnitario&gt;$AG220),AND(TIPOORCAMENTO="LICITADO",ORÇAMENTO.PrecoUnitarioLicitado&gt;$AN220)),"ACIMA REF.","")))))</f>
        <v/>
      </c>
      <c r="AD220" t="str">
        <f ca="1">IF(C220&lt;=CRONO.NivelExibicao,MAX($AD$15:OFFSET(AD220,-1,0))+IF($C220&lt;&gt;1,1,MAX(1,COUNTIF(QCI!$A$13:$A$24,OFFSET($E220,-1,0)))),"")</f>
        <v/>
      </c>
      <c r="AE220" s="7" t="str">
        <f ca="1">IF(AND($C220="S",ORÇAMENTO.CodBarra&lt;&gt;""),IF(ORÇAMENTO.Fonte="",ORÇAMENTO.CodBarra,CONCATENATE(ORÇAMENTO.Fonte," ",ORÇAMENTO.CodBarra)))</f>
        <v>Composição 74</v>
      </c>
      <c r="AF220" s="13" t="str">
        <f ca="1">IF(ISERROR(INDIRECT(ORÇAMENTO.BancoRef)),"(abra o arquivo 'Referência "&amp;Excel_BuiltIn_Database&amp;".xlsm)",IF(OR($C220&lt;&gt;"S",ORÇAMENTO.CodBarra=""),"(Sem Código)",IF(ISERROR(MATCH($AE220,INDIRECT(ORÇAMENTO.BancoRef),0)),"(Código não identificado nas referências)",MATCH($AE220,INDIRECT(ORÇAMENTO.BancoRef),0))))</f>
        <v>(abra o arquivo 'Referência 03-2024.xlsm)</v>
      </c>
      <c r="AG220" s="498">
        <f ca="1">ROUND(IF(DESONERACAO="sim",REFERENCIA.Desonerado,REFERENCIA.NaoDesonerado),2)</f>
        <v>0</v>
      </c>
      <c r="AH220" s="499">
        <f t="shared" ca="1" si="49"/>
        <v>0.28170000000000001</v>
      </c>
      <c r="AJ220" s="501">
        <v>147.84</v>
      </c>
      <c r="AL220" s="527"/>
      <c r="AM220" s="381">
        <f t="shared" ca="1" si="50"/>
        <v>631.28</v>
      </c>
      <c r="AN220" s="566">
        <f t="shared" ca="1" si="51"/>
        <v>4.2699999999999996</v>
      </c>
    </row>
    <row r="221" spans="1:40" ht="38.25" x14ac:dyDescent="0.2">
      <c r="A221" t="str">
        <f t="shared" si="36"/>
        <v>S</v>
      </c>
      <c r="B221">
        <f t="shared" ca="1" si="37"/>
        <v>2</v>
      </c>
      <c r="C221" t="str">
        <f t="shared" ca="1" si="38"/>
        <v>S</v>
      </c>
      <c r="D221">
        <f t="shared" ca="1" si="39"/>
        <v>0</v>
      </c>
      <c r="E221">
        <f ca="1">IF($C221=1,OFFSET(E221,-1,0)+MAX(1,COUNTIF(QCI!$A$13:$A$24,OFFSET(ORÇAMENTO!E221,-1,0))),OFFSET(E221,-1,0))</f>
        <v>1</v>
      </c>
      <c r="F221">
        <f t="shared" ca="1" si="40"/>
        <v>9</v>
      </c>
      <c r="G221">
        <f t="shared" ca="1" si="41"/>
        <v>0</v>
      </c>
      <c r="H221">
        <f t="shared" ca="1" si="42"/>
        <v>0</v>
      </c>
      <c r="I221">
        <f t="shared" ca="1" si="43"/>
        <v>9</v>
      </c>
      <c r="J221">
        <f t="shared" ca="1" si="59"/>
        <v>0</v>
      </c>
      <c r="K221">
        <f ca="1">IF(OR($C221="S",$C221=0),0,MATCH(OFFSET($D221,0,$C221)+IF($C221&lt;&gt;1,1,COUNTIF(QCI!$A$13:$A$24,ORÇAMENTO!E221)),OFFSET($D221,1,$C221,ROW($C$290)-ROW($C221)),0))</f>
        <v>0</v>
      </c>
      <c r="L221" s="116" t="str">
        <f t="shared" ca="1" si="44"/>
        <v>F</v>
      </c>
      <c r="M221" s="117" t="s">
        <v>199</v>
      </c>
      <c r="N221" s="118" t="str">
        <f t="shared" ca="1" si="45"/>
        <v>Serviço</v>
      </c>
      <c r="O221" s="119" t="str">
        <f t="shared" ca="1" si="46"/>
        <v>1.9.0.9.</v>
      </c>
      <c r="P221" s="120" t="s">
        <v>462</v>
      </c>
      <c r="Q221" s="121" t="s">
        <v>599</v>
      </c>
      <c r="R221" s="122" t="str">
        <f ca="1">IF($C221="S",REFERENCIA.Descricao,"(digite a descrição aqui)")</f>
        <v>(abra o arquivo 'Referência 03-2024.xlsm)</v>
      </c>
      <c r="S221" s="123" t="str">
        <f ca="1">REFERENCIA.Unidade</f>
        <v>-</v>
      </c>
      <c r="T221" s="124">
        <f ca="1">OFFSET(CÁLCULO!H$15,ROW($T221)-ROW(T$15),0)</f>
        <v>14.78</v>
      </c>
      <c r="U221" s="125">
        <v>147.01</v>
      </c>
      <c r="V221" s="126" t="s">
        <v>156</v>
      </c>
      <c r="W221" s="124">
        <f ca="1">IF($C221="S",ROUND(IF(TIPOORCAMENTO="Proposto",ORÇAMENTO.CustoUnitario*(1+$AH221),ORÇAMENTO.PrecoUnitarioLicitado),15-13*$AF$10),0)</f>
        <v>188.42</v>
      </c>
      <c r="X221" s="127">
        <f ca="1">IF($C221="S",IF(Import.TipoArredondamento&lt;&gt;"TransfereGOV",VTOTAL1,SUM(OFFSET(CÁLCULO!$AA$15,ROW($X221)-ROW($X$15),1):OFFSET(CÁLCULO!$AL$15,ROW($X221)-ROW($X$15),-1))),IF($C221=0,0,ROUND(SomaAgrup,15-13*$AF$11)))</f>
        <v>2784.85</v>
      </c>
      <c r="Y221" s="128" t="s">
        <v>245</v>
      </c>
      <c r="Z221" t="str">
        <f t="shared" ca="1" si="47"/>
        <v>RA</v>
      </c>
      <c r="AA221" s="129">
        <f ca="1">IF($C221="S",IF($Z221="CP",$X221,IF($Z221="RA",(($X221)*QCI!$AA$3),0)),SomaAgrup)</f>
        <v>2784.85</v>
      </c>
      <c r="AB221" s="130">
        <f t="shared" ca="1" si="48"/>
        <v>0</v>
      </c>
      <c r="AC221" s="131" t="str">
        <f ca="1">IF($N221="","",IF(ORÇAMENTO.Descricao="","DESCRIÇÃO",IF(AND($C221="S",ORÇAMENTO.Unidade=""),"UNIDADE",IF($X221&lt;0,"VALOR NEGATIVO",IF(OR(AND(TIPOORCAMENTO="Proposto",$AG221&lt;&gt;"",$AG221&gt;0,ORÇAMENTO.CustoUnitario&gt;$AG221),AND(TIPOORCAMENTO="LICITADO",ORÇAMENTO.PrecoUnitarioLicitado&gt;$AN221)),"ACIMA REF.","")))))</f>
        <v/>
      </c>
      <c r="AD221" t="str">
        <f ca="1">IF(C221&lt;=CRONO.NivelExibicao,MAX($AD$15:OFFSET(AD221,-1,0))+IF($C221&lt;&gt;1,1,MAX(1,COUNTIF(QCI!$A$13:$A$24,OFFSET($E221,-1,0)))),"")</f>
        <v/>
      </c>
      <c r="AE221" s="7" t="str">
        <f ca="1">IF(AND($C221="S",ORÇAMENTO.CodBarra&lt;&gt;""),IF(ORÇAMENTO.Fonte="",ORÇAMENTO.CodBarra,CONCATENATE(ORÇAMENTO.Fonte," ",ORÇAMENTO.CodBarra)))</f>
        <v>Composição 82</v>
      </c>
      <c r="AF221" s="13" t="str">
        <f ca="1">IF(ISERROR(INDIRECT(ORÇAMENTO.BancoRef)),"(abra o arquivo 'Referência "&amp;Excel_BuiltIn_Database&amp;".xlsm)",IF(OR($C221&lt;&gt;"S",ORÇAMENTO.CodBarra=""),"(Sem Código)",IF(ISERROR(MATCH($AE221,INDIRECT(ORÇAMENTO.BancoRef),0)),"(Código não identificado nas referências)",MATCH($AE221,INDIRECT(ORÇAMENTO.BancoRef),0))))</f>
        <v>(abra o arquivo 'Referência 03-2024.xlsm)</v>
      </c>
      <c r="AG221" s="498">
        <f ca="1">ROUND(IF(DESONERACAO="sim",REFERENCIA.Desonerado,REFERENCIA.NaoDesonerado),2)</f>
        <v>0</v>
      </c>
      <c r="AH221" s="499">
        <f t="shared" ca="1" si="49"/>
        <v>0.28170000000000001</v>
      </c>
      <c r="AJ221" s="501">
        <v>14.78</v>
      </c>
      <c r="AL221" s="527"/>
      <c r="AM221" s="381">
        <f t="shared" ca="1" si="50"/>
        <v>2784.85</v>
      </c>
      <c r="AN221" s="566">
        <f t="shared" ca="1" si="51"/>
        <v>188.42</v>
      </c>
    </row>
    <row r="222" spans="1:40" ht="63.75" x14ac:dyDescent="0.2">
      <c r="A222" t="str">
        <f t="shared" si="36"/>
        <v>S</v>
      </c>
      <c r="B222">
        <f t="shared" ca="1" si="37"/>
        <v>2</v>
      </c>
      <c r="C222" t="str">
        <f t="shared" ca="1" si="38"/>
        <v>S</v>
      </c>
      <c r="D222">
        <f t="shared" ca="1" si="39"/>
        <v>0</v>
      </c>
      <c r="E222">
        <f ca="1">IF($C222=1,OFFSET(E222,-1,0)+MAX(1,COUNTIF(QCI!$A$13:$A$24,OFFSET(ORÇAMENTO!E222,-1,0))),OFFSET(E222,-1,0))</f>
        <v>1</v>
      </c>
      <c r="F222">
        <f t="shared" ca="1" si="40"/>
        <v>9</v>
      </c>
      <c r="G222">
        <f t="shared" ca="1" si="41"/>
        <v>0</v>
      </c>
      <c r="H222">
        <f t="shared" ca="1" si="42"/>
        <v>0</v>
      </c>
      <c r="I222">
        <f t="shared" ca="1" si="43"/>
        <v>10</v>
      </c>
      <c r="J222">
        <f t="shared" ca="1" si="59"/>
        <v>0</v>
      </c>
      <c r="K222">
        <f ca="1">IF(OR($C222="S",$C222=0),0,MATCH(OFFSET($D222,0,$C222)+IF($C222&lt;&gt;1,1,COUNTIF(QCI!$A$13:$A$24,ORÇAMENTO!E222)),OFFSET($D222,1,$C222,ROW($C$290)-ROW($C222)),0))</f>
        <v>0</v>
      </c>
      <c r="L222" s="116" t="str">
        <f t="shared" ca="1" si="44"/>
        <v>F</v>
      </c>
      <c r="M222" s="117" t="s">
        <v>199</v>
      </c>
      <c r="N222" s="118" t="str">
        <f t="shared" ca="1" si="45"/>
        <v>Serviço</v>
      </c>
      <c r="O222" s="119" t="str">
        <f t="shared" ca="1" si="46"/>
        <v>1.9.0.10.</v>
      </c>
      <c r="P222" s="120" t="s">
        <v>462</v>
      </c>
      <c r="Q222" s="121" t="s">
        <v>600</v>
      </c>
      <c r="R222" s="122" t="str">
        <f ca="1">IF($C222="S",REFERENCIA.Descricao,"(digite a descrição aqui)")</f>
        <v>(abra o arquivo 'Referência 03-2024.xlsm)</v>
      </c>
      <c r="S222" s="123" t="str">
        <f ca="1">REFERENCIA.Unidade</f>
        <v>-</v>
      </c>
      <c r="T222" s="124">
        <f ca="1">OFFSET(CÁLCULO!H$15,ROW($T222)-ROW(T$15),0)</f>
        <v>1</v>
      </c>
      <c r="U222" s="125">
        <v>3261.54</v>
      </c>
      <c r="V222" s="126" t="s">
        <v>156</v>
      </c>
      <c r="W222" s="124">
        <f ca="1">IF($C222="S",ROUND(IF(TIPOORCAMENTO="Proposto",ORÇAMENTO.CustoUnitario*(1+$AH222),ORÇAMENTO.PrecoUnitarioLicitado),15-13*$AF$10),0)</f>
        <v>4180.32</v>
      </c>
      <c r="X222" s="127">
        <f ca="1">IF($C222="S",IF(Import.TipoArredondamento&lt;&gt;"TransfereGOV",VTOTAL1,SUM(OFFSET(CÁLCULO!$AA$15,ROW($X222)-ROW($X$15),1):OFFSET(CÁLCULO!$AL$15,ROW($X222)-ROW($X$15),-1))),IF($C222=0,0,ROUND(SomaAgrup,15-13*$AF$11)))</f>
        <v>4180.32</v>
      </c>
      <c r="Y222" s="128" t="s">
        <v>245</v>
      </c>
      <c r="Z222" t="str">
        <f t="shared" ca="1" si="47"/>
        <v>RA</v>
      </c>
      <c r="AA222" s="129">
        <f ca="1">IF($C222="S",IF($Z222="CP",$X222,IF($Z222="RA",(($X222)*QCI!$AA$3),0)),SomaAgrup)</f>
        <v>4180.32</v>
      </c>
      <c r="AB222" s="130">
        <f t="shared" ca="1" si="48"/>
        <v>0</v>
      </c>
      <c r="AC222" s="131" t="str">
        <f ca="1">IF($N222="","",IF(ORÇAMENTO.Descricao="","DESCRIÇÃO",IF(AND($C222="S",ORÇAMENTO.Unidade=""),"UNIDADE",IF($X222&lt;0,"VALOR NEGATIVO",IF(OR(AND(TIPOORCAMENTO="Proposto",$AG222&lt;&gt;"",$AG222&gt;0,ORÇAMENTO.CustoUnitario&gt;$AG222),AND(TIPOORCAMENTO="LICITADO",ORÇAMENTO.PrecoUnitarioLicitado&gt;$AN222)),"ACIMA REF.","")))))</f>
        <v/>
      </c>
      <c r="AD222" t="str">
        <f ca="1">IF(C222&lt;=CRONO.NivelExibicao,MAX($AD$15:OFFSET(AD222,-1,0))+IF($C222&lt;&gt;1,1,MAX(1,COUNTIF(QCI!$A$13:$A$24,OFFSET($E222,-1,0)))),"")</f>
        <v/>
      </c>
      <c r="AE222" s="7" t="str">
        <f ca="1">IF(AND($C222="S",ORÇAMENTO.CodBarra&lt;&gt;""),IF(ORÇAMENTO.Fonte="",ORÇAMENTO.CodBarra,CONCATENATE(ORÇAMENTO.Fonte," ",ORÇAMENTO.CodBarra)))</f>
        <v>Composição 83</v>
      </c>
      <c r="AF222" s="13" t="str">
        <f ca="1">IF(ISERROR(INDIRECT(ORÇAMENTO.BancoRef)),"(abra o arquivo 'Referência "&amp;Excel_BuiltIn_Database&amp;".xlsm)",IF(OR($C222&lt;&gt;"S",ORÇAMENTO.CodBarra=""),"(Sem Código)",IF(ISERROR(MATCH($AE222,INDIRECT(ORÇAMENTO.BancoRef),0)),"(Código não identificado nas referências)",MATCH($AE222,INDIRECT(ORÇAMENTO.BancoRef),0))))</f>
        <v>(abra o arquivo 'Referência 03-2024.xlsm)</v>
      </c>
      <c r="AG222" s="498">
        <f ca="1">ROUND(IF(DESONERACAO="sim",REFERENCIA.Desonerado,REFERENCIA.NaoDesonerado),2)</f>
        <v>0</v>
      </c>
      <c r="AH222" s="499">
        <f t="shared" ca="1" si="49"/>
        <v>0.28170000000000001</v>
      </c>
      <c r="AJ222" s="501">
        <v>1</v>
      </c>
      <c r="AL222" s="527"/>
      <c r="AM222" s="381">
        <f t="shared" ca="1" si="50"/>
        <v>4180.32</v>
      </c>
      <c r="AN222" s="566">
        <f t="shared" ca="1" si="51"/>
        <v>4180.32</v>
      </c>
    </row>
    <row r="223" spans="1:40" ht="63.75" x14ac:dyDescent="0.2">
      <c r="A223" t="str">
        <f t="shared" si="36"/>
        <v>S</v>
      </c>
      <c r="B223">
        <f t="shared" ca="1" si="37"/>
        <v>2</v>
      </c>
      <c r="C223" t="str">
        <f t="shared" ca="1" si="38"/>
        <v>S</v>
      </c>
      <c r="D223">
        <f t="shared" ca="1" si="39"/>
        <v>0</v>
      </c>
      <c r="E223">
        <f ca="1">IF($C223=1,OFFSET(E223,-1,0)+MAX(1,COUNTIF(QCI!$A$13:$A$24,OFFSET(ORÇAMENTO!E223,-1,0))),OFFSET(E223,-1,0))</f>
        <v>1</v>
      </c>
      <c r="F223">
        <f t="shared" ca="1" si="40"/>
        <v>9</v>
      </c>
      <c r="G223">
        <f t="shared" ca="1" si="41"/>
        <v>0</v>
      </c>
      <c r="H223">
        <f t="shared" ca="1" si="42"/>
        <v>0</v>
      </c>
      <c r="I223">
        <f t="shared" ca="1" si="43"/>
        <v>11</v>
      </c>
      <c r="J223">
        <f t="shared" ca="1" si="59"/>
        <v>0</v>
      </c>
      <c r="K223">
        <f ca="1">IF(OR($C223="S",$C223=0),0,MATCH(OFFSET($D223,0,$C223)+IF($C223&lt;&gt;1,1,COUNTIF(QCI!$A$13:$A$24,ORÇAMENTO!E223)),OFFSET($D223,1,$C223,ROW($C$290)-ROW($C223)),0))</f>
        <v>0</v>
      </c>
      <c r="L223" s="116" t="str">
        <f t="shared" ca="1" si="44"/>
        <v>F</v>
      </c>
      <c r="M223" s="117" t="s">
        <v>199</v>
      </c>
      <c r="N223" s="118" t="str">
        <f t="shared" ca="1" si="45"/>
        <v>Serviço</v>
      </c>
      <c r="O223" s="119" t="str">
        <f t="shared" ca="1" si="46"/>
        <v>1.9.0.11.</v>
      </c>
      <c r="P223" s="120" t="s">
        <v>462</v>
      </c>
      <c r="Q223" s="121" t="s">
        <v>594</v>
      </c>
      <c r="R223" s="122" t="str">
        <f ca="1">IF($C223="S",REFERENCIA.Descricao,"(digite a descrição aqui)")</f>
        <v>(abra o arquivo 'Referência 03-2024.xlsm)</v>
      </c>
      <c r="S223" s="123" t="str">
        <f ca="1">REFERENCIA.Unidade</f>
        <v>-</v>
      </c>
      <c r="T223" s="124">
        <f ca="1">OFFSET(CÁLCULO!H$15,ROW($T223)-ROW(T$15),0)</f>
        <v>65.8</v>
      </c>
      <c r="U223" s="125">
        <v>125.92</v>
      </c>
      <c r="V223" s="126" t="s">
        <v>156</v>
      </c>
      <c r="W223" s="124">
        <f ca="1">IF($C223="S",ROUND(IF(TIPOORCAMENTO="Proposto",ORÇAMENTO.CustoUnitario*(1+$AH223),ORÇAMENTO.PrecoUnitarioLicitado),15-13*$AF$10),0)</f>
        <v>161.38999999999999</v>
      </c>
      <c r="X223" s="127">
        <f ca="1">IF($C223="S",IF(Import.TipoArredondamento&lt;&gt;"TransfereGOV",VTOTAL1,SUM(OFFSET(CÁLCULO!$AA$15,ROW($X223)-ROW($X$15),1):OFFSET(CÁLCULO!$AL$15,ROW($X223)-ROW($X$15),-1))),IF($C223=0,0,ROUND(SomaAgrup,15-13*$AF$11)))</f>
        <v>10619.46</v>
      </c>
      <c r="Y223" s="128" t="s">
        <v>245</v>
      </c>
      <c r="Z223" t="str">
        <f t="shared" ca="1" si="47"/>
        <v>RA</v>
      </c>
      <c r="AA223" s="129">
        <f ca="1">IF($C223="S",IF($Z223="CP",$X223,IF($Z223="RA",(($X223)*QCI!$AA$3),0)),SomaAgrup)</f>
        <v>10619.46</v>
      </c>
      <c r="AB223" s="130">
        <f t="shared" ca="1" si="48"/>
        <v>0</v>
      </c>
      <c r="AC223" s="131" t="str">
        <f ca="1">IF($N223="","",IF(ORÇAMENTO.Descricao="","DESCRIÇÃO",IF(AND($C223="S",ORÇAMENTO.Unidade=""),"UNIDADE",IF($X223&lt;0,"VALOR NEGATIVO",IF(OR(AND(TIPOORCAMENTO="Proposto",$AG223&lt;&gt;"",$AG223&gt;0,ORÇAMENTO.CustoUnitario&gt;$AG223),AND(TIPOORCAMENTO="LICITADO",ORÇAMENTO.PrecoUnitarioLicitado&gt;$AN223)),"ACIMA REF.","")))))</f>
        <v/>
      </c>
      <c r="AD223" t="str">
        <f ca="1">IF(C223&lt;=CRONO.NivelExibicao,MAX($AD$15:OFFSET(AD223,-1,0))+IF($C223&lt;&gt;1,1,MAX(1,COUNTIF(QCI!$A$13:$A$24,OFFSET($E223,-1,0)))),"")</f>
        <v/>
      </c>
      <c r="AE223" s="7" t="str">
        <f ca="1">IF(AND($C223="S",ORÇAMENTO.CodBarra&lt;&gt;""),IF(ORÇAMENTO.Fonte="",ORÇAMENTO.CodBarra,CONCATENATE(ORÇAMENTO.Fonte," ",ORÇAMENTO.CodBarra)))</f>
        <v>Composição 79</v>
      </c>
      <c r="AF223" s="13" t="str">
        <f ca="1">IF(ISERROR(INDIRECT(ORÇAMENTO.BancoRef)),"(abra o arquivo 'Referência "&amp;Excel_BuiltIn_Database&amp;".xlsm)",IF(OR($C223&lt;&gt;"S",ORÇAMENTO.CodBarra=""),"(Sem Código)",IF(ISERROR(MATCH($AE223,INDIRECT(ORÇAMENTO.BancoRef),0)),"(Código não identificado nas referências)",MATCH($AE223,INDIRECT(ORÇAMENTO.BancoRef),0))))</f>
        <v>(abra o arquivo 'Referência 03-2024.xlsm)</v>
      </c>
      <c r="AG223" s="498">
        <f ca="1">ROUND(IF(DESONERACAO="sim",REFERENCIA.Desonerado,REFERENCIA.NaoDesonerado),2)</f>
        <v>0</v>
      </c>
      <c r="AH223" s="499">
        <f t="shared" ca="1" si="49"/>
        <v>0.28170000000000001</v>
      </c>
      <c r="AJ223" s="501">
        <v>65.8</v>
      </c>
      <c r="AL223" s="527"/>
      <c r="AM223" s="381">
        <f t="shared" ca="1" si="50"/>
        <v>10619.46</v>
      </c>
      <c r="AN223" s="566">
        <f t="shared" ca="1" si="51"/>
        <v>161.38999999999999</v>
      </c>
    </row>
    <row r="224" spans="1:40" ht="63.75" x14ac:dyDescent="0.2">
      <c r="A224" t="str">
        <f t="shared" si="36"/>
        <v>S</v>
      </c>
      <c r="B224">
        <f t="shared" ca="1" si="37"/>
        <v>2</v>
      </c>
      <c r="C224" t="str">
        <f t="shared" ca="1" si="38"/>
        <v>S</v>
      </c>
      <c r="D224">
        <f t="shared" ca="1" si="39"/>
        <v>0</v>
      </c>
      <c r="E224">
        <f ca="1">IF($C224=1,OFFSET(E224,-1,0)+MAX(1,COUNTIF(QCI!$A$13:$A$24,OFFSET(ORÇAMENTO!E224,-1,0))),OFFSET(E224,-1,0))</f>
        <v>1</v>
      </c>
      <c r="F224">
        <f t="shared" ca="1" si="40"/>
        <v>9</v>
      </c>
      <c r="G224">
        <f t="shared" ca="1" si="41"/>
        <v>0</v>
      </c>
      <c r="H224">
        <f t="shared" ca="1" si="42"/>
        <v>0</v>
      </c>
      <c r="I224">
        <f t="shared" ca="1" si="43"/>
        <v>12</v>
      </c>
      <c r="J224">
        <f t="shared" ca="1" si="59"/>
        <v>0</v>
      </c>
      <c r="K224">
        <f ca="1">IF(OR($C224="S",$C224=0),0,MATCH(OFFSET($D224,0,$C224)+IF($C224&lt;&gt;1,1,COUNTIF(QCI!$A$13:$A$24,ORÇAMENTO!E224)),OFFSET($D224,1,$C224,ROW($C$290)-ROW($C224)),0))</f>
        <v>0</v>
      </c>
      <c r="L224" s="116" t="str">
        <f t="shared" ca="1" si="44"/>
        <v>F</v>
      </c>
      <c r="M224" s="117" t="s">
        <v>199</v>
      </c>
      <c r="N224" s="118" t="str">
        <f t="shared" ca="1" si="45"/>
        <v>Serviço</v>
      </c>
      <c r="O224" s="119" t="str">
        <f t="shared" ca="1" si="46"/>
        <v>1.9.0.12.</v>
      </c>
      <c r="P224" s="120" t="s">
        <v>462</v>
      </c>
      <c r="Q224" s="121" t="s">
        <v>595</v>
      </c>
      <c r="R224" s="122" t="str">
        <f ca="1">IF($C224="S",REFERENCIA.Descricao,"(digite a descrição aqui)")</f>
        <v>(abra o arquivo 'Referência 03-2024.xlsm)</v>
      </c>
      <c r="S224" s="123" t="str">
        <f ca="1">REFERENCIA.Unidade</f>
        <v>-</v>
      </c>
      <c r="T224" s="124">
        <f ca="1">OFFSET(CÁLCULO!H$15,ROW($T224)-ROW(T$15),0)</f>
        <v>3</v>
      </c>
      <c r="U224" s="125">
        <v>199.84</v>
      </c>
      <c r="V224" s="126" t="s">
        <v>156</v>
      </c>
      <c r="W224" s="124">
        <f ca="1">IF($C224="S",ROUND(IF(TIPOORCAMENTO="Proposto",ORÇAMENTO.CustoUnitario*(1+$AH224),ORÇAMENTO.PrecoUnitarioLicitado),15-13*$AF$10),0)</f>
        <v>256.13</v>
      </c>
      <c r="X224" s="127">
        <f ca="1">IF($C224="S",IF(Import.TipoArredondamento&lt;&gt;"TransfereGOV",VTOTAL1,SUM(OFFSET(CÁLCULO!$AA$15,ROW($X224)-ROW($X$15),1):OFFSET(CÁLCULO!$AL$15,ROW($X224)-ROW($X$15),-1))),IF($C224=0,0,ROUND(SomaAgrup,15-13*$AF$11)))</f>
        <v>768.39</v>
      </c>
      <c r="Y224" s="128" t="s">
        <v>245</v>
      </c>
      <c r="Z224" t="str">
        <f t="shared" ca="1" si="47"/>
        <v>RA</v>
      </c>
      <c r="AA224" s="129">
        <f ca="1">IF($C224="S",IF($Z224="CP",$X224,IF($Z224="RA",(($X224)*QCI!$AA$3),0)),SomaAgrup)</f>
        <v>768.39</v>
      </c>
      <c r="AB224" s="130">
        <f t="shared" ca="1" si="48"/>
        <v>0</v>
      </c>
      <c r="AC224" s="131" t="str">
        <f ca="1">IF($N224="","",IF(ORÇAMENTO.Descricao="","DESCRIÇÃO",IF(AND($C224="S",ORÇAMENTO.Unidade=""),"UNIDADE",IF($X224&lt;0,"VALOR NEGATIVO",IF(OR(AND(TIPOORCAMENTO="Proposto",$AG224&lt;&gt;"",$AG224&gt;0,ORÇAMENTO.CustoUnitario&gt;$AG224),AND(TIPOORCAMENTO="LICITADO",ORÇAMENTO.PrecoUnitarioLicitado&gt;$AN224)),"ACIMA REF.","")))))</f>
        <v/>
      </c>
      <c r="AD224" t="str">
        <f ca="1">IF(C224&lt;=CRONO.NivelExibicao,MAX($AD$15:OFFSET(AD224,-1,0))+IF($C224&lt;&gt;1,1,MAX(1,COUNTIF(QCI!$A$13:$A$24,OFFSET($E224,-1,0)))),"")</f>
        <v/>
      </c>
      <c r="AE224" s="7" t="str">
        <f ca="1">IF(AND($C224="S",ORÇAMENTO.CodBarra&lt;&gt;""),IF(ORÇAMENTO.Fonte="",ORÇAMENTO.CodBarra,CONCATENATE(ORÇAMENTO.Fonte," ",ORÇAMENTO.CodBarra)))</f>
        <v>Composição 78</v>
      </c>
      <c r="AF224" s="13" t="str">
        <f ca="1">IF(ISERROR(INDIRECT(ORÇAMENTO.BancoRef)),"(abra o arquivo 'Referência "&amp;Excel_BuiltIn_Database&amp;".xlsm)",IF(OR($C224&lt;&gt;"S",ORÇAMENTO.CodBarra=""),"(Sem Código)",IF(ISERROR(MATCH($AE224,INDIRECT(ORÇAMENTO.BancoRef),0)),"(Código não identificado nas referências)",MATCH($AE224,INDIRECT(ORÇAMENTO.BancoRef),0))))</f>
        <v>(abra o arquivo 'Referência 03-2024.xlsm)</v>
      </c>
      <c r="AG224" s="498">
        <f ca="1">ROUND(IF(DESONERACAO="sim",REFERENCIA.Desonerado,REFERENCIA.NaoDesonerado),2)</f>
        <v>0</v>
      </c>
      <c r="AH224" s="499">
        <f t="shared" ca="1" si="49"/>
        <v>0.28170000000000001</v>
      </c>
      <c r="AJ224" s="501">
        <v>3</v>
      </c>
      <c r="AL224" s="527"/>
      <c r="AM224" s="381">
        <f t="shared" ca="1" si="50"/>
        <v>768.39</v>
      </c>
      <c r="AN224" s="566">
        <f t="shared" ca="1" si="51"/>
        <v>256.13</v>
      </c>
    </row>
    <row r="225" spans="1:40" x14ac:dyDescent="0.2">
      <c r="A225">
        <f t="shared" si="36"/>
        <v>2</v>
      </c>
      <c r="B225">
        <f t="shared" ca="1" si="37"/>
        <v>2</v>
      </c>
      <c r="C225">
        <f t="shared" ca="1" si="38"/>
        <v>2</v>
      </c>
      <c r="D225">
        <f t="shared" ca="1" si="39"/>
        <v>12</v>
      </c>
      <c r="E225">
        <f ca="1">IF($C225=1,OFFSET(E225,-1,0)+MAX(1,COUNTIF(QCI!$A$13:$A$24,OFFSET(ORÇAMENTO!E225,-1,0))),OFFSET(E225,-1,0))</f>
        <v>1</v>
      </c>
      <c r="F225">
        <f t="shared" ca="1" si="40"/>
        <v>10</v>
      </c>
      <c r="G225">
        <f t="shared" ca="1" si="41"/>
        <v>0</v>
      </c>
      <c r="H225">
        <f t="shared" ca="1" si="42"/>
        <v>0</v>
      </c>
      <c r="I225">
        <f t="shared" ca="1" si="43"/>
        <v>0</v>
      </c>
      <c r="J225">
        <f t="shared" ca="1" si="59"/>
        <v>65</v>
      </c>
      <c r="K225">
        <f ca="1">IF(OR($C225="S",$C225=0),0,MATCH(OFFSET($D225,0,$C225)+IF($C225&lt;&gt;1,1,COUNTIF(QCI!$A$13:$A$24,ORÇAMENTO!E225)),OFFSET($D225,1,$C225,ROW($C$290)-ROW($C225)),0))</f>
        <v>12</v>
      </c>
      <c r="L225" s="116" t="str">
        <f t="shared" ca="1" si="44"/>
        <v>F</v>
      </c>
      <c r="M225" s="117" t="s">
        <v>196</v>
      </c>
      <c r="N225" s="118" t="str">
        <f t="shared" ca="1" si="45"/>
        <v>Nível 2</v>
      </c>
      <c r="O225" s="119" t="str">
        <f t="shared" ca="1" si="46"/>
        <v>1.10.</v>
      </c>
      <c r="P225" s="120" t="s">
        <v>247</v>
      </c>
      <c r="Q225" s="121"/>
      <c r="R225" s="122" t="s">
        <v>601</v>
      </c>
      <c r="S225" s="123" t="str">
        <f ca="1">REFERENCIA.Unidade</f>
        <v>-</v>
      </c>
      <c r="T225" s="124">
        <f ca="1">OFFSET(CÁLCULO!H$15,ROW($T225)-ROW(T$15),0)</f>
        <v>0</v>
      </c>
      <c r="U225" s="125">
        <v>0</v>
      </c>
      <c r="V225" s="126" t="s">
        <v>156</v>
      </c>
      <c r="W225" s="124">
        <f ca="1">IF($C225="S",ROUND(IF(TIPOORCAMENTO="Proposto",ORÇAMENTO.CustoUnitario*(1+$AH225),ORÇAMENTO.PrecoUnitarioLicitado),15-13*$AF$10),0)</f>
        <v>0</v>
      </c>
      <c r="X225" s="127">
        <f ca="1">IF($C225="S",IF(Import.TipoArredondamento&lt;&gt;"TransfereGOV",VTOTAL1,SUM(OFFSET(CÁLCULO!$AA$15,ROW($X225)-ROW($X$15),1):OFFSET(CÁLCULO!$AL$15,ROW($X225)-ROW($X$15),-1))),IF($C225=0,0,ROUND(SomaAgrup,15-13*$AF$11)))</f>
        <v>18622.34</v>
      </c>
      <c r="Y225" s="128" t="s">
        <v>245</v>
      </c>
      <c r="Z225" t="str">
        <f t="shared" ca="1" si="47"/>
        <v/>
      </c>
      <c r="AA225" s="129">
        <f ca="1">IF($C225="S",IF($Z225="CP",$X225,IF($Z225="RA",(($X225)*QCI!$AA$3),0)),SomaAgrup)</f>
        <v>18622.34</v>
      </c>
      <c r="AB225" s="130">
        <f t="shared" ca="1" si="48"/>
        <v>0</v>
      </c>
      <c r="AC225" s="131" t="str">
        <f ca="1">IF($N225="","",IF(ORÇAMENTO.Descricao="","DESCRIÇÃO",IF(AND($C225="S",ORÇAMENTO.Unidade=""),"UNIDADE",IF($X225&lt;0,"VALOR NEGATIVO",IF(OR(AND(TIPOORCAMENTO="Proposto",$AG225&lt;&gt;"",$AG225&gt;0,ORÇAMENTO.CustoUnitario&gt;$AG225),AND(TIPOORCAMENTO="LICITADO",ORÇAMENTO.PrecoUnitarioLicitado&gt;$AN225)),"ACIMA REF.","")))))</f>
        <v/>
      </c>
      <c r="AD225">
        <f ca="1">IF(C225&lt;=CRONO.NivelExibicao,MAX($AD$15:OFFSET(AD225,-1,0))+IF($C225&lt;&gt;1,1,MAX(1,COUNTIF(QCI!$A$13:$A$24,OFFSET($E225,-1,0)))),"")</f>
        <v>31</v>
      </c>
      <c r="AE225" s="7" t="b">
        <f ca="1">IF(AND($C225="S",ORÇAMENTO.CodBarra&lt;&gt;""),IF(ORÇAMENTO.Fonte="",ORÇAMENTO.CodBarra,CONCATENATE(ORÇAMENTO.Fonte," ",ORÇAMENTO.CodBarra)))</f>
        <v>0</v>
      </c>
      <c r="AF225" s="13" t="str">
        <f ca="1">IF(ISERROR(INDIRECT(ORÇAMENTO.BancoRef)),"(abra o arquivo 'Referência "&amp;Excel_BuiltIn_Database&amp;".xlsm)",IF(OR($C225&lt;&gt;"S",ORÇAMENTO.CodBarra=""),"(Sem Código)",IF(ISERROR(MATCH($AE225,INDIRECT(ORÇAMENTO.BancoRef),0)),"(Código não identificado nas referências)",MATCH($AE225,INDIRECT(ORÇAMENTO.BancoRef),0))))</f>
        <v>(abra o arquivo 'Referência 03-2024.xlsm)</v>
      </c>
      <c r="AG225" s="498">
        <f ca="1">ROUND(IF(DESONERACAO="sim",REFERENCIA.Desonerado,REFERENCIA.NaoDesonerado),2)</f>
        <v>0</v>
      </c>
      <c r="AH225" s="499">
        <f t="shared" ca="1" si="49"/>
        <v>0.28170000000000001</v>
      </c>
      <c r="AJ225" s="501"/>
      <c r="AL225" s="527"/>
      <c r="AM225" s="381">
        <f t="shared" ca="1" si="50"/>
        <v>18622.34</v>
      </c>
      <c r="AN225" s="566">
        <f t="shared" ca="1" si="51"/>
        <v>0</v>
      </c>
    </row>
    <row r="226" spans="1:40" ht="63.75" x14ac:dyDescent="0.2">
      <c r="A226" t="str">
        <f t="shared" si="36"/>
        <v>S</v>
      </c>
      <c r="B226">
        <f t="shared" ca="1" si="37"/>
        <v>2</v>
      </c>
      <c r="C226" t="str">
        <f t="shared" ca="1" si="38"/>
        <v>S</v>
      </c>
      <c r="D226">
        <f t="shared" ca="1" si="39"/>
        <v>0</v>
      </c>
      <c r="E226">
        <f ca="1">IF($C226=1,OFFSET(E226,-1,0)+MAX(1,COUNTIF(QCI!$A$13:$A$24,OFFSET(ORÇAMENTO!E226,-1,0))),OFFSET(E226,-1,0))</f>
        <v>1</v>
      </c>
      <c r="F226">
        <f t="shared" ca="1" si="40"/>
        <v>10</v>
      </c>
      <c r="G226">
        <f t="shared" ca="1" si="41"/>
        <v>0</v>
      </c>
      <c r="H226">
        <f t="shared" ca="1" si="42"/>
        <v>0</v>
      </c>
      <c r="I226">
        <f t="shared" ca="1" si="43"/>
        <v>1</v>
      </c>
      <c r="J226">
        <f t="shared" ca="1" si="59"/>
        <v>0</v>
      </c>
      <c r="K226">
        <f ca="1">IF(OR($C226="S",$C226=0),0,MATCH(OFFSET($D226,0,$C226)+IF($C226&lt;&gt;1,1,COUNTIF(QCI!$A$13:$A$24,ORÇAMENTO!E226)),OFFSET($D226,1,$C226,ROW($C$290)-ROW($C226)),0))</f>
        <v>0</v>
      </c>
      <c r="L226" s="116" t="str">
        <f t="shared" ca="1" si="44"/>
        <v>F</v>
      </c>
      <c r="M226" s="117" t="s">
        <v>199</v>
      </c>
      <c r="N226" s="118" t="str">
        <f t="shared" ca="1" si="45"/>
        <v>Serviço</v>
      </c>
      <c r="O226" s="119" t="str">
        <f t="shared" ca="1" si="46"/>
        <v>1.10.0.1.</v>
      </c>
      <c r="P226" s="120" t="s">
        <v>247</v>
      </c>
      <c r="Q226" s="121" t="s">
        <v>492</v>
      </c>
      <c r="R226" s="122" t="str">
        <f ca="1">IF($C226="S",REFERENCIA.Descricao,"(digite a descrição aqui)")</f>
        <v>(abra o arquivo 'Referência 03-2024.xlsm)</v>
      </c>
      <c r="S226" s="123" t="str">
        <f ca="1">REFERENCIA.Unidade</f>
        <v>-</v>
      </c>
      <c r="T226" s="124">
        <f ca="1">OFFSET(CÁLCULO!H$15,ROW($T226)-ROW(T$15),0)</f>
        <v>3.84</v>
      </c>
      <c r="U226" s="125">
        <v>6.45</v>
      </c>
      <c r="V226" s="126" t="s">
        <v>156</v>
      </c>
      <c r="W226" s="124">
        <f ca="1">IF($C226="S",ROUND(IF(TIPOORCAMENTO="Proposto",ORÇAMENTO.CustoUnitario*(1+$AH226),ORÇAMENTO.PrecoUnitarioLicitado),15-13*$AF$10),0)</f>
        <v>8.27</v>
      </c>
      <c r="X226" s="127">
        <f ca="1">IF($C226="S",IF(Import.TipoArredondamento&lt;&gt;"TransfereGOV",VTOTAL1,SUM(OFFSET(CÁLCULO!$AA$15,ROW($X226)-ROW($X$15),1):OFFSET(CÁLCULO!$AL$15,ROW($X226)-ROW($X$15),-1))),IF($C226=0,0,ROUND(SomaAgrup,15-13*$AF$11)))</f>
        <v>31.76</v>
      </c>
      <c r="Y226" s="128" t="s">
        <v>245</v>
      </c>
      <c r="Z226" t="str">
        <f t="shared" ca="1" si="47"/>
        <v>RA</v>
      </c>
      <c r="AA226" s="129">
        <f ca="1">IF($C226="S",IF($Z226="CP",$X226,IF($Z226="RA",(($X226)*QCI!$AA$3),0)),SomaAgrup)</f>
        <v>31.76</v>
      </c>
      <c r="AB226" s="130">
        <f t="shared" ca="1" si="48"/>
        <v>0</v>
      </c>
      <c r="AC226" s="131" t="str">
        <f ca="1">IF($N226="","",IF(ORÇAMENTO.Descricao="","DESCRIÇÃO",IF(AND($C226="S",ORÇAMENTO.Unidade=""),"UNIDADE",IF($X226&lt;0,"VALOR NEGATIVO",IF(OR(AND(TIPOORCAMENTO="Proposto",$AG226&lt;&gt;"",$AG226&gt;0,ORÇAMENTO.CustoUnitario&gt;$AG226),AND(TIPOORCAMENTO="LICITADO",ORÇAMENTO.PrecoUnitarioLicitado&gt;$AN226)),"ACIMA REF.","")))))</f>
        <v/>
      </c>
      <c r="AD226" t="str">
        <f ca="1">IF(C226&lt;=CRONO.NivelExibicao,MAX($AD$15:OFFSET(AD226,-1,0))+IF($C226&lt;&gt;1,1,MAX(1,COUNTIF(QCI!$A$13:$A$24,OFFSET($E226,-1,0)))),"")</f>
        <v/>
      </c>
      <c r="AE226" s="7" t="str">
        <f ca="1">IF(AND($C226="S",ORÇAMENTO.CodBarra&lt;&gt;""),IF(ORÇAMENTO.Fonte="",ORÇAMENTO.CodBarra,CONCATENATE(ORÇAMENTO.Fonte," ",ORÇAMENTO.CodBarra)))</f>
        <v>SINAPI 90091</v>
      </c>
      <c r="AF226" s="13" t="str">
        <f ca="1">IF(ISERROR(INDIRECT(ORÇAMENTO.BancoRef)),"(abra o arquivo 'Referência "&amp;Excel_BuiltIn_Database&amp;".xlsm)",IF(OR($C226&lt;&gt;"S",ORÇAMENTO.CodBarra=""),"(Sem Código)",IF(ISERROR(MATCH($AE226,INDIRECT(ORÇAMENTO.BancoRef),0)),"(Código não identificado nas referências)",MATCH($AE226,INDIRECT(ORÇAMENTO.BancoRef),0))))</f>
        <v>(abra o arquivo 'Referência 03-2024.xlsm)</v>
      </c>
      <c r="AG226" s="498">
        <f ca="1">ROUND(IF(DESONERACAO="sim",REFERENCIA.Desonerado,REFERENCIA.NaoDesonerado),2)</f>
        <v>0</v>
      </c>
      <c r="AH226" s="499">
        <f t="shared" ca="1" si="49"/>
        <v>0.28170000000000001</v>
      </c>
      <c r="AJ226" s="501">
        <v>3.84</v>
      </c>
      <c r="AL226" s="527"/>
      <c r="AM226" s="381">
        <f t="shared" ca="1" si="50"/>
        <v>31.76</v>
      </c>
      <c r="AN226" s="566">
        <f t="shared" ca="1" si="51"/>
        <v>8.27</v>
      </c>
    </row>
    <row r="227" spans="1:40" ht="51" x14ac:dyDescent="0.2">
      <c r="A227" t="str">
        <f t="shared" si="36"/>
        <v>S</v>
      </c>
      <c r="B227">
        <f t="shared" ca="1" si="37"/>
        <v>2</v>
      </c>
      <c r="C227" t="str">
        <f t="shared" ca="1" si="38"/>
        <v>S</v>
      </c>
      <c r="D227">
        <f t="shared" ca="1" si="39"/>
        <v>0</v>
      </c>
      <c r="E227">
        <f ca="1">IF($C227=1,OFFSET(E227,-1,0)+MAX(1,COUNTIF(QCI!$A$13:$A$24,OFFSET(ORÇAMENTO!E227,-1,0))),OFFSET(E227,-1,0))</f>
        <v>1</v>
      </c>
      <c r="F227">
        <f t="shared" ca="1" si="40"/>
        <v>10</v>
      </c>
      <c r="G227">
        <f t="shared" ca="1" si="41"/>
        <v>0</v>
      </c>
      <c r="H227">
        <f t="shared" ca="1" si="42"/>
        <v>0</v>
      </c>
      <c r="I227">
        <f t="shared" ca="1" si="43"/>
        <v>2</v>
      </c>
      <c r="J227">
        <f t="shared" ca="1" si="59"/>
        <v>0</v>
      </c>
      <c r="K227">
        <f ca="1">IF(OR($C227="S",$C227=0),0,MATCH(OFFSET($D227,0,$C227)+IF($C227&lt;&gt;1,1,COUNTIF(QCI!$A$13:$A$24,ORÇAMENTO!E227)),OFFSET($D227,1,$C227,ROW($C$290)-ROW($C227)),0))</f>
        <v>0</v>
      </c>
      <c r="L227" s="116" t="str">
        <f t="shared" ca="1" si="44"/>
        <v>F</v>
      </c>
      <c r="M227" s="117" t="s">
        <v>199</v>
      </c>
      <c r="N227" s="118" t="str">
        <f t="shared" ca="1" si="45"/>
        <v>Serviço</v>
      </c>
      <c r="O227" s="119" t="str">
        <f t="shared" ca="1" si="46"/>
        <v>1.10.0.2.</v>
      </c>
      <c r="P227" s="120" t="s">
        <v>462</v>
      </c>
      <c r="Q227" s="121" t="s">
        <v>493</v>
      </c>
      <c r="R227" s="122" t="str">
        <f ca="1">IF($C227="S",REFERENCIA.Descricao,"(digite a descrição aqui)")</f>
        <v>(abra o arquivo 'Referência 03-2024.xlsm)</v>
      </c>
      <c r="S227" s="123" t="str">
        <f ca="1">REFERENCIA.Unidade</f>
        <v>-</v>
      </c>
      <c r="T227" s="124">
        <f ca="1">OFFSET(CÁLCULO!H$15,ROW($T227)-ROW(T$15),0)</f>
        <v>0.96</v>
      </c>
      <c r="U227" s="125">
        <v>9.16</v>
      </c>
      <c r="V227" s="126" t="s">
        <v>156</v>
      </c>
      <c r="W227" s="124">
        <f ca="1">IF($C227="S",ROUND(IF(TIPOORCAMENTO="Proposto",ORÇAMENTO.CustoUnitario*(1+$AH227),ORÇAMENTO.PrecoUnitarioLicitado),15-13*$AF$10),0)</f>
        <v>11.74</v>
      </c>
      <c r="X227" s="127">
        <f ca="1">IF($C227="S",IF(Import.TipoArredondamento&lt;&gt;"TransfereGOV",VTOTAL1,SUM(OFFSET(CÁLCULO!$AA$15,ROW($X227)-ROW($X$15),1):OFFSET(CÁLCULO!$AL$15,ROW($X227)-ROW($X$15),-1))),IF($C227=0,0,ROUND(SomaAgrup,15-13*$AF$11)))</f>
        <v>11.27</v>
      </c>
      <c r="Y227" s="128" t="s">
        <v>245</v>
      </c>
      <c r="Z227" t="str">
        <f t="shared" ca="1" si="47"/>
        <v>RA</v>
      </c>
      <c r="AA227" s="129">
        <f ca="1">IF($C227="S",IF($Z227="CP",$X227,IF($Z227="RA",(($X227)*QCI!$AA$3),0)),SomaAgrup)</f>
        <v>11.27</v>
      </c>
      <c r="AB227" s="130">
        <f t="shared" ca="1" si="48"/>
        <v>0</v>
      </c>
      <c r="AC227" s="131" t="str">
        <f ca="1">IF($N227="","",IF(ORÇAMENTO.Descricao="","DESCRIÇÃO",IF(AND($C227="S",ORÇAMENTO.Unidade=""),"UNIDADE",IF($X227&lt;0,"VALOR NEGATIVO",IF(OR(AND(TIPOORCAMENTO="Proposto",$AG227&lt;&gt;"",$AG227&gt;0,ORÇAMENTO.CustoUnitario&gt;$AG227),AND(TIPOORCAMENTO="LICITADO",ORÇAMENTO.PrecoUnitarioLicitado&gt;$AN227)),"ACIMA REF.","")))))</f>
        <v/>
      </c>
      <c r="AD227" t="str">
        <f ca="1">IF(C227&lt;=CRONO.NivelExibicao,MAX($AD$15:OFFSET(AD227,-1,0))+IF($C227&lt;&gt;1,1,MAX(1,COUNTIF(QCI!$A$13:$A$24,OFFSET($E227,-1,0)))),"")</f>
        <v/>
      </c>
      <c r="AE227" s="7" t="str">
        <f ca="1">IF(AND($C227="S",ORÇAMENTO.CodBarra&lt;&gt;""),IF(ORÇAMENTO.Fonte="",ORÇAMENTO.CodBarra,CONCATENATE(ORÇAMENTO.Fonte," ",ORÇAMENTO.CodBarra)))</f>
        <v>Composição 22</v>
      </c>
      <c r="AF227" s="13" t="str">
        <f ca="1">IF(ISERROR(INDIRECT(ORÇAMENTO.BancoRef)),"(abra o arquivo 'Referência "&amp;Excel_BuiltIn_Database&amp;".xlsm)",IF(OR($C227&lt;&gt;"S",ORÇAMENTO.CodBarra=""),"(Sem Código)",IF(ISERROR(MATCH($AE227,INDIRECT(ORÇAMENTO.BancoRef),0)),"(Código não identificado nas referências)",MATCH($AE227,INDIRECT(ORÇAMENTO.BancoRef),0))))</f>
        <v>(abra o arquivo 'Referência 03-2024.xlsm)</v>
      </c>
      <c r="AG227" s="498">
        <f ca="1">ROUND(IF(DESONERACAO="sim",REFERENCIA.Desonerado,REFERENCIA.NaoDesonerado),2)</f>
        <v>0</v>
      </c>
      <c r="AH227" s="499">
        <f t="shared" ca="1" si="49"/>
        <v>0.28170000000000001</v>
      </c>
      <c r="AJ227" s="501">
        <v>0.96</v>
      </c>
      <c r="AL227" s="527"/>
      <c r="AM227" s="381">
        <f t="shared" ca="1" si="50"/>
        <v>11.27</v>
      </c>
      <c r="AN227" s="566">
        <f t="shared" ca="1" si="51"/>
        <v>11.74</v>
      </c>
    </row>
    <row r="228" spans="1:40" ht="38.25" x14ac:dyDescent="0.2">
      <c r="A228" t="str">
        <f t="shared" si="36"/>
        <v>S</v>
      </c>
      <c r="B228">
        <f t="shared" ca="1" si="37"/>
        <v>2</v>
      </c>
      <c r="C228" t="str">
        <f t="shared" ca="1" si="38"/>
        <v>S</v>
      </c>
      <c r="D228">
        <f t="shared" ca="1" si="39"/>
        <v>0</v>
      </c>
      <c r="E228">
        <f ca="1">IF($C228=1,OFFSET(E228,-1,0)+MAX(1,COUNTIF(QCI!$A$13:$A$24,OFFSET(ORÇAMENTO!E228,-1,0))),OFFSET(E228,-1,0))</f>
        <v>1</v>
      </c>
      <c r="F228">
        <f t="shared" ca="1" si="40"/>
        <v>10</v>
      </c>
      <c r="G228">
        <f t="shared" ca="1" si="41"/>
        <v>0</v>
      </c>
      <c r="H228">
        <f t="shared" ca="1" si="42"/>
        <v>0</v>
      </c>
      <c r="I228">
        <f t="shared" ca="1" si="43"/>
        <v>3</v>
      </c>
      <c r="J228">
        <f t="shared" ca="1" si="59"/>
        <v>0</v>
      </c>
      <c r="K228">
        <f ca="1">IF(OR($C228="S",$C228=0),0,MATCH(OFFSET($D228,0,$C228)+IF($C228&lt;&gt;1,1,COUNTIF(QCI!$A$13:$A$24,ORÇAMENTO!E228)),OFFSET($D228,1,$C228,ROW($C$290)-ROW($C228)),0))</f>
        <v>0</v>
      </c>
      <c r="L228" s="116" t="str">
        <f t="shared" ca="1" si="44"/>
        <v>F</v>
      </c>
      <c r="M228" s="117" t="s">
        <v>199</v>
      </c>
      <c r="N228" s="118" t="str">
        <f t="shared" ca="1" si="45"/>
        <v>Serviço</v>
      </c>
      <c r="O228" s="119" t="str">
        <f t="shared" ca="1" si="46"/>
        <v>1.10.0.3.</v>
      </c>
      <c r="P228" s="120" t="s">
        <v>462</v>
      </c>
      <c r="Q228" s="121" t="s">
        <v>474</v>
      </c>
      <c r="R228" s="122" t="str">
        <f ca="1">IF($C228="S",REFERENCIA.Descricao,"(digite a descrição aqui)")</f>
        <v>(abra o arquivo 'Referência 03-2024.xlsm)</v>
      </c>
      <c r="S228" s="123" t="str">
        <f ca="1">REFERENCIA.Unidade</f>
        <v>-</v>
      </c>
      <c r="T228" s="124">
        <f ca="1">OFFSET(CÁLCULO!H$15,ROW($T228)-ROW(T$15),0)</f>
        <v>19.2</v>
      </c>
      <c r="U228" s="125">
        <v>50.64</v>
      </c>
      <c r="V228" s="126" t="s">
        <v>156</v>
      </c>
      <c r="W228" s="124">
        <f ca="1">IF($C228="S",ROUND(IF(TIPOORCAMENTO="Proposto",ORÇAMENTO.CustoUnitario*(1+$AH228),ORÇAMENTO.PrecoUnitarioLicitado),15-13*$AF$10),0)</f>
        <v>64.91</v>
      </c>
      <c r="X228" s="127">
        <f ca="1">IF($C228="S",IF(Import.TipoArredondamento&lt;&gt;"TransfereGOV",VTOTAL1,SUM(OFFSET(CÁLCULO!$AA$15,ROW($X228)-ROW($X$15),1):OFFSET(CÁLCULO!$AL$15,ROW($X228)-ROW($X$15),-1))),IF($C228=0,0,ROUND(SomaAgrup,15-13*$AF$11)))</f>
        <v>1246.27</v>
      </c>
      <c r="Y228" s="128" t="s">
        <v>245</v>
      </c>
      <c r="Z228" t="str">
        <f t="shared" ca="1" si="47"/>
        <v>RA</v>
      </c>
      <c r="AA228" s="129">
        <f ca="1">IF($C228="S",IF($Z228="CP",$X228,IF($Z228="RA",(($X228)*QCI!$AA$3),0)),SomaAgrup)</f>
        <v>1246.27</v>
      </c>
      <c r="AB228" s="130">
        <f t="shared" ca="1" si="48"/>
        <v>0</v>
      </c>
      <c r="AC228" s="131" t="str">
        <f ca="1">IF($N228="","",IF(ORÇAMENTO.Descricao="","DESCRIÇÃO",IF(AND($C228="S",ORÇAMENTO.Unidade=""),"UNIDADE",IF($X228&lt;0,"VALOR NEGATIVO",IF(OR(AND(TIPOORCAMENTO="Proposto",$AG228&lt;&gt;"",$AG228&gt;0,ORÇAMENTO.CustoUnitario&gt;$AG228),AND(TIPOORCAMENTO="LICITADO",ORÇAMENTO.PrecoUnitarioLicitado&gt;$AN228)),"ACIMA REF.","")))))</f>
        <v/>
      </c>
      <c r="AD228" t="str">
        <f ca="1">IF(C228&lt;=CRONO.NivelExibicao,MAX($AD$15:OFFSET(AD228,-1,0))+IF($C228&lt;&gt;1,1,MAX(1,COUNTIF(QCI!$A$13:$A$24,OFFSET($E228,-1,0)))),"")</f>
        <v/>
      </c>
      <c r="AE228" s="7" t="str">
        <f ca="1">IF(AND($C228="S",ORÇAMENTO.CodBarra&lt;&gt;""),IF(ORÇAMENTO.Fonte="",ORÇAMENTO.CodBarra,CONCATENATE(ORÇAMENTO.Fonte," ",ORÇAMENTO.CodBarra)))</f>
        <v>Composição 10</v>
      </c>
      <c r="AF228" s="13" t="str">
        <f ca="1">IF(ISERROR(INDIRECT(ORÇAMENTO.BancoRef)),"(abra o arquivo 'Referência "&amp;Excel_BuiltIn_Database&amp;".xlsm)",IF(OR($C228&lt;&gt;"S",ORÇAMENTO.CodBarra=""),"(Sem Código)",IF(ISERROR(MATCH($AE228,INDIRECT(ORÇAMENTO.BancoRef),0)),"(Código não identificado nas referências)",MATCH($AE228,INDIRECT(ORÇAMENTO.BancoRef),0))))</f>
        <v>(abra o arquivo 'Referência 03-2024.xlsm)</v>
      </c>
      <c r="AG228" s="498">
        <f ca="1">ROUND(IF(DESONERACAO="sim",REFERENCIA.Desonerado,REFERENCIA.NaoDesonerado),2)</f>
        <v>0</v>
      </c>
      <c r="AH228" s="499">
        <f t="shared" ca="1" si="49"/>
        <v>0.28170000000000001</v>
      </c>
      <c r="AJ228" s="501">
        <v>19.2</v>
      </c>
      <c r="AL228" s="527"/>
      <c r="AM228" s="381">
        <f t="shared" ca="1" si="50"/>
        <v>1246.27</v>
      </c>
      <c r="AN228" s="566">
        <f t="shared" ca="1" si="51"/>
        <v>64.91</v>
      </c>
    </row>
    <row r="229" spans="1:40" ht="51" x14ac:dyDescent="0.2">
      <c r="A229" t="str">
        <f t="shared" ref="A229:A289" si="64">CHOOSE(1+LOG(1+2*(ORÇAMENTO.Nivel="Meta")+4*(ORÇAMENTO.Nivel="Nível 2")+8*(ORÇAMENTO.Nivel="Nível 3")+16*(ORÇAMENTO.Nivel="Nível 4")+32*(ORÇAMENTO.Nivel="Serviço"),2),0,1,2,3,4,"S")</f>
        <v>S</v>
      </c>
      <c r="B229">
        <f t="shared" ref="B229:B289" ca="1" si="65">IF(OR(C229="s",C229=0),OFFSET(B229,-1,0),C229)</f>
        <v>2</v>
      </c>
      <c r="C229" t="str">
        <f t="shared" ref="C229:C289" ca="1" si="66">IF(OFFSET(C229,-1,0)="L",1,IF(OFFSET(C229,-1,0)=1,2,IF(OR(A229="s",A229=0),"S",IF(AND(OFFSET(C229,-1,0)=2,A229=4),3,IF(AND(OR(OFFSET(C229,-1,0)="s",OFFSET(C229,-1,0)=0),A229&lt;&gt;"s",A229&gt;OFFSET(B229,-1,0)),OFFSET(B229,-1,0),A229)))))</f>
        <v>S</v>
      </c>
      <c r="D229">
        <f t="shared" ref="D229:D289" ca="1" si="67">IF(OR(C229="S",C229=0),0,IF(ISERROR(K229),J229,SMALL(J229:K229,1)))</f>
        <v>0</v>
      </c>
      <c r="E229">
        <f ca="1">IF($C229=1,OFFSET(E229,-1,0)+MAX(1,COUNTIF(QCI!$A$13:$A$24,OFFSET(ORÇAMENTO!E229,-1,0))),OFFSET(E229,-1,0))</f>
        <v>1</v>
      </c>
      <c r="F229">
        <f t="shared" ref="F229:F289" ca="1" si="68">IF($C229=1,0,IF($C229=2,OFFSET(F229,-1,0)+1,OFFSET(F229,-1,0)))</f>
        <v>10</v>
      </c>
      <c r="G229">
        <f t="shared" ref="G229:G289" ca="1" si="69">IF(AND($C229&lt;=2,$C229&lt;&gt;0),0,IF($C229=3,OFFSET(G229,-1,0)+1,OFFSET(G229,-1,0)))</f>
        <v>0</v>
      </c>
      <c r="H229">
        <f t="shared" ref="H229:H289" ca="1" si="70">IF(AND($C229&lt;=3,$C229&lt;&gt;0),0,IF($C229=4,OFFSET(H229,-1,0)+1,OFFSET(H229,-1,0)))</f>
        <v>0</v>
      </c>
      <c r="I229">
        <f t="shared" ref="I229:I289" ca="1" si="71">IF(AND($C229&lt;=4,$C229&lt;&gt;0),0,IF(AND($C229="S",$X229&gt;0),OFFSET(I229,-1,0)+1,OFFSET(I229,-1,0)))</f>
        <v>4</v>
      </c>
      <c r="J229">
        <f t="shared" ca="1" si="59"/>
        <v>0</v>
      </c>
      <c r="K229">
        <f ca="1">IF(OR($C229="S",$C229=0),0,MATCH(OFFSET($D229,0,$C229)+IF($C229&lt;&gt;1,1,COUNTIF(QCI!$A$13:$A$24,ORÇAMENTO!E229)),OFFSET($D229,1,$C229,ROW($C$290)-ROW($C229)),0))</f>
        <v>0</v>
      </c>
      <c r="L229" s="116" t="str">
        <f t="shared" ref="L229:L289" ca="1" si="72">IF(OR($X229&gt;0,$C229=1,$C229=2,$C229=3,$C229=4),"F","")</f>
        <v>F</v>
      </c>
      <c r="M229" s="117" t="s">
        <v>199</v>
      </c>
      <c r="N229" s="118" t="str">
        <f t="shared" ref="N229:N289" ca="1" si="73">CHOOSE(1+LOG(1+2*(C229=1)+4*(C229=2)+8*(C229=3)+16*(C229=4)+32*(C229="S"),2),"","Meta","Nível 2","Nível 3","Nível 4","Serviço")</f>
        <v>Serviço</v>
      </c>
      <c r="O229" s="119" t="str">
        <f t="shared" ref="O229:O289" ca="1" si="74">IF(OR($C229=0,$L229=""),"-",CONCATENATE(E229&amp;".",IF(AND($A$5&gt;=2,$C229&gt;=2),F229&amp;".",""),IF(AND($A$5&gt;=3,$C229&gt;=3),G229&amp;".",""),IF(AND($A$5&gt;=4,$C229&gt;=4),H229&amp;".",""),IF($C229="S",I229&amp;".","")))</f>
        <v>1.10.0.4.</v>
      </c>
      <c r="P229" s="120" t="s">
        <v>462</v>
      </c>
      <c r="Q229" s="121" t="s">
        <v>475</v>
      </c>
      <c r="R229" s="122" t="str">
        <f ca="1">IF($C229="S",REFERENCIA.Descricao,"(digite a descrição aqui)")</f>
        <v>(abra o arquivo 'Referência 03-2024.xlsm)</v>
      </c>
      <c r="S229" s="123" t="str">
        <f ca="1">REFERENCIA.Unidade</f>
        <v>-</v>
      </c>
      <c r="T229" s="124">
        <f ca="1">OFFSET(CÁLCULO!H$15,ROW($T229)-ROW(T$15),0)</f>
        <v>1.92</v>
      </c>
      <c r="U229" s="125">
        <v>502.29</v>
      </c>
      <c r="V229" s="126" t="s">
        <v>156</v>
      </c>
      <c r="W229" s="124">
        <f ca="1">IF($C229="S",ROUND(IF(TIPOORCAMENTO="Proposto",ORÇAMENTO.CustoUnitario*(1+$AH229),ORÇAMENTO.PrecoUnitarioLicitado),15-13*$AF$10),0)</f>
        <v>643.79</v>
      </c>
      <c r="X229" s="127">
        <f ca="1">IF($C229="S",IF(Import.TipoArredondamento&lt;&gt;"TransfereGOV",VTOTAL1,SUM(OFFSET(CÁLCULO!$AA$15,ROW($X229)-ROW($X$15),1):OFFSET(CÁLCULO!$AL$15,ROW($X229)-ROW($X$15),-1))),IF($C229=0,0,ROUND(SomaAgrup,15-13*$AF$11)))</f>
        <v>1236.08</v>
      </c>
      <c r="Y229" s="128" t="s">
        <v>245</v>
      </c>
      <c r="Z229" t="str">
        <f t="shared" ref="Z229:Z289" ca="1" si="75">IF(AND($C229="S",$X229&gt;0),IF(ISBLANK($Y229),"RA",LEFT($Y229,2)),"")</f>
        <v>RA</v>
      </c>
      <c r="AA229" s="129">
        <f ca="1">IF($C229="S",IF($Z229="CP",$X229,IF($Z229="RA",(($X229)*QCI!$AA$3),0)),SomaAgrup)</f>
        <v>1236.08</v>
      </c>
      <c r="AB229" s="130">
        <f t="shared" ref="AB229:AB289" ca="1" si="76">IF($C229="S",IF($Z229="OU",ROUND($X229,2),0),SomaAgrup)</f>
        <v>0</v>
      </c>
      <c r="AC229" s="131" t="str">
        <f ca="1">IF($N229="","",IF(ORÇAMENTO.Descricao="","DESCRIÇÃO",IF(AND($C229="S",ORÇAMENTO.Unidade=""),"UNIDADE",IF($X229&lt;0,"VALOR NEGATIVO",IF(OR(AND(TIPOORCAMENTO="Proposto",$AG229&lt;&gt;"",$AG229&gt;0,ORÇAMENTO.CustoUnitario&gt;$AG229),AND(TIPOORCAMENTO="LICITADO",ORÇAMENTO.PrecoUnitarioLicitado&gt;$AN229)),"ACIMA REF.","")))))</f>
        <v/>
      </c>
      <c r="AD229" t="str">
        <f ca="1">IF(C229&lt;=CRONO.NivelExibicao,MAX($AD$15:OFFSET(AD229,-1,0))+IF($C229&lt;&gt;1,1,MAX(1,COUNTIF(QCI!$A$13:$A$24,OFFSET($E229,-1,0)))),"")</f>
        <v/>
      </c>
      <c r="AE229" s="7" t="str">
        <f ca="1">IF(AND($C229="S",ORÇAMENTO.CodBarra&lt;&gt;""),IF(ORÇAMENTO.Fonte="",ORÇAMENTO.CodBarra,CONCATENATE(ORÇAMENTO.Fonte," ",ORÇAMENTO.CodBarra)))</f>
        <v>Composição 11</v>
      </c>
      <c r="AF229" s="13" t="str">
        <f ca="1">IF(ISERROR(INDIRECT(ORÇAMENTO.BancoRef)),"(abra o arquivo 'Referência "&amp;Excel_BuiltIn_Database&amp;".xlsm)",IF(OR($C229&lt;&gt;"S",ORÇAMENTO.CodBarra=""),"(Sem Código)",IF(ISERROR(MATCH($AE229,INDIRECT(ORÇAMENTO.BancoRef),0)),"(Código não identificado nas referências)",MATCH($AE229,INDIRECT(ORÇAMENTO.BancoRef),0))))</f>
        <v>(abra o arquivo 'Referência 03-2024.xlsm)</v>
      </c>
      <c r="AG229" s="498">
        <f ca="1">ROUND(IF(DESONERACAO="sim",REFERENCIA.Desonerado,REFERENCIA.NaoDesonerado),2)</f>
        <v>0</v>
      </c>
      <c r="AH229" s="499">
        <f t="shared" ref="AH229:AH289" ca="1" si="77">ROUND(IF(ISNUMBER(ORÇAMENTO.OpcaoBDI),ORÇAMENTO.OpcaoBDI,IF(LEFT(ORÇAMENTO.OpcaoBDI,3)="BDI",HLOOKUP(ORÇAMENTO.OpcaoBDI,$F$4:$H$5,2,FALSE),0)),15-11*$AF$9)</f>
        <v>0.28170000000000001</v>
      </c>
      <c r="AJ229" s="501">
        <v>1.92</v>
      </c>
      <c r="AL229" s="527"/>
      <c r="AM229" s="381">
        <f t="shared" ref="AM229:AM289" ca="1" si="78">$X229</f>
        <v>1236.08</v>
      </c>
      <c r="AN229" s="566">
        <f t="shared" ref="AN229:AN289" ca="1" si="79">ROUND(ORÇAMENTO.CustoUnitario*(1+$AH229),2)</f>
        <v>643.79</v>
      </c>
    </row>
    <row r="230" spans="1:40" ht="38.25" x14ac:dyDescent="0.2">
      <c r="A230" t="str">
        <f t="shared" si="64"/>
        <v>S</v>
      </c>
      <c r="B230">
        <f t="shared" ca="1" si="65"/>
        <v>2</v>
      </c>
      <c r="C230" t="str">
        <f t="shared" ca="1" si="66"/>
        <v>S</v>
      </c>
      <c r="D230">
        <f t="shared" ca="1" si="67"/>
        <v>0</v>
      </c>
      <c r="E230">
        <f ca="1">IF($C230=1,OFFSET(E230,-1,0)+MAX(1,COUNTIF(QCI!$A$13:$A$24,OFFSET(ORÇAMENTO!E230,-1,0))),OFFSET(E230,-1,0))</f>
        <v>1</v>
      </c>
      <c r="F230">
        <f t="shared" ca="1" si="68"/>
        <v>10</v>
      </c>
      <c r="G230">
        <f t="shared" ca="1" si="69"/>
        <v>0</v>
      </c>
      <c r="H230">
        <f t="shared" ca="1" si="70"/>
        <v>0</v>
      </c>
      <c r="I230">
        <f t="shared" ca="1" si="71"/>
        <v>5</v>
      </c>
      <c r="J230">
        <f t="shared" ca="1" si="59"/>
        <v>0</v>
      </c>
      <c r="K230">
        <f ca="1">IF(OR($C230="S",$C230=0),0,MATCH(OFFSET($D230,0,$C230)+IF($C230&lt;&gt;1,1,COUNTIF(QCI!$A$13:$A$24,ORÇAMENTO!E230)),OFFSET($D230,1,$C230,ROW($C$290)-ROW($C230)),0))</f>
        <v>0</v>
      </c>
      <c r="L230" s="116" t="str">
        <f t="shared" ca="1" si="72"/>
        <v>F</v>
      </c>
      <c r="M230" s="117" t="s">
        <v>199</v>
      </c>
      <c r="N230" s="118" t="str">
        <f t="shared" ca="1" si="73"/>
        <v>Serviço</v>
      </c>
      <c r="O230" s="119" t="str">
        <f t="shared" ca="1" si="74"/>
        <v>1.10.0.5.</v>
      </c>
      <c r="P230" s="120" t="s">
        <v>462</v>
      </c>
      <c r="Q230" s="121" t="s">
        <v>476</v>
      </c>
      <c r="R230" s="122" t="str">
        <f ca="1">IF($C230="S",REFERENCIA.Descricao,"(digite a descrição aqui)")</f>
        <v>(abra o arquivo 'Referência 03-2024.xlsm)</v>
      </c>
      <c r="S230" s="123" t="str">
        <f ca="1">REFERENCIA.Unidade</f>
        <v>-</v>
      </c>
      <c r="T230" s="124">
        <f ca="1">OFFSET(CÁLCULO!H$15,ROW($T230)-ROW(T$15),0)</f>
        <v>32.520000000000003</v>
      </c>
      <c r="U230" s="125">
        <v>11.53</v>
      </c>
      <c r="V230" s="126" t="s">
        <v>156</v>
      </c>
      <c r="W230" s="124">
        <f ca="1">IF($C230="S",ROUND(IF(TIPOORCAMENTO="Proposto",ORÇAMENTO.CustoUnitario*(1+$AH230),ORÇAMENTO.PrecoUnitarioLicitado),15-13*$AF$10),0)</f>
        <v>14.78</v>
      </c>
      <c r="X230" s="127">
        <f ca="1">IF($C230="S",IF(Import.TipoArredondamento&lt;&gt;"TransfereGOV",VTOTAL1,SUM(OFFSET(CÁLCULO!$AA$15,ROW($X230)-ROW($X$15),1):OFFSET(CÁLCULO!$AL$15,ROW($X230)-ROW($X$15),-1))),IF($C230=0,0,ROUND(SomaAgrup,15-13*$AF$11)))</f>
        <v>480.65</v>
      </c>
      <c r="Y230" s="128" t="s">
        <v>245</v>
      </c>
      <c r="Z230" t="str">
        <f t="shared" ca="1" si="75"/>
        <v>RA</v>
      </c>
      <c r="AA230" s="129">
        <f ca="1">IF($C230="S",IF($Z230="CP",$X230,IF($Z230="RA",(($X230)*QCI!$AA$3),0)),SomaAgrup)</f>
        <v>480.65</v>
      </c>
      <c r="AB230" s="130">
        <f t="shared" ca="1" si="76"/>
        <v>0</v>
      </c>
      <c r="AC230" s="131" t="str">
        <f ca="1">IF($N230="","",IF(ORÇAMENTO.Descricao="","DESCRIÇÃO",IF(AND($C230="S",ORÇAMENTO.Unidade=""),"UNIDADE",IF($X230&lt;0,"VALOR NEGATIVO",IF(OR(AND(TIPOORCAMENTO="Proposto",$AG230&lt;&gt;"",$AG230&gt;0,ORÇAMENTO.CustoUnitario&gt;$AG230),AND(TIPOORCAMENTO="LICITADO",ORÇAMENTO.PrecoUnitarioLicitado&gt;$AN230)),"ACIMA REF.","")))))</f>
        <v/>
      </c>
      <c r="AD230" t="str">
        <f ca="1">IF(C230&lt;=CRONO.NivelExibicao,MAX($AD$15:OFFSET(AD230,-1,0))+IF($C230&lt;&gt;1,1,MAX(1,COUNTIF(QCI!$A$13:$A$24,OFFSET($E230,-1,0)))),"")</f>
        <v/>
      </c>
      <c r="AE230" s="7" t="str">
        <f ca="1">IF(AND($C230="S",ORÇAMENTO.CodBarra&lt;&gt;""),IF(ORÇAMENTO.Fonte="",ORÇAMENTO.CodBarra,CONCATENATE(ORÇAMENTO.Fonte," ",ORÇAMENTO.CodBarra)))</f>
        <v>Composição 12</v>
      </c>
      <c r="AF230" s="13" t="str">
        <f ca="1">IF(ISERROR(INDIRECT(ORÇAMENTO.BancoRef)),"(abra o arquivo 'Referência "&amp;Excel_BuiltIn_Database&amp;".xlsm)",IF(OR($C230&lt;&gt;"S",ORÇAMENTO.CodBarra=""),"(Sem Código)",IF(ISERROR(MATCH($AE230,INDIRECT(ORÇAMENTO.BancoRef),0)),"(Código não identificado nas referências)",MATCH($AE230,INDIRECT(ORÇAMENTO.BancoRef),0))))</f>
        <v>(abra o arquivo 'Referência 03-2024.xlsm)</v>
      </c>
      <c r="AG230" s="498">
        <f ca="1">ROUND(IF(DESONERACAO="sim",REFERENCIA.Desonerado,REFERENCIA.NaoDesonerado),2)</f>
        <v>0</v>
      </c>
      <c r="AH230" s="499">
        <f t="shared" ca="1" si="77"/>
        <v>0.28170000000000001</v>
      </c>
      <c r="AJ230" s="501">
        <v>32.520000000000003</v>
      </c>
      <c r="AL230" s="527"/>
      <c r="AM230" s="381">
        <f t="shared" ca="1" si="78"/>
        <v>480.65</v>
      </c>
      <c r="AN230" s="566">
        <f t="shared" ca="1" si="79"/>
        <v>14.78</v>
      </c>
    </row>
    <row r="231" spans="1:40" ht="38.25" x14ac:dyDescent="0.2">
      <c r="A231" t="str">
        <f t="shared" si="64"/>
        <v>S</v>
      </c>
      <c r="B231">
        <f t="shared" ca="1" si="65"/>
        <v>2</v>
      </c>
      <c r="C231" t="str">
        <f t="shared" ca="1" si="66"/>
        <v>S</v>
      </c>
      <c r="D231">
        <f t="shared" ca="1" si="67"/>
        <v>0</v>
      </c>
      <c r="E231">
        <f ca="1">IF($C231=1,OFFSET(E231,-1,0)+MAX(1,COUNTIF(QCI!$A$13:$A$24,OFFSET(ORÇAMENTO!E231,-1,0))),OFFSET(E231,-1,0))</f>
        <v>1</v>
      </c>
      <c r="F231">
        <f t="shared" ca="1" si="68"/>
        <v>10</v>
      </c>
      <c r="G231">
        <f t="shared" ca="1" si="69"/>
        <v>0</v>
      </c>
      <c r="H231">
        <f t="shared" ca="1" si="70"/>
        <v>0</v>
      </c>
      <c r="I231">
        <f t="shared" ca="1" si="71"/>
        <v>6</v>
      </c>
      <c r="J231">
        <f t="shared" ca="1" si="59"/>
        <v>0</v>
      </c>
      <c r="K231">
        <f ca="1">IF(OR($C231="S",$C231=0),0,MATCH(OFFSET($D231,0,$C231)+IF($C231&lt;&gt;1,1,COUNTIF(QCI!$A$13:$A$24,ORÇAMENTO!E231)),OFFSET($D231,1,$C231,ROW($C$290)-ROW($C231)),0))</f>
        <v>0</v>
      </c>
      <c r="L231" s="116" t="str">
        <f t="shared" ca="1" si="72"/>
        <v>F</v>
      </c>
      <c r="M231" s="117" t="s">
        <v>199</v>
      </c>
      <c r="N231" s="118" t="str">
        <f t="shared" ca="1" si="73"/>
        <v>Serviço</v>
      </c>
      <c r="O231" s="119" t="str">
        <f t="shared" ca="1" si="74"/>
        <v>1.10.0.6.</v>
      </c>
      <c r="P231" s="120" t="s">
        <v>462</v>
      </c>
      <c r="Q231" s="121" t="s">
        <v>477</v>
      </c>
      <c r="R231" s="122" t="str">
        <f ca="1">IF($C231="S",REFERENCIA.Descricao,"(digite a descrição aqui)")</f>
        <v>(abra o arquivo 'Referência 03-2024.xlsm)</v>
      </c>
      <c r="S231" s="123" t="str">
        <f ca="1">REFERENCIA.Unidade</f>
        <v>-</v>
      </c>
      <c r="T231" s="124">
        <f ca="1">OFFSET(CÁLCULO!H$15,ROW($T231)-ROW(T$15),0)</f>
        <v>75.84</v>
      </c>
      <c r="U231" s="125">
        <v>10.97</v>
      </c>
      <c r="V231" s="126" t="s">
        <v>156</v>
      </c>
      <c r="W231" s="124">
        <f ca="1">IF($C231="S",ROUND(IF(TIPOORCAMENTO="Proposto",ORÇAMENTO.CustoUnitario*(1+$AH231),ORÇAMENTO.PrecoUnitarioLicitado),15-13*$AF$10),0)</f>
        <v>14.06</v>
      </c>
      <c r="X231" s="127">
        <f ca="1">IF($C231="S",IF(Import.TipoArredondamento&lt;&gt;"TransfereGOV",VTOTAL1,SUM(OFFSET(CÁLCULO!$AA$15,ROW($X231)-ROW($X$15),1):OFFSET(CÁLCULO!$AL$15,ROW($X231)-ROW($X$15),-1))),IF($C231=0,0,ROUND(SomaAgrup,15-13*$AF$11)))</f>
        <v>1066.31</v>
      </c>
      <c r="Y231" s="128" t="s">
        <v>245</v>
      </c>
      <c r="Z231" t="str">
        <f t="shared" ca="1" si="75"/>
        <v>RA</v>
      </c>
      <c r="AA231" s="129">
        <f ca="1">IF($C231="S",IF($Z231="CP",$X231,IF($Z231="RA",(($X231)*QCI!$AA$3),0)),SomaAgrup)</f>
        <v>1066.31</v>
      </c>
      <c r="AB231" s="130">
        <f t="shared" ca="1" si="76"/>
        <v>0</v>
      </c>
      <c r="AC231" s="131" t="str">
        <f ca="1">IF($N231="","",IF(ORÇAMENTO.Descricao="","DESCRIÇÃO",IF(AND($C231="S",ORÇAMENTO.Unidade=""),"UNIDADE",IF($X231&lt;0,"VALOR NEGATIVO",IF(OR(AND(TIPOORCAMENTO="Proposto",$AG231&lt;&gt;"",$AG231&gt;0,ORÇAMENTO.CustoUnitario&gt;$AG231),AND(TIPOORCAMENTO="LICITADO",ORÇAMENTO.PrecoUnitarioLicitado&gt;$AN231)),"ACIMA REF.","")))))</f>
        <v/>
      </c>
      <c r="AD231" t="str">
        <f ca="1">IF(C231&lt;=CRONO.NivelExibicao,MAX($AD$15:OFFSET(AD231,-1,0))+IF($C231&lt;&gt;1,1,MAX(1,COUNTIF(QCI!$A$13:$A$24,OFFSET($E231,-1,0)))),"")</f>
        <v/>
      </c>
      <c r="AE231" s="7" t="str">
        <f ca="1">IF(AND($C231="S",ORÇAMENTO.CodBarra&lt;&gt;""),IF(ORÇAMENTO.Fonte="",ORÇAMENTO.CodBarra,CONCATENATE(ORÇAMENTO.Fonte," ",ORÇAMENTO.CodBarra)))</f>
        <v>Composição 13</v>
      </c>
      <c r="AF231" s="13" t="str">
        <f ca="1">IF(ISERROR(INDIRECT(ORÇAMENTO.BancoRef)),"(abra o arquivo 'Referência "&amp;Excel_BuiltIn_Database&amp;".xlsm)",IF(OR($C231&lt;&gt;"S",ORÇAMENTO.CodBarra=""),"(Sem Código)",IF(ISERROR(MATCH($AE231,INDIRECT(ORÇAMENTO.BancoRef),0)),"(Código não identificado nas referências)",MATCH($AE231,INDIRECT(ORÇAMENTO.BancoRef),0))))</f>
        <v>(abra o arquivo 'Referência 03-2024.xlsm)</v>
      </c>
      <c r="AG231" s="498">
        <f ca="1">ROUND(IF(DESONERACAO="sim",REFERENCIA.Desonerado,REFERENCIA.NaoDesonerado),2)</f>
        <v>0</v>
      </c>
      <c r="AH231" s="499">
        <f t="shared" ca="1" si="77"/>
        <v>0.28170000000000001</v>
      </c>
      <c r="AJ231" s="501">
        <v>75.84</v>
      </c>
      <c r="AL231" s="527"/>
      <c r="AM231" s="381">
        <f t="shared" ca="1" si="78"/>
        <v>1066.31</v>
      </c>
      <c r="AN231" s="566">
        <f t="shared" ca="1" si="79"/>
        <v>14.06</v>
      </c>
    </row>
    <row r="232" spans="1:40" ht="51" x14ac:dyDescent="0.2">
      <c r="A232" t="str">
        <f t="shared" si="64"/>
        <v>S</v>
      </c>
      <c r="B232">
        <f t="shared" ca="1" si="65"/>
        <v>2</v>
      </c>
      <c r="C232" t="str">
        <f t="shared" ca="1" si="66"/>
        <v>S</v>
      </c>
      <c r="D232">
        <f t="shared" ca="1" si="67"/>
        <v>0</v>
      </c>
      <c r="E232">
        <f ca="1">IF($C232=1,OFFSET(E232,-1,0)+MAX(1,COUNTIF(QCI!$A$13:$A$24,OFFSET(ORÇAMENTO!E232,-1,0))),OFFSET(E232,-1,0))</f>
        <v>1</v>
      </c>
      <c r="F232">
        <f t="shared" ca="1" si="68"/>
        <v>10</v>
      </c>
      <c r="G232">
        <f t="shared" ca="1" si="69"/>
        <v>0</v>
      </c>
      <c r="H232">
        <f t="shared" ca="1" si="70"/>
        <v>0</v>
      </c>
      <c r="I232">
        <f t="shared" ca="1" si="71"/>
        <v>7</v>
      </c>
      <c r="J232">
        <f t="shared" ca="1" si="59"/>
        <v>0</v>
      </c>
      <c r="K232">
        <f ca="1">IF(OR($C232="S",$C232=0),0,MATCH(OFFSET($D232,0,$C232)+IF($C232&lt;&gt;1,1,COUNTIF(QCI!$A$13:$A$24,ORÇAMENTO!E232)),OFFSET($D232,1,$C232,ROW($C$290)-ROW($C232)),0))</f>
        <v>0</v>
      </c>
      <c r="L232" s="116" t="str">
        <f t="shared" ca="1" si="72"/>
        <v>F</v>
      </c>
      <c r="M232" s="117" t="s">
        <v>199</v>
      </c>
      <c r="N232" s="118" t="str">
        <f t="shared" ca="1" si="73"/>
        <v>Serviço</v>
      </c>
      <c r="O232" s="119" t="str">
        <f t="shared" ca="1" si="74"/>
        <v>1.10.0.7.</v>
      </c>
      <c r="P232" s="120" t="s">
        <v>462</v>
      </c>
      <c r="Q232" s="121" t="s">
        <v>589</v>
      </c>
      <c r="R232" s="122" t="str">
        <f ca="1">IF($C232="S",REFERENCIA.Descricao,"(digite a descrição aqui)")</f>
        <v>(abra o arquivo 'Referência 03-2024.xlsm)</v>
      </c>
      <c r="S232" s="123" t="str">
        <f ca="1">REFERENCIA.Unidade</f>
        <v>-</v>
      </c>
      <c r="T232" s="124">
        <f ca="1">OFFSET(CÁLCULO!H$15,ROW($T232)-ROW(T$15),0)</f>
        <v>48</v>
      </c>
      <c r="U232" s="125">
        <v>27.03</v>
      </c>
      <c r="V232" s="126" t="s">
        <v>156</v>
      </c>
      <c r="W232" s="124">
        <f ca="1">IF($C232="S",ROUND(IF(TIPOORCAMENTO="Proposto",ORÇAMENTO.CustoUnitario*(1+$AH232),ORÇAMENTO.PrecoUnitarioLicitado),15-13*$AF$10),0)</f>
        <v>34.64</v>
      </c>
      <c r="X232" s="127">
        <f ca="1">IF($C232="S",IF(Import.TipoArredondamento&lt;&gt;"TransfereGOV",VTOTAL1,SUM(OFFSET(CÁLCULO!$AA$15,ROW($X232)-ROW($X$15),1):OFFSET(CÁLCULO!$AL$15,ROW($X232)-ROW($X$15),-1))),IF($C232=0,0,ROUND(SomaAgrup,15-13*$AF$11)))</f>
        <v>1662.72</v>
      </c>
      <c r="Y232" s="128" t="s">
        <v>245</v>
      </c>
      <c r="Z232" t="str">
        <f t="shared" ca="1" si="75"/>
        <v>RA</v>
      </c>
      <c r="AA232" s="129">
        <f ca="1">IF($C232="S",IF($Z232="CP",$X232,IF($Z232="RA",(($X232)*QCI!$AA$3),0)),SomaAgrup)</f>
        <v>1662.72</v>
      </c>
      <c r="AB232" s="130">
        <f t="shared" ca="1" si="76"/>
        <v>0</v>
      </c>
      <c r="AC232" s="131" t="str">
        <f ca="1">IF($N232="","",IF(ORÇAMENTO.Descricao="","DESCRIÇÃO",IF(AND($C232="S",ORÇAMENTO.Unidade=""),"UNIDADE",IF($X232&lt;0,"VALOR NEGATIVO",IF(OR(AND(TIPOORCAMENTO="Proposto",$AG232&lt;&gt;"",$AG232&gt;0,ORÇAMENTO.CustoUnitario&gt;$AG232),AND(TIPOORCAMENTO="LICITADO",ORÇAMENTO.PrecoUnitarioLicitado&gt;$AN232)),"ACIMA REF.","")))))</f>
        <v/>
      </c>
      <c r="AD232" t="str">
        <f ca="1">IF(C232&lt;=CRONO.NivelExibicao,MAX($AD$15:OFFSET(AD232,-1,0))+IF($C232&lt;&gt;1,1,MAX(1,COUNTIF(QCI!$A$13:$A$24,OFFSET($E232,-1,0)))),"")</f>
        <v/>
      </c>
      <c r="AE232" s="7" t="str">
        <f ca="1">IF(AND($C232="S",ORÇAMENTO.CodBarra&lt;&gt;""),IF(ORÇAMENTO.Fonte="",ORÇAMENTO.CodBarra,CONCATENATE(ORÇAMENTO.Fonte," ",ORÇAMENTO.CodBarra)))</f>
        <v>Composição 73</v>
      </c>
      <c r="AF232" s="13" t="str">
        <f ca="1">IF(ISERROR(INDIRECT(ORÇAMENTO.BancoRef)),"(abra o arquivo 'Referência "&amp;Excel_BuiltIn_Database&amp;".xlsm)",IF(OR($C232&lt;&gt;"S",ORÇAMENTO.CodBarra=""),"(Sem Código)",IF(ISERROR(MATCH($AE232,INDIRECT(ORÇAMENTO.BancoRef),0)),"(Código não identificado nas referências)",MATCH($AE232,INDIRECT(ORÇAMENTO.BancoRef),0))))</f>
        <v>(abra o arquivo 'Referência 03-2024.xlsm)</v>
      </c>
      <c r="AG232" s="498">
        <f ca="1">ROUND(IF(DESONERACAO="sim",REFERENCIA.Desonerado,REFERENCIA.NaoDesonerado),2)</f>
        <v>0</v>
      </c>
      <c r="AH232" s="499">
        <f t="shared" ca="1" si="77"/>
        <v>0.28170000000000001</v>
      </c>
      <c r="AJ232" s="501">
        <v>48</v>
      </c>
      <c r="AL232" s="527"/>
      <c r="AM232" s="381">
        <f t="shared" ca="1" si="78"/>
        <v>1662.72</v>
      </c>
      <c r="AN232" s="566">
        <f t="shared" ca="1" si="79"/>
        <v>34.64</v>
      </c>
    </row>
    <row r="233" spans="1:40" ht="51" x14ac:dyDescent="0.2">
      <c r="A233" t="str">
        <f t="shared" si="64"/>
        <v>S</v>
      </c>
      <c r="B233">
        <f t="shared" ca="1" si="65"/>
        <v>2</v>
      </c>
      <c r="C233" t="str">
        <f t="shared" ca="1" si="66"/>
        <v>S</v>
      </c>
      <c r="D233">
        <f t="shared" ca="1" si="67"/>
        <v>0</v>
      </c>
      <c r="E233">
        <f ca="1">IF($C233=1,OFFSET(E233,-1,0)+MAX(1,COUNTIF(QCI!$A$13:$A$24,OFFSET(ORÇAMENTO!E233,-1,0))),OFFSET(E233,-1,0))</f>
        <v>1</v>
      </c>
      <c r="F233">
        <f t="shared" ca="1" si="68"/>
        <v>10</v>
      </c>
      <c r="G233">
        <f t="shared" ca="1" si="69"/>
        <v>0</v>
      </c>
      <c r="H233">
        <f t="shared" ca="1" si="70"/>
        <v>0</v>
      </c>
      <c r="I233">
        <f t="shared" ca="1" si="71"/>
        <v>8</v>
      </c>
      <c r="J233">
        <f t="shared" ca="1" si="59"/>
        <v>0</v>
      </c>
      <c r="K233">
        <f ca="1">IF(OR($C233="S",$C233=0),0,MATCH(OFFSET($D233,0,$C233)+IF($C233&lt;&gt;1,1,COUNTIF(QCI!$A$13:$A$24,ORÇAMENTO!E233)),OFFSET($D233,1,$C233,ROW($C$290)-ROW($C233)),0))</f>
        <v>0</v>
      </c>
      <c r="L233" s="116" t="str">
        <f t="shared" ca="1" si="72"/>
        <v>F</v>
      </c>
      <c r="M233" s="117" t="s">
        <v>199</v>
      </c>
      <c r="N233" s="118" t="str">
        <f t="shared" ca="1" si="73"/>
        <v>Serviço</v>
      </c>
      <c r="O233" s="119" t="str">
        <f t="shared" ca="1" si="74"/>
        <v>1.10.0.8.</v>
      </c>
      <c r="P233" s="120" t="s">
        <v>462</v>
      </c>
      <c r="Q233" s="121" t="s">
        <v>590</v>
      </c>
      <c r="R233" s="122" t="str">
        <f ca="1">IF($C233="S",REFERENCIA.Descricao,"(digite a descrição aqui)")</f>
        <v>(abra o arquivo 'Referência 03-2024.xlsm)</v>
      </c>
      <c r="S233" s="123" t="str">
        <f ca="1">REFERENCIA.Unidade</f>
        <v>-</v>
      </c>
      <c r="T233" s="124">
        <f ca="1">OFFSET(CÁLCULO!H$15,ROW($T233)-ROW(T$15),0)</f>
        <v>144</v>
      </c>
      <c r="U233" s="125">
        <v>3.33</v>
      </c>
      <c r="V233" s="126" t="s">
        <v>156</v>
      </c>
      <c r="W233" s="124">
        <f ca="1">IF($C233="S",ROUND(IF(TIPOORCAMENTO="Proposto",ORÇAMENTO.CustoUnitario*(1+$AH233),ORÇAMENTO.PrecoUnitarioLicitado),15-13*$AF$10),0)</f>
        <v>4.2699999999999996</v>
      </c>
      <c r="X233" s="127">
        <f ca="1">IF($C233="S",IF(Import.TipoArredondamento&lt;&gt;"TransfereGOV",VTOTAL1,SUM(OFFSET(CÁLCULO!$AA$15,ROW($X233)-ROW($X$15),1):OFFSET(CÁLCULO!$AL$15,ROW($X233)-ROW($X$15),-1))),IF($C233=0,0,ROUND(SomaAgrup,15-13*$AF$11)))</f>
        <v>614.88</v>
      </c>
      <c r="Y233" s="128" t="s">
        <v>245</v>
      </c>
      <c r="Z233" t="str">
        <f t="shared" ca="1" si="75"/>
        <v>RA</v>
      </c>
      <c r="AA233" s="129">
        <f ca="1">IF($C233="S",IF($Z233="CP",$X233,IF($Z233="RA",(($X233)*QCI!$AA$3),0)),SomaAgrup)</f>
        <v>614.88</v>
      </c>
      <c r="AB233" s="130">
        <f t="shared" ca="1" si="76"/>
        <v>0</v>
      </c>
      <c r="AC233" s="131" t="str">
        <f ca="1">IF($N233="","",IF(ORÇAMENTO.Descricao="","DESCRIÇÃO",IF(AND($C233="S",ORÇAMENTO.Unidade=""),"UNIDADE",IF($X233&lt;0,"VALOR NEGATIVO",IF(OR(AND(TIPOORCAMENTO="Proposto",$AG233&lt;&gt;"",$AG233&gt;0,ORÇAMENTO.CustoUnitario&gt;$AG233),AND(TIPOORCAMENTO="LICITADO",ORÇAMENTO.PrecoUnitarioLicitado&gt;$AN233)),"ACIMA REF.","")))))</f>
        <v/>
      </c>
      <c r="AD233" t="str">
        <f ca="1">IF(C233&lt;=CRONO.NivelExibicao,MAX($AD$15:OFFSET(AD233,-1,0))+IF($C233&lt;&gt;1,1,MAX(1,COUNTIF(QCI!$A$13:$A$24,OFFSET($E233,-1,0)))),"")</f>
        <v/>
      </c>
      <c r="AE233" s="7" t="str">
        <f ca="1">IF(AND($C233="S",ORÇAMENTO.CodBarra&lt;&gt;""),IF(ORÇAMENTO.Fonte="",ORÇAMENTO.CodBarra,CONCATENATE(ORÇAMENTO.Fonte," ",ORÇAMENTO.CodBarra)))</f>
        <v>Composição 74</v>
      </c>
      <c r="AF233" s="13" t="str">
        <f ca="1">IF(ISERROR(INDIRECT(ORÇAMENTO.BancoRef)),"(abra o arquivo 'Referência "&amp;Excel_BuiltIn_Database&amp;".xlsm)",IF(OR($C233&lt;&gt;"S",ORÇAMENTO.CodBarra=""),"(Sem Código)",IF(ISERROR(MATCH($AE233,INDIRECT(ORÇAMENTO.BancoRef),0)),"(Código não identificado nas referências)",MATCH($AE233,INDIRECT(ORÇAMENTO.BancoRef),0))))</f>
        <v>(abra o arquivo 'Referência 03-2024.xlsm)</v>
      </c>
      <c r="AG233" s="498">
        <f ca="1">ROUND(IF(DESONERACAO="sim",REFERENCIA.Desonerado,REFERENCIA.NaoDesonerado),2)</f>
        <v>0</v>
      </c>
      <c r="AH233" s="499">
        <f t="shared" ca="1" si="77"/>
        <v>0.28170000000000001</v>
      </c>
      <c r="AJ233" s="501">
        <v>144</v>
      </c>
      <c r="AL233" s="527"/>
      <c r="AM233" s="381">
        <f t="shared" ca="1" si="78"/>
        <v>614.88</v>
      </c>
      <c r="AN233" s="566">
        <f t="shared" ca="1" si="79"/>
        <v>4.2699999999999996</v>
      </c>
    </row>
    <row r="234" spans="1:40" ht="38.25" x14ac:dyDescent="0.2">
      <c r="A234" t="str">
        <f t="shared" si="64"/>
        <v>S</v>
      </c>
      <c r="B234">
        <f t="shared" ca="1" si="65"/>
        <v>2</v>
      </c>
      <c r="C234" t="str">
        <f t="shared" ca="1" si="66"/>
        <v>S</v>
      </c>
      <c r="D234">
        <f t="shared" ca="1" si="67"/>
        <v>0</v>
      </c>
      <c r="E234">
        <f ca="1">IF($C234=1,OFFSET(E234,-1,0)+MAX(1,COUNTIF(QCI!$A$13:$A$24,OFFSET(ORÇAMENTO!E234,-1,0))),OFFSET(E234,-1,0))</f>
        <v>1</v>
      </c>
      <c r="F234">
        <f t="shared" ca="1" si="68"/>
        <v>10</v>
      </c>
      <c r="G234">
        <f t="shared" ca="1" si="69"/>
        <v>0</v>
      </c>
      <c r="H234">
        <f t="shared" ca="1" si="70"/>
        <v>0</v>
      </c>
      <c r="I234">
        <f t="shared" ca="1" si="71"/>
        <v>9</v>
      </c>
      <c r="J234">
        <f t="shared" ca="1" si="59"/>
        <v>0</v>
      </c>
      <c r="K234">
        <f ca="1">IF(OR($C234="S",$C234=0),0,MATCH(OFFSET($D234,0,$C234)+IF($C234&lt;&gt;1,1,COUNTIF(QCI!$A$13:$A$24,ORÇAMENTO!E234)),OFFSET($D234,1,$C234,ROW($C$290)-ROW($C234)),0))</f>
        <v>0</v>
      </c>
      <c r="L234" s="116" t="str">
        <f t="shared" ca="1" si="72"/>
        <v>F</v>
      </c>
      <c r="M234" s="117" t="s">
        <v>199</v>
      </c>
      <c r="N234" s="118" t="str">
        <f t="shared" ca="1" si="73"/>
        <v>Serviço</v>
      </c>
      <c r="O234" s="119" t="str">
        <f t="shared" ca="1" si="74"/>
        <v>1.10.0.9.</v>
      </c>
      <c r="P234" s="120" t="s">
        <v>462</v>
      </c>
      <c r="Q234" s="121" t="s">
        <v>599</v>
      </c>
      <c r="R234" s="122" t="str">
        <f ca="1">IF($C234="S",REFERENCIA.Descricao,"(digite a descrição aqui)")</f>
        <v>(abra o arquivo 'Referência 03-2024.xlsm)</v>
      </c>
      <c r="S234" s="123" t="str">
        <f ca="1">REFERENCIA.Unidade</f>
        <v>-</v>
      </c>
      <c r="T234" s="124">
        <f ca="1">OFFSET(CÁLCULO!H$15,ROW($T234)-ROW(T$15),0)</f>
        <v>14.4</v>
      </c>
      <c r="U234" s="125">
        <v>147.01</v>
      </c>
      <c r="V234" s="126" t="s">
        <v>156</v>
      </c>
      <c r="W234" s="124">
        <f ca="1">IF($C234="S",ROUND(IF(TIPOORCAMENTO="Proposto",ORÇAMENTO.CustoUnitario*(1+$AH234),ORÇAMENTO.PrecoUnitarioLicitado),15-13*$AF$10),0)</f>
        <v>188.42</v>
      </c>
      <c r="X234" s="127">
        <f ca="1">IF($C234="S",IF(Import.TipoArredondamento&lt;&gt;"TransfereGOV",VTOTAL1,SUM(OFFSET(CÁLCULO!$AA$15,ROW($X234)-ROW($X$15),1):OFFSET(CÁLCULO!$AL$15,ROW($X234)-ROW($X$15),-1))),IF($C234=0,0,ROUND(SomaAgrup,15-13*$AF$11)))</f>
        <v>2713.25</v>
      </c>
      <c r="Y234" s="128" t="s">
        <v>245</v>
      </c>
      <c r="Z234" t="str">
        <f t="shared" ca="1" si="75"/>
        <v>RA</v>
      </c>
      <c r="AA234" s="129">
        <f ca="1">IF($C234="S",IF($Z234="CP",$X234,IF($Z234="RA",(($X234)*QCI!$AA$3),0)),SomaAgrup)</f>
        <v>2713.25</v>
      </c>
      <c r="AB234" s="130">
        <f t="shared" ca="1" si="76"/>
        <v>0</v>
      </c>
      <c r="AC234" s="131" t="str">
        <f ca="1">IF($N234="","",IF(ORÇAMENTO.Descricao="","DESCRIÇÃO",IF(AND($C234="S",ORÇAMENTO.Unidade=""),"UNIDADE",IF($X234&lt;0,"VALOR NEGATIVO",IF(OR(AND(TIPOORCAMENTO="Proposto",$AG234&lt;&gt;"",$AG234&gt;0,ORÇAMENTO.CustoUnitario&gt;$AG234),AND(TIPOORCAMENTO="LICITADO",ORÇAMENTO.PrecoUnitarioLicitado&gt;$AN234)),"ACIMA REF.","")))))</f>
        <v/>
      </c>
      <c r="AD234" t="str">
        <f ca="1">IF(C234&lt;=CRONO.NivelExibicao,MAX($AD$15:OFFSET(AD234,-1,0))+IF($C234&lt;&gt;1,1,MAX(1,COUNTIF(QCI!$A$13:$A$24,OFFSET($E234,-1,0)))),"")</f>
        <v/>
      </c>
      <c r="AE234" s="7" t="str">
        <f ca="1">IF(AND($C234="S",ORÇAMENTO.CodBarra&lt;&gt;""),IF(ORÇAMENTO.Fonte="",ORÇAMENTO.CodBarra,CONCATENATE(ORÇAMENTO.Fonte," ",ORÇAMENTO.CodBarra)))</f>
        <v>Composição 82</v>
      </c>
      <c r="AF234" s="13" t="str">
        <f ca="1">IF(ISERROR(INDIRECT(ORÇAMENTO.BancoRef)),"(abra o arquivo 'Referência "&amp;Excel_BuiltIn_Database&amp;".xlsm)",IF(OR($C234&lt;&gt;"S",ORÇAMENTO.CodBarra=""),"(Sem Código)",IF(ISERROR(MATCH($AE234,INDIRECT(ORÇAMENTO.BancoRef),0)),"(Código não identificado nas referências)",MATCH($AE234,INDIRECT(ORÇAMENTO.BancoRef),0))))</f>
        <v>(abra o arquivo 'Referência 03-2024.xlsm)</v>
      </c>
      <c r="AG234" s="498">
        <f ca="1">ROUND(IF(DESONERACAO="sim",REFERENCIA.Desonerado,REFERENCIA.NaoDesonerado),2)</f>
        <v>0</v>
      </c>
      <c r="AH234" s="499">
        <f t="shared" ca="1" si="77"/>
        <v>0.28170000000000001</v>
      </c>
      <c r="AJ234" s="501">
        <v>14.4</v>
      </c>
      <c r="AL234" s="527"/>
      <c r="AM234" s="381">
        <f t="shared" ca="1" si="78"/>
        <v>2713.25</v>
      </c>
      <c r="AN234" s="566">
        <f t="shared" ca="1" si="79"/>
        <v>188.42</v>
      </c>
    </row>
    <row r="235" spans="1:40" ht="63.75" x14ac:dyDescent="0.2">
      <c r="A235" t="str">
        <f t="shared" si="64"/>
        <v>S</v>
      </c>
      <c r="B235">
        <f t="shared" ca="1" si="65"/>
        <v>2</v>
      </c>
      <c r="C235" t="str">
        <f t="shared" ca="1" si="66"/>
        <v>S</v>
      </c>
      <c r="D235">
        <f t="shared" ca="1" si="67"/>
        <v>0</v>
      </c>
      <c r="E235">
        <f ca="1">IF($C235=1,OFFSET(E235,-1,0)+MAX(1,COUNTIF(QCI!$A$13:$A$24,OFFSET(ORÇAMENTO!E235,-1,0))),OFFSET(E235,-1,0))</f>
        <v>1</v>
      </c>
      <c r="F235">
        <f t="shared" ca="1" si="68"/>
        <v>10</v>
      </c>
      <c r="G235">
        <f t="shared" ca="1" si="69"/>
        <v>0</v>
      </c>
      <c r="H235">
        <f t="shared" ca="1" si="70"/>
        <v>0</v>
      </c>
      <c r="I235">
        <f t="shared" ca="1" si="71"/>
        <v>10</v>
      </c>
      <c r="J235">
        <f t="shared" ca="1" si="59"/>
        <v>0</v>
      </c>
      <c r="K235">
        <f ca="1">IF(OR($C235="S",$C235=0),0,MATCH(OFFSET($D235,0,$C235)+IF($C235&lt;&gt;1,1,COUNTIF(QCI!$A$13:$A$24,ORÇAMENTO!E235)),OFFSET($D235,1,$C235,ROW($C$290)-ROW($C235)),0))</f>
        <v>0</v>
      </c>
      <c r="L235" s="116" t="str">
        <f t="shared" ca="1" si="72"/>
        <v>F</v>
      </c>
      <c r="M235" s="117" t="s">
        <v>199</v>
      </c>
      <c r="N235" s="118" t="str">
        <f t="shared" ca="1" si="73"/>
        <v>Serviço</v>
      </c>
      <c r="O235" s="119" t="str">
        <f t="shared" ca="1" si="74"/>
        <v>1.10.0.10.</v>
      </c>
      <c r="P235" s="120" t="s">
        <v>462</v>
      </c>
      <c r="Q235" s="121" t="s">
        <v>598</v>
      </c>
      <c r="R235" s="122" t="str">
        <f ca="1">IF($C235="S",REFERENCIA.Descricao,"(digite a descrição aqui)")</f>
        <v>(abra o arquivo 'Referência 03-2024.xlsm)</v>
      </c>
      <c r="S235" s="123" t="str">
        <f ca="1">REFERENCIA.Unidade</f>
        <v>-</v>
      </c>
      <c r="T235" s="124">
        <f ca="1">OFFSET(CÁLCULO!H$15,ROW($T235)-ROW(T$15),0)</f>
        <v>55.2</v>
      </c>
      <c r="U235" s="125">
        <v>126.4</v>
      </c>
      <c r="V235" s="126" t="s">
        <v>156</v>
      </c>
      <c r="W235" s="124">
        <f ca="1">IF($C235="S",ROUND(IF(TIPOORCAMENTO="Proposto",ORÇAMENTO.CustoUnitario*(1+$AH235),ORÇAMENTO.PrecoUnitarioLicitado),15-13*$AF$10),0)</f>
        <v>162.01</v>
      </c>
      <c r="X235" s="127">
        <f ca="1">IF($C235="S",IF(Import.TipoArredondamento&lt;&gt;"TransfereGOV",VTOTAL1,SUM(OFFSET(CÁLCULO!$AA$15,ROW($X235)-ROW($X$15),1):OFFSET(CÁLCULO!$AL$15,ROW($X235)-ROW($X$15),-1))),IF($C235=0,0,ROUND(SomaAgrup,15-13*$AF$11)))</f>
        <v>8942.9500000000007</v>
      </c>
      <c r="Y235" s="128" t="s">
        <v>245</v>
      </c>
      <c r="Z235" t="str">
        <f t="shared" ca="1" si="75"/>
        <v>RA</v>
      </c>
      <c r="AA235" s="129">
        <f ca="1">IF($C235="S",IF($Z235="CP",$X235,IF($Z235="RA",(($X235)*QCI!$AA$3),0)),SomaAgrup)</f>
        <v>8942.9500000000007</v>
      </c>
      <c r="AB235" s="130">
        <f t="shared" ca="1" si="76"/>
        <v>0</v>
      </c>
      <c r="AC235" s="131" t="str">
        <f ca="1">IF($N235="","",IF(ORÇAMENTO.Descricao="","DESCRIÇÃO",IF(AND($C235="S",ORÇAMENTO.Unidade=""),"UNIDADE",IF($X235&lt;0,"VALOR NEGATIVO",IF(OR(AND(TIPOORCAMENTO="Proposto",$AG235&lt;&gt;"",$AG235&gt;0,ORÇAMENTO.CustoUnitario&gt;$AG235),AND(TIPOORCAMENTO="LICITADO",ORÇAMENTO.PrecoUnitarioLicitado&gt;$AN235)),"ACIMA REF.","")))))</f>
        <v/>
      </c>
      <c r="AD235" t="str">
        <f ca="1">IF(C235&lt;=CRONO.NivelExibicao,MAX($AD$15:OFFSET(AD235,-1,0))+IF($C235&lt;&gt;1,1,MAX(1,COUNTIF(QCI!$A$13:$A$24,OFFSET($E235,-1,0)))),"")</f>
        <v/>
      </c>
      <c r="AE235" s="7" t="str">
        <f ca="1">IF(AND($C235="S",ORÇAMENTO.CodBarra&lt;&gt;""),IF(ORÇAMENTO.Fonte="",ORÇAMENTO.CodBarra,CONCATENATE(ORÇAMENTO.Fonte," ",ORÇAMENTO.CodBarra)))</f>
        <v>Composição 81</v>
      </c>
      <c r="AF235" s="13" t="str">
        <f ca="1">IF(ISERROR(INDIRECT(ORÇAMENTO.BancoRef)),"(abra o arquivo 'Referência "&amp;Excel_BuiltIn_Database&amp;".xlsm)",IF(OR($C235&lt;&gt;"S",ORÇAMENTO.CodBarra=""),"(Sem Código)",IF(ISERROR(MATCH($AE235,INDIRECT(ORÇAMENTO.BancoRef),0)),"(Código não identificado nas referências)",MATCH($AE235,INDIRECT(ORÇAMENTO.BancoRef),0))))</f>
        <v>(abra o arquivo 'Referência 03-2024.xlsm)</v>
      </c>
      <c r="AG235" s="498">
        <f ca="1">ROUND(IF(DESONERACAO="sim",REFERENCIA.Desonerado,REFERENCIA.NaoDesonerado),2)</f>
        <v>0</v>
      </c>
      <c r="AH235" s="499">
        <f t="shared" ca="1" si="77"/>
        <v>0.28170000000000001</v>
      </c>
      <c r="AJ235" s="501">
        <v>55.2</v>
      </c>
      <c r="AL235" s="527"/>
      <c r="AM235" s="381">
        <f t="shared" ca="1" si="78"/>
        <v>8942.9500000000007</v>
      </c>
      <c r="AN235" s="566">
        <f t="shared" ca="1" si="79"/>
        <v>162.01</v>
      </c>
    </row>
    <row r="236" spans="1:40" ht="63.75" x14ac:dyDescent="0.2">
      <c r="A236" t="str">
        <f t="shared" si="64"/>
        <v>S</v>
      </c>
      <c r="B236">
        <f t="shared" ca="1" si="65"/>
        <v>2</v>
      </c>
      <c r="C236" t="str">
        <f t="shared" ca="1" si="66"/>
        <v>S</v>
      </c>
      <c r="D236">
        <f t="shared" ca="1" si="67"/>
        <v>0</v>
      </c>
      <c r="E236">
        <f ca="1">IF($C236=1,OFFSET(E236,-1,0)+MAX(1,COUNTIF(QCI!$A$13:$A$24,OFFSET(ORÇAMENTO!E236,-1,0))),OFFSET(E236,-1,0))</f>
        <v>1</v>
      </c>
      <c r="F236">
        <f t="shared" ca="1" si="68"/>
        <v>10</v>
      </c>
      <c r="G236">
        <f t="shared" ca="1" si="69"/>
        <v>0</v>
      </c>
      <c r="H236">
        <f t="shared" ca="1" si="70"/>
        <v>0</v>
      </c>
      <c r="I236">
        <f t="shared" ca="1" si="71"/>
        <v>11</v>
      </c>
      <c r="J236">
        <f t="shared" ca="1" si="59"/>
        <v>0</v>
      </c>
      <c r="K236">
        <f ca="1">IF(OR($C236="S",$C236=0),0,MATCH(OFFSET($D236,0,$C236)+IF($C236&lt;&gt;1,1,COUNTIF(QCI!$A$13:$A$24,ORÇAMENTO!E236)),OFFSET($D236,1,$C236,ROW($C$290)-ROW($C236)),0))</f>
        <v>0</v>
      </c>
      <c r="L236" s="116" t="str">
        <f t="shared" ca="1" si="72"/>
        <v>F</v>
      </c>
      <c r="M236" s="117" t="s">
        <v>199</v>
      </c>
      <c r="N236" s="118" t="str">
        <f t="shared" ca="1" si="73"/>
        <v>Serviço</v>
      </c>
      <c r="O236" s="119" t="str">
        <f t="shared" ca="1" si="74"/>
        <v>1.10.0.11.</v>
      </c>
      <c r="P236" s="120" t="s">
        <v>462</v>
      </c>
      <c r="Q236" s="121" t="s">
        <v>597</v>
      </c>
      <c r="R236" s="122" t="str">
        <f ca="1">IF($C236="S",REFERENCIA.Descricao,"(digite a descrição aqui)")</f>
        <v>(abra o arquivo 'Referência 03-2024.xlsm)</v>
      </c>
      <c r="S236" s="123" t="str">
        <f ca="1">REFERENCIA.Unidade</f>
        <v>-</v>
      </c>
      <c r="T236" s="124">
        <f ca="1">OFFSET(CÁLCULO!H$15,ROW($T236)-ROW(T$15),0)</f>
        <v>2.4</v>
      </c>
      <c r="U236" s="125">
        <v>200.32</v>
      </c>
      <c r="V236" s="126" t="s">
        <v>156</v>
      </c>
      <c r="W236" s="124">
        <f ca="1">IF($C236="S",ROUND(IF(TIPOORCAMENTO="Proposto",ORÇAMENTO.CustoUnitario*(1+$AH236),ORÇAMENTO.PrecoUnitarioLicitado),15-13*$AF$10),0)</f>
        <v>256.75</v>
      </c>
      <c r="X236" s="127">
        <f ca="1">IF($C236="S",IF(Import.TipoArredondamento&lt;&gt;"TransfereGOV",VTOTAL1,SUM(OFFSET(CÁLCULO!$AA$15,ROW($X236)-ROW($X$15),1):OFFSET(CÁLCULO!$AL$15,ROW($X236)-ROW($X$15),-1))),IF($C236=0,0,ROUND(SomaAgrup,15-13*$AF$11)))</f>
        <v>616.20000000000005</v>
      </c>
      <c r="Y236" s="128" t="s">
        <v>245</v>
      </c>
      <c r="Z236" t="str">
        <f t="shared" ca="1" si="75"/>
        <v>RA</v>
      </c>
      <c r="AA236" s="129">
        <f ca="1">IF($C236="S",IF($Z236="CP",$X236,IF($Z236="RA",(($X236)*QCI!$AA$3),0)),SomaAgrup)</f>
        <v>616.20000000000005</v>
      </c>
      <c r="AB236" s="130">
        <f t="shared" ca="1" si="76"/>
        <v>0</v>
      </c>
      <c r="AC236" s="131" t="str">
        <f ca="1">IF($N236="","",IF(ORÇAMENTO.Descricao="","DESCRIÇÃO",IF(AND($C236="S",ORÇAMENTO.Unidade=""),"UNIDADE",IF($X236&lt;0,"VALOR NEGATIVO",IF(OR(AND(TIPOORCAMENTO="Proposto",$AG236&lt;&gt;"",$AG236&gt;0,ORÇAMENTO.CustoUnitario&gt;$AG236),AND(TIPOORCAMENTO="LICITADO",ORÇAMENTO.PrecoUnitarioLicitado&gt;$AN236)),"ACIMA REF.","")))))</f>
        <v/>
      </c>
      <c r="AD236" t="str">
        <f ca="1">IF(C236&lt;=CRONO.NivelExibicao,MAX($AD$15:OFFSET(AD236,-1,0))+IF($C236&lt;&gt;1,1,MAX(1,COUNTIF(QCI!$A$13:$A$24,OFFSET($E236,-1,0)))),"")</f>
        <v/>
      </c>
      <c r="AE236" s="7" t="str">
        <f ca="1">IF(AND($C236="S",ORÇAMENTO.CodBarra&lt;&gt;""),IF(ORÇAMENTO.Fonte="",ORÇAMENTO.CodBarra,CONCATENATE(ORÇAMENTO.Fonte," ",ORÇAMENTO.CodBarra)))</f>
        <v>Composição 80</v>
      </c>
      <c r="AF236" s="13" t="str">
        <f ca="1">IF(ISERROR(INDIRECT(ORÇAMENTO.BancoRef)),"(abra o arquivo 'Referência "&amp;Excel_BuiltIn_Database&amp;".xlsm)",IF(OR($C236&lt;&gt;"S",ORÇAMENTO.CodBarra=""),"(Sem Código)",IF(ISERROR(MATCH($AE236,INDIRECT(ORÇAMENTO.BancoRef),0)),"(Código não identificado nas referências)",MATCH($AE236,INDIRECT(ORÇAMENTO.BancoRef),0))))</f>
        <v>(abra o arquivo 'Referência 03-2024.xlsm)</v>
      </c>
      <c r="AG236" s="498">
        <f ca="1">ROUND(IF(DESONERACAO="sim",REFERENCIA.Desonerado,REFERENCIA.NaoDesonerado),2)</f>
        <v>0</v>
      </c>
      <c r="AH236" s="499">
        <f t="shared" ca="1" si="77"/>
        <v>0.28170000000000001</v>
      </c>
      <c r="AJ236" s="501">
        <v>2.4</v>
      </c>
      <c r="AL236" s="527"/>
      <c r="AM236" s="381">
        <f t="shared" ca="1" si="78"/>
        <v>616.20000000000005</v>
      </c>
      <c r="AN236" s="566">
        <f t="shared" ca="1" si="79"/>
        <v>256.75</v>
      </c>
    </row>
    <row r="237" spans="1:40" x14ac:dyDescent="0.2">
      <c r="A237">
        <f t="shared" si="64"/>
        <v>2</v>
      </c>
      <c r="B237">
        <f t="shared" ca="1" si="65"/>
        <v>2</v>
      </c>
      <c r="C237">
        <f t="shared" ca="1" si="66"/>
        <v>2</v>
      </c>
      <c r="D237">
        <f t="shared" ca="1" si="67"/>
        <v>8</v>
      </c>
      <c r="E237">
        <f ca="1">IF($C237=1,OFFSET(E237,-1,0)+MAX(1,COUNTIF(QCI!$A$13:$A$24,OFFSET(ORÇAMENTO!E237,-1,0))),OFFSET(E237,-1,0))</f>
        <v>1</v>
      </c>
      <c r="F237">
        <f t="shared" ca="1" si="68"/>
        <v>11</v>
      </c>
      <c r="G237">
        <f t="shared" ca="1" si="69"/>
        <v>0</v>
      </c>
      <c r="H237">
        <f t="shared" ca="1" si="70"/>
        <v>0</v>
      </c>
      <c r="I237">
        <f t="shared" ca="1" si="71"/>
        <v>0</v>
      </c>
      <c r="J237">
        <f t="shared" ca="1" si="59"/>
        <v>53</v>
      </c>
      <c r="K237">
        <f ca="1">IF(OR($C237="S",$C237=0),0,MATCH(OFFSET($D237,0,$C237)+IF($C237&lt;&gt;1,1,COUNTIF(QCI!$A$13:$A$24,ORÇAMENTO!E237)),OFFSET($D237,1,$C237,ROW($C$290)-ROW($C237)),0))</f>
        <v>8</v>
      </c>
      <c r="L237" s="116" t="str">
        <f t="shared" ca="1" si="72"/>
        <v>F</v>
      </c>
      <c r="M237" s="117" t="s">
        <v>196</v>
      </c>
      <c r="N237" s="118" t="str">
        <f t="shared" ca="1" si="73"/>
        <v>Nível 2</v>
      </c>
      <c r="O237" s="119" t="str">
        <f t="shared" ca="1" si="74"/>
        <v>1.11.</v>
      </c>
      <c r="P237" s="120" t="s">
        <v>247</v>
      </c>
      <c r="Q237" s="121"/>
      <c r="R237" s="122" t="s">
        <v>602</v>
      </c>
      <c r="S237" s="123" t="str">
        <f ca="1">REFERENCIA.Unidade</f>
        <v>-</v>
      </c>
      <c r="T237" s="124">
        <f ca="1">OFFSET(CÁLCULO!H$15,ROW($T237)-ROW(T$15),0)</f>
        <v>0</v>
      </c>
      <c r="U237" s="125">
        <v>0</v>
      </c>
      <c r="V237" s="126" t="s">
        <v>156</v>
      </c>
      <c r="W237" s="124">
        <f ca="1">IF($C237="S",ROUND(IF(TIPOORCAMENTO="Proposto",ORÇAMENTO.CustoUnitario*(1+$AH237),ORÇAMENTO.PrecoUnitarioLicitado),15-13*$AF$10),0)</f>
        <v>0</v>
      </c>
      <c r="X237" s="127">
        <f ca="1">IF($C237="S",IF(Import.TipoArredondamento&lt;&gt;"TransfereGOV",VTOTAL1,SUM(OFFSET(CÁLCULO!$AA$15,ROW($X237)-ROW($X$15),1):OFFSET(CÁLCULO!$AL$15,ROW($X237)-ROW($X$15),-1))),IF($C237=0,0,ROUND(SomaAgrup,15-13*$AF$11)))</f>
        <v>30282.11</v>
      </c>
      <c r="Y237" s="128" t="s">
        <v>245</v>
      </c>
      <c r="Z237" t="str">
        <f t="shared" ca="1" si="75"/>
        <v/>
      </c>
      <c r="AA237" s="129">
        <f ca="1">IF($C237="S",IF($Z237="CP",$X237,IF($Z237="RA",(($X237)*QCI!$AA$3),0)),SomaAgrup)</f>
        <v>30282.11</v>
      </c>
      <c r="AB237" s="130">
        <f t="shared" ca="1" si="76"/>
        <v>0</v>
      </c>
      <c r="AC237" s="131" t="str">
        <f ca="1">IF($N237="","",IF(ORÇAMENTO.Descricao="","DESCRIÇÃO",IF(AND($C237="S",ORÇAMENTO.Unidade=""),"UNIDADE",IF($X237&lt;0,"VALOR NEGATIVO",IF(OR(AND(TIPOORCAMENTO="Proposto",$AG237&lt;&gt;"",$AG237&gt;0,ORÇAMENTO.CustoUnitario&gt;$AG237),AND(TIPOORCAMENTO="LICITADO",ORÇAMENTO.PrecoUnitarioLicitado&gt;$AN237)),"ACIMA REF.","")))))</f>
        <v/>
      </c>
      <c r="AD237">
        <f ca="1">IF(C237&lt;=CRONO.NivelExibicao,MAX($AD$15:OFFSET(AD237,-1,0))+IF($C237&lt;&gt;1,1,MAX(1,COUNTIF(QCI!$A$13:$A$24,OFFSET($E237,-1,0)))),"")</f>
        <v>32</v>
      </c>
      <c r="AE237" s="7" t="b">
        <f ca="1">IF(AND($C237="S",ORÇAMENTO.CodBarra&lt;&gt;""),IF(ORÇAMENTO.Fonte="",ORÇAMENTO.CodBarra,CONCATENATE(ORÇAMENTO.Fonte," ",ORÇAMENTO.CodBarra)))</f>
        <v>0</v>
      </c>
      <c r="AF237" s="13" t="str">
        <f ca="1">IF(ISERROR(INDIRECT(ORÇAMENTO.BancoRef)),"(abra o arquivo 'Referência "&amp;Excel_BuiltIn_Database&amp;".xlsm)",IF(OR($C237&lt;&gt;"S",ORÇAMENTO.CodBarra=""),"(Sem Código)",IF(ISERROR(MATCH($AE237,INDIRECT(ORÇAMENTO.BancoRef),0)),"(Código não identificado nas referências)",MATCH($AE237,INDIRECT(ORÇAMENTO.BancoRef),0))))</f>
        <v>(abra o arquivo 'Referência 03-2024.xlsm)</v>
      </c>
      <c r="AG237" s="498">
        <f ca="1">ROUND(IF(DESONERACAO="sim",REFERENCIA.Desonerado,REFERENCIA.NaoDesonerado),2)</f>
        <v>0</v>
      </c>
      <c r="AH237" s="499">
        <f t="shared" ca="1" si="77"/>
        <v>0.28170000000000001</v>
      </c>
      <c r="AJ237" s="501"/>
      <c r="AL237" s="527"/>
      <c r="AM237" s="381">
        <f t="shared" ca="1" si="78"/>
        <v>30282.11</v>
      </c>
      <c r="AN237" s="566">
        <f t="shared" ca="1" si="79"/>
        <v>0</v>
      </c>
    </row>
    <row r="238" spans="1:40" ht="51" x14ac:dyDescent="0.2">
      <c r="A238" t="str">
        <f>CHOOSE(1+LOG(1+2*(ORÇAMENTO.Nivel="Meta")+4*(ORÇAMENTO.Nivel="Nível 2")+8*(ORÇAMENTO.Nivel="Nível 3")+16*(ORÇAMENTO.Nivel="Nível 4")+32*(ORÇAMENTO.Nivel="Serviço"),2),0,1,2,3,4,"S")</f>
        <v>S</v>
      </c>
      <c r="B238">
        <f ca="1">IF(OR(C238="s",C238=0),OFFSET(B238,-1,0),C238)</f>
        <v>2</v>
      </c>
      <c r="C238" t="str">
        <f ca="1">IF(OFFSET(C238,-1,0)="L",1,IF(OFFSET(C238,-1,0)=1,2,IF(OR(A238="s",A238=0),"S",IF(AND(OFFSET(C238,-1,0)=2,A238=4),3,IF(AND(OR(OFFSET(C238,-1,0)="s",OFFSET(C238,-1,0)=0),A238&lt;&gt;"s",A238&gt;OFFSET(B238,-1,0)),OFFSET(B238,-1,0),A238)))))</f>
        <v>S</v>
      </c>
      <c r="D238">
        <f ca="1">IF(OR(C238="S",C238=0),0,IF(ISERROR(K238),J238,SMALL(J238:K238,1)))</f>
        <v>0</v>
      </c>
      <c r="E238">
        <f ca="1">IF($C238=1,OFFSET(E238,-1,0)+MAX(1,COUNTIF(QCI!$A$13:$A$24,OFFSET(ORÇAMENTO!E238,-1,0))),OFFSET(E238,-1,0))</f>
        <v>1</v>
      </c>
      <c r="F238">
        <f ca="1">IF($C238=1,0,IF($C238=2,OFFSET(F238,-1,0)+1,OFFSET(F238,-1,0)))</f>
        <v>11</v>
      </c>
      <c r="G238">
        <f ca="1">IF(AND($C238&lt;=2,$C238&lt;&gt;0),0,IF($C238=3,OFFSET(G238,-1,0)+1,OFFSET(G238,-1,0)))</f>
        <v>0</v>
      </c>
      <c r="H238">
        <f ca="1">IF(AND($C238&lt;=3,$C238&lt;&gt;0),0,IF($C238=4,OFFSET(H238,-1,0)+1,OFFSET(H238,-1,0)))</f>
        <v>0</v>
      </c>
      <c r="I238">
        <f ca="1">IF(AND($C238&lt;=4,$C238&lt;&gt;0),0,IF(AND($C238="S",$X238&gt;0),OFFSET(I238,-1,0)+1,OFFSET(I238,-1,0)))</f>
        <v>1</v>
      </c>
      <c r="J238">
        <f t="shared" ca="1" si="59"/>
        <v>0</v>
      </c>
      <c r="K238">
        <f ca="1">IF(OR($C238="S",$C238=0),0,MATCH(OFFSET($D238,0,$C238)+IF($C238&lt;&gt;1,1,COUNTIF(QCI!$A$13:$A$24,ORÇAMENTO!E238)),OFFSET($D238,1,$C238,ROW($C$290)-ROW($C238)),0))</f>
        <v>0</v>
      </c>
      <c r="L238" s="116" t="str">
        <f ca="1">IF(OR($X238&gt;0,$C238=1,$C238=2,$C238=3,$C238=4),"F","")</f>
        <v>F</v>
      </c>
      <c r="M238" s="117" t="s">
        <v>199</v>
      </c>
      <c r="N238" s="118" t="str">
        <f ca="1">CHOOSE(1+LOG(1+2*(C238=1)+4*(C238=2)+8*(C238=3)+16*(C238=4)+32*(C238="S"),2),"","Meta","Nível 2","Nível 3","Nível 4","Serviço")</f>
        <v>Serviço</v>
      </c>
      <c r="O238" s="119" t="str">
        <f ca="1">IF(OR($C238=0,$L238=""),"-",CONCATENATE(E238&amp;".",IF(AND($A$5&gt;=2,$C238&gt;=2),F238&amp;".",""),IF(AND($A$5&gt;=3,$C238&gt;=3),G238&amp;".",""),IF(AND($A$5&gt;=4,$C238&gt;=4),H238&amp;".",""),IF($C238="S",I238&amp;".","")))</f>
        <v>1.11.0.1.</v>
      </c>
      <c r="P238" s="120" t="s">
        <v>247</v>
      </c>
      <c r="Q238" s="121" t="s">
        <v>605</v>
      </c>
      <c r="R238" s="122" t="str">
        <f ca="1">IF($C238="S",REFERENCIA.Descricao,"(digite a descrição aqui)")</f>
        <v>(abra o arquivo 'Referência 03-2024.xlsm)</v>
      </c>
      <c r="S238" s="123" t="str">
        <f ca="1">REFERENCIA.Unidade</f>
        <v>-</v>
      </c>
      <c r="T238" s="124">
        <f ca="1">OFFSET(CÁLCULO!H$15,ROW($T238)-ROW(T$15),0)</f>
        <v>1</v>
      </c>
      <c r="U238" s="125">
        <v>2184.4299999999998</v>
      </c>
      <c r="V238" s="126" t="s">
        <v>156</v>
      </c>
      <c r="W238" s="124">
        <f ca="1">IF($C238="S",ROUND(IF(TIPOORCAMENTO="Proposto",ORÇAMENTO.CustoUnitario*(1+$AH238),ORÇAMENTO.PrecoUnitarioLicitado),15-13*$AF$10),0)</f>
        <v>2799.78</v>
      </c>
      <c r="X238" s="127">
        <f ca="1">IF($C238="S",IF(Import.TipoArredondamento&lt;&gt;"TransfereGOV",VTOTAL1,SUM(OFFSET(CÁLCULO!$AA$15,ROW($X238)-ROW($X$15),1):OFFSET(CÁLCULO!$AL$15,ROW($X238)-ROW($X$15),-1))),IF($C238=0,0,ROUND(SomaAgrup,15-13*$AF$11)))</f>
        <v>2799.78</v>
      </c>
      <c r="Y238" s="128" t="s">
        <v>245</v>
      </c>
      <c r="Z238" t="str">
        <f ca="1">IF(AND($C238="S",$X238&gt;0),IF(ISBLANK($Y238),"RA",LEFT($Y238,2)),"")</f>
        <v>RA</v>
      </c>
      <c r="AA238" s="129">
        <f ca="1">IF($C238="S",IF($Z238="CP",$X238,IF($Z238="RA",(($X238)*QCI!$AA$3),0)),SomaAgrup)</f>
        <v>2799.78</v>
      </c>
      <c r="AB238" s="130">
        <f ca="1">IF($C238="S",IF($Z238="OU",ROUND($X238,2),0),SomaAgrup)</f>
        <v>0</v>
      </c>
      <c r="AC238" s="131" t="str">
        <f ca="1">IF($N238="","",IF(ORÇAMENTO.Descricao="","DESCRIÇÃO",IF(AND($C238="S",ORÇAMENTO.Unidade=""),"UNIDADE",IF($X238&lt;0,"VALOR NEGATIVO",IF(OR(AND(TIPOORCAMENTO="Proposto",$AG238&lt;&gt;"",$AG238&gt;0,ORÇAMENTO.CustoUnitario&gt;$AG238),AND(TIPOORCAMENTO="LICITADO",ORÇAMENTO.PrecoUnitarioLicitado&gt;$AN238)),"ACIMA REF.","")))))</f>
        <v/>
      </c>
      <c r="AD238" t="str">
        <f ca="1">IF(C238&lt;=CRONO.NivelExibicao,MAX($AD$15:OFFSET(AD238,-1,0))+IF($C238&lt;&gt;1,1,MAX(1,COUNTIF(QCI!$A$13:$A$24,OFFSET($E238,-1,0)))),"")</f>
        <v/>
      </c>
      <c r="AE238" s="7" t="str">
        <f ca="1">IF(AND($C238="S",ORÇAMENTO.CodBarra&lt;&gt;""),IF(ORÇAMENTO.Fonte="",ORÇAMENTO.CodBarra,CONCATENATE(ORÇAMENTO.Fonte," ",ORÇAMENTO.CodBarra)))</f>
        <v>SINAPI 103195</v>
      </c>
      <c r="AF238" s="13" t="str">
        <f ca="1">IF(ISERROR(INDIRECT(ORÇAMENTO.BancoRef)),"(abra o arquivo 'Referência "&amp;Excel_BuiltIn_Database&amp;".xlsm)",IF(OR($C238&lt;&gt;"S",ORÇAMENTO.CodBarra=""),"(Sem Código)",IF(ISERROR(MATCH($AE238,INDIRECT(ORÇAMENTO.BancoRef),0)),"(Código não identificado nas referências)",MATCH($AE238,INDIRECT(ORÇAMENTO.BancoRef),0))))</f>
        <v>(abra o arquivo 'Referência 03-2024.xlsm)</v>
      </c>
      <c r="AG238" s="498">
        <f ca="1">ROUND(IF(DESONERACAO="sim",REFERENCIA.Desonerado,REFERENCIA.NaoDesonerado),2)</f>
        <v>0</v>
      </c>
      <c r="AH238" s="499">
        <f ca="1">ROUND(IF(ISNUMBER(ORÇAMENTO.OpcaoBDI),ORÇAMENTO.OpcaoBDI,IF(LEFT(ORÇAMENTO.OpcaoBDI,3)="BDI",HLOOKUP(ORÇAMENTO.OpcaoBDI,$F$4:$H$5,2,FALSE),0)),15-11*$AF$9)</f>
        <v>0.28170000000000001</v>
      </c>
      <c r="AJ238" s="501">
        <v>1</v>
      </c>
      <c r="AL238" s="527"/>
      <c r="AM238" s="381">
        <f t="shared" ca="1" si="78"/>
        <v>2799.78</v>
      </c>
      <c r="AN238" s="566">
        <f ca="1">ROUND(ORÇAMENTO.CustoUnitario*(1+$AH238),2)</f>
        <v>2799.78</v>
      </c>
    </row>
    <row r="239" spans="1:40" ht="51" x14ac:dyDescent="0.2">
      <c r="A239" t="str">
        <f t="shared" si="64"/>
        <v>S</v>
      </c>
      <c r="B239">
        <f t="shared" ca="1" si="65"/>
        <v>2</v>
      </c>
      <c r="C239" t="str">
        <f t="shared" ca="1" si="66"/>
        <v>S</v>
      </c>
      <c r="D239">
        <f t="shared" ca="1" si="67"/>
        <v>0</v>
      </c>
      <c r="E239">
        <f ca="1">IF($C239=1,OFFSET(E239,-1,0)+MAX(1,COUNTIF(QCI!$A$13:$A$24,OFFSET(ORÇAMENTO!E239,-1,0))),OFFSET(E239,-1,0))</f>
        <v>1</v>
      </c>
      <c r="F239">
        <f t="shared" ca="1" si="68"/>
        <v>11</v>
      </c>
      <c r="G239">
        <f t="shared" ca="1" si="69"/>
        <v>0</v>
      </c>
      <c r="H239">
        <f t="shared" ca="1" si="70"/>
        <v>0</v>
      </c>
      <c r="I239">
        <f t="shared" ca="1" si="71"/>
        <v>2</v>
      </c>
      <c r="J239">
        <f t="shared" ca="1" si="59"/>
        <v>0</v>
      </c>
      <c r="K239">
        <f ca="1">IF(OR($C239="S",$C239=0),0,MATCH(OFFSET($D239,0,$C239)+IF($C239&lt;&gt;1,1,COUNTIF(QCI!$A$13:$A$24,ORÇAMENTO!E239)),OFFSET($D239,1,$C239,ROW($C$290)-ROW($C239)),0))</f>
        <v>0</v>
      </c>
      <c r="L239" s="116" t="str">
        <f t="shared" ca="1" si="72"/>
        <v>F</v>
      </c>
      <c r="M239" s="117" t="s">
        <v>199</v>
      </c>
      <c r="N239" s="118" t="str">
        <f t="shared" ca="1" si="73"/>
        <v>Serviço</v>
      </c>
      <c r="O239" s="119" t="str">
        <f t="shared" ca="1" si="74"/>
        <v>1.11.0.2.</v>
      </c>
      <c r="P239" s="120" t="s">
        <v>247</v>
      </c>
      <c r="Q239" s="121" t="s">
        <v>603</v>
      </c>
      <c r="R239" s="122" t="str">
        <f ca="1">IF($C239="S",REFERENCIA.Descricao,"(digite a descrição aqui)")</f>
        <v>(abra o arquivo 'Referência 03-2024.xlsm)</v>
      </c>
      <c r="S239" s="123" t="str">
        <f ca="1">REFERENCIA.Unidade</f>
        <v>-</v>
      </c>
      <c r="T239" s="124">
        <f ca="1">OFFSET(CÁLCULO!H$15,ROW($T239)-ROW(T$15),0)</f>
        <v>1</v>
      </c>
      <c r="U239" s="125">
        <v>2369.46</v>
      </c>
      <c r="V239" s="126" t="s">
        <v>156</v>
      </c>
      <c r="W239" s="124">
        <f ca="1">IF($C239="S",ROUND(IF(TIPOORCAMENTO="Proposto",ORÇAMENTO.CustoUnitario*(1+$AH239),ORÇAMENTO.PrecoUnitarioLicitado),15-13*$AF$10),0)</f>
        <v>3036.94</v>
      </c>
      <c r="X239" s="127">
        <f ca="1">IF($C239="S",IF(Import.TipoArredondamento&lt;&gt;"TransfereGOV",VTOTAL1,SUM(OFFSET(CÁLCULO!$AA$15,ROW($X239)-ROW($X$15),1):OFFSET(CÁLCULO!$AL$15,ROW($X239)-ROW($X$15),-1))),IF($C239=0,0,ROUND(SomaAgrup,15-13*$AF$11)))</f>
        <v>3036.94</v>
      </c>
      <c r="Y239" s="128" t="s">
        <v>245</v>
      </c>
      <c r="Z239" t="str">
        <f t="shared" ca="1" si="75"/>
        <v>RA</v>
      </c>
      <c r="AA239" s="129">
        <f ca="1">IF($C239="S",IF($Z239="CP",$X239,IF($Z239="RA",(($X239)*QCI!$AA$3),0)),SomaAgrup)</f>
        <v>3036.94</v>
      </c>
      <c r="AB239" s="130">
        <f t="shared" ca="1" si="76"/>
        <v>0</v>
      </c>
      <c r="AC239" s="131" t="str">
        <f ca="1">IF($N239="","",IF(ORÇAMENTO.Descricao="","DESCRIÇÃO",IF(AND($C239="S",ORÇAMENTO.Unidade=""),"UNIDADE",IF($X239&lt;0,"VALOR NEGATIVO",IF(OR(AND(TIPOORCAMENTO="Proposto",$AG239&lt;&gt;"",$AG239&gt;0,ORÇAMENTO.CustoUnitario&gt;$AG239),AND(TIPOORCAMENTO="LICITADO",ORÇAMENTO.PrecoUnitarioLicitado&gt;$AN239)),"ACIMA REF.","")))))</f>
        <v/>
      </c>
      <c r="AD239" t="str">
        <f ca="1">IF(C239&lt;=CRONO.NivelExibicao,MAX($AD$15:OFFSET(AD239,-1,0))+IF($C239&lt;&gt;1,1,MAX(1,COUNTIF(QCI!$A$13:$A$24,OFFSET($E239,-1,0)))),"")</f>
        <v/>
      </c>
      <c r="AE239" s="7" t="str">
        <f ca="1">IF(AND($C239="S",ORÇAMENTO.CodBarra&lt;&gt;""),IF(ORÇAMENTO.Fonte="",ORÇAMENTO.CodBarra,CONCATENATE(ORÇAMENTO.Fonte," ",ORÇAMENTO.CodBarra)))</f>
        <v>SINAPI 103191</v>
      </c>
      <c r="AF239" s="13" t="str">
        <f ca="1">IF(ISERROR(INDIRECT(ORÇAMENTO.BancoRef)),"(abra o arquivo 'Referência "&amp;Excel_BuiltIn_Database&amp;".xlsm)",IF(OR($C239&lt;&gt;"S",ORÇAMENTO.CodBarra=""),"(Sem Código)",IF(ISERROR(MATCH($AE239,INDIRECT(ORÇAMENTO.BancoRef),0)),"(Código não identificado nas referências)",MATCH($AE239,INDIRECT(ORÇAMENTO.BancoRef),0))))</f>
        <v>(abra o arquivo 'Referência 03-2024.xlsm)</v>
      </c>
      <c r="AG239" s="498">
        <f ca="1">ROUND(IF(DESONERACAO="sim",REFERENCIA.Desonerado,REFERENCIA.NaoDesonerado),2)</f>
        <v>0</v>
      </c>
      <c r="AH239" s="499">
        <f t="shared" ca="1" si="77"/>
        <v>0.28170000000000001</v>
      </c>
      <c r="AJ239" s="501">
        <v>1</v>
      </c>
      <c r="AL239" s="527"/>
      <c r="AM239" s="381">
        <f t="shared" ca="1" si="78"/>
        <v>3036.94</v>
      </c>
      <c r="AN239" s="566">
        <f t="shared" ca="1" si="79"/>
        <v>3036.94</v>
      </c>
    </row>
    <row r="240" spans="1:40" ht="51" x14ac:dyDescent="0.2">
      <c r="A240" t="str">
        <f t="shared" si="64"/>
        <v>S</v>
      </c>
      <c r="B240">
        <f t="shared" ca="1" si="65"/>
        <v>2</v>
      </c>
      <c r="C240" t="str">
        <f t="shared" ca="1" si="66"/>
        <v>S</v>
      </c>
      <c r="D240">
        <f t="shared" ca="1" si="67"/>
        <v>0</v>
      </c>
      <c r="E240">
        <f ca="1">IF($C240=1,OFFSET(E240,-1,0)+MAX(1,COUNTIF(QCI!$A$13:$A$24,OFFSET(ORÇAMENTO!E240,-1,0))),OFFSET(E240,-1,0))</f>
        <v>1</v>
      </c>
      <c r="F240">
        <f t="shared" ca="1" si="68"/>
        <v>11</v>
      </c>
      <c r="G240">
        <f t="shared" ca="1" si="69"/>
        <v>0</v>
      </c>
      <c r="H240">
        <f t="shared" ca="1" si="70"/>
        <v>0</v>
      </c>
      <c r="I240">
        <f t="shared" ca="1" si="71"/>
        <v>3</v>
      </c>
      <c r="J240">
        <f t="shared" ca="1" si="59"/>
        <v>0</v>
      </c>
      <c r="K240">
        <f ca="1">IF(OR($C240="S",$C240=0),0,MATCH(OFFSET($D240,0,$C240)+IF($C240&lt;&gt;1,1,COUNTIF(QCI!$A$13:$A$24,ORÇAMENTO!E240)),OFFSET($D240,1,$C240,ROW($C$290)-ROW($C240)),0))</f>
        <v>0</v>
      </c>
      <c r="L240" s="116" t="str">
        <f t="shared" ca="1" si="72"/>
        <v>F</v>
      </c>
      <c r="M240" s="117" t="s">
        <v>199</v>
      </c>
      <c r="N240" s="118" t="str">
        <f t="shared" ca="1" si="73"/>
        <v>Serviço</v>
      </c>
      <c r="O240" s="119" t="str">
        <f t="shared" ca="1" si="74"/>
        <v>1.11.0.3.</v>
      </c>
      <c r="P240" s="120" t="s">
        <v>247</v>
      </c>
      <c r="Q240" s="121" t="s">
        <v>604</v>
      </c>
      <c r="R240" s="122" t="str">
        <f ca="1">IF($C240="S",REFERENCIA.Descricao,"(digite a descrição aqui)")</f>
        <v>(abra o arquivo 'Referência 03-2024.xlsm)</v>
      </c>
      <c r="S240" s="123" t="str">
        <f ca="1">REFERENCIA.Unidade</f>
        <v>-</v>
      </c>
      <c r="T240" s="124">
        <f ca="1">OFFSET(CÁLCULO!H$15,ROW($T240)-ROW(T$15),0)</f>
        <v>1</v>
      </c>
      <c r="U240" s="125">
        <v>1941.83</v>
      </c>
      <c r="V240" s="126" t="s">
        <v>156</v>
      </c>
      <c r="W240" s="124">
        <f ca="1">IF($C240="S",ROUND(IF(TIPOORCAMENTO="Proposto",ORÇAMENTO.CustoUnitario*(1+$AH240),ORÇAMENTO.PrecoUnitarioLicitado),15-13*$AF$10),0)</f>
        <v>2488.84</v>
      </c>
      <c r="X240" s="127">
        <f ca="1">IF($C240="S",IF(Import.TipoArredondamento&lt;&gt;"TransfereGOV",VTOTAL1,SUM(OFFSET(CÁLCULO!$AA$15,ROW($X240)-ROW($X$15),1):OFFSET(CÁLCULO!$AL$15,ROW($X240)-ROW($X$15),-1))),IF($C240=0,0,ROUND(SomaAgrup,15-13*$AF$11)))</f>
        <v>2488.84</v>
      </c>
      <c r="Y240" s="128" t="s">
        <v>245</v>
      </c>
      <c r="Z240" t="str">
        <f t="shared" ca="1" si="75"/>
        <v>RA</v>
      </c>
      <c r="AA240" s="129">
        <f ca="1">IF($C240="S",IF($Z240="CP",$X240,IF($Z240="RA",(($X240)*QCI!$AA$3),0)),SomaAgrup)</f>
        <v>2488.84</v>
      </c>
      <c r="AB240" s="130">
        <f t="shared" ca="1" si="76"/>
        <v>0</v>
      </c>
      <c r="AC240" s="131" t="str">
        <f ca="1">IF($N240="","",IF(ORÇAMENTO.Descricao="","DESCRIÇÃO",IF(AND($C240="S",ORÇAMENTO.Unidade=""),"UNIDADE",IF($X240&lt;0,"VALOR NEGATIVO",IF(OR(AND(TIPOORCAMENTO="Proposto",$AG240&lt;&gt;"",$AG240&gt;0,ORÇAMENTO.CustoUnitario&gt;$AG240),AND(TIPOORCAMENTO="LICITADO",ORÇAMENTO.PrecoUnitarioLicitado&gt;$AN240)),"ACIMA REF.","")))))</f>
        <v/>
      </c>
      <c r="AD240" t="str">
        <f ca="1">IF(C240&lt;=CRONO.NivelExibicao,MAX($AD$15:OFFSET(AD240,-1,0))+IF($C240&lt;&gt;1,1,MAX(1,COUNTIF(QCI!$A$13:$A$24,OFFSET($E240,-1,0)))),"")</f>
        <v/>
      </c>
      <c r="AE240" s="7" t="str">
        <f ca="1">IF(AND($C240="S",ORÇAMENTO.CodBarra&lt;&gt;""),IF(ORÇAMENTO.Fonte="",ORÇAMENTO.CodBarra,CONCATENATE(ORÇAMENTO.Fonte," ",ORÇAMENTO.CodBarra)))</f>
        <v>SINAPI 103193</v>
      </c>
      <c r="AF240" s="13" t="str">
        <f ca="1">IF(ISERROR(INDIRECT(ORÇAMENTO.BancoRef)),"(abra o arquivo 'Referência "&amp;Excel_BuiltIn_Database&amp;".xlsm)",IF(OR($C240&lt;&gt;"S",ORÇAMENTO.CodBarra=""),"(Sem Código)",IF(ISERROR(MATCH($AE240,INDIRECT(ORÇAMENTO.BancoRef),0)),"(Código não identificado nas referências)",MATCH($AE240,INDIRECT(ORÇAMENTO.BancoRef),0))))</f>
        <v>(abra o arquivo 'Referência 03-2024.xlsm)</v>
      </c>
      <c r="AG240" s="498">
        <f ca="1">ROUND(IF(DESONERACAO="sim",REFERENCIA.Desonerado,REFERENCIA.NaoDesonerado),2)</f>
        <v>0</v>
      </c>
      <c r="AH240" s="499">
        <f t="shared" ca="1" si="77"/>
        <v>0.28170000000000001</v>
      </c>
      <c r="AJ240" s="501">
        <v>1</v>
      </c>
      <c r="AL240" s="527"/>
      <c r="AM240" s="381">
        <f t="shared" ca="1" si="78"/>
        <v>2488.84</v>
      </c>
      <c r="AN240" s="566">
        <f t="shared" ca="1" si="79"/>
        <v>2488.84</v>
      </c>
    </row>
    <row r="241" spans="1:40" ht="51" x14ac:dyDescent="0.2">
      <c r="A241" t="str">
        <f t="shared" si="64"/>
        <v>S</v>
      </c>
      <c r="B241">
        <f t="shared" ca="1" si="65"/>
        <v>2</v>
      </c>
      <c r="C241" t="str">
        <f t="shared" ca="1" si="66"/>
        <v>S</v>
      </c>
      <c r="D241">
        <f t="shared" ca="1" si="67"/>
        <v>0</v>
      </c>
      <c r="E241">
        <f ca="1">IF($C241=1,OFFSET(E241,-1,0)+MAX(1,COUNTIF(QCI!$A$13:$A$24,OFFSET(ORÇAMENTO!E241,-1,0))),OFFSET(E241,-1,0))</f>
        <v>1</v>
      </c>
      <c r="F241">
        <f t="shared" ca="1" si="68"/>
        <v>11</v>
      </c>
      <c r="G241">
        <f t="shared" ca="1" si="69"/>
        <v>0</v>
      </c>
      <c r="H241">
        <f t="shared" ca="1" si="70"/>
        <v>0</v>
      </c>
      <c r="I241">
        <f t="shared" ca="1" si="71"/>
        <v>4</v>
      </c>
      <c r="J241">
        <f t="shared" ca="1" si="59"/>
        <v>0</v>
      </c>
      <c r="K241">
        <f ca="1">IF(OR($C241="S",$C241=0),0,MATCH(OFFSET($D241,0,$C241)+IF($C241&lt;&gt;1,1,COUNTIF(QCI!$A$13:$A$24,ORÇAMENTO!E241)),OFFSET($D241,1,$C241,ROW($C$290)-ROW($C241)),0))</f>
        <v>0</v>
      </c>
      <c r="L241" s="116" t="str">
        <f t="shared" ca="1" si="72"/>
        <v>F</v>
      </c>
      <c r="M241" s="117" t="s">
        <v>199</v>
      </c>
      <c r="N241" s="118" t="str">
        <f t="shared" ca="1" si="73"/>
        <v>Serviço</v>
      </c>
      <c r="O241" s="119" t="str">
        <f t="shared" ca="1" si="74"/>
        <v>1.11.0.4.</v>
      </c>
      <c r="P241" s="120" t="s">
        <v>247</v>
      </c>
      <c r="Q241" s="121" t="s">
        <v>606</v>
      </c>
      <c r="R241" s="122" t="str">
        <f ca="1">IF($C241="S",REFERENCIA.Descricao,"(digite a descrição aqui)")</f>
        <v>(abra o arquivo 'Referência 03-2024.xlsm)</v>
      </c>
      <c r="S241" s="123" t="str">
        <f ca="1">REFERENCIA.Unidade</f>
        <v>-</v>
      </c>
      <c r="T241" s="124">
        <f ca="1">OFFSET(CÁLCULO!H$15,ROW($T241)-ROW(T$15),0)</f>
        <v>1</v>
      </c>
      <c r="U241" s="125">
        <v>2799.8</v>
      </c>
      <c r="V241" s="126" t="s">
        <v>156</v>
      </c>
      <c r="W241" s="124">
        <f ca="1">IF($C241="S",ROUND(IF(TIPOORCAMENTO="Proposto",ORÇAMENTO.CustoUnitario*(1+$AH241),ORÇAMENTO.PrecoUnitarioLicitado),15-13*$AF$10),0)</f>
        <v>3588.5</v>
      </c>
      <c r="X241" s="127">
        <f ca="1">IF($C241="S",IF(Import.TipoArredondamento&lt;&gt;"TransfereGOV",VTOTAL1,SUM(OFFSET(CÁLCULO!$AA$15,ROW($X241)-ROW($X$15),1):OFFSET(CÁLCULO!$AL$15,ROW($X241)-ROW($X$15),-1))),IF($C241=0,0,ROUND(SomaAgrup,15-13*$AF$11)))</f>
        <v>3588.5</v>
      </c>
      <c r="Y241" s="128" t="s">
        <v>245</v>
      </c>
      <c r="Z241" t="str">
        <f t="shared" ca="1" si="75"/>
        <v>RA</v>
      </c>
      <c r="AA241" s="129">
        <f ca="1">IF($C241="S",IF($Z241="CP",$X241,IF($Z241="RA",(($X241)*QCI!$AA$3),0)),SomaAgrup)</f>
        <v>3588.5</v>
      </c>
      <c r="AB241" s="130">
        <f t="shared" ca="1" si="76"/>
        <v>0</v>
      </c>
      <c r="AC241" s="131" t="str">
        <f ca="1">IF($N241="","",IF(ORÇAMENTO.Descricao="","DESCRIÇÃO",IF(AND($C241="S",ORÇAMENTO.Unidade=""),"UNIDADE",IF($X241&lt;0,"VALOR NEGATIVO",IF(OR(AND(TIPOORCAMENTO="Proposto",$AG241&lt;&gt;"",$AG241&gt;0,ORÇAMENTO.CustoUnitario&gt;$AG241),AND(TIPOORCAMENTO="LICITADO",ORÇAMENTO.PrecoUnitarioLicitado&gt;$AN241)),"ACIMA REF.","")))))</f>
        <v/>
      </c>
      <c r="AD241" t="str">
        <f ca="1">IF(C241&lt;=CRONO.NivelExibicao,MAX($AD$15:OFFSET(AD241,-1,0))+IF($C241&lt;&gt;1,1,MAX(1,COUNTIF(QCI!$A$13:$A$24,OFFSET($E241,-1,0)))),"")</f>
        <v/>
      </c>
      <c r="AE241" s="7" t="str">
        <f ca="1">IF(AND($C241="S",ORÇAMENTO.CodBarra&lt;&gt;""),IF(ORÇAMENTO.Fonte="",ORÇAMENTO.CodBarra,CONCATENATE(ORÇAMENTO.Fonte," ",ORÇAMENTO.CodBarra)))</f>
        <v>SINAPI 103194</v>
      </c>
      <c r="AF241" s="13" t="str">
        <f ca="1">IF(ISERROR(INDIRECT(ORÇAMENTO.BancoRef)),"(abra o arquivo 'Referência "&amp;Excel_BuiltIn_Database&amp;".xlsm)",IF(OR($C241&lt;&gt;"S",ORÇAMENTO.CodBarra=""),"(Sem Código)",IF(ISERROR(MATCH($AE241,INDIRECT(ORÇAMENTO.BancoRef),0)),"(Código não identificado nas referências)",MATCH($AE241,INDIRECT(ORÇAMENTO.BancoRef),0))))</f>
        <v>(abra o arquivo 'Referência 03-2024.xlsm)</v>
      </c>
      <c r="AG241" s="498">
        <f ca="1">ROUND(IF(DESONERACAO="sim",REFERENCIA.Desonerado,REFERENCIA.NaoDesonerado),2)</f>
        <v>0</v>
      </c>
      <c r="AH241" s="499">
        <f t="shared" ca="1" si="77"/>
        <v>0.28170000000000001</v>
      </c>
      <c r="AJ241" s="501">
        <v>1</v>
      </c>
      <c r="AL241" s="527"/>
      <c r="AM241" s="381">
        <f t="shared" ca="1" si="78"/>
        <v>3588.5</v>
      </c>
      <c r="AN241" s="566">
        <f t="shared" ca="1" si="79"/>
        <v>3588.5</v>
      </c>
    </row>
    <row r="242" spans="1:40" ht="51" x14ac:dyDescent="0.2">
      <c r="A242" t="str">
        <f t="shared" si="64"/>
        <v>S</v>
      </c>
      <c r="B242">
        <f t="shared" ca="1" si="65"/>
        <v>2</v>
      </c>
      <c r="C242" t="str">
        <f t="shared" ca="1" si="66"/>
        <v>S</v>
      </c>
      <c r="D242">
        <f t="shared" ca="1" si="67"/>
        <v>0</v>
      </c>
      <c r="E242">
        <f ca="1">IF($C242=1,OFFSET(E242,-1,0)+MAX(1,COUNTIF(QCI!$A$13:$A$24,OFFSET(ORÇAMENTO!E242,-1,0))),OFFSET(E242,-1,0))</f>
        <v>1</v>
      </c>
      <c r="F242">
        <f t="shared" ca="1" si="68"/>
        <v>11</v>
      </c>
      <c r="G242">
        <f t="shared" ca="1" si="69"/>
        <v>0</v>
      </c>
      <c r="H242">
        <f t="shared" ca="1" si="70"/>
        <v>0</v>
      </c>
      <c r="I242">
        <f t="shared" ca="1" si="71"/>
        <v>5</v>
      </c>
      <c r="J242">
        <f t="shared" ca="1" si="59"/>
        <v>0</v>
      </c>
      <c r="K242">
        <f ca="1">IF(OR($C242="S",$C242=0),0,MATCH(OFFSET($D242,0,$C242)+IF($C242&lt;&gt;1,1,COUNTIF(QCI!$A$13:$A$24,ORÇAMENTO!E242)),OFFSET($D242,1,$C242,ROW($C$290)-ROW($C242)),0))</f>
        <v>0</v>
      </c>
      <c r="L242" s="116" t="str">
        <f t="shared" ca="1" si="72"/>
        <v>F</v>
      </c>
      <c r="M242" s="117" t="s">
        <v>199</v>
      </c>
      <c r="N242" s="118" t="str">
        <f t="shared" ca="1" si="73"/>
        <v>Serviço</v>
      </c>
      <c r="O242" s="119" t="str">
        <f t="shared" ca="1" si="74"/>
        <v>1.11.0.5.</v>
      </c>
      <c r="P242" s="120" t="s">
        <v>247</v>
      </c>
      <c r="Q242" s="121" t="s">
        <v>607</v>
      </c>
      <c r="R242" s="122" t="str">
        <f ca="1">IF($C242="S",REFERENCIA.Descricao,"(digite a descrição aqui)")</f>
        <v>(abra o arquivo 'Referência 03-2024.xlsm)</v>
      </c>
      <c r="S242" s="123" t="str">
        <f ca="1">REFERENCIA.Unidade</f>
        <v>-</v>
      </c>
      <c r="T242" s="124">
        <f ca="1">OFFSET(CÁLCULO!H$15,ROW($T242)-ROW(T$15),0)</f>
        <v>1</v>
      </c>
      <c r="U242" s="125">
        <v>4070.6</v>
      </c>
      <c r="V242" s="126" t="s">
        <v>156</v>
      </c>
      <c r="W242" s="124">
        <f ca="1">IF($C242="S",ROUND(IF(TIPOORCAMENTO="Proposto",ORÇAMENTO.CustoUnitario*(1+$AH242),ORÇAMENTO.PrecoUnitarioLicitado),15-13*$AF$10),0)</f>
        <v>5217.29</v>
      </c>
      <c r="X242" s="127">
        <f ca="1">IF($C242="S",IF(Import.TipoArredondamento&lt;&gt;"TransfereGOV",VTOTAL1,SUM(OFFSET(CÁLCULO!$AA$15,ROW($X242)-ROW($X$15),1):OFFSET(CÁLCULO!$AL$15,ROW($X242)-ROW($X$15),-1))),IF($C242=0,0,ROUND(SomaAgrup,15-13*$AF$11)))</f>
        <v>5217.29</v>
      </c>
      <c r="Y242" s="128" t="s">
        <v>245</v>
      </c>
      <c r="Z242" t="str">
        <f t="shared" ca="1" si="75"/>
        <v>RA</v>
      </c>
      <c r="AA242" s="129">
        <f ca="1">IF($C242="S",IF($Z242="CP",$X242,IF($Z242="RA",(($X242)*QCI!$AA$3),0)),SomaAgrup)</f>
        <v>5217.29</v>
      </c>
      <c r="AB242" s="130">
        <f t="shared" ca="1" si="76"/>
        <v>0</v>
      </c>
      <c r="AC242" s="131" t="str">
        <f ca="1">IF($N242="","",IF(ORÇAMENTO.Descricao="","DESCRIÇÃO",IF(AND($C242="S",ORÇAMENTO.Unidade=""),"UNIDADE",IF($X242&lt;0,"VALOR NEGATIVO",IF(OR(AND(TIPOORCAMENTO="Proposto",$AG242&lt;&gt;"",$AG242&gt;0,ORÇAMENTO.CustoUnitario&gt;$AG242),AND(TIPOORCAMENTO="LICITADO",ORÇAMENTO.PrecoUnitarioLicitado&gt;$AN242)),"ACIMA REF.","")))))</f>
        <v/>
      </c>
      <c r="AD242" t="str">
        <f ca="1">IF(C242&lt;=CRONO.NivelExibicao,MAX($AD$15:OFFSET(AD242,-1,0))+IF($C242&lt;&gt;1,1,MAX(1,COUNTIF(QCI!$A$13:$A$24,OFFSET($E242,-1,0)))),"")</f>
        <v/>
      </c>
      <c r="AE242" s="7" t="str">
        <f ca="1">IF(AND($C242="S",ORÇAMENTO.CodBarra&lt;&gt;""),IF(ORÇAMENTO.Fonte="",ORÇAMENTO.CodBarra,CONCATENATE(ORÇAMENTO.Fonte," ",ORÇAMENTO.CodBarra)))</f>
        <v>SINAPI 103190</v>
      </c>
      <c r="AF242" s="13" t="str">
        <f ca="1">IF(ISERROR(INDIRECT(ORÇAMENTO.BancoRef)),"(abra o arquivo 'Referência "&amp;Excel_BuiltIn_Database&amp;".xlsm)",IF(OR($C242&lt;&gt;"S",ORÇAMENTO.CodBarra=""),"(Sem Código)",IF(ISERROR(MATCH($AE242,INDIRECT(ORÇAMENTO.BancoRef),0)),"(Código não identificado nas referências)",MATCH($AE242,INDIRECT(ORÇAMENTO.BancoRef),0))))</f>
        <v>(abra o arquivo 'Referência 03-2024.xlsm)</v>
      </c>
      <c r="AG242" s="498">
        <f ca="1">ROUND(IF(DESONERACAO="sim",REFERENCIA.Desonerado,REFERENCIA.NaoDesonerado),2)</f>
        <v>0</v>
      </c>
      <c r="AH242" s="499">
        <f t="shared" ca="1" si="77"/>
        <v>0.28170000000000001</v>
      </c>
      <c r="AJ242" s="501">
        <v>1</v>
      </c>
      <c r="AL242" s="527"/>
      <c r="AM242" s="381">
        <f t="shared" ca="1" si="78"/>
        <v>5217.29</v>
      </c>
      <c r="AN242" s="566">
        <f t="shared" ca="1" si="79"/>
        <v>5217.29</v>
      </c>
    </row>
    <row r="243" spans="1:40" ht="51" x14ac:dyDescent="0.2">
      <c r="A243" t="str">
        <f t="shared" si="64"/>
        <v>S</v>
      </c>
      <c r="B243">
        <f t="shared" ca="1" si="65"/>
        <v>2</v>
      </c>
      <c r="C243" t="str">
        <f t="shared" ca="1" si="66"/>
        <v>S</v>
      </c>
      <c r="D243">
        <f t="shared" ca="1" si="67"/>
        <v>0</v>
      </c>
      <c r="E243">
        <f ca="1">IF($C243=1,OFFSET(E243,-1,0)+MAX(1,COUNTIF(QCI!$A$13:$A$24,OFFSET(ORÇAMENTO!E243,-1,0))),OFFSET(E243,-1,0))</f>
        <v>1</v>
      </c>
      <c r="F243">
        <f t="shared" ca="1" si="68"/>
        <v>11</v>
      </c>
      <c r="G243">
        <f t="shared" ca="1" si="69"/>
        <v>0</v>
      </c>
      <c r="H243">
        <f t="shared" ca="1" si="70"/>
        <v>0</v>
      </c>
      <c r="I243">
        <f t="shared" ca="1" si="71"/>
        <v>6</v>
      </c>
      <c r="J243">
        <f t="shared" ca="1" si="59"/>
        <v>0</v>
      </c>
      <c r="K243">
        <f ca="1">IF(OR($C243="S",$C243=0),0,MATCH(OFFSET($D243,0,$C243)+IF($C243&lt;&gt;1,1,COUNTIF(QCI!$A$13:$A$24,ORÇAMENTO!E243)),OFFSET($D243,1,$C243,ROW($C$290)-ROW($C243)),0))</f>
        <v>0</v>
      </c>
      <c r="L243" s="116" t="str">
        <f t="shared" ca="1" si="72"/>
        <v>F</v>
      </c>
      <c r="M243" s="117" t="s">
        <v>199</v>
      </c>
      <c r="N243" s="118" t="str">
        <f t="shared" ca="1" si="73"/>
        <v>Serviço</v>
      </c>
      <c r="O243" s="119" t="str">
        <f t="shared" ca="1" si="74"/>
        <v>1.11.0.6.</v>
      </c>
      <c r="P243" s="120" t="s">
        <v>462</v>
      </c>
      <c r="Q243" s="121" t="s">
        <v>608</v>
      </c>
      <c r="R243" s="122" t="str">
        <f ca="1">IF($C243="S",REFERENCIA.Descricao,"(digite a descrição aqui)")</f>
        <v>(abra o arquivo 'Referência 03-2024.xlsm)</v>
      </c>
      <c r="S243" s="123" t="str">
        <f ca="1">REFERENCIA.Unidade</f>
        <v>-</v>
      </c>
      <c r="T243" s="124">
        <f ca="1">OFFSET(CÁLCULO!H$15,ROW($T243)-ROW(T$15),0)</f>
        <v>1</v>
      </c>
      <c r="U243" s="125">
        <v>4901.93</v>
      </c>
      <c r="V243" s="126" t="s">
        <v>156</v>
      </c>
      <c r="W243" s="124">
        <f ca="1">IF($C243="S",ROUND(IF(TIPOORCAMENTO="Proposto",ORÇAMENTO.CustoUnitario*(1+$AH243),ORÇAMENTO.PrecoUnitarioLicitado),15-13*$AF$10),0)</f>
        <v>6282.8</v>
      </c>
      <c r="X243" s="127">
        <f ca="1">IF($C243="S",IF(Import.TipoArredondamento&lt;&gt;"TransfereGOV",VTOTAL1,SUM(OFFSET(CÁLCULO!$AA$15,ROW($X243)-ROW($X$15),1):OFFSET(CÁLCULO!$AL$15,ROW($X243)-ROW($X$15),-1))),IF($C243=0,0,ROUND(SomaAgrup,15-13*$AF$11)))</f>
        <v>6282.8</v>
      </c>
      <c r="Y243" s="128" t="s">
        <v>245</v>
      </c>
      <c r="Z243" t="str">
        <f t="shared" ca="1" si="75"/>
        <v>RA</v>
      </c>
      <c r="AA243" s="129">
        <f ca="1">IF($C243="S",IF($Z243="CP",$X243,IF($Z243="RA",(($X243)*QCI!$AA$3),0)),SomaAgrup)</f>
        <v>6282.8</v>
      </c>
      <c r="AB243" s="130">
        <f t="shared" ca="1" si="76"/>
        <v>0</v>
      </c>
      <c r="AC243" s="131" t="str">
        <f ca="1">IF($N243="","",IF(ORÇAMENTO.Descricao="","DESCRIÇÃO",IF(AND($C243="S",ORÇAMENTO.Unidade=""),"UNIDADE",IF($X243&lt;0,"VALOR NEGATIVO",IF(OR(AND(TIPOORCAMENTO="Proposto",$AG243&lt;&gt;"",$AG243&gt;0,ORÇAMENTO.CustoUnitario&gt;$AG243),AND(TIPOORCAMENTO="LICITADO",ORÇAMENTO.PrecoUnitarioLicitado&gt;$AN243)),"ACIMA REF.","")))))</f>
        <v/>
      </c>
      <c r="AD243" t="str">
        <f ca="1">IF(C243&lt;=CRONO.NivelExibicao,MAX($AD$15:OFFSET(AD243,-1,0))+IF($C243&lt;&gt;1,1,MAX(1,COUNTIF(QCI!$A$13:$A$24,OFFSET($E243,-1,0)))),"")</f>
        <v/>
      </c>
      <c r="AE243" s="7" t="str">
        <f ca="1">IF(AND($C243="S",ORÇAMENTO.CodBarra&lt;&gt;""),IF(ORÇAMENTO.Fonte="",ORÇAMENTO.CodBarra,CONCATENATE(ORÇAMENTO.Fonte," ",ORÇAMENTO.CodBarra)))</f>
        <v>Composição 84</v>
      </c>
      <c r="AF243" s="13" t="str">
        <f ca="1">IF(ISERROR(INDIRECT(ORÇAMENTO.BancoRef)),"(abra o arquivo 'Referência "&amp;Excel_BuiltIn_Database&amp;".xlsm)",IF(OR($C243&lt;&gt;"S",ORÇAMENTO.CodBarra=""),"(Sem Código)",IF(ISERROR(MATCH($AE243,INDIRECT(ORÇAMENTO.BancoRef),0)),"(Código não identificado nas referências)",MATCH($AE243,INDIRECT(ORÇAMENTO.BancoRef),0))))</f>
        <v>(abra o arquivo 'Referência 03-2024.xlsm)</v>
      </c>
      <c r="AG243" s="498">
        <f ca="1">ROUND(IF(DESONERACAO="sim",REFERENCIA.Desonerado,REFERENCIA.NaoDesonerado),2)</f>
        <v>0</v>
      </c>
      <c r="AH243" s="499">
        <f t="shared" ca="1" si="77"/>
        <v>0.28170000000000001</v>
      </c>
      <c r="AJ243" s="501">
        <v>1</v>
      </c>
      <c r="AL243" s="527"/>
      <c r="AM243" s="381">
        <f t="shared" ca="1" si="78"/>
        <v>6282.8</v>
      </c>
      <c r="AN243" s="566">
        <f t="shared" ca="1" si="79"/>
        <v>6282.8</v>
      </c>
    </row>
    <row r="244" spans="1:40" ht="51" x14ac:dyDescent="0.2">
      <c r="A244" t="str">
        <f t="shared" si="64"/>
        <v>S</v>
      </c>
      <c r="B244">
        <f t="shared" ca="1" si="65"/>
        <v>2</v>
      </c>
      <c r="C244" t="str">
        <f t="shared" ca="1" si="66"/>
        <v>S</v>
      </c>
      <c r="D244">
        <f t="shared" ca="1" si="67"/>
        <v>0</v>
      </c>
      <c r="E244">
        <f ca="1">IF($C244=1,OFFSET(E244,-1,0)+MAX(1,COUNTIF(QCI!$A$13:$A$24,OFFSET(ORÇAMENTO!E244,-1,0))),OFFSET(E244,-1,0))</f>
        <v>1</v>
      </c>
      <c r="F244">
        <f t="shared" ca="1" si="68"/>
        <v>11</v>
      </c>
      <c r="G244">
        <f t="shared" ca="1" si="69"/>
        <v>0</v>
      </c>
      <c r="H244">
        <f t="shared" ca="1" si="70"/>
        <v>0</v>
      </c>
      <c r="I244">
        <f t="shared" ca="1" si="71"/>
        <v>7</v>
      </c>
      <c r="J244">
        <f t="shared" ca="1" si="59"/>
        <v>0</v>
      </c>
      <c r="K244">
        <f ca="1">IF(OR($C244="S",$C244=0),0,MATCH(OFFSET($D244,0,$C244)+IF($C244&lt;&gt;1,1,COUNTIF(QCI!$A$13:$A$24,ORÇAMENTO!E244)),OFFSET($D244,1,$C244,ROW($C$290)-ROW($C244)),0))</f>
        <v>0</v>
      </c>
      <c r="L244" s="116" t="str">
        <f t="shared" ca="1" si="72"/>
        <v>F</v>
      </c>
      <c r="M244" s="117" t="s">
        <v>199</v>
      </c>
      <c r="N244" s="118" t="str">
        <f t="shared" ca="1" si="73"/>
        <v>Serviço</v>
      </c>
      <c r="O244" s="119" t="str">
        <f t="shared" ca="1" si="74"/>
        <v>1.11.0.7.</v>
      </c>
      <c r="P244" s="120" t="s">
        <v>462</v>
      </c>
      <c r="Q244" s="121" t="s">
        <v>609</v>
      </c>
      <c r="R244" s="122" t="str">
        <f ca="1">IF($C244="S",REFERENCIA.Descricao,"(digite a descrição aqui)")</f>
        <v>(abra o arquivo 'Referência 03-2024.xlsm)</v>
      </c>
      <c r="S244" s="123" t="str">
        <f ca="1">REFERENCIA.Unidade</f>
        <v>-</v>
      </c>
      <c r="T244" s="124">
        <f ca="1">OFFSET(CÁLCULO!H$15,ROW($T244)-ROW(T$15),0)</f>
        <v>2</v>
      </c>
      <c r="U244" s="125">
        <v>2679.24</v>
      </c>
      <c r="V244" s="126" t="s">
        <v>156</v>
      </c>
      <c r="W244" s="124">
        <f ca="1">IF($C244="S",ROUND(IF(TIPOORCAMENTO="Proposto",ORÇAMENTO.CustoUnitario*(1+$AH244),ORÇAMENTO.PrecoUnitarioLicitado),15-13*$AF$10),0)</f>
        <v>3433.98</v>
      </c>
      <c r="X244" s="127">
        <f ca="1">IF($C244="S",IF(Import.TipoArredondamento&lt;&gt;"TransfereGOV",VTOTAL1,SUM(OFFSET(CÁLCULO!$AA$15,ROW($X244)-ROW($X$15),1):OFFSET(CÁLCULO!$AL$15,ROW($X244)-ROW($X$15),-1))),IF($C244=0,0,ROUND(SomaAgrup,15-13*$AF$11)))</f>
        <v>6867.96</v>
      </c>
      <c r="Y244" s="128" t="s">
        <v>245</v>
      </c>
      <c r="Z244" t="str">
        <f t="shared" ca="1" si="75"/>
        <v>RA</v>
      </c>
      <c r="AA244" s="129">
        <f ca="1">IF($C244="S",IF($Z244="CP",$X244,IF($Z244="RA",(($X244)*QCI!$AA$3),0)),SomaAgrup)</f>
        <v>6867.96</v>
      </c>
      <c r="AB244" s="130">
        <f t="shared" ca="1" si="76"/>
        <v>0</v>
      </c>
      <c r="AC244" s="131" t="str">
        <f ca="1">IF($N244="","",IF(ORÇAMENTO.Descricao="","DESCRIÇÃO",IF(AND($C244="S",ORÇAMENTO.Unidade=""),"UNIDADE",IF($X244&lt;0,"VALOR NEGATIVO",IF(OR(AND(TIPOORCAMENTO="Proposto",$AG244&lt;&gt;"",$AG244&gt;0,ORÇAMENTO.CustoUnitario&gt;$AG244),AND(TIPOORCAMENTO="LICITADO",ORÇAMENTO.PrecoUnitarioLicitado&gt;$AN244)),"ACIMA REF.","")))))</f>
        <v/>
      </c>
      <c r="AD244" t="str">
        <f ca="1">IF(C244&lt;=CRONO.NivelExibicao,MAX($AD$15:OFFSET(AD244,-1,0))+IF($C244&lt;&gt;1,1,MAX(1,COUNTIF(QCI!$A$13:$A$24,OFFSET($E244,-1,0)))),"")</f>
        <v/>
      </c>
      <c r="AE244" s="7" t="str">
        <f ca="1">IF(AND($C244="S",ORÇAMENTO.CodBarra&lt;&gt;""),IF(ORÇAMENTO.Fonte="",ORÇAMENTO.CodBarra,CONCATENATE(ORÇAMENTO.Fonte," ",ORÇAMENTO.CodBarra)))</f>
        <v>Composição 85</v>
      </c>
      <c r="AF244" s="13" t="str">
        <f ca="1">IF(ISERROR(INDIRECT(ORÇAMENTO.BancoRef)),"(abra o arquivo 'Referência "&amp;Excel_BuiltIn_Database&amp;".xlsm)",IF(OR($C244&lt;&gt;"S",ORÇAMENTO.CodBarra=""),"(Sem Código)",IF(ISERROR(MATCH($AE244,INDIRECT(ORÇAMENTO.BancoRef),0)),"(Código não identificado nas referências)",MATCH($AE244,INDIRECT(ORÇAMENTO.BancoRef),0))))</f>
        <v>(abra o arquivo 'Referência 03-2024.xlsm)</v>
      </c>
      <c r="AG244" s="498">
        <f ca="1">ROUND(IF(DESONERACAO="sim",REFERENCIA.Desonerado,REFERENCIA.NaoDesonerado),2)</f>
        <v>0</v>
      </c>
      <c r="AH244" s="499">
        <f t="shared" ca="1" si="77"/>
        <v>0.28170000000000001</v>
      </c>
      <c r="AJ244" s="501">
        <v>2</v>
      </c>
      <c r="AL244" s="527"/>
      <c r="AM244" s="381">
        <f t="shared" ca="1" si="78"/>
        <v>6867.96</v>
      </c>
      <c r="AN244" s="566">
        <f t="shared" ca="1" si="79"/>
        <v>3433.98</v>
      </c>
    </row>
    <row r="245" spans="1:40" x14ac:dyDescent="0.2">
      <c r="A245">
        <f t="shared" si="64"/>
        <v>2</v>
      </c>
      <c r="B245">
        <f t="shared" ca="1" si="65"/>
        <v>2</v>
      </c>
      <c r="C245">
        <f t="shared" ca="1" si="66"/>
        <v>2</v>
      </c>
      <c r="D245">
        <f t="shared" ca="1" si="67"/>
        <v>3</v>
      </c>
      <c r="E245">
        <f ca="1">IF($C245=1,OFFSET(E245,-1,0)+MAX(1,COUNTIF(QCI!$A$13:$A$24,OFFSET(ORÇAMENTO!E245,-1,0))),OFFSET(E245,-1,0))</f>
        <v>1</v>
      </c>
      <c r="F245">
        <f t="shared" ca="1" si="68"/>
        <v>12</v>
      </c>
      <c r="G245">
        <f t="shared" ca="1" si="69"/>
        <v>0</v>
      </c>
      <c r="H245">
        <f t="shared" ca="1" si="70"/>
        <v>0</v>
      </c>
      <c r="I245">
        <f t="shared" ca="1" si="71"/>
        <v>0</v>
      </c>
      <c r="J245">
        <f t="shared" ca="1" si="59"/>
        <v>45</v>
      </c>
      <c r="K245">
        <f ca="1">IF(OR($C245="S",$C245=0),0,MATCH(OFFSET($D245,0,$C245)+IF($C245&lt;&gt;1,1,COUNTIF(QCI!$A$13:$A$24,ORÇAMENTO!E245)),OFFSET($D245,1,$C245,ROW($C$290)-ROW($C245)),0))</f>
        <v>3</v>
      </c>
      <c r="L245" s="116" t="str">
        <f t="shared" ca="1" si="72"/>
        <v>F</v>
      </c>
      <c r="M245" s="117" t="s">
        <v>196</v>
      </c>
      <c r="N245" s="118" t="str">
        <f t="shared" ca="1" si="73"/>
        <v>Nível 2</v>
      </c>
      <c r="O245" s="119" t="str">
        <f t="shared" ca="1" si="74"/>
        <v>1.12.</v>
      </c>
      <c r="P245" s="120" t="s">
        <v>247</v>
      </c>
      <c r="Q245" s="121"/>
      <c r="R245" s="122" t="s">
        <v>612</v>
      </c>
      <c r="S245" s="123" t="str">
        <f ca="1">REFERENCIA.Unidade</f>
        <v>-</v>
      </c>
      <c r="T245" s="124">
        <f ca="1">OFFSET(CÁLCULO!H$15,ROW($T245)-ROW(T$15),0)</f>
        <v>0</v>
      </c>
      <c r="U245" s="125"/>
      <c r="V245" s="126" t="s">
        <v>156</v>
      </c>
      <c r="W245" s="124">
        <f ca="1">IF($C245="S",ROUND(IF(TIPOORCAMENTO="Proposto",ORÇAMENTO.CustoUnitario*(1+$AH245),ORÇAMENTO.PrecoUnitarioLicitado),15-13*$AF$10),0)</f>
        <v>0</v>
      </c>
      <c r="X245" s="127">
        <f ca="1">IF($C245="S",IF(Import.TipoArredondamento&lt;&gt;"TransfereGOV",VTOTAL1,SUM(OFFSET(CÁLCULO!$AA$15,ROW($X245)-ROW($X$15),1):OFFSET(CÁLCULO!$AL$15,ROW($X245)-ROW($X$15),-1))),IF($C245=0,0,ROUND(SomaAgrup,15-13*$AF$11)))</f>
        <v>4058</v>
      </c>
      <c r="Y245" s="128" t="s">
        <v>245</v>
      </c>
      <c r="Z245" t="str">
        <f t="shared" ca="1" si="75"/>
        <v/>
      </c>
      <c r="AA245" s="129">
        <f ca="1">IF($C245="S",IF($Z245="CP",$X245,IF($Z245="RA",(($X245)*QCI!$AA$3),0)),SomaAgrup)</f>
        <v>4058</v>
      </c>
      <c r="AB245" s="130">
        <f t="shared" ca="1" si="76"/>
        <v>0</v>
      </c>
      <c r="AC245" s="131" t="str">
        <f ca="1">IF($N245="","",IF(ORÇAMENTO.Descricao="","DESCRIÇÃO",IF(AND($C245="S",ORÇAMENTO.Unidade=""),"UNIDADE",IF($X245&lt;0,"VALOR NEGATIVO",IF(OR(AND(TIPOORCAMENTO="Proposto",$AG245&lt;&gt;"",$AG245&gt;0,ORÇAMENTO.CustoUnitario&gt;$AG245),AND(TIPOORCAMENTO="LICITADO",ORÇAMENTO.PrecoUnitarioLicitado&gt;$AN245)),"ACIMA REF.","")))))</f>
        <v/>
      </c>
      <c r="AD245">
        <f ca="1">IF(C245&lt;=CRONO.NivelExibicao,MAX($AD$15:OFFSET(AD245,-1,0))+IF($C245&lt;&gt;1,1,MAX(1,COUNTIF(QCI!$A$13:$A$24,OFFSET($E245,-1,0)))),"")</f>
        <v>33</v>
      </c>
      <c r="AE245" s="7" t="b">
        <f ca="1">IF(AND($C245="S",ORÇAMENTO.CodBarra&lt;&gt;""),IF(ORÇAMENTO.Fonte="",ORÇAMENTO.CodBarra,CONCATENATE(ORÇAMENTO.Fonte," ",ORÇAMENTO.CodBarra)))</f>
        <v>0</v>
      </c>
      <c r="AF245" s="13" t="str">
        <f ca="1">IF(ISERROR(INDIRECT(ORÇAMENTO.BancoRef)),"(abra o arquivo 'Referência "&amp;Excel_BuiltIn_Database&amp;".xlsm)",IF(OR($C245&lt;&gt;"S",ORÇAMENTO.CodBarra=""),"(Sem Código)",IF(ISERROR(MATCH($AE245,INDIRECT(ORÇAMENTO.BancoRef),0)),"(Código não identificado nas referências)",MATCH($AE245,INDIRECT(ORÇAMENTO.BancoRef),0))))</f>
        <v>(abra o arquivo 'Referência 03-2024.xlsm)</v>
      </c>
      <c r="AG245" s="498">
        <f ca="1">ROUND(IF(DESONERACAO="sim",REFERENCIA.Desonerado,REFERENCIA.NaoDesonerado),2)</f>
        <v>0</v>
      </c>
      <c r="AH245" s="499">
        <f t="shared" ca="1" si="77"/>
        <v>0.28170000000000001</v>
      </c>
      <c r="AJ245" s="501"/>
      <c r="AL245" s="527"/>
      <c r="AM245" s="381">
        <f t="shared" ca="1" si="78"/>
        <v>4058</v>
      </c>
      <c r="AN245" s="566">
        <f t="shared" ca="1" si="79"/>
        <v>0</v>
      </c>
    </row>
    <row r="246" spans="1:40" ht="51" x14ac:dyDescent="0.2">
      <c r="A246" t="str">
        <f t="shared" si="64"/>
        <v>S</v>
      </c>
      <c r="B246">
        <f t="shared" ca="1" si="65"/>
        <v>2</v>
      </c>
      <c r="C246" t="str">
        <f t="shared" ca="1" si="66"/>
        <v>S</v>
      </c>
      <c r="D246">
        <f t="shared" ca="1" si="67"/>
        <v>0</v>
      </c>
      <c r="E246">
        <f ca="1">IF($C246=1,OFFSET(E246,-1,0)+MAX(1,COUNTIF(QCI!$A$13:$A$24,OFFSET(ORÇAMENTO!E246,-1,0))),OFFSET(E246,-1,0))</f>
        <v>1</v>
      </c>
      <c r="F246">
        <f t="shared" ca="1" si="68"/>
        <v>12</v>
      </c>
      <c r="G246">
        <f t="shared" ca="1" si="69"/>
        <v>0</v>
      </c>
      <c r="H246">
        <f t="shared" ca="1" si="70"/>
        <v>0</v>
      </c>
      <c r="I246">
        <f t="shared" ca="1" si="71"/>
        <v>1</v>
      </c>
      <c r="J246">
        <f t="shared" ca="1" si="59"/>
        <v>0</v>
      </c>
      <c r="K246">
        <f ca="1">IF(OR($C246="S",$C246=0),0,MATCH(OFFSET($D246,0,$C246)+IF($C246&lt;&gt;1,1,COUNTIF(QCI!$A$13:$A$24,ORÇAMENTO!E246)),OFFSET($D246,1,$C246,ROW($C$290)-ROW($C246)),0))</f>
        <v>0</v>
      </c>
      <c r="L246" s="116" t="str">
        <f t="shared" ca="1" si="72"/>
        <v>F</v>
      </c>
      <c r="M246" s="117" t="s">
        <v>199</v>
      </c>
      <c r="N246" s="118" t="str">
        <f t="shared" ca="1" si="73"/>
        <v>Serviço</v>
      </c>
      <c r="O246" s="119" t="str">
        <f t="shared" ca="1" si="74"/>
        <v>1.12.0.1.</v>
      </c>
      <c r="P246" s="120" t="s">
        <v>462</v>
      </c>
      <c r="Q246" s="121" t="s">
        <v>590</v>
      </c>
      <c r="R246" s="122" t="str">
        <f ca="1">IF($C246="S",REFERENCIA.Descricao,"(digite a descrição aqui)")</f>
        <v>(abra o arquivo 'Referência 03-2024.xlsm)</v>
      </c>
      <c r="S246" s="123" t="str">
        <f ca="1">REFERENCIA.Unidade</f>
        <v>-</v>
      </c>
      <c r="T246" s="124">
        <f ca="1">OFFSET(CÁLCULO!H$15,ROW($T246)-ROW(T$15),0)</f>
        <v>100</v>
      </c>
      <c r="U246" s="125">
        <v>3.33</v>
      </c>
      <c r="V246" s="126" t="s">
        <v>156</v>
      </c>
      <c r="W246" s="124">
        <f ca="1">IF($C246="S",ROUND(IF(TIPOORCAMENTO="Proposto",ORÇAMENTO.CustoUnitario*(1+$AH246),ORÇAMENTO.PrecoUnitarioLicitado),15-13*$AF$10),0)</f>
        <v>4.2699999999999996</v>
      </c>
      <c r="X246" s="127">
        <f ca="1">IF($C246="S",IF(Import.TipoArredondamento&lt;&gt;"TransfereGOV",VTOTAL1,SUM(OFFSET(CÁLCULO!$AA$15,ROW($X246)-ROW($X$15),1):OFFSET(CÁLCULO!$AL$15,ROW($X246)-ROW($X$15),-1))),IF($C246=0,0,ROUND(SomaAgrup,15-13*$AF$11)))</f>
        <v>427</v>
      </c>
      <c r="Y246" s="128" t="s">
        <v>245</v>
      </c>
      <c r="Z246" t="str">
        <f t="shared" ca="1" si="75"/>
        <v>RA</v>
      </c>
      <c r="AA246" s="129">
        <f ca="1">IF($C246="S",IF($Z246="CP",$X246,IF($Z246="RA",(($X246)*QCI!$AA$3),0)),SomaAgrup)</f>
        <v>427</v>
      </c>
      <c r="AB246" s="130">
        <f t="shared" ca="1" si="76"/>
        <v>0</v>
      </c>
      <c r="AC246" s="131" t="str">
        <f ca="1">IF($N246="","",IF(ORÇAMENTO.Descricao="","DESCRIÇÃO",IF(AND($C246="S",ORÇAMENTO.Unidade=""),"UNIDADE",IF($X246&lt;0,"VALOR NEGATIVO",IF(OR(AND(TIPOORCAMENTO="Proposto",$AG246&lt;&gt;"",$AG246&gt;0,ORÇAMENTO.CustoUnitario&gt;$AG246),AND(TIPOORCAMENTO="LICITADO",ORÇAMENTO.PrecoUnitarioLicitado&gt;$AN246)),"ACIMA REF.","")))))</f>
        <v/>
      </c>
      <c r="AD246" t="str">
        <f ca="1">IF(C246&lt;=CRONO.NivelExibicao,MAX($AD$15:OFFSET(AD246,-1,0))+IF($C246&lt;&gt;1,1,MAX(1,COUNTIF(QCI!$A$13:$A$24,OFFSET($E246,-1,0)))),"")</f>
        <v/>
      </c>
      <c r="AE246" s="7" t="str">
        <f ca="1">IF(AND($C246="S",ORÇAMENTO.CodBarra&lt;&gt;""),IF(ORÇAMENTO.Fonte="",ORÇAMENTO.CodBarra,CONCATENATE(ORÇAMENTO.Fonte," ",ORÇAMENTO.CodBarra)))</f>
        <v>Composição 74</v>
      </c>
      <c r="AF246" s="13" t="str">
        <f ca="1">IF(ISERROR(INDIRECT(ORÇAMENTO.BancoRef)),"(abra o arquivo 'Referência "&amp;Excel_BuiltIn_Database&amp;".xlsm)",IF(OR($C246&lt;&gt;"S",ORÇAMENTO.CodBarra=""),"(Sem Código)",IF(ISERROR(MATCH($AE246,INDIRECT(ORÇAMENTO.BancoRef),0)),"(Código não identificado nas referências)",MATCH($AE246,INDIRECT(ORÇAMENTO.BancoRef),0))))</f>
        <v>(abra o arquivo 'Referência 03-2024.xlsm)</v>
      </c>
      <c r="AG246" s="498">
        <f ca="1">ROUND(IF(DESONERACAO="sim",REFERENCIA.Desonerado,REFERENCIA.NaoDesonerado),2)</f>
        <v>0</v>
      </c>
      <c r="AH246" s="499">
        <f t="shared" ca="1" si="77"/>
        <v>0.28170000000000001</v>
      </c>
      <c r="AJ246" s="501">
        <v>100</v>
      </c>
      <c r="AL246" s="527"/>
      <c r="AM246" s="381">
        <f t="shared" ca="1" si="78"/>
        <v>427</v>
      </c>
      <c r="AN246" s="566">
        <f t="shared" ca="1" si="79"/>
        <v>4.2699999999999996</v>
      </c>
    </row>
    <row r="247" spans="1:40" ht="25.5" x14ac:dyDescent="0.2">
      <c r="A247" t="str">
        <f t="shared" si="64"/>
        <v>S</v>
      </c>
      <c r="B247">
        <f t="shared" ca="1" si="65"/>
        <v>2</v>
      </c>
      <c r="C247" t="str">
        <f t="shared" ca="1" si="66"/>
        <v>S</v>
      </c>
      <c r="D247">
        <f t="shared" ca="1" si="67"/>
        <v>0</v>
      </c>
      <c r="E247">
        <f ca="1">IF($C247=1,OFFSET(E247,-1,0)+MAX(1,COUNTIF(QCI!$A$13:$A$24,OFFSET(ORÇAMENTO!E247,-1,0))),OFFSET(E247,-1,0))</f>
        <v>1</v>
      </c>
      <c r="F247">
        <f t="shared" ca="1" si="68"/>
        <v>12</v>
      </c>
      <c r="G247">
        <f t="shared" ca="1" si="69"/>
        <v>0</v>
      </c>
      <c r="H247">
        <f t="shared" ca="1" si="70"/>
        <v>0</v>
      </c>
      <c r="I247">
        <f t="shared" ca="1" si="71"/>
        <v>2</v>
      </c>
      <c r="J247">
        <f t="shared" ca="1" si="59"/>
        <v>0</v>
      </c>
      <c r="K247">
        <f ca="1">IF(OR($C247="S",$C247=0),0,MATCH(OFFSET($D247,0,$C247)+IF($C247&lt;&gt;1,1,COUNTIF(QCI!$A$13:$A$24,ORÇAMENTO!E247)),OFFSET($D247,1,$C247,ROW($C$290)-ROW($C247)),0))</f>
        <v>0</v>
      </c>
      <c r="L247" s="116" t="str">
        <f t="shared" ca="1" si="72"/>
        <v>F</v>
      </c>
      <c r="M247" s="117" t="s">
        <v>199</v>
      </c>
      <c r="N247" s="118" t="str">
        <f t="shared" ca="1" si="73"/>
        <v>Serviço</v>
      </c>
      <c r="O247" s="119" t="str">
        <f t="shared" ca="1" si="74"/>
        <v>1.12.0.2.</v>
      </c>
      <c r="P247" s="120" t="s">
        <v>462</v>
      </c>
      <c r="Q247" s="121" t="s">
        <v>591</v>
      </c>
      <c r="R247" s="122" t="str">
        <f ca="1">IF($C247="S",REFERENCIA.Descricao,"(digite a descrição aqui)")</f>
        <v>(abra o arquivo 'Referência 03-2024.xlsm)</v>
      </c>
      <c r="S247" s="123" t="str">
        <f ca="1">REFERENCIA.Unidade</f>
        <v>-</v>
      </c>
      <c r="T247" s="124">
        <f ca="1">OFFSET(CÁLCULO!H$15,ROW($T247)-ROW(T$15),0)</f>
        <v>100</v>
      </c>
      <c r="U247" s="125">
        <v>28.33</v>
      </c>
      <c r="V247" s="126" t="s">
        <v>156</v>
      </c>
      <c r="W247" s="124">
        <f ca="1">IF($C247="S",ROUND(IF(TIPOORCAMENTO="Proposto",ORÇAMENTO.CustoUnitario*(1+$AH247),ORÇAMENTO.PrecoUnitarioLicitado),15-13*$AF$10),0)</f>
        <v>36.31</v>
      </c>
      <c r="X247" s="127">
        <f ca="1">IF($C247="S",IF(Import.TipoArredondamento&lt;&gt;"TransfereGOV",VTOTAL1,SUM(OFFSET(CÁLCULO!$AA$15,ROW($X247)-ROW($X$15),1):OFFSET(CÁLCULO!$AL$15,ROW($X247)-ROW($X$15),-1))),IF($C247=0,0,ROUND(SomaAgrup,15-13*$AF$11)))</f>
        <v>3631</v>
      </c>
      <c r="Y247" s="128" t="s">
        <v>245</v>
      </c>
      <c r="Z247" t="str">
        <f t="shared" ca="1" si="75"/>
        <v>RA</v>
      </c>
      <c r="AA247" s="129">
        <f ca="1">IF($C247="S",IF($Z247="CP",$X247,IF($Z247="RA",(($X247)*QCI!$AA$3),0)),SomaAgrup)</f>
        <v>3631</v>
      </c>
      <c r="AB247" s="130">
        <f t="shared" ca="1" si="76"/>
        <v>0</v>
      </c>
      <c r="AC247" s="131" t="str">
        <f ca="1">IF($N247="","",IF(ORÇAMENTO.Descricao="","DESCRIÇÃO",IF(AND($C247="S",ORÇAMENTO.Unidade=""),"UNIDADE",IF($X247&lt;0,"VALOR NEGATIVO",IF(OR(AND(TIPOORCAMENTO="Proposto",$AG247&lt;&gt;"",$AG247&gt;0,ORÇAMENTO.CustoUnitario&gt;$AG247),AND(TIPOORCAMENTO="LICITADO",ORÇAMENTO.PrecoUnitarioLicitado&gt;$AN247)),"ACIMA REF.","")))))</f>
        <v/>
      </c>
      <c r="AD247" t="str">
        <f ca="1">IF(C247&lt;=CRONO.NivelExibicao,MAX($AD$15:OFFSET(AD247,-1,0))+IF($C247&lt;&gt;1,1,MAX(1,COUNTIF(QCI!$A$13:$A$24,OFFSET($E247,-1,0)))),"")</f>
        <v/>
      </c>
      <c r="AE247" s="7" t="str">
        <f ca="1">IF(AND($C247="S",ORÇAMENTO.CodBarra&lt;&gt;""),IF(ORÇAMENTO.Fonte="",ORÇAMENTO.CodBarra,CONCATENATE(ORÇAMENTO.Fonte," ",ORÇAMENTO.CodBarra)))</f>
        <v>Composição 75</v>
      </c>
      <c r="AF247" s="13" t="str">
        <f ca="1">IF(ISERROR(INDIRECT(ORÇAMENTO.BancoRef)),"(abra o arquivo 'Referência "&amp;Excel_BuiltIn_Database&amp;".xlsm)",IF(OR($C247&lt;&gt;"S",ORÇAMENTO.CodBarra=""),"(Sem Código)",IF(ISERROR(MATCH($AE247,INDIRECT(ORÇAMENTO.BancoRef),0)),"(Código não identificado nas referências)",MATCH($AE247,INDIRECT(ORÇAMENTO.BancoRef),0))))</f>
        <v>(abra o arquivo 'Referência 03-2024.xlsm)</v>
      </c>
      <c r="AG247" s="498">
        <f ca="1">ROUND(IF(DESONERACAO="sim",REFERENCIA.Desonerado,REFERENCIA.NaoDesonerado),2)</f>
        <v>0</v>
      </c>
      <c r="AH247" s="499">
        <f t="shared" ca="1" si="77"/>
        <v>0.28170000000000001</v>
      </c>
      <c r="AJ247" s="501">
        <v>100</v>
      </c>
      <c r="AL247" s="527"/>
      <c r="AM247" s="381">
        <f t="shared" ca="1" si="78"/>
        <v>3631</v>
      </c>
      <c r="AN247" s="566">
        <f t="shared" ca="1" si="79"/>
        <v>36.31</v>
      </c>
    </row>
    <row r="248" spans="1:40" x14ac:dyDescent="0.2">
      <c r="A248">
        <f t="shared" si="64"/>
        <v>2</v>
      </c>
      <c r="B248">
        <f t="shared" ca="1" si="65"/>
        <v>2</v>
      </c>
      <c r="C248">
        <f t="shared" ca="1" si="66"/>
        <v>2</v>
      </c>
      <c r="D248">
        <f t="shared" ca="1" si="67"/>
        <v>42</v>
      </c>
      <c r="E248">
        <f ca="1">IF($C248=1,OFFSET(E248,-1,0)+MAX(1,COUNTIF(QCI!$A$13:$A$24,OFFSET(ORÇAMENTO!E248,-1,0))),OFFSET(E248,-1,0))</f>
        <v>1</v>
      </c>
      <c r="F248">
        <f t="shared" ca="1" si="68"/>
        <v>13</v>
      </c>
      <c r="G248">
        <f t="shared" ca="1" si="69"/>
        <v>0</v>
      </c>
      <c r="H248">
        <f t="shared" ca="1" si="70"/>
        <v>0</v>
      </c>
      <c r="I248">
        <f t="shared" ca="1" si="71"/>
        <v>0</v>
      </c>
      <c r="J248">
        <f t="shared" ca="1" si="59"/>
        <v>42</v>
      </c>
      <c r="K248" t="e">
        <f ca="1">IF(OR($C248="S",$C248=0),0,MATCH(OFFSET($D248,0,$C248)+IF($C248&lt;&gt;1,1,COUNTIF(QCI!$A$13:$A$24,ORÇAMENTO!E248)),OFFSET($D248,1,$C248,ROW($C$290)-ROW($C248)),0))</f>
        <v>#N/A</v>
      </c>
      <c r="L248" s="116" t="str">
        <f t="shared" ca="1" si="72"/>
        <v>F</v>
      </c>
      <c r="M248" s="117" t="s">
        <v>196</v>
      </c>
      <c r="N248" s="118" t="str">
        <f t="shared" ca="1" si="73"/>
        <v>Nível 2</v>
      </c>
      <c r="O248" s="119" t="str">
        <f t="shared" ca="1" si="74"/>
        <v>1.13.</v>
      </c>
      <c r="P248" s="120" t="s">
        <v>247</v>
      </c>
      <c r="Q248" s="121"/>
      <c r="R248" s="122" t="s">
        <v>610</v>
      </c>
      <c r="S248" s="123" t="str">
        <f ca="1">REFERENCIA.Unidade</f>
        <v>-</v>
      </c>
      <c r="T248" s="124">
        <f ca="1">OFFSET(CÁLCULO!H$15,ROW($T248)-ROW(T$15),0)</f>
        <v>0</v>
      </c>
      <c r="U248" s="125">
        <v>0</v>
      </c>
      <c r="V248" s="126" t="s">
        <v>156</v>
      </c>
      <c r="W248" s="124">
        <f ca="1">IF($C248="S",ROUND(IF(TIPOORCAMENTO="Proposto",ORÇAMENTO.CustoUnitario*(1+$AH248),ORÇAMENTO.PrecoUnitarioLicitado),15-13*$AF$10),0)</f>
        <v>0</v>
      </c>
      <c r="X248" s="127">
        <f ca="1">IF($C248="S",IF(Import.TipoArredondamento&lt;&gt;"TransfereGOV",VTOTAL1,SUM(OFFSET(CÁLCULO!$AA$15,ROW($X248)-ROW($X$15),1):OFFSET(CÁLCULO!$AL$15,ROW($X248)-ROW($X$15),-1))),IF($C248=0,0,ROUND(SomaAgrup,15-13*$AF$11)))</f>
        <v>102.95</v>
      </c>
      <c r="Y248" s="128" t="s">
        <v>245</v>
      </c>
      <c r="Z248" t="str">
        <f t="shared" ca="1" si="75"/>
        <v/>
      </c>
      <c r="AA248" s="129">
        <f ca="1">IF($C248="S",IF($Z248="CP",$X248,IF($Z248="RA",(($X248)*QCI!$AA$3),0)),SomaAgrup)</f>
        <v>102.95</v>
      </c>
      <c r="AB248" s="130">
        <f t="shared" ca="1" si="76"/>
        <v>0</v>
      </c>
      <c r="AC248" s="131" t="str">
        <f ca="1">IF($N248="","",IF(ORÇAMENTO.Descricao="","DESCRIÇÃO",IF(AND($C248="S",ORÇAMENTO.Unidade=""),"UNIDADE",IF($X248&lt;0,"VALOR NEGATIVO",IF(OR(AND(TIPOORCAMENTO="Proposto",$AG248&lt;&gt;"",$AG248&gt;0,ORÇAMENTO.CustoUnitario&gt;$AG248),AND(TIPOORCAMENTO="LICITADO",ORÇAMENTO.PrecoUnitarioLicitado&gt;$AN248)),"ACIMA REF.","")))))</f>
        <v/>
      </c>
      <c r="AD248">
        <f ca="1">IF(C248&lt;=CRONO.NivelExibicao,MAX($AD$15:OFFSET(AD248,-1,0))+IF($C248&lt;&gt;1,1,MAX(1,COUNTIF(QCI!$A$13:$A$24,OFFSET($E248,-1,0)))),"")</f>
        <v>34</v>
      </c>
      <c r="AE248" s="7" t="b">
        <f ca="1">IF(AND($C248="S",ORÇAMENTO.CodBarra&lt;&gt;""),IF(ORÇAMENTO.Fonte="",ORÇAMENTO.CodBarra,CONCATENATE(ORÇAMENTO.Fonte," ",ORÇAMENTO.CodBarra)))</f>
        <v>0</v>
      </c>
      <c r="AF248" s="13" t="str">
        <f ca="1">IF(ISERROR(INDIRECT(ORÇAMENTO.BancoRef)),"(abra o arquivo 'Referência "&amp;Excel_BuiltIn_Database&amp;".xlsm)",IF(OR($C248&lt;&gt;"S",ORÇAMENTO.CodBarra=""),"(Sem Código)",IF(ISERROR(MATCH($AE248,INDIRECT(ORÇAMENTO.BancoRef),0)),"(Código não identificado nas referências)",MATCH($AE248,INDIRECT(ORÇAMENTO.BancoRef),0))))</f>
        <v>(abra o arquivo 'Referência 03-2024.xlsm)</v>
      </c>
      <c r="AG248" s="498">
        <f ca="1">ROUND(IF(DESONERACAO="sim",REFERENCIA.Desonerado,REFERENCIA.NaoDesonerado),2)</f>
        <v>0</v>
      </c>
      <c r="AH248" s="499">
        <f t="shared" ca="1" si="77"/>
        <v>0.28170000000000001</v>
      </c>
      <c r="AJ248" s="501"/>
      <c r="AL248" s="527"/>
      <c r="AM248" s="381">
        <f t="shared" ca="1" si="78"/>
        <v>102.95</v>
      </c>
      <c r="AN248" s="566">
        <f t="shared" ca="1" si="79"/>
        <v>0</v>
      </c>
    </row>
    <row r="249" spans="1:40" x14ac:dyDescent="0.2">
      <c r="A249" t="str">
        <f t="shared" si="64"/>
        <v>S</v>
      </c>
      <c r="B249">
        <f t="shared" ca="1" si="65"/>
        <v>2</v>
      </c>
      <c r="C249" t="str">
        <f t="shared" ca="1" si="66"/>
        <v>S</v>
      </c>
      <c r="D249">
        <f t="shared" ca="1" si="67"/>
        <v>0</v>
      </c>
      <c r="E249">
        <f ca="1">IF($C249=1,OFFSET(E249,-1,0)+MAX(1,COUNTIF(QCI!$A$13:$A$24,OFFSET(ORÇAMENTO!E249,-1,0))),OFFSET(E249,-1,0))</f>
        <v>1</v>
      </c>
      <c r="F249">
        <f t="shared" ca="1" si="68"/>
        <v>13</v>
      </c>
      <c r="G249">
        <f t="shared" ca="1" si="69"/>
        <v>0</v>
      </c>
      <c r="H249">
        <f t="shared" ca="1" si="70"/>
        <v>0</v>
      </c>
      <c r="I249">
        <f t="shared" ca="1" si="71"/>
        <v>1</v>
      </c>
      <c r="J249">
        <f t="shared" ca="1" si="59"/>
        <v>0</v>
      </c>
      <c r="K249">
        <f ca="1">IF(OR($C249="S",$C249=0),0,MATCH(OFFSET($D249,0,$C249)+IF($C249&lt;&gt;1,1,COUNTIF(QCI!$A$13:$A$24,ORÇAMENTO!E249)),OFFSET($D249,1,$C249,ROW($C$290)-ROW($C249)),0))</f>
        <v>0</v>
      </c>
      <c r="L249" s="116" t="str">
        <f t="shared" ca="1" si="72"/>
        <v>F</v>
      </c>
      <c r="M249" s="117" t="s">
        <v>199</v>
      </c>
      <c r="N249" s="118" t="str">
        <f t="shared" ca="1" si="73"/>
        <v>Serviço</v>
      </c>
      <c r="O249" s="119" t="str">
        <f t="shared" ca="1" si="74"/>
        <v>1.13.0.1.</v>
      </c>
      <c r="P249" s="120" t="s">
        <v>462</v>
      </c>
      <c r="Q249" s="121" t="s">
        <v>611</v>
      </c>
      <c r="R249" s="122" t="str">
        <f ca="1">IF($C249="S",REFERENCIA.Descricao,"(digite a descrição aqui)")</f>
        <v>(abra o arquivo 'Referência 03-2024.xlsm)</v>
      </c>
      <c r="S249" s="123" t="str">
        <f ca="1">REFERENCIA.Unidade</f>
        <v>-</v>
      </c>
      <c r="T249" s="124">
        <f ca="1">OFFSET(CÁLCULO!H$15,ROW($T249)-ROW(T$15),0)</f>
        <v>1</v>
      </c>
      <c r="U249" s="125">
        <v>80.319999999999993</v>
      </c>
      <c r="V249" s="126" t="s">
        <v>156</v>
      </c>
      <c r="W249" s="124">
        <f ca="1">IF($C249="S",ROUND(IF(TIPOORCAMENTO="Proposto",ORÇAMENTO.CustoUnitario*(1+$AH249),ORÇAMENTO.PrecoUnitarioLicitado),15-13*$AF$10),0)</f>
        <v>102.95</v>
      </c>
      <c r="X249" s="127">
        <f ca="1">IF($C249="S",IF(Import.TipoArredondamento&lt;&gt;"TransfereGOV",VTOTAL1,SUM(OFFSET(CÁLCULO!$AA$15,ROW($X249)-ROW($X$15),1):OFFSET(CÁLCULO!$AL$15,ROW($X249)-ROW($X$15),-1))),IF($C249=0,0,ROUND(SomaAgrup,15-13*$AF$11)))</f>
        <v>102.95</v>
      </c>
      <c r="Y249" s="128" t="s">
        <v>245</v>
      </c>
      <c r="Z249" t="str">
        <f t="shared" ca="1" si="75"/>
        <v>RA</v>
      </c>
      <c r="AA249" s="129">
        <f ca="1">IF($C249="S",IF($Z249="CP",$X249,IF($Z249="RA",(($X249)*QCI!$AA$3),0)),SomaAgrup)</f>
        <v>102.95</v>
      </c>
      <c r="AB249" s="130">
        <f t="shared" ca="1" si="76"/>
        <v>0</v>
      </c>
      <c r="AC249" s="131" t="str">
        <f ca="1">IF($N249="","",IF(ORÇAMENTO.Descricao="","DESCRIÇÃO",IF(AND($C249="S",ORÇAMENTO.Unidade=""),"UNIDADE",IF($X249&lt;0,"VALOR NEGATIVO",IF(OR(AND(TIPOORCAMENTO="Proposto",$AG249&lt;&gt;"",$AG249&gt;0,ORÇAMENTO.CustoUnitario&gt;$AG249),AND(TIPOORCAMENTO="LICITADO",ORÇAMENTO.PrecoUnitarioLicitado&gt;$AN249)),"ACIMA REF.","")))))</f>
        <v/>
      </c>
      <c r="AD249" t="str">
        <f ca="1">IF(C249&lt;=CRONO.NivelExibicao,MAX($AD$15:OFFSET(AD249,-1,0))+IF($C249&lt;&gt;1,1,MAX(1,COUNTIF(QCI!$A$13:$A$24,OFFSET($E249,-1,0)))),"")</f>
        <v/>
      </c>
      <c r="AE249" s="7" t="str">
        <f ca="1">IF(AND($C249="S",ORÇAMENTO.CodBarra&lt;&gt;""),IF(ORÇAMENTO.Fonte="",ORÇAMENTO.CodBarra,CONCATENATE(ORÇAMENTO.Fonte," ",ORÇAMENTO.CodBarra)))</f>
        <v>Composição 86</v>
      </c>
      <c r="AF249" s="13" t="str">
        <f ca="1">IF(ISERROR(INDIRECT(ORÇAMENTO.BancoRef)),"(abra o arquivo 'Referência "&amp;Excel_BuiltIn_Database&amp;".xlsm)",IF(OR($C249&lt;&gt;"S",ORÇAMENTO.CodBarra=""),"(Sem Código)",IF(ISERROR(MATCH($AE249,INDIRECT(ORÇAMENTO.BancoRef),0)),"(Código não identificado nas referências)",MATCH($AE249,INDIRECT(ORÇAMENTO.BancoRef),0))))</f>
        <v>(abra o arquivo 'Referência 03-2024.xlsm)</v>
      </c>
      <c r="AG249" s="498">
        <f ca="1">ROUND(IF(DESONERACAO="sim",REFERENCIA.Desonerado,REFERENCIA.NaoDesonerado),2)</f>
        <v>0</v>
      </c>
      <c r="AH249" s="499">
        <f t="shared" ca="1" si="77"/>
        <v>0.28170000000000001</v>
      </c>
      <c r="AJ249" s="501">
        <v>1</v>
      </c>
      <c r="AL249" s="527"/>
      <c r="AM249" s="381">
        <f t="shared" ca="1" si="78"/>
        <v>102.95</v>
      </c>
      <c r="AN249" s="566">
        <f t="shared" ca="1" si="79"/>
        <v>102.95</v>
      </c>
    </row>
    <row r="250" spans="1:40" hidden="1" x14ac:dyDescent="0.2">
      <c r="A250" t="str">
        <f t="shared" si="64"/>
        <v>S</v>
      </c>
      <c r="B250">
        <f t="shared" ca="1" si="65"/>
        <v>2</v>
      </c>
      <c r="C250" t="str">
        <f t="shared" ca="1" si="66"/>
        <v>S</v>
      </c>
      <c r="D250">
        <f t="shared" ca="1" si="67"/>
        <v>0</v>
      </c>
      <c r="E250">
        <f ca="1">IF($C250=1,OFFSET(E250,-1,0)+MAX(1,COUNTIF(QCI!$A$13:$A$24,OFFSET(ORÇAMENTO!E250,-1,0))),OFFSET(E250,-1,0))</f>
        <v>1</v>
      </c>
      <c r="F250">
        <f t="shared" ca="1" si="68"/>
        <v>13</v>
      </c>
      <c r="G250">
        <f t="shared" ca="1" si="69"/>
        <v>0</v>
      </c>
      <c r="H250">
        <f t="shared" ca="1" si="70"/>
        <v>0</v>
      </c>
      <c r="I250">
        <f t="shared" ca="1" si="71"/>
        <v>1</v>
      </c>
      <c r="J250">
        <f t="shared" ca="1" si="59"/>
        <v>0</v>
      </c>
      <c r="K250">
        <f ca="1">IF(OR($C250="S",$C250=0),0,MATCH(OFFSET($D250,0,$C250)+IF($C250&lt;&gt;1,1,COUNTIF(QCI!$A$13:$A$24,ORÇAMENTO!E250)),OFFSET($D250,1,$C250,ROW($C$290)-ROW($C250)),0))</f>
        <v>0</v>
      </c>
      <c r="L250" s="116" t="str">
        <f t="shared" ca="1" si="72"/>
        <v/>
      </c>
      <c r="M250" s="117" t="s">
        <v>199</v>
      </c>
      <c r="N250" s="118" t="str">
        <f t="shared" ca="1" si="73"/>
        <v>Serviço</v>
      </c>
      <c r="O250" s="119" t="str">
        <f t="shared" ca="1" si="74"/>
        <v>-</v>
      </c>
      <c r="P250" s="120" t="s">
        <v>247</v>
      </c>
      <c r="Q250" s="121"/>
      <c r="R250" s="122" t="str">
        <f ca="1">IF($C250="S",REFERENCIA.Descricao,"(digite a descrição aqui)")</f>
        <v>(abra o arquivo 'Referência 03-2024.xlsm)</v>
      </c>
      <c r="S250" s="123" t="str">
        <f ca="1">REFERENCIA.Unidade</f>
        <v>-</v>
      </c>
      <c r="T250" s="124">
        <f ca="1">OFFSET(CÁLCULO!H$15,ROW($T250)-ROW(T$15),0)</f>
        <v>0</v>
      </c>
      <c r="U250" s="125"/>
      <c r="V250" s="126" t="s">
        <v>156</v>
      </c>
      <c r="W250" s="124">
        <f ca="1">IF($C250="S",ROUND(IF(TIPOORCAMENTO="Proposto",ORÇAMENTO.CustoUnitario*(1+$AH250),ORÇAMENTO.PrecoUnitarioLicitado),15-13*$AF$10),0)</f>
        <v>0</v>
      </c>
      <c r="X250" s="127">
        <f ca="1">IF($C250="S",IF(Import.TipoArredondamento&lt;&gt;"TransfereGOV",VTOTAL1,SUM(OFFSET(CÁLCULO!$AA$15,ROW($X250)-ROW($X$15),1):OFFSET(CÁLCULO!$AL$15,ROW($X250)-ROW($X$15),-1))),IF($C250=0,0,ROUND(SomaAgrup,15-13*$AF$11)))</f>
        <v>0</v>
      </c>
      <c r="Y250" s="128" t="s">
        <v>245</v>
      </c>
      <c r="Z250" t="str">
        <f t="shared" ca="1" si="75"/>
        <v/>
      </c>
      <c r="AA250" s="129">
        <f ca="1">IF($C250="S",IF($Z250="CP",$X250,IF($Z250="RA",(($X250)*QCI!$AA$3),0)),SomaAgrup)</f>
        <v>0</v>
      </c>
      <c r="AB250" s="130">
        <f t="shared" ca="1" si="76"/>
        <v>0</v>
      </c>
      <c r="AC250" s="131" t="str">
        <f ca="1">IF($N250="","",IF(ORÇAMENTO.Descricao="","DESCRIÇÃO",IF(AND($C250="S",ORÇAMENTO.Unidade=""),"UNIDADE",IF($X250&lt;0,"VALOR NEGATIVO",IF(OR(AND(TIPOORCAMENTO="Proposto",$AG250&lt;&gt;"",$AG250&gt;0,ORÇAMENTO.CustoUnitario&gt;$AG250),AND(TIPOORCAMENTO="LICITADO",ORÇAMENTO.PrecoUnitarioLicitado&gt;$AN250)),"ACIMA REF.","")))))</f>
        <v/>
      </c>
      <c r="AD250" t="str">
        <f ca="1">IF(C250&lt;=CRONO.NivelExibicao,MAX($AD$15:OFFSET(AD250,-1,0))+IF($C250&lt;&gt;1,1,MAX(1,COUNTIF(QCI!$A$13:$A$24,OFFSET($E250,-1,0)))),"")</f>
        <v/>
      </c>
      <c r="AE250" s="7" t="b">
        <f ca="1">IF(AND($C250="S",ORÇAMENTO.CodBarra&lt;&gt;""),IF(ORÇAMENTO.Fonte="",ORÇAMENTO.CodBarra,CONCATENATE(ORÇAMENTO.Fonte," ",ORÇAMENTO.CodBarra)))</f>
        <v>0</v>
      </c>
      <c r="AF250" s="13" t="str">
        <f ca="1">IF(ISERROR(INDIRECT(ORÇAMENTO.BancoRef)),"(abra o arquivo 'Referência "&amp;Excel_BuiltIn_Database&amp;".xlsm)",IF(OR($C250&lt;&gt;"S",ORÇAMENTO.CodBarra=""),"(Sem Código)",IF(ISERROR(MATCH($AE250,INDIRECT(ORÇAMENTO.BancoRef),0)),"(Código não identificado nas referências)",MATCH($AE250,INDIRECT(ORÇAMENTO.BancoRef),0))))</f>
        <v>(abra o arquivo 'Referência 03-2024.xlsm)</v>
      </c>
      <c r="AG250" s="498">
        <f ca="1">ROUND(IF(DESONERACAO="sim",REFERENCIA.Desonerado,REFERENCIA.NaoDesonerado),2)</f>
        <v>0</v>
      </c>
      <c r="AH250" s="499">
        <f t="shared" ca="1" si="77"/>
        <v>0.28170000000000001</v>
      </c>
      <c r="AJ250" s="501"/>
      <c r="AL250" s="527"/>
      <c r="AM250" s="381">
        <f t="shared" ca="1" si="78"/>
        <v>0</v>
      </c>
      <c r="AN250" s="566">
        <f t="shared" ca="1" si="79"/>
        <v>0</v>
      </c>
    </row>
    <row r="251" spans="1:40" hidden="1" x14ac:dyDescent="0.2">
      <c r="A251" t="str">
        <f t="shared" si="64"/>
        <v>S</v>
      </c>
      <c r="B251">
        <f t="shared" ca="1" si="65"/>
        <v>2</v>
      </c>
      <c r="C251" t="str">
        <f t="shared" ca="1" si="66"/>
        <v>S</v>
      </c>
      <c r="D251">
        <f t="shared" ca="1" si="67"/>
        <v>0</v>
      </c>
      <c r="E251">
        <f ca="1">IF($C251=1,OFFSET(E251,-1,0)+MAX(1,COUNTIF(QCI!$A$13:$A$24,OFFSET(ORÇAMENTO!E251,-1,0))),OFFSET(E251,-1,0))</f>
        <v>1</v>
      </c>
      <c r="F251">
        <f t="shared" ca="1" si="68"/>
        <v>13</v>
      </c>
      <c r="G251">
        <f t="shared" ca="1" si="69"/>
        <v>0</v>
      </c>
      <c r="H251">
        <f t="shared" ca="1" si="70"/>
        <v>0</v>
      </c>
      <c r="I251">
        <f t="shared" ca="1" si="71"/>
        <v>1</v>
      </c>
      <c r="J251">
        <f t="shared" ca="1" si="59"/>
        <v>0</v>
      </c>
      <c r="K251">
        <f ca="1">IF(OR($C251="S",$C251=0),0,MATCH(OFFSET($D251,0,$C251)+IF($C251&lt;&gt;1,1,COUNTIF(QCI!$A$13:$A$24,ORÇAMENTO!E251)),OFFSET($D251,1,$C251,ROW($C$290)-ROW($C251)),0))</f>
        <v>0</v>
      </c>
      <c r="L251" s="116" t="str">
        <f t="shared" ca="1" si="72"/>
        <v/>
      </c>
      <c r="M251" s="117" t="s">
        <v>199</v>
      </c>
      <c r="N251" s="118" t="str">
        <f t="shared" ca="1" si="73"/>
        <v>Serviço</v>
      </c>
      <c r="O251" s="119" t="str">
        <f t="shared" ca="1" si="74"/>
        <v>-</v>
      </c>
      <c r="P251" s="120" t="s">
        <v>247</v>
      </c>
      <c r="Q251" s="121"/>
      <c r="R251" s="122" t="str">
        <f ca="1">IF($C251="S",REFERENCIA.Descricao,"(digite a descrição aqui)")</f>
        <v>(abra o arquivo 'Referência 03-2024.xlsm)</v>
      </c>
      <c r="S251" s="123" t="str">
        <f ca="1">REFERENCIA.Unidade</f>
        <v>-</v>
      </c>
      <c r="T251" s="124">
        <f ca="1">OFFSET(CÁLCULO!H$15,ROW($T251)-ROW(T$15),0)</f>
        <v>0</v>
      </c>
      <c r="U251" s="125"/>
      <c r="V251" s="126" t="s">
        <v>156</v>
      </c>
      <c r="W251" s="124">
        <f ca="1">IF($C251="S",ROUND(IF(TIPOORCAMENTO="Proposto",ORÇAMENTO.CustoUnitario*(1+$AH251),ORÇAMENTO.PrecoUnitarioLicitado),15-13*$AF$10),0)</f>
        <v>0</v>
      </c>
      <c r="X251" s="127">
        <f ca="1">IF($C251="S",IF(Import.TipoArredondamento&lt;&gt;"TransfereGOV",VTOTAL1,SUM(OFFSET(CÁLCULO!$AA$15,ROW($X251)-ROW($X$15),1):OFFSET(CÁLCULO!$AL$15,ROW($X251)-ROW($X$15),-1))),IF($C251=0,0,ROUND(SomaAgrup,15-13*$AF$11)))</f>
        <v>0</v>
      </c>
      <c r="Y251" s="128" t="s">
        <v>245</v>
      </c>
      <c r="Z251" t="str">
        <f t="shared" ca="1" si="75"/>
        <v/>
      </c>
      <c r="AA251" s="129">
        <f ca="1">IF($C251="S",IF($Z251="CP",$X251,IF($Z251="RA",(($X251)*QCI!$AA$3),0)),SomaAgrup)</f>
        <v>0</v>
      </c>
      <c r="AB251" s="130">
        <f t="shared" ca="1" si="76"/>
        <v>0</v>
      </c>
      <c r="AC251" s="131" t="str">
        <f ca="1">IF($N251="","",IF(ORÇAMENTO.Descricao="","DESCRIÇÃO",IF(AND($C251="S",ORÇAMENTO.Unidade=""),"UNIDADE",IF($X251&lt;0,"VALOR NEGATIVO",IF(OR(AND(TIPOORCAMENTO="Proposto",$AG251&lt;&gt;"",$AG251&gt;0,ORÇAMENTO.CustoUnitario&gt;$AG251),AND(TIPOORCAMENTO="LICITADO",ORÇAMENTO.PrecoUnitarioLicitado&gt;$AN251)),"ACIMA REF.","")))))</f>
        <v/>
      </c>
      <c r="AD251" t="str">
        <f ca="1">IF(C251&lt;=CRONO.NivelExibicao,MAX($AD$15:OFFSET(AD251,-1,0))+IF($C251&lt;&gt;1,1,MAX(1,COUNTIF(QCI!$A$13:$A$24,OFFSET($E251,-1,0)))),"")</f>
        <v/>
      </c>
      <c r="AE251" s="7" t="b">
        <f ca="1">IF(AND($C251="S",ORÇAMENTO.CodBarra&lt;&gt;""),IF(ORÇAMENTO.Fonte="",ORÇAMENTO.CodBarra,CONCATENATE(ORÇAMENTO.Fonte," ",ORÇAMENTO.CodBarra)))</f>
        <v>0</v>
      </c>
      <c r="AF251" s="13" t="str">
        <f ca="1">IF(ISERROR(INDIRECT(ORÇAMENTO.BancoRef)),"(abra o arquivo 'Referência "&amp;Excel_BuiltIn_Database&amp;".xlsm)",IF(OR($C251&lt;&gt;"S",ORÇAMENTO.CodBarra=""),"(Sem Código)",IF(ISERROR(MATCH($AE251,INDIRECT(ORÇAMENTO.BancoRef),0)),"(Código não identificado nas referências)",MATCH($AE251,INDIRECT(ORÇAMENTO.BancoRef),0))))</f>
        <v>(abra o arquivo 'Referência 03-2024.xlsm)</v>
      </c>
      <c r="AG251" s="498">
        <f ca="1">ROUND(IF(DESONERACAO="sim",REFERENCIA.Desonerado,REFERENCIA.NaoDesonerado),2)</f>
        <v>0</v>
      </c>
      <c r="AH251" s="499">
        <f t="shared" ca="1" si="77"/>
        <v>0.28170000000000001</v>
      </c>
      <c r="AJ251" s="501"/>
      <c r="AL251" s="527"/>
      <c r="AM251" s="381">
        <f t="shared" ca="1" si="78"/>
        <v>0</v>
      </c>
      <c r="AN251" s="566">
        <f t="shared" ca="1" si="79"/>
        <v>0</v>
      </c>
    </row>
    <row r="252" spans="1:40" hidden="1" x14ac:dyDescent="0.2">
      <c r="A252" t="str">
        <f t="shared" si="64"/>
        <v>S</v>
      </c>
      <c r="B252">
        <f t="shared" ca="1" si="65"/>
        <v>2</v>
      </c>
      <c r="C252" t="str">
        <f t="shared" ca="1" si="66"/>
        <v>S</v>
      </c>
      <c r="D252">
        <f t="shared" ca="1" si="67"/>
        <v>0</v>
      </c>
      <c r="E252">
        <f ca="1">IF($C252=1,OFFSET(E252,-1,0)+MAX(1,COUNTIF(QCI!$A$13:$A$24,OFFSET(ORÇAMENTO!E252,-1,0))),OFFSET(E252,-1,0))</f>
        <v>1</v>
      </c>
      <c r="F252">
        <f t="shared" ca="1" si="68"/>
        <v>13</v>
      </c>
      <c r="G252">
        <f t="shared" ca="1" si="69"/>
        <v>0</v>
      </c>
      <c r="H252">
        <f t="shared" ca="1" si="70"/>
        <v>0</v>
      </c>
      <c r="I252">
        <f t="shared" ca="1" si="71"/>
        <v>1</v>
      </c>
      <c r="J252">
        <f t="shared" ca="1" si="59"/>
        <v>0</v>
      </c>
      <c r="K252">
        <f ca="1">IF(OR($C252="S",$C252=0),0,MATCH(OFFSET($D252,0,$C252)+IF($C252&lt;&gt;1,1,COUNTIF(QCI!$A$13:$A$24,ORÇAMENTO!E252)),OFFSET($D252,1,$C252,ROW($C$290)-ROW($C252)),0))</f>
        <v>0</v>
      </c>
      <c r="L252" s="116" t="str">
        <f t="shared" ca="1" si="72"/>
        <v/>
      </c>
      <c r="M252" s="117" t="s">
        <v>199</v>
      </c>
      <c r="N252" s="118" t="str">
        <f t="shared" ca="1" si="73"/>
        <v>Serviço</v>
      </c>
      <c r="O252" s="119" t="str">
        <f t="shared" ca="1" si="74"/>
        <v>-</v>
      </c>
      <c r="P252" s="120" t="s">
        <v>247</v>
      </c>
      <c r="Q252" s="121"/>
      <c r="R252" s="122" t="str">
        <f ca="1">IF($C252="S",REFERENCIA.Descricao,"(digite a descrição aqui)")</f>
        <v>(abra o arquivo 'Referência 03-2024.xlsm)</v>
      </c>
      <c r="S252" s="123" t="str">
        <f ca="1">REFERENCIA.Unidade</f>
        <v>-</v>
      </c>
      <c r="T252" s="124">
        <f ca="1">OFFSET(CÁLCULO!H$15,ROW($T252)-ROW(T$15),0)</f>
        <v>0</v>
      </c>
      <c r="U252" s="125"/>
      <c r="V252" s="126" t="s">
        <v>156</v>
      </c>
      <c r="W252" s="124">
        <f ca="1">IF($C252="S",ROUND(IF(TIPOORCAMENTO="Proposto",ORÇAMENTO.CustoUnitario*(1+$AH252),ORÇAMENTO.PrecoUnitarioLicitado),15-13*$AF$10),0)</f>
        <v>0</v>
      </c>
      <c r="X252" s="127">
        <f ca="1">IF($C252="S",IF(Import.TipoArredondamento&lt;&gt;"TransfereGOV",VTOTAL1,SUM(OFFSET(CÁLCULO!$AA$15,ROW($X252)-ROW($X$15),1):OFFSET(CÁLCULO!$AL$15,ROW($X252)-ROW($X$15),-1))),IF($C252=0,0,ROUND(SomaAgrup,15-13*$AF$11)))</f>
        <v>0</v>
      </c>
      <c r="Y252" s="128" t="s">
        <v>245</v>
      </c>
      <c r="Z252" t="str">
        <f t="shared" ca="1" si="75"/>
        <v/>
      </c>
      <c r="AA252" s="129">
        <f ca="1">IF($C252="S",IF($Z252="CP",$X252,IF($Z252="RA",(($X252)*QCI!$AA$3),0)),SomaAgrup)</f>
        <v>0</v>
      </c>
      <c r="AB252" s="130">
        <f t="shared" ca="1" si="76"/>
        <v>0</v>
      </c>
      <c r="AC252" s="131" t="str">
        <f ca="1">IF($N252="","",IF(ORÇAMENTO.Descricao="","DESCRIÇÃO",IF(AND($C252="S",ORÇAMENTO.Unidade=""),"UNIDADE",IF($X252&lt;0,"VALOR NEGATIVO",IF(OR(AND(TIPOORCAMENTO="Proposto",$AG252&lt;&gt;"",$AG252&gt;0,ORÇAMENTO.CustoUnitario&gt;$AG252),AND(TIPOORCAMENTO="LICITADO",ORÇAMENTO.PrecoUnitarioLicitado&gt;$AN252)),"ACIMA REF.","")))))</f>
        <v/>
      </c>
      <c r="AD252" t="str">
        <f ca="1">IF(C252&lt;=CRONO.NivelExibicao,MAX($AD$15:OFFSET(AD252,-1,0))+IF($C252&lt;&gt;1,1,MAX(1,COUNTIF(QCI!$A$13:$A$24,OFFSET($E252,-1,0)))),"")</f>
        <v/>
      </c>
      <c r="AE252" s="7" t="b">
        <f ca="1">IF(AND($C252="S",ORÇAMENTO.CodBarra&lt;&gt;""),IF(ORÇAMENTO.Fonte="",ORÇAMENTO.CodBarra,CONCATENATE(ORÇAMENTO.Fonte," ",ORÇAMENTO.CodBarra)))</f>
        <v>0</v>
      </c>
      <c r="AF252" s="13" t="str">
        <f ca="1">IF(ISERROR(INDIRECT(ORÇAMENTO.BancoRef)),"(abra o arquivo 'Referência "&amp;Excel_BuiltIn_Database&amp;".xlsm)",IF(OR($C252&lt;&gt;"S",ORÇAMENTO.CodBarra=""),"(Sem Código)",IF(ISERROR(MATCH($AE252,INDIRECT(ORÇAMENTO.BancoRef),0)),"(Código não identificado nas referências)",MATCH($AE252,INDIRECT(ORÇAMENTO.BancoRef),0))))</f>
        <v>(abra o arquivo 'Referência 03-2024.xlsm)</v>
      </c>
      <c r="AG252" s="498">
        <f ca="1">ROUND(IF(DESONERACAO="sim",REFERENCIA.Desonerado,REFERENCIA.NaoDesonerado),2)</f>
        <v>0</v>
      </c>
      <c r="AH252" s="499">
        <f t="shared" ca="1" si="77"/>
        <v>0.28170000000000001</v>
      </c>
      <c r="AJ252" s="501"/>
      <c r="AL252" s="527"/>
      <c r="AM252" s="381">
        <f t="shared" ca="1" si="78"/>
        <v>0</v>
      </c>
      <c r="AN252" s="566">
        <f t="shared" ca="1" si="79"/>
        <v>0</v>
      </c>
    </row>
    <row r="253" spans="1:40" hidden="1" x14ac:dyDescent="0.2">
      <c r="A253" t="str">
        <f t="shared" si="64"/>
        <v>S</v>
      </c>
      <c r="B253">
        <f t="shared" ca="1" si="65"/>
        <v>2</v>
      </c>
      <c r="C253" t="str">
        <f t="shared" ca="1" si="66"/>
        <v>S</v>
      </c>
      <c r="D253">
        <f t="shared" ca="1" si="67"/>
        <v>0</v>
      </c>
      <c r="E253">
        <f ca="1">IF($C253=1,OFFSET(E253,-1,0)+MAX(1,COUNTIF(QCI!$A$13:$A$24,OFFSET(ORÇAMENTO!E253,-1,0))),OFFSET(E253,-1,0))</f>
        <v>1</v>
      </c>
      <c r="F253">
        <f t="shared" ca="1" si="68"/>
        <v>13</v>
      </c>
      <c r="G253">
        <f t="shared" ca="1" si="69"/>
        <v>0</v>
      </c>
      <c r="H253">
        <f t="shared" ca="1" si="70"/>
        <v>0</v>
      </c>
      <c r="I253">
        <f t="shared" ca="1" si="71"/>
        <v>1</v>
      </c>
      <c r="J253">
        <f t="shared" ca="1" si="59"/>
        <v>0</v>
      </c>
      <c r="K253">
        <f ca="1">IF(OR($C253="S",$C253=0),0,MATCH(OFFSET($D253,0,$C253)+IF($C253&lt;&gt;1,1,COUNTIF(QCI!$A$13:$A$24,ORÇAMENTO!E253)),OFFSET($D253,1,$C253,ROW($C$290)-ROW($C253)),0))</f>
        <v>0</v>
      </c>
      <c r="L253" s="116" t="str">
        <f t="shared" ca="1" si="72"/>
        <v/>
      </c>
      <c r="M253" s="117" t="s">
        <v>199</v>
      </c>
      <c r="N253" s="118" t="str">
        <f t="shared" ca="1" si="73"/>
        <v>Serviço</v>
      </c>
      <c r="O253" s="119" t="str">
        <f t="shared" ca="1" si="74"/>
        <v>-</v>
      </c>
      <c r="P253" s="120" t="s">
        <v>247</v>
      </c>
      <c r="Q253" s="121"/>
      <c r="R253" s="122" t="str">
        <f ca="1">IF($C253="S",REFERENCIA.Descricao,"(digite a descrição aqui)")</f>
        <v>(abra o arquivo 'Referência 03-2024.xlsm)</v>
      </c>
      <c r="S253" s="123" t="str">
        <f ca="1">REFERENCIA.Unidade</f>
        <v>-</v>
      </c>
      <c r="T253" s="124">
        <f ca="1">OFFSET(CÁLCULO!H$15,ROW($T253)-ROW(T$15),0)</f>
        <v>0</v>
      </c>
      <c r="U253" s="125"/>
      <c r="V253" s="126" t="s">
        <v>156</v>
      </c>
      <c r="W253" s="124">
        <f ca="1">IF($C253="S",ROUND(IF(TIPOORCAMENTO="Proposto",ORÇAMENTO.CustoUnitario*(1+$AH253),ORÇAMENTO.PrecoUnitarioLicitado),15-13*$AF$10),0)</f>
        <v>0</v>
      </c>
      <c r="X253" s="127">
        <f ca="1">IF($C253="S",IF(Import.TipoArredondamento&lt;&gt;"TransfereGOV",VTOTAL1,SUM(OFFSET(CÁLCULO!$AA$15,ROW($X253)-ROW($X$15),1):OFFSET(CÁLCULO!$AL$15,ROW($X253)-ROW($X$15),-1))),IF($C253=0,0,ROUND(SomaAgrup,15-13*$AF$11)))</f>
        <v>0</v>
      </c>
      <c r="Y253" s="128" t="s">
        <v>245</v>
      </c>
      <c r="Z253" t="str">
        <f t="shared" ca="1" si="75"/>
        <v/>
      </c>
      <c r="AA253" s="129">
        <f ca="1">IF($C253="S",IF($Z253="CP",$X253,IF($Z253="RA",(($X253)*QCI!$AA$3),0)),SomaAgrup)</f>
        <v>0</v>
      </c>
      <c r="AB253" s="130">
        <f t="shared" ca="1" si="76"/>
        <v>0</v>
      </c>
      <c r="AC253" s="131" t="str">
        <f ca="1">IF($N253="","",IF(ORÇAMENTO.Descricao="","DESCRIÇÃO",IF(AND($C253="S",ORÇAMENTO.Unidade=""),"UNIDADE",IF($X253&lt;0,"VALOR NEGATIVO",IF(OR(AND(TIPOORCAMENTO="Proposto",$AG253&lt;&gt;"",$AG253&gt;0,ORÇAMENTO.CustoUnitario&gt;$AG253),AND(TIPOORCAMENTO="LICITADO",ORÇAMENTO.PrecoUnitarioLicitado&gt;$AN253)),"ACIMA REF.","")))))</f>
        <v/>
      </c>
      <c r="AD253" t="str">
        <f ca="1">IF(C253&lt;=CRONO.NivelExibicao,MAX($AD$15:OFFSET(AD253,-1,0))+IF($C253&lt;&gt;1,1,MAX(1,COUNTIF(QCI!$A$13:$A$24,OFFSET($E253,-1,0)))),"")</f>
        <v/>
      </c>
      <c r="AE253" s="7" t="b">
        <f ca="1">IF(AND($C253="S",ORÇAMENTO.CodBarra&lt;&gt;""),IF(ORÇAMENTO.Fonte="",ORÇAMENTO.CodBarra,CONCATENATE(ORÇAMENTO.Fonte," ",ORÇAMENTO.CodBarra)))</f>
        <v>0</v>
      </c>
      <c r="AF253" s="13" t="str">
        <f ca="1">IF(ISERROR(INDIRECT(ORÇAMENTO.BancoRef)),"(abra o arquivo 'Referência "&amp;Excel_BuiltIn_Database&amp;".xlsm)",IF(OR($C253&lt;&gt;"S",ORÇAMENTO.CodBarra=""),"(Sem Código)",IF(ISERROR(MATCH($AE253,INDIRECT(ORÇAMENTO.BancoRef),0)),"(Código não identificado nas referências)",MATCH($AE253,INDIRECT(ORÇAMENTO.BancoRef),0))))</f>
        <v>(abra o arquivo 'Referência 03-2024.xlsm)</v>
      </c>
      <c r="AG253" s="498">
        <f ca="1">ROUND(IF(DESONERACAO="sim",REFERENCIA.Desonerado,REFERENCIA.NaoDesonerado),2)</f>
        <v>0</v>
      </c>
      <c r="AH253" s="499">
        <f t="shared" ca="1" si="77"/>
        <v>0.28170000000000001</v>
      </c>
      <c r="AJ253" s="501"/>
      <c r="AL253" s="527"/>
      <c r="AM253" s="381">
        <f t="shared" ca="1" si="78"/>
        <v>0</v>
      </c>
      <c r="AN253" s="566">
        <f t="shared" ca="1" si="79"/>
        <v>0</v>
      </c>
    </row>
    <row r="254" spans="1:40" hidden="1" x14ac:dyDescent="0.2">
      <c r="A254" t="str">
        <f t="shared" si="64"/>
        <v>S</v>
      </c>
      <c r="B254">
        <f t="shared" ca="1" si="65"/>
        <v>2</v>
      </c>
      <c r="C254" t="str">
        <f t="shared" ca="1" si="66"/>
        <v>S</v>
      </c>
      <c r="D254">
        <f t="shared" ca="1" si="67"/>
        <v>0</v>
      </c>
      <c r="E254">
        <f ca="1">IF($C254=1,OFFSET(E254,-1,0)+MAX(1,COUNTIF(QCI!$A$13:$A$24,OFFSET(ORÇAMENTO!E254,-1,0))),OFFSET(E254,-1,0))</f>
        <v>1</v>
      </c>
      <c r="F254">
        <f t="shared" ca="1" si="68"/>
        <v>13</v>
      </c>
      <c r="G254">
        <f t="shared" ca="1" si="69"/>
        <v>0</v>
      </c>
      <c r="H254">
        <f t="shared" ca="1" si="70"/>
        <v>0</v>
      </c>
      <c r="I254">
        <f t="shared" ca="1" si="71"/>
        <v>1</v>
      </c>
      <c r="J254">
        <f t="shared" ca="1" si="59"/>
        <v>0</v>
      </c>
      <c r="K254">
        <f ca="1">IF(OR($C254="S",$C254=0),0,MATCH(OFFSET($D254,0,$C254)+IF($C254&lt;&gt;1,1,COUNTIF(QCI!$A$13:$A$24,ORÇAMENTO!E254)),OFFSET($D254,1,$C254,ROW($C$290)-ROW($C254)),0))</f>
        <v>0</v>
      </c>
      <c r="L254" s="116" t="str">
        <f t="shared" ca="1" si="72"/>
        <v/>
      </c>
      <c r="M254" s="117" t="s">
        <v>199</v>
      </c>
      <c r="N254" s="118" t="str">
        <f t="shared" ca="1" si="73"/>
        <v>Serviço</v>
      </c>
      <c r="O254" s="119" t="str">
        <f t="shared" ca="1" si="74"/>
        <v>-</v>
      </c>
      <c r="P254" s="120" t="s">
        <v>247</v>
      </c>
      <c r="Q254" s="121"/>
      <c r="R254" s="122" t="str">
        <f ca="1">IF($C254="S",REFERENCIA.Descricao,"(digite a descrição aqui)")</f>
        <v>(abra o arquivo 'Referência 03-2024.xlsm)</v>
      </c>
      <c r="S254" s="123" t="str">
        <f ca="1">REFERENCIA.Unidade</f>
        <v>-</v>
      </c>
      <c r="T254" s="124">
        <f ca="1">OFFSET(CÁLCULO!H$15,ROW($T254)-ROW(T$15),0)</f>
        <v>0</v>
      </c>
      <c r="U254" s="125"/>
      <c r="V254" s="126" t="s">
        <v>156</v>
      </c>
      <c r="W254" s="124">
        <f ca="1">IF($C254="S",ROUND(IF(TIPOORCAMENTO="Proposto",ORÇAMENTO.CustoUnitario*(1+$AH254),ORÇAMENTO.PrecoUnitarioLicitado),15-13*$AF$10),0)</f>
        <v>0</v>
      </c>
      <c r="X254" s="127">
        <f ca="1">IF($C254="S",IF(Import.TipoArredondamento&lt;&gt;"TransfereGOV",VTOTAL1,SUM(OFFSET(CÁLCULO!$AA$15,ROW($X254)-ROW($X$15),1):OFFSET(CÁLCULO!$AL$15,ROW($X254)-ROW($X$15),-1))),IF($C254=0,0,ROUND(SomaAgrup,15-13*$AF$11)))</f>
        <v>0</v>
      </c>
      <c r="Y254" s="128" t="s">
        <v>245</v>
      </c>
      <c r="Z254" t="str">
        <f t="shared" ca="1" si="75"/>
        <v/>
      </c>
      <c r="AA254" s="129">
        <f ca="1">IF($C254="S",IF($Z254="CP",$X254,IF($Z254="RA",(($X254)*QCI!$AA$3),0)),SomaAgrup)</f>
        <v>0</v>
      </c>
      <c r="AB254" s="130">
        <f t="shared" ca="1" si="76"/>
        <v>0</v>
      </c>
      <c r="AC254" s="131" t="str">
        <f ca="1">IF($N254="","",IF(ORÇAMENTO.Descricao="","DESCRIÇÃO",IF(AND($C254="S",ORÇAMENTO.Unidade=""),"UNIDADE",IF($X254&lt;0,"VALOR NEGATIVO",IF(OR(AND(TIPOORCAMENTO="Proposto",$AG254&lt;&gt;"",$AG254&gt;0,ORÇAMENTO.CustoUnitario&gt;$AG254),AND(TIPOORCAMENTO="LICITADO",ORÇAMENTO.PrecoUnitarioLicitado&gt;$AN254)),"ACIMA REF.","")))))</f>
        <v/>
      </c>
      <c r="AD254" t="str">
        <f ca="1">IF(C254&lt;=CRONO.NivelExibicao,MAX($AD$15:OFFSET(AD254,-1,0))+IF($C254&lt;&gt;1,1,MAX(1,COUNTIF(QCI!$A$13:$A$24,OFFSET($E254,-1,0)))),"")</f>
        <v/>
      </c>
      <c r="AE254" s="7" t="b">
        <f ca="1">IF(AND($C254="S",ORÇAMENTO.CodBarra&lt;&gt;""),IF(ORÇAMENTO.Fonte="",ORÇAMENTO.CodBarra,CONCATENATE(ORÇAMENTO.Fonte," ",ORÇAMENTO.CodBarra)))</f>
        <v>0</v>
      </c>
      <c r="AF254" s="13" t="str">
        <f ca="1">IF(ISERROR(INDIRECT(ORÇAMENTO.BancoRef)),"(abra o arquivo 'Referência "&amp;Excel_BuiltIn_Database&amp;".xlsm)",IF(OR($C254&lt;&gt;"S",ORÇAMENTO.CodBarra=""),"(Sem Código)",IF(ISERROR(MATCH($AE254,INDIRECT(ORÇAMENTO.BancoRef),0)),"(Código não identificado nas referências)",MATCH($AE254,INDIRECT(ORÇAMENTO.BancoRef),0))))</f>
        <v>(abra o arquivo 'Referência 03-2024.xlsm)</v>
      </c>
      <c r="AG254" s="498">
        <f ca="1">ROUND(IF(DESONERACAO="sim",REFERENCIA.Desonerado,REFERENCIA.NaoDesonerado),2)</f>
        <v>0</v>
      </c>
      <c r="AH254" s="499">
        <f t="shared" ca="1" si="77"/>
        <v>0.28170000000000001</v>
      </c>
      <c r="AJ254" s="501"/>
      <c r="AL254" s="527"/>
      <c r="AM254" s="381">
        <f t="shared" ca="1" si="78"/>
        <v>0</v>
      </c>
      <c r="AN254" s="566">
        <f t="shared" ca="1" si="79"/>
        <v>0</v>
      </c>
    </row>
    <row r="255" spans="1:40" hidden="1" x14ac:dyDescent="0.2">
      <c r="A255" t="str">
        <f t="shared" si="64"/>
        <v>S</v>
      </c>
      <c r="B255">
        <f t="shared" ca="1" si="65"/>
        <v>2</v>
      </c>
      <c r="C255" t="str">
        <f t="shared" ca="1" si="66"/>
        <v>S</v>
      </c>
      <c r="D255">
        <f t="shared" ca="1" si="67"/>
        <v>0</v>
      </c>
      <c r="E255">
        <f ca="1">IF($C255=1,OFFSET(E255,-1,0)+MAX(1,COUNTIF(QCI!$A$13:$A$24,OFFSET(ORÇAMENTO!E255,-1,0))),OFFSET(E255,-1,0))</f>
        <v>1</v>
      </c>
      <c r="F255">
        <f t="shared" ca="1" si="68"/>
        <v>13</v>
      </c>
      <c r="G255">
        <f t="shared" ca="1" si="69"/>
        <v>0</v>
      </c>
      <c r="H255">
        <f t="shared" ca="1" si="70"/>
        <v>0</v>
      </c>
      <c r="I255">
        <f t="shared" ca="1" si="71"/>
        <v>1</v>
      </c>
      <c r="J255">
        <f t="shared" ca="1" si="59"/>
        <v>0</v>
      </c>
      <c r="K255">
        <f ca="1">IF(OR($C255="S",$C255=0),0,MATCH(OFFSET($D255,0,$C255)+IF($C255&lt;&gt;1,1,COUNTIF(QCI!$A$13:$A$24,ORÇAMENTO!E255)),OFFSET($D255,1,$C255,ROW($C$290)-ROW($C255)),0))</f>
        <v>0</v>
      </c>
      <c r="L255" s="116" t="str">
        <f t="shared" ca="1" si="72"/>
        <v/>
      </c>
      <c r="M255" s="117" t="s">
        <v>199</v>
      </c>
      <c r="N255" s="118" t="str">
        <f t="shared" ca="1" si="73"/>
        <v>Serviço</v>
      </c>
      <c r="O255" s="119" t="str">
        <f t="shared" ca="1" si="74"/>
        <v>-</v>
      </c>
      <c r="P255" s="120" t="s">
        <v>247</v>
      </c>
      <c r="Q255" s="121"/>
      <c r="R255" s="122" t="str">
        <f ca="1">IF($C255="S",REFERENCIA.Descricao,"(digite a descrição aqui)")</f>
        <v>(abra o arquivo 'Referência 03-2024.xlsm)</v>
      </c>
      <c r="S255" s="123" t="str">
        <f ca="1">REFERENCIA.Unidade</f>
        <v>-</v>
      </c>
      <c r="T255" s="124">
        <f ca="1">OFFSET(CÁLCULO!H$15,ROW($T255)-ROW(T$15),0)</f>
        <v>0</v>
      </c>
      <c r="U255" s="125"/>
      <c r="V255" s="126" t="s">
        <v>156</v>
      </c>
      <c r="W255" s="124">
        <f ca="1">IF($C255="S",ROUND(IF(TIPOORCAMENTO="Proposto",ORÇAMENTO.CustoUnitario*(1+$AH255),ORÇAMENTO.PrecoUnitarioLicitado),15-13*$AF$10),0)</f>
        <v>0</v>
      </c>
      <c r="X255" s="127">
        <f ca="1">IF($C255="S",IF(Import.TipoArredondamento&lt;&gt;"TransfereGOV",VTOTAL1,SUM(OFFSET(CÁLCULO!$AA$15,ROW($X255)-ROW($X$15),1):OFFSET(CÁLCULO!$AL$15,ROW($X255)-ROW($X$15),-1))),IF($C255=0,0,ROUND(SomaAgrup,15-13*$AF$11)))</f>
        <v>0</v>
      </c>
      <c r="Y255" s="128" t="s">
        <v>245</v>
      </c>
      <c r="Z255" t="str">
        <f t="shared" ca="1" si="75"/>
        <v/>
      </c>
      <c r="AA255" s="129">
        <f ca="1">IF($C255="S",IF($Z255="CP",$X255,IF($Z255="RA",(($X255)*QCI!$AA$3),0)),SomaAgrup)</f>
        <v>0</v>
      </c>
      <c r="AB255" s="130">
        <f t="shared" ca="1" si="76"/>
        <v>0</v>
      </c>
      <c r="AC255" s="131" t="str">
        <f ca="1">IF($N255="","",IF(ORÇAMENTO.Descricao="","DESCRIÇÃO",IF(AND($C255="S",ORÇAMENTO.Unidade=""),"UNIDADE",IF($X255&lt;0,"VALOR NEGATIVO",IF(OR(AND(TIPOORCAMENTO="Proposto",$AG255&lt;&gt;"",$AG255&gt;0,ORÇAMENTO.CustoUnitario&gt;$AG255),AND(TIPOORCAMENTO="LICITADO",ORÇAMENTO.PrecoUnitarioLicitado&gt;$AN255)),"ACIMA REF.","")))))</f>
        <v/>
      </c>
      <c r="AD255" t="str">
        <f ca="1">IF(C255&lt;=CRONO.NivelExibicao,MAX($AD$15:OFFSET(AD255,-1,0))+IF($C255&lt;&gt;1,1,MAX(1,COUNTIF(QCI!$A$13:$A$24,OFFSET($E255,-1,0)))),"")</f>
        <v/>
      </c>
      <c r="AE255" s="7" t="b">
        <f ca="1">IF(AND($C255="S",ORÇAMENTO.CodBarra&lt;&gt;""),IF(ORÇAMENTO.Fonte="",ORÇAMENTO.CodBarra,CONCATENATE(ORÇAMENTO.Fonte," ",ORÇAMENTO.CodBarra)))</f>
        <v>0</v>
      </c>
      <c r="AF255" s="13" t="str">
        <f ca="1">IF(ISERROR(INDIRECT(ORÇAMENTO.BancoRef)),"(abra o arquivo 'Referência "&amp;Excel_BuiltIn_Database&amp;".xlsm)",IF(OR($C255&lt;&gt;"S",ORÇAMENTO.CodBarra=""),"(Sem Código)",IF(ISERROR(MATCH($AE255,INDIRECT(ORÇAMENTO.BancoRef),0)),"(Código não identificado nas referências)",MATCH($AE255,INDIRECT(ORÇAMENTO.BancoRef),0))))</f>
        <v>(abra o arquivo 'Referência 03-2024.xlsm)</v>
      </c>
      <c r="AG255" s="498">
        <f ca="1">ROUND(IF(DESONERACAO="sim",REFERENCIA.Desonerado,REFERENCIA.NaoDesonerado),2)</f>
        <v>0</v>
      </c>
      <c r="AH255" s="499">
        <f t="shared" ca="1" si="77"/>
        <v>0.28170000000000001</v>
      </c>
      <c r="AJ255" s="501"/>
      <c r="AL255" s="527"/>
      <c r="AM255" s="381">
        <f t="shared" ca="1" si="78"/>
        <v>0</v>
      </c>
      <c r="AN255" s="566">
        <f t="shared" ca="1" si="79"/>
        <v>0</v>
      </c>
    </row>
    <row r="256" spans="1:40" hidden="1" x14ac:dyDescent="0.2">
      <c r="A256" t="str">
        <f t="shared" si="64"/>
        <v>S</v>
      </c>
      <c r="B256">
        <f t="shared" ca="1" si="65"/>
        <v>2</v>
      </c>
      <c r="C256" t="str">
        <f t="shared" ca="1" si="66"/>
        <v>S</v>
      </c>
      <c r="D256">
        <f t="shared" ca="1" si="67"/>
        <v>0</v>
      </c>
      <c r="E256">
        <f ca="1">IF($C256=1,OFFSET(E256,-1,0)+MAX(1,COUNTIF(QCI!$A$13:$A$24,OFFSET(ORÇAMENTO!E256,-1,0))),OFFSET(E256,-1,0))</f>
        <v>1</v>
      </c>
      <c r="F256">
        <f t="shared" ca="1" si="68"/>
        <v>13</v>
      </c>
      <c r="G256">
        <f t="shared" ca="1" si="69"/>
        <v>0</v>
      </c>
      <c r="H256">
        <f t="shared" ca="1" si="70"/>
        <v>0</v>
      </c>
      <c r="I256">
        <f t="shared" ca="1" si="71"/>
        <v>1</v>
      </c>
      <c r="J256">
        <f t="shared" ca="1" si="59"/>
        <v>0</v>
      </c>
      <c r="K256">
        <f ca="1">IF(OR($C256="S",$C256=0),0,MATCH(OFFSET($D256,0,$C256)+IF($C256&lt;&gt;1,1,COUNTIF(QCI!$A$13:$A$24,ORÇAMENTO!E256)),OFFSET($D256,1,$C256,ROW($C$290)-ROW($C256)),0))</f>
        <v>0</v>
      </c>
      <c r="L256" s="116" t="str">
        <f t="shared" ca="1" si="72"/>
        <v/>
      </c>
      <c r="M256" s="117" t="s">
        <v>199</v>
      </c>
      <c r="N256" s="118" t="str">
        <f t="shared" ca="1" si="73"/>
        <v>Serviço</v>
      </c>
      <c r="O256" s="119" t="str">
        <f t="shared" ca="1" si="74"/>
        <v>-</v>
      </c>
      <c r="P256" s="120" t="s">
        <v>247</v>
      </c>
      <c r="Q256" s="121"/>
      <c r="R256" s="122" t="str">
        <f ca="1">IF($C256="S",REFERENCIA.Descricao,"(digite a descrição aqui)")</f>
        <v>(abra o arquivo 'Referência 03-2024.xlsm)</v>
      </c>
      <c r="S256" s="123" t="str">
        <f ca="1">REFERENCIA.Unidade</f>
        <v>-</v>
      </c>
      <c r="T256" s="124">
        <f ca="1">OFFSET(CÁLCULO!H$15,ROW($T256)-ROW(T$15),0)</f>
        <v>0</v>
      </c>
      <c r="U256" s="125"/>
      <c r="V256" s="126" t="s">
        <v>156</v>
      </c>
      <c r="W256" s="124">
        <f ca="1">IF($C256="S",ROUND(IF(TIPOORCAMENTO="Proposto",ORÇAMENTO.CustoUnitario*(1+$AH256),ORÇAMENTO.PrecoUnitarioLicitado),15-13*$AF$10),0)</f>
        <v>0</v>
      </c>
      <c r="X256" s="127">
        <f ca="1">IF($C256="S",IF(Import.TipoArredondamento&lt;&gt;"TransfereGOV",VTOTAL1,SUM(OFFSET(CÁLCULO!$AA$15,ROW($X256)-ROW($X$15),1):OFFSET(CÁLCULO!$AL$15,ROW($X256)-ROW($X$15),-1))),IF($C256=0,0,ROUND(SomaAgrup,15-13*$AF$11)))</f>
        <v>0</v>
      </c>
      <c r="Y256" s="128" t="s">
        <v>245</v>
      </c>
      <c r="Z256" t="str">
        <f t="shared" ca="1" si="75"/>
        <v/>
      </c>
      <c r="AA256" s="129">
        <f ca="1">IF($C256="S",IF($Z256="CP",$X256,IF($Z256="RA",(($X256)*QCI!$AA$3),0)),SomaAgrup)</f>
        <v>0</v>
      </c>
      <c r="AB256" s="130">
        <f t="shared" ca="1" si="76"/>
        <v>0</v>
      </c>
      <c r="AC256" s="131" t="str">
        <f ca="1">IF($N256="","",IF(ORÇAMENTO.Descricao="","DESCRIÇÃO",IF(AND($C256="S",ORÇAMENTO.Unidade=""),"UNIDADE",IF($X256&lt;0,"VALOR NEGATIVO",IF(OR(AND(TIPOORCAMENTO="Proposto",$AG256&lt;&gt;"",$AG256&gt;0,ORÇAMENTO.CustoUnitario&gt;$AG256),AND(TIPOORCAMENTO="LICITADO",ORÇAMENTO.PrecoUnitarioLicitado&gt;$AN256)),"ACIMA REF.","")))))</f>
        <v/>
      </c>
      <c r="AD256" t="str">
        <f ca="1">IF(C256&lt;=CRONO.NivelExibicao,MAX($AD$15:OFFSET(AD256,-1,0))+IF($C256&lt;&gt;1,1,MAX(1,COUNTIF(QCI!$A$13:$A$24,OFFSET($E256,-1,0)))),"")</f>
        <v/>
      </c>
      <c r="AE256" s="7" t="b">
        <f ca="1">IF(AND($C256="S",ORÇAMENTO.CodBarra&lt;&gt;""),IF(ORÇAMENTO.Fonte="",ORÇAMENTO.CodBarra,CONCATENATE(ORÇAMENTO.Fonte," ",ORÇAMENTO.CodBarra)))</f>
        <v>0</v>
      </c>
      <c r="AF256" s="13" t="str">
        <f ca="1">IF(ISERROR(INDIRECT(ORÇAMENTO.BancoRef)),"(abra o arquivo 'Referência "&amp;Excel_BuiltIn_Database&amp;".xlsm)",IF(OR($C256&lt;&gt;"S",ORÇAMENTO.CodBarra=""),"(Sem Código)",IF(ISERROR(MATCH($AE256,INDIRECT(ORÇAMENTO.BancoRef),0)),"(Código não identificado nas referências)",MATCH($AE256,INDIRECT(ORÇAMENTO.BancoRef),0))))</f>
        <v>(abra o arquivo 'Referência 03-2024.xlsm)</v>
      </c>
      <c r="AG256" s="498">
        <f ca="1">ROUND(IF(DESONERACAO="sim",REFERENCIA.Desonerado,REFERENCIA.NaoDesonerado),2)</f>
        <v>0</v>
      </c>
      <c r="AH256" s="499">
        <f t="shared" ca="1" si="77"/>
        <v>0.28170000000000001</v>
      </c>
      <c r="AJ256" s="501"/>
      <c r="AL256" s="527"/>
      <c r="AM256" s="381">
        <f t="shared" ca="1" si="78"/>
        <v>0</v>
      </c>
      <c r="AN256" s="566">
        <f t="shared" ca="1" si="79"/>
        <v>0</v>
      </c>
    </row>
    <row r="257" spans="1:40" hidden="1" x14ac:dyDescent="0.2">
      <c r="A257" t="str">
        <f t="shared" si="64"/>
        <v>S</v>
      </c>
      <c r="B257">
        <f t="shared" ca="1" si="65"/>
        <v>2</v>
      </c>
      <c r="C257" t="str">
        <f t="shared" ca="1" si="66"/>
        <v>S</v>
      </c>
      <c r="D257">
        <f t="shared" ca="1" si="67"/>
        <v>0</v>
      </c>
      <c r="E257">
        <f ca="1">IF($C257=1,OFFSET(E257,-1,0)+MAX(1,COUNTIF(QCI!$A$13:$A$24,OFFSET(ORÇAMENTO!E257,-1,0))),OFFSET(E257,-1,0))</f>
        <v>1</v>
      </c>
      <c r="F257">
        <f t="shared" ca="1" si="68"/>
        <v>13</v>
      </c>
      <c r="G257">
        <f t="shared" ca="1" si="69"/>
        <v>0</v>
      </c>
      <c r="H257">
        <f t="shared" ca="1" si="70"/>
        <v>0</v>
      </c>
      <c r="I257">
        <f t="shared" ca="1" si="71"/>
        <v>1</v>
      </c>
      <c r="J257">
        <f t="shared" ca="1" si="59"/>
        <v>0</v>
      </c>
      <c r="K257">
        <f ca="1">IF(OR($C257="S",$C257=0),0,MATCH(OFFSET($D257,0,$C257)+IF($C257&lt;&gt;1,1,COUNTIF(QCI!$A$13:$A$24,ORÇAMENTO!E257)),OFFSET($D257,1,$C257,ROW($C$290)-ROW($C257)),0))</f>
        <v>0</v>
      </c>
      <c r="L257" s="116" t="str">
        <f t="shared" ca="1" si="72"/>
        <v/>
      </c>
      <c r="M257" s="117" t="s">
        <v>199</v>
      </c>
      <c r="N257" s="118" t="str">
        <f t="shared" ca="1" si="73"/>
        <v>Serviço</v>
      </c>
      <c r="O257" s="119" t="str">
        <f t="shared" ca="1" si="74"/>
        <v>-</v>
      </c>
      <c r="P257" s="120" t="s">
        <v>247</v>
      </c>
      <c r="Q257" s="121"/>
      <c r="R257" s="122" t="str">
        <f ca="1">IF($C257="S",REFERENCIA.Descricao,"(digite a descrição aqui)")</f>
        <v>(abra o arquivo 'Referência 03-2024.xlsm)</v>
      </c>
      <c r="S257" s="123" t="str">
        <f ca="1">REFERENCIA.Unidade</f>
        <v>-</v>
      </c>
      <c r="T257" s="124">
        <f ca="1">OFFSET(CÁLCULO!H$15,ROW($T257)-ROW(T$15),0)</f>
        <v>0</v>
      </c>
      <c r="U257" s="125"/>
      <c r="V257" s="126" t="s">
        <v>156</v>
      </c>
      <c r="W257" s="124">
        <f ca="1">IF($C257="S",ROUND(IF(TIPOORCAMENTO="Proposto",ORÇAMENTO.CustoUnitario*(1+$AH257),ORÇAMENTO.PrecoUnitarioLicitado),15-13*$AF$10),0)</f>
        <v>0</v>
      </c>
      <c r="X257" s="127">
        <f ca="1">IF($C257="S",IF(Import.TipoArredondamento&lt;&gt;"TransfereGOV",VTOTAL1,SUM(OFFSET(CÁLCULO!$AA$15,ROW($X257)-ROW($X$15),1):OFFSET(CÁLCULO!$AL$15,ROW($X257)-ROW($X$15),-1))),IF($C257=0,0,ROUND(SomaAgrup,15-13*$AF$11)))</f>
        <v>0</v>
      </c>
      <c r="Y257" s="128" t="s">
        <v>245</v>
      </c>
      <c r="Z257" t="str">
        <f t="shared" ca="1" si="75"/>
        <v/>
      </c>
      <c r="AA257" s="129">
        <f ca="1">IF($C257="S",IF($Z257="CP",$X257,IF($Z257="RA",(($X257)*QCI!$AA$3),0)),SomaAgrup)</f>
        <v>0</v>
      </c>
      <c r="AB257" s="130">
        <f t="shared" ca="1" si="76"/>
        <v>0</v>
      </c>
      <c r="AC257" s="131" t="str">
        <f ca="1">IF($N257="","",IF(ORÇAMENTO.Descricao="","DESCRIÇÃO",IF(AND($C257="S",ORÇAMENTO.Unidade=""),"UNIDADE",IF($X257&lt;0,"VALOR NEGATIVO",IF(OR(AND(TIPOORCAMENTO="Proposto",$AG257&lt;&gt;"",$AG257&gt;0,ORÇAMENTO.CustoUnitario&gt;$AG257),AND(TIPOORCAMENTO="LICITADO",ORÇAMENTO.PrecoUnitarioLicitado&gt;$AN257)),"ACIMA REF.","")))))</f>
        <v/>
      </c>
      <c r="AD257" t="str">
        <f ca="1">IF(C257&lt;=CRONO.NivelExibicao,MAX($AD$15:OFFSET(AD257,-1,0))+IF($C257&lt;&gt;1,1,MAX(1,COUNTIF(QCI!$A$13:$A$24,OFFSET($E257,-1,0)))),"")</f>
        <v/>
      </c>
      <c r="AE257" s="7" t="b">
        <f ca="1">IF(AND($C257="S",ORÇAMENTO.CodBarra&lt;&gt;""),IF(ORÇAMENTO.Fonte="",ORÇAMENTO.CodBarra,CONCATENATE(ORÇAMENTO.Fonte," ",ORÇAMENTO.CodBarra)))</f>
        <v>0</v>
      </c>
      <c r="AF257" s="13" t="str">
        <f ca="1">IF(ISERROR(INDIRECT(ORÇAMENTO.BancoRef)),"(abra o arquivo 'Referência "&amp;Excel_BuiltIn_Database&amp;".xlsm)",IF(OR($C257&lt;&gt;"S",ORÇAMENTO.CodBarra=""),"(Sem Código)",IF(ISERROR(MATCH($AE257,INDIRECT(ORÇAMENTO.BancoRef),0)),"(Código não identificado nas referências)",MATCH($AE257,INDIRECT(ORÇAMENTO.BancoRef),0))))</f>
        <v>(abra o arquivo 'Referência 03-2024.xlsm)</v>
      </c>
      <c r="AG257" s="498">
        <f ca="1">ROUND(IF(DESONERACAO="sim",REFERENCIA.Desonerado,REFERENCIA.NaoDesonerado),2)</f>
        <v>0</v>
      </c>
      <c r="AH257" s="499">
        <f t="shared" ca="1" si="77"/>
        <v>0.28170000000000001</v>
      </c>
      <c r="AJ257" s="501"/>
      <c r="AL257" s="527"/>
      <c r="AM257" s="381">
        <f t="shared" ca="1" si="78"/>
        <v>0</v>
      </c>
      <c r="AN257" s="566">
        <f t="shared" ca="1" si="79"/>
        <v>0</v>
      </c>
    </row>
    <row r="258" spans="1:40" hidden="1" x14ac:dyDescent="0.2">
      <c r="A258" t="str">
        <f t="shared" si="64"/>
        <v>S</v>
      </c>
      <c r="B258">
        <f t="shared" ca="1" si="65"/>
        <v>2</v>
      </c>
      <c r="C258" t="str">
        <f t="shared" ca="1" si="66"/>
        <v>S</v>
      </c>
      <c r="D258">
        <f t="shared" ca="1" si="67"/>
        <v>0</v>
      </c>
      <c r="E258">
        <f ca="1">IF($C258=1,OFFSET(E258,-1,0)+MAX(1,COUNTIF(QCI!$A$13:$A$24,OFFSET(ORÇAMENTO!E258,-1,0))),OFFSET(E258,-1,0))</f>
        <v>1</v>
      </c>
      <c r="F258">
        <f t="shared" ca="1" si="68"/>
        <v>13</v>
      </c>
      <c r="G258">
        <f t="shared" ca="1" si="69"/>
        <v>0</v>
      </c>
      <c r="H258">
        <f t="shared" ca="1" si="70"/>
        <v>0</v>
      </c>
      <c r="I258">
        <f t="shared" ca="1" si="71"/>
        <v>1</v>
      </c>
      <c r="J258">
        <f t="shared" ca="1" si="59"/>
        <v>0</v>
      </c>
      <c r="K258">
        <f ca="1">IF(OR($C258="S",$C258=0),0,MATCH(OFFSET($D258,0,$C258)+IF($C258&lt;&gt;1,1,COUNTIF(QCI!$A$13:$A$24,ORÇAMENTO!E258)),OFFSET($D258,1,$C258,ROW($C$290)-ROW($C258)),0))</f>
        <v>0</v>
      </c>
      <c r="L258" s="116" t="str">
        <f t="shared" ca="1" si="72"/>
        <v/>
      </c>
      <c r="M258" s="117" t="s">
        <v>199</v>
      </c>
      <c r="N258" s="118" t="str">
        <f t="shared" ca="1" si="73"/>
        <v>Serviço</v>
      </c>
      <c r="O258" s="119" t="str">
        <f t="shared" ca="1" si="74"/>
        <v>-</v>
      </c>
      <c r="P258" s="120" t="s">
        <v>247</v>
      </c>
      <c r="Q258" s="121"/>
      <c r="R258" s="122" t="str">
        <f ca="1">IF($C258="S",REFERENCIA.Descricao,"(digite a descrição aqui)")</f>
        <v>(abra o arquivo 'Referência 03-2024.xlsm)</v>
      </c>
      <c r="S258" s="123" t="str">
        <f ca="1">REFERENCIA.Unidade</f>
        <v>-</v>
      </c>
      <c r="T258" s="124">
        <f ca="1">OFFSET(CÁLCULO!H$15,ROW($T258)-ROW(T$15),0)</f>
        <v>0</v>
      </c>
      <c r="U258" s="125"/>
      <c r="V258" s="126" t="s">
        <v>156</v>
      </c>
      <c r="W258" s="124">
        <f ca="1">IF($C258="S",ROUND(IF(TIPOORCAMENTO="Proposto",ORÇAMENTO.CustoUnitario*(1+$AH258),ORÇAMENTO.PrecoUnitarioLicitado),15-13*$AF$10),0)</f>
        <v>0</v>
      </c>
      <c r="X258" s="127">
        <f ca="1">IF($C258="S",IF(Import.TipoArredondamento&lt;&gt;"TransfereGOV",VTOTAL1,SUM(OFFSET(CÁLCULO!$AA$15,ROW($X258)-ROW($X$15),1):OFFSET(CÁLCULO!$AL$15,ROW($X258)-ROW($X$15),-1))),IF($C258=0,0,ROUND(SomaAgrup,15-13*$AF$11)))</f>
        <v>0</v>
      </c>
      <c r="Y258" s="128" t="s">
        <v>245</v>
      </c>
      <c r="Z258" t="str">
        <f t="shared" ca="1" si="75"/>
        <v/>
      </c>
      <c r="AA258" s="129">
        <f ca="1">IF($C258="S",IF($Z258="CP",$X258,IF($Z258="RA",(($X258)*QCI!$AA$3),0)),SomaAgrup)</f>
        <v>0</v>
      </c>
      <c r="AB258" s="130">
        <f t="shared" ca="1" si="76"/>
        <v>0</v>
      </c>
      <c r="AC258" s="131" t="str">
        <f ca="1">IF($N258="","",IF(ORÇAMENTO.Descricao="","DESCRIÇÃO",IF(AND($C258="S",ORÇAMENTO.Unidade=""),"UNIDADE",IF($X258&lt;0,"VALOR NEGATIVO",IF(OR(AND(TIPOORCAMENTO="Proposto",$AG258&lt;&gt;"",$AG258&gt;0,ORÇAMENTO.CustoUnitario&gt;$AG258),AND(TIPOORCAMENTO="LICITADO",ORÇAMENTO.PrecoUnitarioLicitado&gt;$AN258)),"ACIMA REF.","")))))</f>
        <v/>
      </c>
      <c r="AD258" t="str">
        <f ca="1">IF(C258&lt;=CRONO.NivelExibicao,MAX($AD$15:OFFSET(AD258,-1,0))+IF($C258&lt;&gt;1,1,MAX(1,COUNTIF(QCI!$A$13:$A$24,OFFSET($E258,-1,0)))),"")</f>
        <v/>
      </c>
      <c r="AE258" s="7" t="b">
        <f ca="1">IF(AND($C258="S",ORÇAMENTO.CodBarra&lt;&gt;""),IF(ORÇAMENTO.Fonte="",ORÇAMENTO.CodBarra,CONCATENATE(ORÇAMENTO.Fonte," ",ORÇAMENTO.CodBarra)))</f>
        <v>0</v>
      </c>
      <c r="AF258" s="13" t="str">
        <f ca="1">IF(ISERROR(INDIRECT(ORÇAMENTO.BancoRef)),"(abra o arquivo 'Referência "&amp;Excel_BuiltIn_Database&amp;".xlsm)",IF(OR($C258&lt;&gt;"S",ORÇAMENTO.CodBarra=""),"(Sem Código)",IF(ISERROR(MATCH($AE258,INDIRECT(ORÇAMENTO.BancoRef),0)),"(Código não identificado nas referências)",MATCH($AE258,INDIRECT(ORÇAMENTO.BancoRef),0))))</f>
        <v>(abra o arquivo 'Referência 03-2024.xlsm)</v>
      </c>
      <c r="AG258" s="498">
        <f ca="1">ROUND(IF(DESONERACAO="sim",REFERENCIA.Desonerado,REFERENCIA.NaoDesonerado),2)</f>
        <v>0</v>
      </c>
      <c r="AH258" s="499">
        <f t="shared" ca="1" si="77"/>
        <v>0.28170000000000001</v>
      </c>
      <c r="AJ258" s="501"/>
      <c r="AL258" s="527"/>
      <c r="AM258" s="381">
        <f t="shared" ca="1" si="78"/>
        <v>0</v>
      </c>
      <c r="AN258" s="566">
        <f t="shared" ca="1" si="79"/>
        <v>0</v>
      </c>
    </row>
    <row r="259" spans="1:40" hidden="1" x14ac:dyDescent="0.2">
      <c r="A259" t="str">
        <f t="shared" si="64"/>
        <v>S</v>
      </c>
      <c r="B259">
        <f t="shared" ca="1" si="65"/>
        <v>2</v>
      </c>
      <c r="C259" t="str">
        <f t="shared" ca="1" si="66"/>
        <v>S</v>
      </c>
      <c r="D259">
        <f t="shared" ca="1" si="67"/>
        <v>0</v>
      </c>
      <c r="E259">
        <f ca="1">IF($C259=1,OFFSET(E259,-1,0)+MAX(1,COUNTIF(QCI!$A$13:$A$24,OFFSET(ORÇAMENTO!E259,-1,0))),OFFSET(E259,-1,0))</f>
        <v>1</v>
      </c>
      <c r="F259">
        <f t="shared" ca="1" si="68"/>
        <v>13</v>
      </c>
      <c r="G259">
        <f t="shared" ca="1" si="69"/>
        <v>0</v>
      </c>
      <c r="H259">
        <f t="shared" ca="1" si="70"/>
        <v>0</v>
      </c>
      <c r="I259">
        <f t="shared" ca="1" si="71"/>
        <v>1</v>
      </c>
      <c r="J259">
        <f t="shared" ca="1" si="59"/>
        <v>0</v>
      </c>
      <c r="K259">
        <f ca="1">IF(OR($C259="S",$C259=0),0,MATCH(OFFSET($D259,0,$C259)+IF($C259&lt;&gt;1,1,COUNTIF(QCI!$A$13:$A$24,ORÇAMENTO!E259)),OFFSET($D259,1,$C259,ROW($C$290)-ROW($C259)),0))</f>
        <v>0</v>
      </c>
      <c r="L259" s="116" t="str">
        <f t="shared" ca="1" si="72"/>
        <v/>
      </c>
      <c r="M259" s="117" t="s">
        <v>199</v>
      </c>
      <c r="N259" s="118" t="str">
        <f t="shared" ca="1" si="73"/>
        <v>Serviço</v>
      </c>
      <c r="O259" s="119" t="str">
        <f t="shared" ca="1" si="74"/>
        <v>-</v>
      </c>
      <c r="P259" s="120" t="s">
        <v>247</v>
      </c>
      <c r="Q259" s="121"/>
      <c r="R259" s="122" t="str">
        <f ca="1">IF($C259="S",REFERENCIA.Descricao,"(digite a descrição aqui)")</f>
        <v>(abra o arquivo 'Referência 03-2024.xlsm)</v>
      </c>
      <c r="S259" s="123" t="str">
        <f ca="1">REFERENCIA.Unidade</f>
        <v>-</v>
      </c>
      <c r="T259" s="124">
        <f ca="1">OFFSET(CÁLCULO!H$15,ROW($T259)-ROW(T$15),0)</f>
        <v>0</v>
      </c>
      <c r="U259" s="125"/>
      <c r="V259" s="126" t="s">
        <v>156</v>
      </c>
      <c r="W259" s="124">
        <f ca="1">IF($C259="S",ROUND(IF(TIPOORCAMENTO="Proposto",ORÇAMENTO.CustoUnitario*(1+$AH259),ORÇAMENTO.PrecoUnitarioLicitado),15-13*$AF$10),0)</f>
        <v>0</v>
      </c>
      <c r="X259" s="127">
        <f ca="1">IF($C259="S",IF(Import.TipoArredondamento&lt;&gt;"TransfereGOV",VTOTAL1,SUM(OFFSET(CÁLCULO!$AA$15,ROW($X259)-ROW($X$15),1):OFFSET(CÁLCULO!$AL$15,ROW($X259)-ROW($X$15),-1))),IF($C259=0,0,ROUND(SomaAgrup,15-13*$AF$11)))</f>
        <v>0</v>
      </c>
      <c r="Y259" s="128" t="s">
        <v>245</v>
      </c>
      <c r="Z259" t="str">
        <f t="shared" ca="1" si="75"/>
        <v/>
      </c>
      <c r="AA259" s="129">
        <f ca="1">IF($C259="S",IF($Z259="CP",$X259,IF($Z259="RA",(($X259)*QCI!$AA$3),0)),SomaAgrup)</f>
        <v>0</v>
      </c>
      <c r="AB259" s="130">
        <f t="shared" ca="1" si="76"/>
        <v>0</v>
      </c>
      <c r="AC259" s="131" t="str">
        <f ca="1">IF($N259="","",IF(ORÇAMENTO.Descricao="","DESCRIÇÃO",IF(AND($C259="S",ORÇAMENTO.Unidade=""),"UNIDADE",IF($X259&lt;0,"VALOR NEGATIVO",IF(OR(AND(TIPOORCAMENTO="Proposto",$AG259&lt;&gt;"",$AG259&gt;0,ORÇAMENTO.CustoUnitario&gt;$AG259),AND(TIPOORCAMENTO="LICITADO",ORÇAMENTO.PrecoUnitarioLicitado&gt;$AN259)),"ACIMA REF.","")))))</f>
        <v/>
      </c>
      <c r="AD259" t="str">
        <f ca="1">IF(C259&lt;=CRONO.NivelExibicao,MAX($AD$15:OFFSET(AD259,-1,0))+IF($C259&lt;&gt;1,1,MAX(1,COUNTIF(QCI!$A$13:$A$24,OFFSET($E259,-1,0)))),"")</f>
        <v/>
      </c>
      <c r="AE259" s="7" t="b">
        <f ca="1">IF(AND($C259="S",ORÇAMENTO.CodBarra&lt;&gt;""),IF(ORÇAMENTO.Fonte="",ORÇAMENTO.CodBarra,CONCATENATE(ORÇAMENTO.Fonte," ",ORÇAMENTO.CodBarra)))</f>
        <v>0</v>
      </c>
      <c r="AF259" s="13" t="str">
        <f ca="1">IF(ISERROR(INDIRECT(ORÇAMENTO.BancoRef)),"(abra o arquivo 'Referência "&amp;Excel_BuiltIn_Database&amp;".xlsm)",IF(OR($C259&lt;&gt;"S",ORÇAMENTO.CodBarra=""),"(Sem Código)",IF(ISERROR(MATCH($AE259,INDIRECT(ORÇAMENTO.BancoRef),0)),"(Código não identificado nas referências)",MATCH($AE259,INDIRECT(ORÇAMENTO.BancoRef),0))))</f>
        <v>(abra o arquivo 'Referência 03-2024.xlsm)</v>
      </c>
      <c r="AG259" s="498">
        <f ca="1">ROUND(IF(DESONERACAO="sim",REFERENCIA.Desonerado,REFERENCIA.NaoDesonerado),2)</f>
        <v>0</v>
      </c>
      <c r="AH259" s="499">
        <f t="shared" ca="1" si="77"/>
        <v>0.28170000000000001</v>
      </c>
      <c r="AJ259" s="501"/>
      <c r="AL259" s="527"/>
      <c r="AM259" s="381">
        <f t="shared" ca="1" si="78"/>
        <v>0</v>
      </c>
      <c r="AN259" s="566">
        <f t="shared" ca="1" si="79"/>
        <v>0</v>
      </c>
    </row>
    <row r="260" spans="1:40" hidden="1" x14ac:dyDescent="0.2">
      <c r="A260" t="str">
        <f t="shared" si="64"/>
        <v>S</v>
      </c>
      <c r="B260">
        <f t="shared" ca="1" si="65"/>
        <v>2</v>
      </c>
      <c r="C260" t="str">
        <f t="shared" ca="1" si="66"/>
        <v>S</v>
      </c>
      <c r="D260">
        <f t="shared" ca="1" si="67"/>
        <v>0</v>
      </c>
      <c r="E260">
        <f ca="1">IF($C260=1,OFFSET(E260,-1,0)+MAX(1,COUNTIF(QCI!$A$13:$A$24,OFFSET(ORÇAMENTO!E260,-1,0))),OFFSET(E260,-1,0))</f>
        <v>1</v>
      </c>
      <c r="F260">
        <f t="shared" ca="1" si="68"/>
        <v>13</v>
      </c>
      <c r="G260">
        <f t="shared" ca="1" si="69"/>
        <v>0</v>
      </c>
      <c r="H260">
        <f t="shared" ca="1" si="70"/>
        <v>0</v>
      </c>
      <c r="I260">
        <f t="shared" ca="1" si="71"/>
        <v>1</v>
      </c>
      <c r="J260">
        <f t="shared" ca="1" si="59"/>
        <v>0</v>
      </c>
      <c r="K260">
        <f ca="1">IF(OR($C260="S",$C260=0),0,MATCH(OFFSET($D260,0,$C260)+IF($C260&lt;&gt;1,1,COUNTIF(QCI!$A$13:$A$24,ORÇAMENTO!E260)),OFFSET($D260,1,$C260,ROW($C$290)-ROW($C260)),0))</f>
        <v>0</v>
      </c>
      <c r="L260" s="116" t="str">
        <f t="shared" ca="1" si="72"/>
        <v/>
      </c>
      <c r="M260" s="117" t="s">
        <v>199</v>
      </c>
      <c r="N260" s="118" t="str">
        <f t="shared" ca="1" si="73"/>
        <v>Serviço</v>
      </c>
      <c r="O260" s="119" t="str">
        <f t="shared" ca="1" si="74"/>
        <v>-</v>
      </c>
      <c r="P260" s="120" t="s">
        <v>247</v>
      </c>
      <c r="Q260" s="121"/>
      <c r="R260" s="122" t="str">
        <f ca="1">IF($C260="S",REFERENCIA.Descricao,"(digite a descrição aqui)")</f>
        <v>(abra o arquivo 'Referência 03-2024.xlsm)</v>
      </c>
      <c r="S260" s="123" t="str">
        <f ca="1">REFERENCIA.Unidade</f>
        <v>-</v>
      </c>
      <c r="T260" s="124">
        <f ca="1">OFFSET(CÁLCULO!H$15,ROW($T260)-ROW(T$15),0)</f>
        <v>0</v>
      </c>
      <c r="U260" s="125"/>
      <c r="V260" s="126" t="s">
        <v>156</v>
      </c>
      <c r="W260" s="124">
        <f ca="1">IF($C260="S",ROUND(IF(TIPOORCAMENTO="Proposto",ORÇAMENTO.CustoUnitario*(1+$AH260),ORÇAMENTO.PrecoUnitarioLicitado),15-13*$AF$10),0)</f>
        <v>0</v>
      </c>
      <c r="X260" s="127">
        <f ca="1">IF($C260="S",IF(Import.TipoArredondamento&lt;&gt;"TransfereGOV",VTOTAL1,SUM(OFFSET(CÁLCULO!$AA$15,ROW($X260)-ROW($X$15),1):OFFSET(CÁLCULO!$AL$15,ROW($X260)-ROW($X$15),-1))),IF($C260=0,0,ROUND(SomaAgrup,15-13*$AF$11)))</f>
        <v>0</v>
      </c>
      <c r="Y260" s="128" t="s">
        <v>245</v>
      </c>
      <c r="Z260" t="str">
        <f t="shared" ca="1" si="75"/>
        <v/>
      </c>
      <c r="AA260" s="129">
        <f ca="1">IF($C260="S",IF($Z260="CP",$X260,IF($Z260="RA",(($X260)*QCI!$AA$3),0)),SomaAgrup)</f>
        <v>0</v>
      </c>
      <c r="AB260" s="130">
        <f t="shared" ca="1" si="76"/>
        <v>0</v>
      </c>
      <c r="AC260" s="131" t="str">
        <f ca="1">IF($N260="","",IF(ORÇAMENTO.Descricao="","DESCRIÇÃO",IF(AND($C260="S",ORÇAMENTO.Unidade=""),"UNIDADE",IF($X260&lt;0,"VALOR NEGATIVO",IF(OR(AND(TIPOORCAMENTO="Proposto",$AG260&lt;&gt;"",$AG260&gt;0,ORÇAMENTO.CustoUnitario&gt;$AG260),AND(TIPOORCAMENTO="LICITADO",ORÇAMENTO.PrecoUnitarioLicitado&gt;$AN260)),"ACIMA REF.","")))))</f>
        <v/>
      </c>
      <c r="AD260" t="str">
        <f ca="1">IF(C260&lt;=CRONO.NivelExibicao,MAX($AD$15:OFFSET(AD260,-1,0))+IF($C260&lt;&gt;1,1,MAX(1,COUNTIF(QCI!$A$13:$A$24,OFFSET($E260,-1,0)))),"")</f>
        <v/>
      </c>
      <c r="AE260" s="7" t="b">
        <f ca="1">IF(AND($C260="S",ORÇAMENTO.CodBarra&lt;&gt;""),IF(ORÇAMENTO.Fonte="",ORÇAMENTO.CodBarra,CONCATENATE(ORÇAMENTO.Fonte," ",ORÇAMENTO.CodBarra)))</f>
        <v>0</v>
      </c>
      <c r="AF260" s="13" t="str">
        <f ca="1">IF(ISERROR(INDIRECT(ORÇAMENTO.BancoRef)),"(abra o arquivo 'Referência "&amp;Excel_BuiltIn_Database&amp;".xlsm)",IF(OR($C260&lt;&gt;"S",ORÇAMENTO.CodBarra=""),"(Sem Código)",IF(ISERROR(MATCH($AE260,INDIRECT(ORÇAMENTO.BancoRef),0)),"(Código não identificado nas referências)",MATCH($AE260,INDIRECT(ORÇAMENTO.BancoRef),0))))</f>
        <v>(abra o arquivo 'Referência 03-2024.xlsm)</v>
      </c>
      <c r="AG260" s="498">
        <f ca="1">ROUND(IF(DESONERACAO="sim",REFERENCIA.Desonerado,REFERENCIA.NaoDesonerado),2)</f>
        <v>0</v>
      </c>
      <c r="AH260" s="499">
        <f t="shared" ca="1" si="77"/>
        <v>0.28170000000000001</v>
      </c>
      <c r="AJ260" s="501"/>
      <c r="AL260" s="527"/>
      <c r="AM260" s="381">
        <f t="shared" ca="1" si="78"/>
        <v>0</v>
      </c>
      <c r="AN260" s="566">
        <f t="shared" ca="1" si="79"/>
        <v>0</v>
      </c>
    </row>
    <row r="261" spans="1:40" hidden="1" x14ac:dyDescent="0.2">
      <c r="A261" t="str">
        <f t="shared" si="64"/>
        <v>S</v>
      </c>
      <c r="B261">
        <f t="shared" ca="1" si="65"/>
        <v>2</v>
      </c>
      <c r="C261" t="str">
        <f t="shared" ca="1" si="66"/>
        <v>S</v>
      </c>
      <c r="D261">
        <f t="shared" ca="1" si="67"/>
        <v>0</v>
      </c>
      <c r="E261">
        <f ca="1">IF($C261=1,OFFSET(E261,-1,0)+MAX(1,COUNTIF(QCI!$A$13:$A$24,OFFSET(ORÇAMENTO!E261,-1,0))),OFFSET(E261,-1,0))</f>
        <v>1</v>
      </c>
      <c r="F261">
        <f t="shared" ca="1" si="68"/>
        <v>13</v>
      </c>
      <c r="G261">
        <f t="shared" ca="1" si="69"/>
        <v>0</v>
      </c>
      <c r="H261">
        <f t="shared" ca="1" si="70"/>
        <v>0</v>
      </c>
      <c r="I261">
        <f t="shared" ca="1" si="71"/>
        <v>1</v>
      </c>
      <c r="J261">
        <f t="shared" ca="1" si="59"/>
        <v>0</v>
      </c>
      <c r="K261">
        <f ca="1">IF(OR($C261="S",$C261=0),0,MATCH(OFFSET($D261,0,$C261)+IF($C261&lt;&gt;1,1,COUNTIF(QCI!$A$13:$A$24,ORÇAMENTO!E261)),OFFSET($D261,1,$C261,ROW($C$290)-ROW($C261)),0))</f>
        <v>0</v>
      </c>
      <c r="L261" s="116" t="str">
        <f t="shared" ca="1" si="72"/>
        <v/>
      </c>
      <c r="M261" s="117" t="s">
        <v>199</v>
      </c>
      <c r="N261" s="118" t="str">
        <f t="shared" ca="1" si="73"/>
        <v>Serviço</v>
      </c>
      <c r="O261" s="119" t="str">
        <f t="shared" ca="1" si="74"/>
        <v>-</v>
      </c>
      <c r="P261" s="120" t="s">
        <v>247</v>
      </c>
      <c r="Q261" s="121"/>
      <c r="R261" s="122" t="str">
        <f ca="1">IF($C261="S",REFERENCIA.Descricao,"(digite a descrição aqui)")</f>
        <v>(abra o arquivo 'Referência 03-2024.xlsm)</v>
      </c>
      <c r="S261" s="123" t="str">
        <f ca="1">REFERENCIA.Unidade</f>
        <v>-</v>
      </c>
      <c r="T261" s="124">
        <f ca="1">OFFSET(CÁLCULO!H$15,ROW($T261)-ROW(T$15),0)</f>
        <v>0</v>
      </c>
      <c r="U261" s="125"/>
      <c r="V261" s="126" t="s">
        <v>156</v>
      </c>
      <c r="W261" s="124">
        <f ca="1">IF($C261="S",ROUND(IF(TIPOORCAMENTO="Proposto",ORÇAMENTO.CustoUnitario*(1+$AH261),ORÇAMENTO.PrecoUnitarioLicitado),15-13*$AF$10),0)</f>
        <v>0</v>
      </c>
      <c r="X261" s="127">
        <f ca="1">IF($C261="S",IF(Import.TipoArredondamento&lt;&gt;"TransfereGOV",VTOTAL1,SUM(OFFSET(CÁLCULO!$AA$15,ROW($X261)-ROW($X$15),1):OFFSET(CÁLCULO!$AL$15,ROW($X261)-ROW($X$15),-1))),IF($C261=0,0,ROUND(SomaAgrup,15-13*$AF$11)))</f>
        <v>0</v>
      </c>
      <c r="Y261" s="128" t="s">
        <v>245</v>
      </c>
      <c r="Z261" t="str">
        <f t="shared" ca="1" si="75"/>
        <v/>
      </c>
      <c r="AA261" s="129">
        <f ca="1">IF($C261="S",IF($Z261="CP",$X261,IF($Z261="RA",(($X261)*QCI!$AA$3),0)),SomaAgrup)</f>
        <v>0</v>
      </c>
      <c r="AB261" s="130">
        <f t="shared" ca="1" si="76"/>
        <v>0</v>
      </c>
      <c r="AC261" s="131" t="str">
        <f ca="1">IF($N261="","",IF(ORÇAMENTO.Descricao="","DESCRIÇÃO",IF(AND($C261="S",ORÇAMENTO.Unidade=""),"UNIDADE",IF($X261&lt;0,"VALOR NEGATIVO",IF(OR(AND(TIPOORCAMENTO="Proposto",$AG261&lt;&gt;"",$AG261&gt;0,ORÇAMENTO.CustoUnitario&gt;$AG261),AND(TIPOORCAMENTO="LICITADO",ORÇAMENTO.PrecoUnitarioLicitado&gt;$AN261)),"ACIMA REF.","")))))</f>
        <v/>
      </c>
      <c r="AD261" t="str">
        <f ca="1">IF(C261&lt;=CRONO.NivelExibicao,MAX($AD$15:OFFSET(AD261,-1,0))+IF($C261&lt;&gt;1,1,MAX(1,COUNTIF(QCI!$A$13:$A$24,OFFSET($E261,-1,0)))),"")</f>
        <v/>
      </c>
      <c r="AE261" s="7" t="b">
        <f ca="1">IF(AND($C261="S",ORÇAMENTO.CodBarra&lt;&gt;""),IF(ORÇAMENTO.Fonte="",ORÇAMENTO.CodBarra,CONCATENATE(ORÇAMENTO.Fonte," ",ORÇAMENTO.CodBarra)))</f>
        <v>0</v>
      </c>
      <c r="AF261" s="13" t="str">
        <f ca="1">IF(ISERROR(INDIRECT(ORÇAMENTO.BancoRef)),"(abra o arquivo 'Referência "&amp;Excel_BuiltIn_Database&amp;".xlsm)",IF(OR($C261&lt;&gt;"S",ORÇAMENTO.CodBarra=""),"(Sem Código)",IF(ISERROR(MATCH($AE261,INDIRECT(ORÇAMENTO.BancoRef),0)),"(Código não identificado nas referências)",MATCH($AE261,INDIRECT(ORÇAMENTO.BancoRef),0))))</f>
        <v>(abra o arquivo 'Referência 03-2024.xlsm)</v>
      </c>
      <c r="AG261" s="498">
        <f ca="1">ROUND(IF(DESONERACAO="sim",REFERENCIA.Desonerado,REFERENCIA.NaoDesonerado),2)</f>
        <v>0</v>
      </c>
      <c r="AH261" s="499">
        <f t="shared" ca="1" si="77"/>
        <v>0.28170000000000001</v>
      </c>
      <c r="AJ261" s="501"/>
      <c r="AL261" s="527"/>
      <c r="AM261" s="381">
        <f t="shared" ca="1" si="78"/>
        <v>0</v>
      </c>
      <c r="AN261" s="566">
        <f t="shared" ca="1" si="79"/>
        <v>0</v>
      </c>
    </row>
    <row r="262" spans="1:40" hidden="1" x14ac:dyDescent="0.2">
      <c r="A262" t="str">
        <f t="shared" si="64"/>
        <v>S</v>
      </c>
      <c r="B262">
        <f t="shared" ca="1" si="65"/>
        <v>2</v>
      </c>
      <c r="C262" t="str">
        <f t="shared" ca="1" si="66"/>
        <v>S</v>
      </c>
      <c r="D262">
        <f t="shared" ca="1" si="67"/>
        <v>0</v>
      </c>
      <c r="E262">
        <f ca="1">IF($C262=1,OFFSET(E262,-1,0)+MAX(1,COUNTIF(QCI!$A$13:$A$24,OFFSET(ORÇAMENTO!E262,-1,0))),OFFSET(E262,-1,0))</f>
        <v>1</v>
      </c>
      <c r="F262">
        <f t="shared" ca="1" si="68"/>
        <v>13</v>
      </c>
      <c r="G262">
        <f t="shared" ca="1" si="69"/>
        <v>0</v>
      </c>
      <c r="H262">
        <f t="shared" ca="1" si="70"/>
        <v>0</v>
      </c>
      <c r="I262">
        <f t="shared" ca="1" si="71"/>
        <v>1</v>
      </c>
      <c r="J262">
        <f t="shared" ca="1" si="59"/>
        <v>0</v>
      </c>
      <c r="K262">
        <f ca="1">IF(OR($C262="S",$C262=0),0,MATCH(OFFSET($D262,0,$C262)+IF($C262&lt;&gt;1,1,COUNTIF(QCI!$A$13:$A$24,ORÇAMENTO!E262)),OFFSET($D262,1,$C262,ROW($C$290)-ROW($C262)),0))</f>
        <v>0</v>
      </c>
      <c r="L262" s="116" t="str">
        <f t="shared" ca="1" si="72"/>
        <v/>
      </c>
      <c r="M262" s="117" t="s">
        <v>199</v>
      </c>
      <c r="N262" s="118" t="str">
        <f t="shared" ca="1" si="73"/>
        <v>Serviço</v>
      </c>
      <c r="O262" s="119" t="str">
        <f t="shared" ca="1" si="74"/>
        <v>-</v>
      </c>
      <c r="P262" s="120" t="s">
        <v>247</v>
      </c>
      <c r="Q262" s="121"/>
      <c r="R262" s="122" t="str">
        <f ca="1">IF($C262="S",REFERENCIA.Descricao,"(digite a descrição aqui)")</f>
        <v>(abra o arquivo 'Referência 03-2024.xlsm)</v>
      </c>
      <c r="S262" s="123" t="str">
        <f ca="1">REFERENCIA.Unidade</f>
        <v>-</v>
      </c>
      <c r="T262" s="124">
        <f ca="1">OFFSET(CÁLCULO!H$15,ROW($T262)-ROW(T$15),0)</f>
        <v>0</v>
      </c>
      <c r="U262" s="125"/>
      <c r="V262" s="126" t="s">
        <v>156</v>
      </c>
      <c r="W262" s="124">
        <f ca="1">IF($C262="S",ROUND(IF(TIPOORCAMENTO="Proposto",ORÇAMENTO.CustoUnitario*(1+$AH262),ORÇAMENTO.PrecoUnitarioLicitado),15-13*$AF$10),0)</f>
        <v>0</v>
      </c>
      <c r="X262" s="127">
        <f ca="1">IF($C262="S",IF(Import.TipoArredondamento&lt;&gt;"TransfereGOV",VTOTAL1,SUM(OFFSET(CÁLCULO!$AA$15,ROW($X262)-ROW($X$15),1):OFFSET(CÁLCULO!$AL$15,ROW($X262)-ROW($X$15),-1))),IF($C262=0,0,ROUND(SomaAgrup,15-13*$AF$11)))</f>
        <v>0</v>
      </c>
      <c r="Y262" s="128" t="s">
        <v>245</v>
      </c>
      <c r="Z262" t="str">
        <f t="shared" ca="1" si="75"/>
        <v/>
      </c>
      <c r="AA262" s="129">
        <f ca="1">IF($C262="S",IF($Z262="CP",$X262,IF($Z262="RA",(($X262)*QCI!$AA$3),0)),SomaAgrup)</f>
        <v>0</v>
      </c>
      <c r="AB262" s="130">
        <f t="shared" ca="1" si="76"/>
        <v>0</v>
      </c>
      <c r="AC262" s="131" t="str">
        <f ca="1">IF($N262="","",IF(ORÇAMENTO.Descricao="","DESCRIÇÃO",IF(AND($C262="S",ORÇAMENTO.Unidade=""),"UNIDADE",IF($X262&lt;0,"VALOR NEGATIVO",IF(OR(AND(TIPOORCAMENTO="Proposto",$AG262&lt;&gt;"",$AG262&gt;0,ORÇAMENTO.CustoUnitario&gt;$AG262),AND(TIPOORCAMENTO="LICITADO",ORÇAMENTO.PrecoUnitarioLicitado&gt;$AN262)),"ACIMA REF.","")))))</f>
        <v/>
      </c>
      <c r="AD262" t="str">
        <f ca="1">IF(C262&lt;=CRONO.NivelExibicao,MAX($AD$15:OFFSET(AD262,-1,0))+IF($C262&lt;&gt;1,1,MAX(1,COUNTIF(QCI!$A$13:$A$24,OFFSET($E262,-1,0)))),"")</f>
        <v/>
      </c>
      <c r="AE262" s="7" t="b">
        <f ca="1">IF(AND($C262="S",ORÇAMENTO.CodBarra&lt;&gt;""),IF(ORÇAMENTO.Fonte="",ORÇAMENTO.CodBarra,CONCATENATE(ORÇAMENTO.Fonte," ",ORÇAMENTO.CodBarra)))</f>
        <v>0</v>
      </c>
      <c r="AF262" s="13" t="str">
        <f ca="1">IF(ISERROR(INDIRECT(ORÇAMENTO.BancoRef)),"(abra o arquivo 'Referência "&amp;Excel_BuiltIn_Database&amp;".xlsm)",IF(OR($C262&lt;&gt;"S",ORÇAMENTO.CodBarra=""),"(Sem Código)",IF(ISERROR(MATCH($AE262,INDIRECT(ORÇAMENTO.BancoRef),0)),"(Código não identificado nas referências)",MATCH($AE262,INDIRECT(ORÇAMENTO.BancoRef),0))))</f>
        <v>(abra o arquivo 'Referência 03-2024.xlsm)</v>
      </c>
      <c r="AG262" s="498">
        <f ca="1">ROUND(IF(DESONERACAO="sim",REFERENCIA.Desonerado,REFERENCIA.NaoDesonerado),2)</f>
        <v>0</v>
      </c>
      <c r="AH262" s="499">
        <f t="shared" ca="1" si="77"/>
        <v>0.28170000000000001</v>
      </c>
      <c r="AJ262" s="501"/>
      <c r="AL262" s="527"/>
      <c r="AM262" s="381">
        <f t="shared" ca="1" si="78"/>
        <v>0</v>
      </c>
      <c r="AN262" s="566">
        <f t="shared" ca="1" si="79"/>
        <v>0</v>
      </c>
    </row>
    <row r="263" spans="1:40" hidden="1" x14ac:dyDescent="0.2">
      <c r="A263" t="str">
        <f t="shared" si="64"/>
        <v>S</v>
      </c>
      <c r="B263">
        <f t="shared" ca="1" si="65"/>
        <v>2</v>
      </c>
      <c r="C263" t="str">
        <f t="shared" ca="1" si="66"/>
        <v>S</v>
      </c>
      <c r="D263">
        <f t="shared" ca="1" si="67"/>
        <v>0</v>
      </c>
      <c r="E263">
        <f ca="1">IF($C263=1,OFFSET(E263,-1,0)+MAX(1,COUNTIF(QCI!$A$13:$A$24,OFFSET(ORÇAMENTO!E263,-1,0))),OFFSET(E263,-1,0))</f>
        <v>1</v>
      </c>
      <c r="F263">
        <f t="shared" ca="1" si="68"/>
        <v>13</v>
      </c>
      <c r="G263">
        <f t="shared" ca="1" si="69"/>
        <v>0</v>
      </c>
      <c r="H263">
        <f t="shared" ca="1" si="70"/>
        <v>0</v>
      </c>
      <c r="I263">
        <f t="shared" ca="1" si="71"/>
        <v>1</v>
      </c>
      <c r="J263">
        <f t="shared" ca="1" si="59"/>
        <v>0</v>
      </c>
      <c r="K263">
        <f ca="1">IF(OR($C263="S",$C263=0),0,MATCH(OFFSET($D263,0,$C263)+IF($C263&lt;&gt;1,1,COUNTIF(QCI!$A$13:$A$24,ORÇAMENTO!E263)),OFFSET($D263,1,$C263,ROW($C$290)-ROW($C263)),0))</f>
        <v>0</v>
      </c>
      <c r="L263" s="116" t="str">
        <f t="shared" ca="1" si="72"/>
        <v/>
      </c>
      <c r="M263" s="117" t="s">
        <v>199</v>
      </c>
      <c r="N263" s="118" t="str">
        <f t="shared" ca="1" si="73"/>
        <v>Serviço</v>
      </c>
      <c r="O263" s="119" t="str">
        <f t="shared" ca="1" si="74"/>
        <v>-</v>
      </c>
      <c r="P263" s="120" t="s">
        <v>247</v>
      </c>
      <c r="Q263" s="121"/>
      <c r="R263" s="122" t="str">
        <f ca="1">IF($C263="S",REFERENCIA.Descricao,"(digite a descrição aqui)")</f>
        <v>(abra o arquivo 'Referência 03-2024.xlsm)</v>
      </c>
      <c r="S263" s="123" t="str">
        <f ca="1">REFERENCIA.Unidade</f>
        <v>-</v>
      </c>
      <c r="T263" s="124">
        <f ca="1">OFFSET(CÁLCULO!H$15,ROW($T263)-ROW(T$15),0)</f>
        <v>0</v>
      </c>
      <c r="U263" s="125"/>
      <c r="V263" s="126" t="s">
        <v>156</v>
      </c>
      <c r="W263" s="124">
        <f ca="1">IF($C263="S",ROUND(IF(TIPOORCAMENTO="Proposto",ORÇAMENTO.CustoUnitario*(1+$AH263),ORÇAMENTO.PrecoUnitarioLicitado),15-13*$AF$10),0)</f>
        <v>0</v>
      </c>
      <c r="X263" s="127">
        <f ca="1">IF($C263="S",IF(Import.TipoArredondamento&lt;&gt;"TransfereGOV",VTOTAL1,SUM(OFFSET(CÁLCULO!$AA$15,ROW($X263)-ROW($X$15),1):OFFSET(CÁLCULO!$AL$15,ROW($X263)-ROW($X$15),-1))),IF($C263=0,0,ROUND(SomaAgrup,15-13*$AF$11)))</f>
        <v>0</v>
      </c>
      <c r="Y263" s="128" t="s">
        <v>245</v>
      </c>
      <c r="Z263" t="str">
        <f t="shared" ca="1" si="75"/>
        <v/>
      </c>
      <c r="AA263" s="129">
        <f ca="1">IF($C263="S",IF($Z263="CP",$X263,IF($Z263="RA",(($X263)*QCI!$AA$3),0)),SomaAgrup)</f>
        <v>0</v>
      </c>
      <c r="AB263" s="130">
        <f t="shared" ca="1" si="76"/>
        <v>0</v>
      </c>
      <c r="AC263" s="131" t="str">
        <f ca="1">IF($N263="","",IF(ORÇAMENTO.Descricao="","DESCRIÇÃO",IF(AND($C263="S",ORÇAMENTO.Unidade=""),"UNIDADE",IF($X263&lt;0,"VALOR NEGATIVO",IF(OR(AND(TIPOORCAMENTO="Proposto",$AG263&lt;&gt;"",$AG263&gt;0,ORÇAMENTO.CustoUnitario&gt;$AG263),AND(TIPOORCAMENTO="LICITADO",ORÇAMENTO.PrecoUnitarioLicitado&gt;$AN263)),"ACIMA REF.","")))))</f>
        <v/>
      </c>
      <c r="AD263" t="str">
        <f ca="1">IF(C263&lt;=CRONO.NivelExibicao,MAX($AD$15:OFFSET(AD263,-1,0))+IF($C263&lt;&gt;1,1,MAX(1,COUNTIF(QCI!$A$13:$A$24,OFFSET($E263,-1,0)))),"")</f>
        <v/>
      </c>
      <c r="AE263" s="7" t="b">
        <f ca="1">IF(AND($C263="S",ORÇAMENTO.CodBarra&lt;&gt;""),IF(ORÇAMENTO.Fonte="",ORÇAMENTO.CodBarra,CONCATENATE(ORÇAMENTO.Fonte," ",ORÇAMENTO.CodBarra)))</f>
        <v>0</v>
      </c>
      <c r="AF263" s="13" t="str">
        <f ca="1">IF(ISERROR(INDIRECT(ORÇAMENTO.BancoRef)),"(abra o arquivo 'Referência "&amp;Excel_BuiltIn_Database&amp;".xlsm)",IF(OR($C263&lt;&gt;"S",ORÇAMENTO.CodBarra=""),"(Sem Código)",IF(ISERROR(MATCH($AE263,INDIRECT(ORÇAMENTO.BancoRef),0)),"(Código não identificado nas referências)",MATCH($AE263,INDIRECT(ORÇAMENTO.BancoRef),0))))</f>
        <v>(abra o arquivo 'Referência 03-2024.xlsm)</v>
      </c>
      <c r="AG263" s="498">
        <f ca="1">ROUND(IF(DESONERACAO="sim",REFERENCIA.Desonerado,REFERENCIA.NaoDesonerado),2)</f>
        <v>0</v>
      </c>
      <c r="AH263" s="499">
        <f t="shared" ca="1" si="77"/>
        <v>0.28170000000000001</v>
      </c>
      <c r="AJ263" s="501"/>
      <c r="AL263" s="527"/>
      <c r="AM263" s="381">
        <f t="shared" ca="1" si="78"/>
        <v>0</v>
      </c>
      <c r="AN263" s="566">
        <f t="shared" ca="1" si="79"/>
        <v>0</v>
      </c>
    </row>
    <row r="264" spans="1:40" hidden="1" x14ac:dyDescent="0.2">
      <c r="A264" t="str">
        <f t="shared" si="64"/>
        <v>S</v>
      </c>
      <c r="B264">
        <f t="shared" ca="1" si="65"/>
        <v>2</v>
      </c>
      <c r="C264" t="str">
        <f t="shared" ca="1" si="66"/>
        <v>S</v>
      </c>
      <c r="D264">
        <f t="shared" ca="1" si="67"/>
        <v>0</v>
      </c>
      <c r="E264">
        <f ca="1">IF($C264=1,OFFSET(E264,-1,0)+MAX(1,COUNTIF(QCI!$A$13:$A$24,OFFSET(ORÇAMENTO!E264,-1,0))),OFFSET(E264,-1,0))</f>
        <v>1</v>
      </c>
      <c r="F264">
        <f t="shared" ca="1" si="68"/>
        <v>13</v>
      </c>
      <c r="G264">
        <f t="shared" ca="1" si="69"/>
        <v>0</v>
      </c>
      <c r="H264">
        <f t="shared" ca="1" si="70"/>
        <v>0</v>
      </c>
      <c r="I264">
        <f t="shared" ca="1" si="71"/>
        <v>1</v>
      </c>
      <c r="J264">
        <f t="shared" ca="1" si="59"/>
        <v>0</v>
      </c>
      <c r="K264">
        <f ca="1">IF(OR($C264="S",$C264=0),0,MATCH(OFFSET($D264,0,$C264)+IF($C264&lt;&gt;1,1,COUNTIF(QCI!$A$13:$A$24,ORÇAMENTO!E264)),OFFSET($D264,1,$C264,ROW($C$290)-ROW($C264)),0))</f>
        <v>0</v>
      </c>
      <c r="L264" s="116" t="str">
        <f t="shared" ca="1" si="72"/>
        <v/>
      </c>
      <c r="M264" s="117" t="s">
        <v>199</v>
      </c>
      <c r="N264" s="118" t="str">
        <f t="shared" ca="1" si="73"/>
        <v>Serviço</v>
      </c>
      <c r="O264" s="119" t="str">
        <f t="shared" ca="1" si="74"/>
        <v>-</v>
      </c>
      <c r="P264" s="120" t="s">
        <v>247</v>
      </c>
      <c r="Q264" s="121"/>
      <c r="R264" s="122" t="str">
        <f ca="1">IF($C264="S",REFERENCIA.Descricao,"(digite a descrição aqui)")</f>
        <v>(abra o arquivo 'Referência 03-2024.xlsm)</v>
      </c>
      <c r="S264" s="123" t="str">
        <f ca="1">REFERENCIA.Unidade</f>
        <v>-</v>
      </c>
      <c r="T264" s="124">
        <f ca="1">OFFSET(CÁLCULO!H$15,ROW($T264)-ROW(T$15),0)</f>
        <v>0</v>
      </c>
      <c r="U264" s="125"/>
      <c r="V264" s="126" t="s">
        <v>156</v>
      </c>
      <c r="W264" s="124">
        <f ca="1">IF($C264="S",ROUND(IF(TIPOORCAMENTO="Proposto",ORÇAMENTO.CustoUnitario*(1+$AH264),ORÇAMENTO.PrecoUnitarioLicitado),15-13*$AF$10),0)</f>
        <v>0</v>
      </c>
      <c r="X264" s="127">
        <f ca="1">IF($C264="S",IF(Import.TipoArredondamento&lt;&gt;"TransfereGOV",VTOTAL1,SUM(OFFSET(CÁLCULO!$AA$15,ROW($X264)-ROW($X$15),1):OFFSET(CÁLCULO!$AL$15,ROW($X264)-ROW($X$15),-1))),IF($C264=0,0,ROUND(SomaAgrup,15-13*$AF$11)))</f>
        <v>0</v>
      </c>
      <c r="Y264" s="128" t="s">
        <v>245</v>
      </c>
      <c r="Z264" t="str">
        <f t="shared" ca="1" si="75"/>
        <v/>
      </c>
      <c r="AA264" s="129">
        <f ca="1">IF($C264="S",IF($Z264="CP",$X264,IF($Z264="RA",(($X264)*QCI!$AA$3),0)),SomaAgrup)</f>
        <v>0</v>
      </c>
      <c r="AB264" s="130">
        <f t="shared" ca="1" si="76"/>
        <v>0</v>
      </c>
      <c r="AC264" s="131" t="str">
        <f ca="1">IF($N264="","",IF(ORÇAMENTO.Descricao="","DESCRIÇÃO",IF(AND($C264="S",ORÇAMENTO.Unidade=""),"UNIDADE",IF($X264&lt;0,"VALOR NEGATIVO",IF(OR(AND(TIPOORCAMENTO="Proposto",$AG264&lt;&gt;"",$AG264&gt;0,ORÇAMENTO.CustoUnitario&gt;$AG264),AND(TIPOORCAMENTO="LICITADO",ORÇAMENTO.PrecoUnitarioLicitado&gt;$AN264)),"ACIMA REF.","")))))</f>
        <v/>
      </c>
      <c r="AD264" t="str">
        <f ca="1">IF(C264&lt;=CRONO.NivelExibicao,MAX($AD$15:OFFSET(AD264,-1,0))+IF($C264&lt;&gt;1,1,MAX(1,COUNTIF(QCI!$A$13:$A$24,OFFSET($E264,-1,0)))),"")</f>
        <v/>
      </c>
      <c r="AE264" s="7" t="b">
        <f ca="1">IF(AND($C264="S",ORÇAMENTO.CodBarra&lt;&gt;""),IF(ORÇAMENTO.Fonte="",ORÇAMENTO.CodBarra,CONCATENATE(ORÇAMENTO.Fonte," ",ORÇAMENTO.CodBarra)))</f>
        <v>0</v>
      </c>
      <c r="AF264" s="13" t="str">
        <f ca="1">IF(ISERROR(INDIRECT(ORÇAMENTO.BancoRef)),"(abra o arquivo 'Referência "&amp;Excel_BuiltIn_Database&amp;".xlsm)",IF(OR($C264&lt;&gt;"S",ORÇAMENTO.CodBarra=""),"(Sem Código)",IF(ISERROR(MATCH($AE264,INDIRECT(ORÇAMENTO.BancoRef),0)),"(Código não identificado nas referências)",MATCH($AE264,INDIRECT(ORÇAMENTO.BancoRef),0))))</f>
        <v>(abra o arquivo 'Referência 03-2024.xlsm)</v>
      </c>
      <c r="AG264" s="498">
        <f ca="1">ROUND(IF(DESONERACAO="sim",REFERENCIA.Desonerado,REFERENCIA.NaoDesonerado),2)</f>
        <v>0</v>
      </c>
      <c r="AH264" s="499">
        <f t="shared" ca="1" si="77"/>
        <v>0.28170000000000001</v>
      </c>
      <c r="AJ264" s="501"/>
      <c r="AL264" s="527"/>
      <c r="AM264" s="381">
        <f t="shared" ca="1" si="78"/>
        <v>0</v>
      </c>
      <c r="AN264" s="566">
        <f t="shared" ca="1" si="79"/>
        <v>0</v>
      </c>
    </row>
    <row r="265" spans="1:40" hidden="1" x14ac:dyDescent="0.2">
      <c r="A265" t="str">
        <f t="shared" si="64"/>
        <v>S</v>
      </c>
      <c r="B265">
        <f t="shared" ca="1" si="65"/>
        <v>2</v>
      </c>
      <c r="C265" t="str">
        <f t="shared" ca="1" si="66"/>
        <v>S</v>
      </c>
      <c r="D265">
        <f t="shared" ca="1" si="67"/>
        <v>0</v>
      </c>
      <c r="E265">
        <f ca="1">IF($C265=1,OFFSET(E265,-1,0)+MAX(1,COUNTIF(QCI!$A$13:$A$24,OFFSET(ORÇAMENTO!E265,-1,0))),OFFSET(E265,-1,0))</f>
        <v>1</v>
      </c>
      <c r="F265">
        <f t="shared" ca="1" si="68"/>
        <v>13</v>
      </c>
      <c r="G265">
        <f t="shared" ca="1" si="69"/>
        <v>0</v>
      </c>
      <c r="H265">
        <f t="shared" ca="1" si="70"/>
        <v>0</v>
      </c>
      <c r="I265">
        <f t="shared" ca="1" si="71"/>
        <v>1</v>
      </c>
      <c r="J265">
        <f t="shared" ca="1" si="59"/>
        <v>0</v>
      </c>
      <c r="K265">
        <f ca="1">IF(OR($C265="S",$C265=0),0,MATCH(OFFSET($D265,0,$C265)+IF($C265&lt;&gt;1,1,COUNTIF(QCI!$A$13:$A$24,ORÇAMENTO!E265)),OFFSET($D265,1,$C265,ROW($C$290)-ROW($C265)),0))</f>
        <v>0</v>
      </c>
      <c r="L265" s="116" t="str">
        <f t="shared" ca="1" si="72"/>
        <v/>
      </c>
      <c r="M265" s="117" t="s">
        <v>199</v>
      </c>
      <c r="N265" s="118" t="str">
        <f t="shared" ca="1" si="73"/>
        <v>Serviço</v>
      </c>
      <c r="O265" s="119" t="str">
        <f t="shared" ca="1" si="74"/>
        <v>-</v>
      </c>
      <c r="P265" s="120" t="s">
        <v>247</v>
      </c>
      <c r="Q265" s="121"/>
      <c r="R265" s="122" t="str">
        <f ca="1">IF($C265="S",REFERENCIA.Descricao,"(digite a descrição aqui)")</f>
        <v>(abra o arquivo 'Referência 03-2024.xlsm)</v>
      </c>
      <c r="S265" s="123" t="str">
        <f ca="1">REFERENCIA.Unidade</f>
        <v>-</v>
      </c>
      <c r="T265" s="124">
        <f ca="1">OFFSET(CÁLCULO!H$15,ROW($T265)-ROW(T$15),0)</f>
        <v>0</v>
      </c>
      <c r="U265" s="125"/>
      <c r="V265" s="126" t="s">
        <v>156</v>
      </c>
      <c r="W265" s="124">
        <f ca="1">IF($C265="S",ROUND(IF(TIPOORCAMENTO="Proposto",ORÇAMENTO.CustoUnitario*(1+$AH265),ORÇAMENTO.PrecoUnitarioLicitado),15-13*$AF$10),0)</f>
        <v>0</v>
      </c>
      <c r="X265" s="127">
        <f ca="1">IF($C265="S",IF(Import.TipoArredondamento&lt;&gt;"TransfereGOV",VTOTAL1,SUM(OFFSET(CÁLCULO!$AA$15,ROW($X265)-ROW($X$15),1):OFFSET(CÁLCULO!$AL$15,ROW($X265)-ROW($X$15),-1))),IF($C265=0,0,ROUND(SomaAgrup,15-13*$AF$11)))</f>
        <v>0</v>
      </c>
      <c r="Y265" s="128" t="s">
        <v>245</v>
      </c>
      <c r="Z265" t="str">
        <f t="shared" ca="1" si="75"/>
        <v/>
      </c>
      <c r="AA265" s="129">
        <f ca="1">IF($C265="S",IF($Z265="CP",$X265,IF($Z265="RA",(($X265)*QCI!$AA$3),0)),SomaAgrup)</f>
        <v>0</v>
      </c>
      <c r="AB265" s="130">
        <f t="shared" ca="1" si="76"/>
        <v>0</v>
      </c>
      <c r="AC265" s="131" t="str">
        <f ca="1">IF($N265="","",IF(ORÇAMENTO.Descricao="","DESCRIÇÃO",IF(AND($C265="S",ORÇAMENTO.Unidade=""),"UNIDADE",IF($X265&lt;0,"VALOR NEGATIVO",IF(OR(AND(TIPOORCAMENTO="Proposto",$AG265&lt;&gt;"",$AG265&gt;0,ORÇAMENTO.CustoUnitario&gt;$AG265),AND(TIPOORCAMENTO="LICITADO",ORÇAMENTO.PrecoUnitarioLicitado&gt;$AN265)),"ACIMA REF.","")))))</f>
        <v/>
      </c>
      <c r="AD265" t="str">
        <f ca="1">IF(C265&lt;=CRONO.NivelExibicao,MAX($AD$15:OFFSET(AD265,-1,0))+IF($C265&lt;&gt;1,1,MAX(1,COUNTIF(QCI!$A$13:$A$24,OFFSET($E265,-1,0)))),"")</f>
        <v/>
      </c>
      <c r="AE265" s="7" t="b">
        <f ca="1">IF(AND($C265="S",ORÇAMENTO.CodBarra&lt;&gt;""),IF(ORÇAMENTO.Fonte="",ORÇAMENTO.CodBarra,CONCATENATE(ORÇAMENTO.Fonte," ",ORÇAMENTO.CodBarra)))</f>
        <v>0</v>
      </c>
      <c r="AF265" s="13" t="str">
        <f ca="1">IF(ISERROR(INDIRECT(ORÇAMENTO.BancoRef)),"(abra o arquivo 'Referência "&amp;Excel_BuiltIn_Database&amp;".xlsm)",IF(OR($C265&lt;&gt;"S",ORÇAMENTO.CodBarra=""),"(Sem Código)",IF(ISERROR(MATCH($AE265,INDIRECT(ORÇAMENTO.BancoRef),0)),"(Código não identificado nas referências)",MATCH($AE265,INDIRECT(ORÇAMENTO.BancoRef),0))))</f>
        <v>(abra o arquivo 'Referência 03-2024.xlsm)</v>
      </c>
      <c r="AG265" s="498">
        <f ca="1">ROUND(IF(DESONERACAO="sim",REFERENCIA.Desonerado,REFERENCIA.NaoDesonerado),2)</f>
        <v>0</v>
      </c>
      <c r="AH265" s="499">
        <f t="shared" ca="1" si="77"/>
        <v>0.28170000000000001</v>
      </c>
      <c r="AJ265" s="501"/>
      <c r="AL265" s="527"/>
      <c r="AM265" s="381">
        <f t="shared" ca="1" si="78"/>
        <v>0</v>
      </c>
      <c r="AN265" s="566">
        <f t="shared" ca="1" si="79"/>
        <v>0</v>
      </c>
    </row>
    <row r="266" spans="1:40" hidden="1" x14ac:dyDescent="0.2">
      <c r="A266" t="str">
        <f t="shared" si="64"/>
        <v>S</v>
      </c>
      <c r="B266">
        <f t="shared" ca="1" si="65"/>
        <v>2</v>
      </c>
      <c r="C266" t="str">
        <f t="shared" ca="1" si="66"/>
        <v>S</v>
      </c>
      <c r="D266">
        <f t="shared" ca="1" si="67"/>
        <v>0</v>
      </c>
      <c r="E266">
        <f ca="1">IF($C266=1,OFFSET(E266,-1,0)+MAX(1,COUNTIF(QCI!$A$13:$A$24,OFFSET(ORÇAMENTO!E266,-1,0))),OFFSET(E266,-1,0))</f>
        <v>1</v>
      </c>
      <c r="F266">
        <f t="shared" ca="1" si="68"/>
        <v>13</v>
      </c>
      <c r="G266">
        <f t="shared" ca="1" si="69"/>
        <v>0</v>
      </c>
      <c r="H266">
        <f t="shared" ca="1" si="70"/>
        <v>0</v>
      </c>
      <c r="I266">
        <f t="shared" ca="1" si="71"/>
        <v>1</v>
      </c>
      <c r="J266">
        <f t="shared" ca="1" si="59"/>
        <v>0</v>
      </c>
      <c r="K266">
        <f ca="1">IF(OR($C266="S",$C266=0),0,MATCH(OFFSET($D266,0,$C266)+IF($C266&lt;&gt;1,1,COUNTIF(QCI!$A$13:$A$24,ORÇAMENTO!E266)),OFFSET($D266,1,$C266,ROW($C$290)-ROW($C266)),0))</f>
        <v>0</v>
      </c>
      <c r="L266" s="116" t="str">
        <f t="shared" ca="1" si="72"/>
        <v/>
      </c>
      <c r="M266" s="117" t="s">
        <v>199</v>
      </c>
      <c r="N266" s="118" t="str">
        <f t="shared" ca="1" si="73"/>
        <v>Serviço</v>
      </c>
      <c r="O266" s="119" t="str">
        <f t="shared" ca="1" si="74"/>
        <v>-</v>
      </c>
      <c r="P266" s="120" t="s">
        <v>247</v>
      </c>
      <c r="Q266" s="121"/>
      <c r="R266" s="122" t="str">
        <f ca="1">IF($C266="S",REFERENCIA.Descricao,"(digite a descrição aqui)")</f>
        <v>(abra o arquivo 'Referência 03-2024.xlsm)</v>
      </c>
      <c r="S266" s="123" t="str">
        <f ca="1">REFERENCIA.Unidade</f>
        <v>-</v>
      </c>
      <c r="T266" s="124">
        <f ca="1">OFFSET(CÁLCULO!H$15,ROW($T266)-ROW(T$15),0)</f>
        <v>0</v>
      </c>
      <c r="U266" s="125"/>
      <c r="V266" s="126" t="s">
        <v>156</v>
      </c>
      <c r="W266" s="124">
        <f ca="1">IF($C266="S",ROUND(IF(TIPOORCAMENTO="Proposto",ORÇAMENTO.CustoUnitario*(1+$AH266),ORÇAMENTO.PrecoUnitarioLicitado),15-13*$AF$10),0)</f>
        <v>0</v>
      </c>
      <c r="X266" s="127">
        <f ca="1">IF($C266="S",IF(Import.TipoArredondamento&lt;&gt;"TransfereGOV",VTOTAL1,SUM(OFFSET(CÁLCULO!$AA$15,ROW($X266)-ROW($X$15),1):OFFSET(CÁLCULO!$AL$15,ROW($X266)-ROW($X$15),-1))),IF($C266=0,0,ROUND(SomaAgrup,15-13*$AF$11)))</f>
        <v>0</v>
      </c>
      <c r="Y266" s="128" t="s">
        <v>245</v>
      </c>
      <c r="Z266" t="str">
        <f t="shared" ca="1" si="75"/>
        <v/>
      </c>
      <c r="AA266" s="129">
        <f ca="1">IF($C266="S",IF($Z266="CP",$X266,IF($Z266="RA",(($X266)*QCI!$AA$3),0)),SomaAgrup)</f>
        <v>0</v>
      </c>
      <c r="AB266" s="130">
        <f t="shared" ca="1" si="76"/>
        <v>0</v>
      </c>
      <c r="AC266" s="131" t="str">
        <f ca="1">IF($N266="","",IF(ORÇAMENTO.Descricao="","DESCRIÇÃO",IF(AND($C266="S",ORÇAMENTO.Unidade=""),"UNIDADE",IF($X266&lt;0,"VALOR NEGATIVO",IF(OR(AND(TIPOORCAMENTO="Proposto",$AG266&lt;&gt;"",$AG266&gt;0,ORÇAMENTO.CustoUnitario&gt;$AG266),AND(TIPOORCAMENTO="LICITADO",ORÇAMENTO.PrecoUnitarioLicitado&gt;$AN266)),"ACIMA REF.","")))))</f>
        <v/>
      </c>
      <c r="AD266" t="str">
        <f ca="1">IF(C266&lt;=CRONO.NivelExibicao,MAX($AD$15:OFFSET(AD266,-1,0))+IF($C266&lt;&gt;1,1,MAX(1,COUNTIF(QCI!$A$13:$A$24,OFFSET($E266,-1,0)))),"")</f>
        <v/>
      </c>
      <c r="AE266" s="7" t="b">
        <f ca="1">IF(AND($C266="S",ORÇAMENTO.CodBarra&lt;&gt;""),IF(ORÇAMENTO.Fonte="",ORÇAMENTO.CodBarra,CONCATENATE(ORÇAMENTO.Fonte," ",ORÇAMENTO.CodBarra)))</f>
        <v>0</v>
      </c>
      <c r="AF266" s="13" t="str">
        <f ca="1">IF(ISERROR(INDIRECT(ORÇAMENTO.BancoRef)),"(abra o arquivo 'Referência "&amp;Excel_BuiltIn_Database&amp;".xlsm)",IF(OR($C266&lt;&gt;"S",ORÇAMENTO.CodBarra=""),"(Sem Código)",IF(ISERROR(MATCH($AE266,INDIRECT(ORÇAMENTO.BancoRef),0)),"(Código não identificado nas referências)",MATCH($AE266,INDIRECT(ORÇAMENTO.BancoRef),0))))</f>
        <v>(abra o arquivo 'Referência 03-2024.xlsm)</v>
      </c>
      <c r="AG266" s="498">
        <f ca="1">ROUND(IF(DESONERACAO="sim",REFERENCIA.Desonerado,REFERENCIA.NaoDesonerado),2)</f>
        <v>0</v>
      </c>
      <c r="AH266" s="499">
        <f t="shared" ca="1" si="77"/>
        <v>0.28170000000000001</v>
      </c>
      <c r="AJ266" s="501"/>
      <c r="AL266" s="527"/>
      <c r="AM266" s="381">
        <f t="shared" ca="1" si="78"/>
        <v>0</v>
      </c>
      <c r="AN266" s="566">
        <f t="shared" ca="1" si="79"/>
        <v>0</v>
      </c>
    </row>
    <row r="267" spans="1:40" hidden="1" x14ac:dyDescent="0.2">
      <c r="A267" t="str">
        <f t="shared" si="64"/>
        <v>S</v>
      </c>
      <c r="B267">
        <f t="shared" ca="1" si="65"/>
        <v>2</v>
      </c>
      <c r="C267" t="str">
        <f t="shared" ca="1" si="66"/>
        <v>S</v>
      </c>
      <c r="D267">
        <f t="shared" ca="1" si="67"/>
        <v>0</v>
      </c>
      <c r="E267">
        <f ca="1">IF($C267=1,OFFSET(E267,-1,0)+MAX(1,COUNTIF(QCI!$A$13:$A$24,OFFSET(ORÇAMENTO!E267,-1,0))),OFFSET(E267,-1,0))</f>
        <v>1</v>
      </c>
      <c r="F267">
        <f t="shared" ca="1" si="68"/>
        <v>13</v>
      </c>
      <c r="G267">
        <f t="shared" ca="1" si="69"/>
        <v>0</v>
      </c>
      <c r="H267">
        <f t="shared" ca="1" si="70"/>
        <v>0</v>
      </c>
      <c r="I267">
        <f t="shared" ca="1" si="71"/>
        <v>1</v>
      </c>
      <c r="J267">
        <f t="shared" ca="1" si="59"/>
        <v>0</v>
      </c>
      <c r="K267">
        <f ca="1">IF(OR($C267="S",$C267=0),0,MATCH(OFFSET($D267,0,$C267)+IF($C267&lt;&gt;1,1,COUNTIF(QCI!$A$13:$A$24,ORÇAMENTO!E267)),OFFSET($D267,1,$C267,ROW($C$290)-ROW($C267)),0))</f>
        <v>0</v>
      </c>
      <c r="L267" s="116" t="str">
        <f t="shared" ca="1" si="72"/>
        <v/>
      </c>
      <c r="M267" s="117" t="s">
        <v>199</v>
      </c>
      <c r="N267" s="118" t="str">
        <f t="shared" ca="1" si="73"/>
        <v>Serviço</v>
      </c>
      <c r="O267" s="119" t="str">
        <f t="shared" ca="1" si="74"/>
        <v>-</v>
      </c>
      <c r="P267" s="120" t="s">
        <v>247</v>
      </c>
      <c r="Q267" s="121"/>
      <c r="R267" s="122" t="str">
        <f ca="1">IF($C267="S",REFERENCIA.Descricao,"(digite a descrição aqui)")</f>
        <v>(abra o arquivo 'Referência 03-2024.xlsm)</v>
      </c>
      <c r="S267" s="123" t="str">
        <f ca="1">REFERENCIA.Unidade</f>
        <v>-</v>
      </c>
      <c r="T267" s="124">
        <f ca="1">OFFSET(CÁLCULO!H$15,ROW($T267)-ROW(T$15),0)</f>
        <v>0</v>
      </c>
      <c r="U267" s="125"/>
      <c r="V267" s="126" t="s">
        <v>156</v>
      </c>
      <c r="W267" s="124">
        <f ca="1">IF($C267="S",ROUND(IF(TIPOORCAMENTO="Proposto",ORÇAMENTO.CustoUnitario*(1+$AH267),ORÇAMENTO.PrecoUnitarioLicitado),15-13*$AF$10),0)</f>
        <v>0</v>
      </c>
      <c r="X267" s="127">
        <f ca="1">IF($C267="S",IF(Import.TipoArredondamento&lt;&gt;"TransfereGOV",VTOTAL1,SUM(OFFSET(CÁLCULO!$AA$15,ROW($X267)-ROW($X$15),1):OFFSET(CÁLCULO!$AL$15,ROW($X267)-ROW($X$15),-1))),IF($C267=0,0,ROUND(SomaAgrup,15-13*$AF$11)))</f>
        <v>0</v>
      </c>
      <c r="Y267" s="128" t="s">
        <v>245</v>
      </c>
      <c r="Z267" t="str">
        <f t="shared" ca="1" si="75"/>
        <v/>
      </c>
      <c r="AA267" s="129">
        <f ca="1">IF($C267="S",IF($Z267="CP",$X267,IF($Z267="RA",(($X267)*QCI!$AA$3),0)),SomaAgrup)</f>
        <v>0</v>
      </c>
      <c r="AB267" s="130">
        <f t="shared" ca="1" si="76"/>
        <v>0</v>
      </c>
      <c r="AC267" s="131" t="str">
        <f ca="1">IF($N267="","",IF(ORÇAMENTO.Descricao="","DESCRIÇÃO",IF(AND($C267="S",ORÇAMENTO.Unidade=""),"UNIDADE",IF($X267&lt;0,"VALOR NEGATIVO",IF(OR(AND(TIPOORCAMENTO="Proposto",$AG267&lt;&gt;"",$AG267&gt;0,ORÇAMENTO.CustoUnitario&gt;$AG267),AND(TIPOORCAMENTO="LICITADO",ORÇAMENTO.PrecoUnitarioLicitado&gt;$AN267)),"ACIMA REF.","")))))</f>
        <v/>
      </c>
      <c r="AD267" t="str">
        <f ca="1">IF(C267&lt;=CRONO.NivelExibicao,MAX($AD$15:OFFSET(AD267,-1,0))+IF($C267&lt;&gt;1,1,MAX(1,COUNTIF(QCI!$A$13:$A$24,OFFSET($E267,-1,0)))),"")</f>
        <v/>
      </c>
      <c r="AE267" s="7" t="b">
        <f ca="1">IF(AND($C267="S",ORÇAMENTO.CodBarra&lt;&gt;""),IF(ORÇAMENTO.Fonte="",ORÇAMENTO.CodBarra,CONCATENATE(ORÇAMENTO.Fonte," ",ORÇAMENTO.CodBarra)))</f>
        <v>0</v>
      </c>
      <c r="AF267" s="13" t="str">
        <f ca="1">IF(ISERROR(INDIRECT(ORÇAMENTO.BancoRef)),"(abra o arquivo 'Referência "&amp;Excel_BuiltIn_Database&amp;".xlsm)",IF(OR($C267&lt;&gt;"S",ORÇAMENTO.CodBarra=""),"(Sem Código)",IF(ISERROR(MATCH($AE267,INDIRECT(ORÇAMENTO.BancoRef),0)),"(Código não identificado nas referências)",MATCH($AE267,INDIRECT(ORÇAMENTO.BancoRef),0))))</f>
        <v>(abra o arquivo 'Referência 03-2024.xlsm)</v>
      </c>
      <c r="AG267" s="498">
        <f ca="1">ROUND(IF(DESONERACAO="sim",REFERENCIA.Desonerado,REFERENCIA.NaoDesonerado),2)</f>
        <v>0</v>
      </c>
      <c r="AH267" s="499">
        <f t="shared" ca="1" si="77"/>
        <v>0.28170000000000001</v>
      </c>
      <c r="AJ267" s="501"/>
      <c r="AL267" s="527"/>
      <c r="AM267" s="381">
        <f t="shared" ca="1" si="78"/>
        <v>0</v>
      </c>
      <c r="AN267" s="566">
        <f t="shared" ca="1" si="79"/>
        <v>0</v>
      </c>
    </row>
    <row r="268" spans="1:40" hidden="1" x14ac:dyDescent="0.2">
      <c r="A268" t="str">
        <f t="shared" si="64"/>
        <v>S</v>
      </c>
      <c r="B268">
        <f t="shared" ca="1" si="65"/>
        <v>2</v>
      </c>
      <c r="C268" t="str">
        <f t="shared" ca="1" si="66"/>
        <v>S</v>
      </c>
      <c r="D268">
        <f t="shared" ca="1" si="67"/>
        <v>0</v>
      </c>
      <c r="E268">
        <f ca="1">IF($C268=1,OFFSET(E268,-1,0)+MAX(1,COUNTIF(QCI!$A$13:$A$24,OFFSET(ORÇAMENTO!E268,-1,0))),OFFSET(E268,-1,0))</f>
        <v>1</v>
      </c>
      <c r="F268">
        <f t="shared" ca="1" si="68"/>
        <v>13</v>
      </c>
      <c r="G268">
        <f t="shared" ca="1" si="69"/>
        <v>0</v>
      </c>
      <c r="H268">
        <f t="shared" ca="1" si="70"/>
        <v>0</v>
      </c>
      <c r="I268">
        <f t="shared" ca="1" si="71"/>
        <v>1</v>
      </c>
      <c r="J268">
        <f t="shared" ca="1" si="59"/>
        <v>0</v>
      </c>
      <c r="K268">
        <f ca="1">IF(OR($C268="S",$C268=0),0,MATCH(OFFSET($D268,0,$C268)+IF($C268&lt;&gt;1,1,COUNTIF(QCI!$A$13:$A$24,ORÇAMENTO!E268)),OFFSET($D268,1,$C268,ROW($C$290)-ROW($C268)),0))</f>
        <v>0</v>
      </c>
      <c r="L268" s="116" t="str">
        <f t="shared" ca="1" si="72"/>
        <v/>
      </c>
      <c r="M268" s="117" t="s">
        <v>199</v>
      </c>
      <c r="N268" s="118" t="str">
        <f t="shared" ca="1" si="73"/>
        <v>Serviço</v>
      </c>
      <c r="O268" s="119" t="str">
        <f t="shared" ca="1" si="74"/>
        <v>-</v>
      </c>
      <c r="P268" s="120" t="s">
        <v>247</v>
      </c>
      <c r="Q268" s="121"/>
      <c r="R268" s="122" t="str">
        <f ca="1">IF($C268="S",REFERENCIA.Descricao,"(digite a descrição aqui)")</f>
        <v>(abra o arquivo 'Referência 03-2024.xlsm)</v>
      </c>
      <c r="S268" s="123" t="str">
        <f ca="1">REFERENCIA.Unidade</f>
        <v>-</v>
      </c>
      <c r="T268" s="124">
        <f ca="1">OFFSET(CÁLCULO!H$15,ROW($T268)-ROW(T$15),0)</f>
        <v>0</v>
      </c>
      <c r="U268" s="125"/>
      <c r="V268" s="126" t="s">
        <v>156</v>
      </c>
      <c r="W268" s="124">
        <f ca="1">IF($C268="S",ROUND(IF(TIPOORCAMENTO="Proposto",ORÇAMENTO.CustoUnitario*(1+$AH268),ORÇAMENTO.PrecoUnitarioLicitado),15-13*$AF$10),0)</f>
        <v>0</v>
      </c>
      <c r="X268" s="127">
        <f ca="1">IF($C268="S",IF(Import.TipoArredondamento&lt;&gt;"TransfereGOV",VTOTAL1,SUM(OFFSET(CÁLCULO!$AA$15,ROW($X268)-ROW($X$15),1):OFFSET(CÁLCULO!$AL$15,ROW($X268)-ROW($X$15),-1))),IF($C268=0,0,ROUND(SomaAgrup,15-13*$AF$11)))</f>
        <v>0</v>
      </c>
      <c r="Y268" s="128" t="s">
        <v>245</v>
      </c>
      <c r="Z268" t="str">
        <f t="shared" ca="1" si="75"/>
        <v/>
      </c>
      <c r="AA268" s="129">
        <f ca="1">IF($C268="S",IF($Z268="CP",$X268,IF($Z268="RA",(($X268)*QCI!$AA$3),0)),SomaAgrup)</f>
        <v>0</v>
      </c>
      <c r="AB268" s="130">
        <f t="shared" ca="1" si="76"/>
        <v>0</v>
      </c>
      <c r="AC268" s="131" t="str">
        <f ca="1">IF($N268="","",IF(ORÇAMENTO.Descricao="","DESCRIÇÃO",IF(AND($C268="S",ORÇAMENTO.Unidade=""),"UNIDADE",IF($X268&lt;0,"VALOR NEGATIVO",IF(OR(AND(TIPOORCAMENTO="Proposto",$AG268&lt;&gt;"",$AG268&gt;0,ORÇAMENTO.CustoUnitario&gt;$AG268),AND(TIPOORCAMENTO="LICITADO",ORÇAMENTO.PrecoUnitarioLicitado&gt;$AN268)),"ACIMA REF.","")))))</f>
        <v/>
      </c>
      <c r="AD268" t="str">
        <f ca="1">IF(C268&lt;=CRONO.NivelExibicao,MAX($AD$15:OFFSET(AD268,-1,0))+IF($C268&lt;&gt;1,1,MAX(1,COUNTIF(QCI!$A$13:$A$24,OFFSET($E268,-1,0)))),"")</f>
        <v/>
      </c>
      <c r="AE268" s="7" t="b">
        <f ca="1">IF(AND($C268="S",ORÇAMENTO.CodBarra&lt;&gt;""),IF(ORÇAMENTO.Fonte="",ORÇAMENTO.CodBarra,CONCATENATE(ORÇAMENTO.Fonte," ",ORÇAMENTO.CodBarra)))</f>
        <v>0</v>
      </c>
      <c r="AF268" s="13" t="str">
        <f ca="1">IF(ISERROR(INDIRECT(ORÇAMENTO.BancoRef)),"(abra o arquivo 'Referência "&amp;Excel_BuiltIn_Database&amp;".xlsm)",IF(OR($C268&lt;&gt;"S",ORÇAMENTO.CodBarra=""),"(Sem Código)",IF(ISERROR(MATCH($AE268,INDIRECT(ORÇAMENTO.BancoRef),0)),"(Código não identificado nas referências)",MATCH($AE268,INDIRECT(ORÇAMENTO.BancoRef),0))))</f>
        <v>(abra o arquivo 'Referência 03-2024.xlsm)</v>
      </c>
      <c r="AG268" s="498">
        <f ca="1">ROUND(IF(DESONERACAO="sim",REFERENCIA.Desonerado,REFERENCIA.NaoDesonerado),2)</f>
        <v>0</v>
      </c>
      <c r="AH268" s="499">
        <f t="shared" ca="1" si="77"/>
        <v>0.28170000000000001</v>
      </c>
      <c r="AJ268" s="501"/>
      <c r="AL268" s="527"/>
      <c r="AM268" s="381">
        <f t="shared" ca="1" si="78"/>
        <v>0</v>
      </c>
      <c r="AN268" s="566">
        <f t="shared" ca="1" si="79"/>
        <v>0</v>
      </c>
    </row>
    <row r="269" spans="1:40" hidden="1" x14ac:dyDescent="0.2">
      <c r="A269" t="str">
        <f t="shared" si="64"/>
        <v>S</v>
      </c>
      <c r="B269">
        <f t="shared" ca="1" si="65"/>
        <v>2</v>
      </c>
      <c r="C269" t="str">
        <f t="shared" ca="1" si="66"/>
        <v>S</v>
      </c>
      <c r="D269">
        <f t="shared" ca="1" si="67"/>
        <v>0</v>
      </c>
      <c r="E269">
        <f ca="1">IF($C269=1,OFFSET(E269,-1,0)+MAX(1,COUNTIF(QCI!$A$13:$A$24,OFFSET(ORÇAMENTO!E269,-1,0))),OFFSET(E269,-1,0))</f>
        <v>1</v>
      </c>
      <c r="F269">
        <f t="shared" ca="1" si="68"/>
        <v>13</v>
      </c>
      <c r="G269">
        <f t="shared" ca="1" si="69"/>
        <v>0</v>
      </c>
      <c r="H269">
        <f t="shared" ca="1" si="70"/>
        <v>0</v>
      </c>
      <c r="I269">
        <f t="shared" ca="1" si="71"/>
        <v>1</v>
      </c>
      <c r="J269">
        <f t="shared" ca="1" si="59"/>
        <v>0</v>
      </c>
      <c r="K269">
        <f ca="1">IF(OR($C269="S",$C269=0),0,MATCH(OFFSET($D269,0,$C269)+IF($C269&lt;&gt;1,1,COUNTIF(QCI!$A$13:$A$24,ORÇAMENTO!E269)),OFFSET($D269,1,$C269,ROW($C$290)-ROW($C269)),0))</f>
        <v>0</v>
      </c>
      <c r="L269" s="116" t="str">
        <f t="shared" ca="1" si="72"/>
        <v/>
      </c>
      <c r="M269" s="117" t="s">
        <v>199</v>
      </c>
      <c r="N269" s="118" t="str">
        <f t="shared" ca="1" si="73"/>
        <v>Serviço</v>
      </c>
      <c r="O269" s="119" t="str">
        <f t="shared" ca="1" si="74"/>
        <v>-</v>
      </c>
      <c r="P269" s="120" t="s">
        <v>247</v>
      </c>
      <c r="Q269" s="121"/>
      <c r="R269" s="122" t="str">
        <f ca="1">IF($C269="S",REFERENCIA.Descricao,"(digite a descrição aqui)")</f>
        <v>(abra o arquivo 'Referência 03-2024.xlsm)</v>
      </c>
      <c r="S269" s="123" t="str">
        <f ca="1">REFERENCIA.Unidade</f>
        <v>-</v>
      </c>
      <c r="T269" s="124">
        <f ca="1">OFFSET(CÁLCULO!H$15,ROW($T269)-ROW(T$15),0)</f>
        <v>0</v>
      </c>
      <c r="U269" s="125"/>
      <c r="V269" s="126" t="s">
        <v>156</v>
      </c>
      <c r="W269" s="124">
        <f ca="1">IF($C269="S",ROUND(IF(TIPOORCAMENTO="Proposto",ORÇAMENTO.CustoUnitario*(1+$AH269),ORÇAMENTO.PrecoUnitarioLicitado),15-13*$AF$10),0)</f>
        <v>0</v>
      </c>
      <c r="X269" s="127">
        <f ca="1">IF($C269="S",IF(Import.TipoArredondamento&lt;&gt;"TransfereGOV",VTOTAL1,SUM(OFFSET(CÁLCULO!$AA$15,ROW($X269)-ROW($X$15),1):OFFSET(CÁLCULO!$AL$15,ROW($X269)-ROW($X$15),-1))),IF($C269=0,0,ROUND(SomaAgrup,15-13*$AF$11)))</f>
        <v>0</v>
      </c>
      <c r="Y269" s="128" t="s">
        <v>245</v>
      </c>
      <c r="Z269" t="str">
        <f t="shared" ca="1" si="75"/>
        <v/>
      </c>
      <c r="AA269" s="129">
        <f ca="1">IF($C269="S",IF($Z269="CP",$X269,IF($Z269="RA",(($X269)*QCI!$AA$3),0)),SomaAgrup)</f>
        <v>0</v>
      </c>
      <c r="AB269" s="130">
        <f t="shared" ca="1" si="76"/>
        <v>0</v>
      </c>
      <c r="AC269" s="131" t="str">
        <f ca="1">IF($N269="","",IF(ORÇAMENTO.Descricao="","DESCRIÇÃO",IF(AND($C269="S",ORÇAMENTO.Unidade=""),"UNIDADE",IF($X269&lt;0,"VALOR NEGATIVO",IF(OR(AND(TIPOORCAMENTO="Proposto",$AG269&lt;&gt;"",$AG269&gt;0,ORÇAMENTO.CustoUnitario&gt;$AG269),AND(TIPOORCAMENTO="LICITADO",ORÇAMENTO.PrecoUnitarioLicitado&gt;$AN269)),"ACIMA REF.","")))))</f>
        <v/>
      </c>
      <c r="AD269" t="str">
        <f ca="1">IF(C269&lt;=CRONO.NivelExibicao,MAX($AD$15:OFFSET(AD269,-1,0))+IF($C269&lt;&gt;1,1,MAX(1,COUNTIF(QCI!$A$13:$A$24,OFFSET($E269,-1,0)))),"")</f>
        <v/>
      </c>
      <c r="AE269" s="7" t="b">
        <f ca="1">IF(AND($C269="S",ORÇAMENTO.CodBarra&lt;&gt;""),IF(ORÇAMENTO.Fonte="",ORÇAMENTO.CodBarra,CONCATENATE(ORÇAMENTO.Fonte," ",ORÇAMENTO.CodBarra)))</f>
        <v>0</v>
      </c>
      <c r="AF269" s="13" t="str">
        <f ca="1">IF(ISERROR(INDIRECT(ORÇAMENTO.BancoRef)),"(abra o arquivo 'Referência "&amp;Excel_BuiltIn_Database&amp;".xlsm)",IF(OR($C269&lt;&gt;"S",ORÇAMENTO.CodBarra=""),"(Sem Código)",IF(ISERROR(MATCH($AE269,INDIRECT(ORÇAMENTO.BancoRef),0)),"(Código não identificado nas referências)",MATCH($AE269,INDIRECT(ORÇAMENTO.BancoRef),0))))</f>
        <v>(abra o arquivo 'Referência 03-2024.xlsm)</v>
      </c>
      <c r="AG269" s="498">
        <f ca="1">ROUND(IF(DESONERACAO="sim",REFERENCIA.Desonerado,REFERENCIA.NaoDesonerado),2)</f>
        <v>0</v>
      </c>
      <c r="AH269" s="499">
        <f t="shared" ca="1" si="77"/>
        <v>0.28170000000000001</v>
      </c>
      <c r="AJ269" s="501"/>
      <c r="AL269" s="527"/>
      <c r="AM269" s="381">
        <f t="shared" ca="1" si="78"/>
        <v>0</v>
      </c>
      <c r="AN269" s="566">
        <f t="shared" ca="1" si="79"/>
        <v>0</v>
      </c>
    </row>
    <row r="270" spans="1:40" hidden="1" x14ac:dyDescent="0.2">
      <c r="A270" t="str">
        <f t="shared" si="64"/>
        <v>S</v>
      </c>
      <c r="B270">
        <f t="shared" ca="1" si="65"/>
        <v>2</v>
      </c>
      <c r="C270" t="str">
        <f t="shared" ca="1" si="66"/>
        <v>S</v>
      </c>
      <c r="D270">
        <f t="shared" ca="1" si="67"/>
        <v>0</v>
      </c>
      <c r="E270">
        <f ca="1">IF($C270=1,OFFSET(E270,-1,0)+MAX(1,COUNTIF(QCI!$A$13:$A$24,OFFSET(ORÇAMENTO!E270,-1,0))),OFFSET(E270,-1,0))</f>
        <v>1</v>
      </c>
      <c r="F270">
        <f t="shared" ca="1" si="68"/>
        <v>13</v>
      </c>
      <c r="G270">
        <f t="shared" ca="1" si="69"/>
        <v>0</v>
      </c>
      <c r="H270">
        <f t="shared" ca="1" si="70"/>
        <v>0</v>
      </c>
      <c r="I270">
        <f t="shared" ca="1" si="71"/>
        <v>1</v>
      </c>
      <c r="J270">
        <f t="shared" ca="1" si="59"/>
        <v>0</v>
      </c>
      <c r="K270">
        <f ca="1">IF(OR($C270="S",$C270=0),0,MATCH(OFFSET($D270,0,$C270)+IF($C270&lt;&gt;1,1,COUNTIF(QCI!$A$13:$A$24,ORÇAMENTO!E270)),OFFSET($D270,1,$C270,ROW($C$290)-ROW($C270)),0))</f>
        <v>0</v>
      </c>
      <c r="L270" s="116" t="str">
        <f t="shared" ca="1" si="72"/>
        <v/>
      </c>
      <c r="M270" s="117" t="s">
        <v>199</v>
      </c>
      <c r="N270" s="118" t="str">
        <f t="shared" ca="1" si="73"/>
        <v>Serviço</v>
      </c>
      <c r="O270" s="119" t="str">
        <f t="shared" ca="1" si="74"/>
        <v>-</v>
      </c>
      <c r="P270" s="120" t="s">
        <v>247</v>
      </c>
      <c r="Q270" s="121"/>
      <c r="R270" s="122" t="str">
        <f ca="1">IF($C270="S",REFERENCIA.Descricao,"(digite a descrição aqui)")</f>
        <v>(abra o arquivo 'Referência 03-2024.xlsm)</v>
      </c>
      <c r="S270" s="123" t="str">
        <f ca="1">REFERENCIA.Unidade</f>
        <v>-</v>
      </c>
      <c r="T270" s="124">
        <f ca="1">OFFSET(CÁLCULO!H$15,ROW($T270)-ROW(T$15),0)</f>
        <v>0</v>
      </c>
      <c r="U270" s="125"/>
      <c r="V270" s="126" t="s">
        <v>156</v>
      </c>
      <c r="W270" s="124">
        <f ca="1">IF($C270="S",ROUND(IF(TIPOORCAMENTO="Proposto",ORÇAMENTO.CustoUnitario*(1+$AH270),ORÇAMENTO.PrecoUnitarioLicitado),15-13*$AF$10),0)</f>
        <v>0</v>
      </c>
      <c r="X270" s="127">
        <f ca="1">IF($C270="S",IF(Import.TipoArredondamento&lt;&gt;"TransfereGOV",VTOTAL1,SUM(OFFSET(CÁLCULO!$AA$15,ROW($X270)-ROW($X$15),1):OFFSET(CÁLCULO!$AL$15,ROW($X270)-ROW($X$15),-1))),IF($C270=0,0,ROUND(SomaAgrup,15-13*$AF$11)))</f>
        <v>0</v>
      </c>
      <c r="Y270" s="128" t="s">
        <v>245</v>
      </c>
      <c r="Z270" t="str">
        <f t="shared" ca="1" si="75"/>
        <v/>
      </c>
      <c r="AA270" s="129">
        <f ca="1">IF($C270="S",IF($Z270="CP",$X270,IF($Z270="RA",(($X270)*QCI!$AA$3),0)),SomaAgrup)</f>
        <v>0</v>
      </c>
      <c r="AB270" s="130">
        <f t="shared" ca="1" si="76"/>
        <v>0</v>
      </c>
      <c r="AC270" s="131" t="str">
        <f ca="1">IF($N270="","",IF(ORÇAMENTO.Descricao="","DESCRIÇÃO",IF(AND($C270="S",ORÇAMENTO.Unidade=""),"UNIDADE",IF($X270&lt;0,"VALOR NEGATIVO",IF(OR(AND(TIPOORCAMENTO="Proposto",$AG270&lt;&gt;"",$AG270&gt;0,ORÇAMENTO.CustoUnitario&gt;$AG270),AND(TIPOORCAMENTO="LICITADO",ORÇAMENTO.PrecoUnitarioLicitado&gt;$AN270)),"ACIMA REF.","")))))</f>
        <v/>
      </c>
      <c r="AD270" t="str">
        <f ca="1">IF(C270&lt;=CRONO.NivelExibicao,MAX($AD$15:OFFSET(AD270,-1,0))+IF($C270&lt;&gt;1,1,MAX(1,COUNTIF(QCI!$A$13:$A$24,OFFSET($E270,-1,0)))),"")</f>
        <v/>
      </c>
      <c r="AE270" s="7" t="b">
        <f ca="1">IF(AND($C270="S",ORÇAMENTO.CodBarra&lt;&gt;""),IF(ORÇAMENTO.Fonte="",ORÇAMENTO.CodBarra,CONCATENATE(ORÇAMENTO.Fonte," ",ORÇAMENTO.CodBarra)))</f>
        <v>0</v>
      </c>
      <c r="AF270" s="13" t="str">
        <f ca="1">IF(ISERROR(INDIRECT(ORÇAMENTO.BancoRef)),"(abra o arquivo 'Referência "&amp;Excel_BuiltIn_Database&amp;".xlsm)",IF(OR($C270&lt;&gt;"S",ORÇAMENTO.CodBarra=""),"(Sem Código)",IF(ISERROR(MATCH($AE270,INDIRECT(ORÇAMENTO.BancoRef),0)),"(Código não identificado nas referências)",MATCH($AE270,INDIRECT(ORÇAMENTO.BancoRef),0))))</f>
        <v>(abra o arquivo 'Referência 03-2024.xlsm)</v>
      </c>
      <c r="AG270" s="498">
        <f ca="1">ROUND(IF(DESONERACAO="sim",REFERENCIA.Desonerado,REFERENCIA.NaoDesonerado),2)</f>
        <v>0</v>
      </c>
      <c r="AH270" s="499">
        <f t="shared" ca="1" si="77"/>
        <v>0.28170000000000001</v>
      </c>
      <c r="AJ270" s="501"/>
      <c r="AL270" s="527"/>
      <c r="AM270" s="381">
        <f t="shared" ca="1" si="78"/>
        <v>0</v>
      </c>
      <c r="AN270" s="566">
        <f t="shared" ca="1" si="79"/>
        <v>0</v>
      </c>
    </row>
    <row r="271" spans="1:40" hidden="1" x14ac:dyDescent="0.2">
      <c r="A271" t="str">
        <f t="shared" si="64"/>
        <v>S</v>
      </c>
      <c r="B271">
        <f t="shared" ca="1" si="65"/>
        <v>2</v>
      </c>
      <c r="C271" t="str">
        <f t="shared" ca="1" si="66"/>
        <v>S</v>
      </c>
      <c r="D271">
        <f t="shared" ca="1" si="67"/>
        <v>0</v>
      </c>
      <c r="E271">
        <f ca="1">IF($C271=1,OFFSET(E271,-1,0)+MAX(1,COUNTIF(QCI!$A$13:$A$24,OFFSET(ORÇAMENTO!E271,-1,0))),OFFSET(E271,-1,0))</f>
        <v>1</v>
      </c>
      <c r="F271">
        <f t="shared" ca="1" si="68"/>
        <v>13</v>
      </c>
      <c r="G271">
        <f t="shared" ca="1" si="69"/>
        <v>0</v>
      </c>
      <c r="H271">
        <f t="shared" ca="1" si="70"/>
        <v>0</v>
      </c>
      <c r="I271">
        <f t="shared" ca="1" si="71"/>
        <v>1</v>
      </c>
      <c r="J271">
        <f t="shared" ca="1" si="59"/>
        <v>0</v>
      </c>
      <c r="K271">
        <f ca="1">IF(OR($C271="S",$C271=0),0,MATCH(OFFSET($D271,0,$C271)+IF($C271&lt;&gt;1,1,COUNTIF(QCI!$A$13:$A$24,ORÇAMENTO!E271)),OFFSET($D271,1,$C271,ROW($C$290)-ROW($C271)),0))</f>
        <v>0</v>
      </c>
      <c r="L271" s="116" t="str">
        <f t="shared" ca="1" si="72"/>
        <v/>
      </c>
      <c r="M271" s="117" t="s">
        <v>199</v>
      </c>
      <c r="N271" s="118" t="str">
        <f t="shared" ca="1" si="73"/>
        <v>Serviço</v>
      </c>
      <c r="O271" s="119" t="str">
        <f t="shared" ca="1" si="74"/>
        <v>-</v>
      </c>
      <c r="P271" s="120" t="s">
        <v>247</v>
      </c>
      <c r="Q271" s="121"/>
      <c r="R271" s="122" t="str">
        <f ca="1">IF($C271="S",REFERENCIA.Descricao,"(digite a descrição aqui)")</f>
        <v>(abra o arquivo 'Referência 03-2024.xlsm)</v>
      </c>
      <c r="S271" s="123" t="str">
        <f ca="1">REFERENCIA.Unidade</f>
        <v>-</v>
      </c>
      <c r="T271" s="124">
        <f ca="1">OFFSET(CÁLCULO!H$15,ROW($T271)-ROW(T$15),0)</f>
        <v>0</v>
      </c>
      <c r="U271" s="125"/>
      <c r="V271" s="126" t="s">
        <v>156</v>
      </c>
      <c r="W271" s="124">
        <f ca="1">IF($C271="S",ROUND(IF(TIPOORCAMENTO="Proposto",ORÇAMENTO.CustoUnitario*(1+$AH271),ORÇAMENTO.PrecoUnitarioLicitado),15-13*$AF$10),0)</f>
        <v>0</v>
      </c>
      <c r="X271" s="127">
        <f ca="1">IF($C271="S",IF(Import.TipoArredondamento&lt;&gt;"TransfereGOV",VTOTAL1,SUM(OFFSET(CÁLCULO!$AA$15,ROW($X271)-ROW($X$15),1):OFFSET(CÁLCULO!$AL$15,ROW($X271)-ROW($X$15),-1))),IF($C271=0,0,ROUND(SomaAgrup,15-13*$AF$11)))</f>
        <v>0</v>
      </c>
      <c r="Y271" s="128" t="s">
        <v>245</v>
      </c>
      <c r="Z271" t="str">
        <f t="shared" ca="1" si="75"/>
        <v/>
      </c>
      <c r="AA271" s="129">
        <f ca="1">IF($C271="S",IF($Z271="CP",$X271,IF($Z271="RA",(($X271)*QCI!$AA$3),0)),SomaAgrup)</f>
        <v>0</v>
      </c>
      <c r="AB271" s="130">
        <f t="shared" ca="1" si="76"/>
        <v>0</v>
      </c>
      <c r="AC271" s="131" t="str">
        <f ca="1">IF($N271="","",IF(ORÇAMENTO.Descricao="","DESCRIÇÃO",IF(AND($C271="S",ORÇAMENTO.Unidade=""),"UNIDADE",IF($X271&lt;0,"VALOR NEGATIVO",IF(OR(AND(TIPOORCAMENTO="Proposto",$AG271&lt;&gt;"",$AG271&gt;0,ORÇAMENTO.CustoUnitario&gt;$AG271),AND(TIPOORCAMENTO="LICITADO",ORÇAMENTO.PrecoUnitarioLicitado&gt;$AN271)),"ACIMA REF.","")))))</f>
        <v/>
      </c>
      <c r="AD271" t="str">
        <f ca="1">IF(C271&lt;=CRONO.NivelExibicao,MAX($AD$15:OFFSET(AD271,-1,0))+IF($C271&lt;&gt;1,1,MAX(1,COUNTIF(QCI!$A$13:$A$24,OFFSET($E271,-1,0)))),"")</f>
        <v/>
      </c>
      <c r="AE271" s="7" t="b">
        <f ca="1">IF(AND($C271="S",ORÇAMENTO.CodBarra&lt;&gt;""),IF(ORÇAMENTO.Fonte="",ORÇAMENTO.CodBarra,CONCATENATE(ORÇAMENTO.Fonte," ",ORÇAMENTO.CodBarra)))</f>
        <v>0</v>
      </c>
      <c r="AF271" s="13" t="str">
        <f ca="1">IF(ISERROR(INDIRECT(ORÇAMENTO.BancoRef)),"(abra o arquivo 'Referência "&amp;Excel_BuiltIn_Database&amp;".xlsm)",IF(OR($C271&lt;&gt;"S",ORÇAMENTO.CodBarra=""),"(Sem Código)",IF(ISERROR(MATCH($AE271,INDIRECT(ORÇAMENTO.BancoRef),0)),"(Código não identificado nas referências)",MATCH($AE271,INDIRECT(ORÇAMENTO.BancoRef),0))))</f>
        <v>(abra o arquivo 'Referência 03-2024.xlsm)</v>
      </c>
      <c r="AG271" s="498">
        <f ca="1">ROUND(IF(DESONERACAO="sim",REFERENCIA.Desonerado,REFERENCIA.NaoDesonerado),2)</f>
        <v>0</v>
      </c>
      <c r="AH271" s="499">
        <f t="shared" ca="1" si="77"/>
        <v>0.28170000000000001</v>
      </c>
      <c r="AJ271" s="501"/>
      <c r="AL271" s="527"/>
      <c r="AM271" s="381">
        <f t="shared" ca="1" si="78"/>
        <v>0</v>
      </c>
      <c r="AN271" s="566">
        <f t="shared" ca="1" si="79"/>
        <v>0</v>
      </c>
    </row>
    <row r="272" spans="1:40" hidden="1" x14ac:dyDescent="0.2">
      <c r="A272" t="str">
        <f t="shared" si="64"/>
        <v>S</v>
      </c>
      <c r="B272">
        <f t="shared" ca="1" si="65"/>
        <v>2</v>
      </c>
      <c r="C272" t="str">
        <f t="shared" ca="1" si="66"/>
        <v>S</v>
      </c>
      <c r="D272">
        <f t="shared" ca="1" si="67"/>
        <v>0</v>
      </c>
      <c r="E272">
        <f ca="1">IF($C272=1,OFFSET(E272,-1,0)+MAX(1,COUNTIF(QCI!$A$13:$A$24,OFFSET(ORÇAMENTO!E272,-1,0))),OFFSET(E272,-1,0))</f>
        <v>1</v>
      </c>
      <c r="F272">
        <f t="shared" ca="1" si="68"/>
        <v>13</v>
      </c>
      <c r="G272">
        <f t="shared" ca="1" si="69"/>
        <v>0</v>
      </c>
      <c r="H272">
        <f t="shared" ca="1" si="70"/>
        <v>0</v>
      </c>
      <c r="I272">
        <f t="shared" ca="1" si="71"/>
        <v>1</v>
      </c>
      <c r="J272">
        <f t="shared" ca="1" si="59"/>
        <v>0</v>
      </c>
      <c r="K272">
        <f ca="1">IF(OR($C272="S",$C272=0),0,MATCH(OFFSET($D272,0,$C272)+IF($C272&lt;&gt;1,1,COUNTIF(QCI!$A$13:$A$24,ORÇAMENTO!E272)),OFFSET($D272,1,$C272,ROW($C$290)-ROW($C272)),0))</f>
        <v>0</v>
      </c>
      <c r="L272" s="116" t="str">
        <f t="shared" ca="1" si="72"/>
        <v/>
      </c>
      <c r="M272" s="117" t="s">
        <v>199</v>
      </c>
      <c r="N272" s="118" t="str">
        <f t="shared" ca="1" si="73"/>
        <v>Serviço</v>
      </c>
      <c r="O272" s="119" t="str">
        <f t="shared" ca="1" si="74"/>
        <v>-</v>
      </c>
      <c r="P272" s="120" t="s">
        <v>247</v>
      </c>
      <c r="Q272" s="121"/>
      <c r="R272" s="122" t="str">
        <f ca="1">IF($C272="S",REFERENCIA.Descricao,"(digite a descrição aqui)")</f>
        <v>(abra o arquivo 'Referência 03-2024.xlsm)</v>
      </c>
      <c r="S272" s="123" t="str">
        <f ca="1">REFERENCIA.Unidade</f>
        <v>-</v>
      </c>
      <c r="T272" s="124">
        <f ca="1">OFFSET(CÁLCULO!H$15,ROW($T272)-ROW(T$15),0)</f>
        <v>0</v>
      </c>
      <c r="U272" s="125"/>
      <c r="V272" s="126" t="s">
        <v>156</v>
      </c>
      <c r="W272" s="124">
        <f ca="1">IF($C272="S",ROUND(IF(TIPOORCAMENTO="Proposto",ORÇAMENTO.CustoUnitario*(1+$AH272),ORÇAMENTO.PrecoUnitarioLicitado),15-13*$AF$10),0)</f>
        <v>0</v>
      </c>
      <c r="X272" s="127">
        <f ca="1">IF($C272="S",IF(Import.TipoArredondamento&lt;&gt;"TransfereGOV",VTOTAL1,SUM(OFFSET(CÁLCULO!$AA$15,ROW($X272)-ROW($X$15),1):OFFSET(CÁLCULO!$AL$15,ROW($X272)-ROW($X$15),-1))),IF($C272=0,0,ROUND(SomaAgrup,15-13*$AF$11)))</f>
        <v>0</v>
      </c>
      <c r="Y272" s="128" t="s">
        <v>245</v>
      </c>
      <c r="Z272" t="str">
        <f t="shared" ca="1" si="75"/>
        <v/>
      </c>
      <c r="AA272" s="129">
        <f ca="1">IF($C272="S",IF($Z272="CP",$X272,IF($Z272="RA",(($X272)*QCI!$AA$3),0)),SomaAgrup)</f>
        <v>0</v>
      </c>
      <c r="AB272" s="130">
        <f t="shared" ca="1" si="76"/>
        <v>0</v>
      </c>
      <c r="AC272" s="131" t="str">
        <f ca="1">IF($N272="","",IF(ORÇAMENTO.Descricao="","DESCRIÇÃO",IF(AND($C272="S",ORÇAMENTO.Unidade=""),"UNIDADE",IF($X272&lt;0,"VALOR NEGATIVO",IF(OR(AND(TIPOORCAMENTO="Proposto",$AG272&lt;&gt;"",$AG272&gt;0,ORÇAMENTO.CustoUnitario&gt;$AG272),AND(TIPOORCAMENTO="LICITADO",ORÇAMENTO.PrecoUnitarioLicitado&gt;$AN272)),"ACIMA REF.","")))))</f>
        <v/>
      </c>
      <c r="AD272" t="str">
        <f ca="1">IF(C272&lt;=CRONO.NivelExibicao,MAX($AD$15:OFFSET(AD272,-1,0))+IF($C272&lt;&gt;1,1,MAX(1,COUNTIF(QCI!$A$13:$A$24,OFFSET($E272,-1,0)))),"")</f>
        <v/>
      </c>
      <c r="AE272" s="7" t="b">
        <f ca="1">IF(AND($C272="S",ORÇAMENTO.CodBarra&lt;&gt;""),IF(ORÇAMENTO.Fonte="",ORÇAMENTO.CodBarra,CONCATENATE(ORÇAMENTO.Fonte," ",ORÇAMENTO.CodBarra)))</f>
        <v>0</v>
      </c>
      <c r="AF272" s="13" t="str">
        <f ca="1">IF(ISERROR(INDIRECT(ORÇAMENTO.BancoRef)),"(abra o arquivo 'Referência "&amp;Excel_BuiltIn_Database&amp;".xlsm)",IF(OR($C272&lt;&gt;"S",ORÇAMENTO.CodBarra=""),"(Sem Código)",IF(ISERROR(MATCH($AE272,INDIRECT(ORÇAMENTO.BancoRef),0)),"(Código não identificado nas referências)",MATCH($AE272,INDIRECT(ORÇAMENTO.BancoRef),0))))</f>
        <v>(abra o arquivo 'Referência 03-2024.xlsm)</v>
      </c>
      <c r="AG272" s="498">
        <f ca="1">ROUND(IF(DESONERACAO="sim",REFERENCIA.Desonerado,REFERENCIA.NaoDesonerado),2)</f>
        <v>0</v>
      </c>
      <c r="AH272" s="499">
        <f t="shared" ca="1" si="77"/>
        <v>0.28170000000000001</v>
      </c>
      <c r="AJ272" s="501"/>
      <c r="AL272" s="527"/>
      <c r="AM272" s="381">
        <f t="shared" ca="1" si="78"/>
        <v>0</v>
      </c>
      <c r="AN272" s="566">
        <f t="shared" ca="1" si="79"/>
        <v>0</v>
      </c>
    </row>
    <row r="273" spans="1:40" hidden="1" x14ac:dyDescent="0.2">
      <c r="A273" t="str">
        <f t="shared" si="64"/>
        <v>S</v>
      </c>
      <c r="B273">
        <f t="shared" ca="1" si="65"/>
        <v>2</v>
      </c>
      <c r="C273" t="str">
        <f t="shared" ca="1" si="66"/>
        <v>S</v>
      </c>
      <c r="D273">
        <f t="shared" ca="1" si="67"/>
        <v>0</v>
      </c>
      <c r="E273">
        <f ca="1">IF($C273=1,OFFSET(E273,-1,0)+MAX(1,COUNTIF(QCI!$A$13:$A$24,OFFSET(ORÇAMENTO!E273,-1,0))),OFFSET(E273,-1,0))</f>
        <v>1</v>
      </c>
      <c r="F273">
        <f t="shared" ca="1" si="68"/>
        <v>13</v>
      </c>
      <c r="G273">
        <f t="shared" ca="1" si="69"/>
        <v>0</v>
      </c>
      <c r="H273">
        <f t="shared" ca="1" si="70"/>
        <v>0</v>
      </c>
      <c r="I273">
        <f t="shared" ca="1" si="71"/>
        <v>1</v>
      </c>
      <c r="J273">
        <f t="shared" ca="1" si="59"/>
        <v>0</v>
      </c>
      <c r="K273">
        <f ca="1">IF(OR($C273="S",$C273=0),0,MATCH(OFFSET($D273,0,$C273)+IF($C273&lt;&gt;1,1,COUNTIF(QCI!$A$13:$A$24,ORÇAMENTO!E273)),OFFSET($D273,1,$C273,ROW($C$290)-ROW($C273)),0))</f>
        <v>0</v>
      </c>
      <c r="L273" s="116" t="str">
        <f t="shared" ca="1" si="72"/>
        <v/>
      </c>
      <c r="M273" s="117" t="s">
        <v>199</v>
      </c>
      <c r="N273" s="118" t="str">
        <f t="shared" ca="1" si="73"/>
        <v>Serviço</v>
      </c>
      <c r="O273" s="119" t="str">
        <f t="shared" ca="1" si="74"/>
        <v>-</v>
      </c>
      <c r="P273" s="120" t="s">
        <v>247</v>
      </c>
      <c r="Q273" s="121"/>
      <c r="R273" s="122" t="str">
        <f ca="1">IF($C273="S",REFERENCIA.Descricao,"(digite a descrição aqui)")</f>
        <v>(abra o arquivo 'Referência 03-2024.xlsm)</v>
      </c>
      <c r="S273" s="123" t="str">
        <f ca="1">REFERENCIA.Unidade</f>
        <v>-</v>
      </c>
      <c r="T273" s="124">
        <f ca="1">OFFSET(CÁLCULO!H$15,ROW($T273)-ROW(T$15),0)</f>
        <v>0</v>
      </c>
      <c r="U273" s="125"/>
      <c r="V273" s="126" t="s">
        <v>156</v>
      </c>
      <c r="W273" s="124">
        <f ca="1">IF($C273="S",ROUND(IF(TIPOORCAMENTO="Proposto",ORÇAMENTO.CustoUnitario*(1+$AH273),ORÇAMENTO.PrecoUnitarioLicitado),15-13*$AF$10),0)</f>
        <v>0</v>
      </c>
      <c r="X273" s="127">
        <f ca="1">IF($C273="S",IF(Import.TipoArredondamento&lt;&gt;"TransfereGOV",VTOTAL1,SUM(OFFSET(CÁLCULO!$AA$15,ROW($X273)-ROW($X$15),1):OFFSET(CÁLCULO!$AL$15,ROW($X273)-ROW($X$15),-1))),IF($C273=0,0,ROUND(SomaAgrup,15-13*$AF$11)))</f>
        <v>0</v>
      </c>
      <c r="Y273" s="128" t="s">
        <v>245</v>
      </c>
      <c r="Z273" t="str">
        <f t="shared" ca="1" si="75"/>
        <v/>
      </c>
      <c r="AA273" s="129">
        <f ca="1">IF($C273="S",IF($Z273="CP",$X273,IF($Z273="RA",(($X273)*QCI!$AA$3),0)),SomaAgrup)</f>
        <v>0</v>
      </c>
      <c r="AB273" s="130">
        <f t="shared" ca="1" si="76"/>
        <v>0</v>
      </c>
      <c r="AC273" s="131" t="str">
        <f ca="1">IF($N273="","",IF(ORÇAMENTO.Descricao="","DESCRIÇÃO",IF(AND($C273="S",ORÇAMENTO.Unidade=""),"UNIDADE",IF($X273&lt;0,"VALOR NEGATIVO",IF(OR(AND(TIPOORCAMENTO="Proposto",$AG273&lt;&gt;"",$AG273&gt;0,ORÇAMENTO.CustoUnitario&gt;$AG273),AND(TIPOORCAMENTO="LICITADO",ORÇAMENTO.PrecoUnitarioLicitado&gt;$AN273)),"ACIMA REF.","")))))</f>
        <v/>
      </c>
      <c r="AD273" t="str">
        <f ca="1">IF(C273&lt;=CRONO.NivelExibicao,MAX($AD$15:OFFSET(AD273,-1,0))+IF($C273&lt;&gt;1,1,MAX(1,COUNTIF(QCI!$A$13:$A$24,OFFSET($E273,-1,0)))),"")</f>
        <v/>
      </c>
      <c r="AE273" s="7" t="b">
        <f ca="1">IF(AND($C273="S",ORÇAMENTO.CodBarra&lt;&gt;""),IF(ORÇAMENTO.Fonte="",ORÇAMENTO.CodBarra,CONCATENATE(ORÇAMENTO.Fonte," ",ORÇAMENTO.CodBarra)))</f>
        <v>0</v>
      </c>
      <c r="AF273" s="13" t="str">
        <f ca="1">IF(ISERROR(INDIRECT(ORÇAMENTO.BancoRef)),"(abra o arquivo 'Referência "&amp;Excel_BuiltIn_Database&amp;".xlsm)",IF(OR($C273&lt;&gt;"S",ORÇAMENTO.CodBarra=""),"(Sem Código)",IF(ISERROR(MATCH($AE273,INDIRECT(ORÇAMENTO.BancoRef),0)),"(Código não identificado nas referências)",MATCH($AE273,INDIRECT(ORÇAMENTO.BancoRef),0))))</f>
        <v>(abra o arquivo 'Referência 03-2024.xlsm)</v>
      </c>
      <c r="AG273" s="498">
        <f ca="1">ROUND(IF(DESONERACAO="sim",REFERENCIA.Desonerado,REFERENCIA.NaoDesonerado),2)</f>
        <v>0</v>
      </c>
      <c r="AH273" s="499">
        <f t="shared" ca="1" si="77"/>
        <v>0.28170000000000001</v>
      </c>
      <c r="AJ273" s="501"/>
      <c r="AL273" s="527"/>
      <c r="AM273" s="381">
        <f t="shared" ca="1" si="78"/>
        <v>0</v>
      </c>
      <c r="AN273" s="566">
        <f t="shared" ca="1" si="79"/>
        <v>0</v>
      </c>
    </row>
    <row r="274" spans="1:40" hidden="1" x14ac:dyDescent="0.2">
      <c r="A274" t="str">
        <f t="shared" si="64"/>
        <v>S</v>
      </c>
      <c r="B274">
        <f t="shared" ca="1" si="65"/>
        <v>2</v>
      </c>
      <c r="C274" t="str">
        <f t="shared" ca="1" si="66"/>
        <v>S</v>
      </c>
      <c r="D274">
        <f t="shared" ca="1" si="67"/>
        <v>0</v>
      </c>
      <c r="E274">
        <f ca="1">IF($C274=1,OFFSET(E274,-1,0)+MAX(1,COUNTIF(QCI!$A$13:$A$24,OFFSET(ORÇAMENTO!E274,-1,0))),OFFSET(E274,-1,0))</f>
        <v>1</v>
      </c>
      <c r="F274">
        <f t="shared" ca="1" si="68"/>
        <v>13</v>
      </c>
      <c r="G274">
        <f t="shared" ca="1" si="69"/>
        <v>0</v>
      </c>
      <c r="H274">
        <f t="shared" ca="1" si="70"/>
        <v>0</v>
      </c>
      <c r="I274">
        <f t="shared" ca="1" si="71"/>
        <v>1</v>
      </c>
      <c r="J274">
        <f t="shared" ca="1" si="59"/>
        <v>0</v>
      </c>
      <c r="K274">
        <f ca="1">IF(OR($C274="S",$C274=0),0,MATCH(OFFSET($D274,0,$C274)+IF($C274&lt;&gt;1,1,COUNTIF(QCI!$A$13:$A$24,ORÇAMENTO!E274)),OFFSET($D274,1,$C274,ROW($C$290)-ROW($C274)),0))</f>
        <v>0</v>
      </c>
      <c r="L274" s="116" t="str">
        <f t="shared" ca="1" si="72"/>
        <v/>
      </c>
      <c r="M274" s="117" t="s">
        <v>199</v>
      </c>
      <c r="N274" s="118" t="str">
        <f t="shared" ca="1" si="73"/>
        <v>Serviço</v>
      </c>
      <c r="O274" s="119" t="str">
        <f t="shared" ca="1" si="74"/>
        <v>-</v>
      </c>
      <c r="P274" s="120" t="s">
        <v>247</v>
      </c>
      <c r="Q274" s="121"/>
      <c r="R274" s="122" t="str">
        <f ca="1">IF($C274="S",REFERENCIA.Descricao,"(digite a descrição aqui)")</f>
        <v>(abra o arquivo 'Referência 03-2024.xlsm)</v>
      </c>
      <c r="S274" s="123" t="str">
        <f ca="1">REFERENCIA.Unidade</f>
        <v>-</v>
      </c>
      <c r="T274" s="124">
        <f ca="1">OFFSET(CÁLCULO!H$15,ROW($T274)-ROW(T$15),0)</f>
        <v>0</v>
      </c>
      <c r="U274" s="125"/>
      <c r="V274" s="126" t="s">
        <v>156</v>
      </c>
      <c r="W274" s="124">
        <f ca="1">IF($C274="S",ROUND(IF(TIPOORCAMENTO="Proposto",ORÇAMENTO.CustoUnitario*(1+$AH274),ORÇAMENTO.PrecoUnitarioLicitado),15-13*$AF$10),0)</f>
        <v>0</v>
      </c>
      <c r="X274" s="127">
        <f ca="1">IF($C274="S",IF(Import.TipoArredondamento&lt;&gt;"TransfereGOV",VTOTAL1,SUM(OFFSET(CÁLCULO!$AA$15,ROW($X274)-ROW($X$15),1):OFFSET(CÁLCULO!$AL$15,ROW($X274)-ROW($X$15),-1))),IF($C274=0,0,ROUND(SomaAgrup,15-13*$AF$11)))</f>
        <v>0</v>
      </c>
      <c r="Y274" s="128" t="s">
        <v>245</v>
      </c>
      <c r="Z274" t="str">
        <f t="shared" ca="1" si="75"/>
        <v/>
      </c>
      <c r="AA274" s="129">
        <f ca="1">IF($C274="S",IF($Z274="CP",$X274,IF($Z274="RA",(($X274)*QCI!$AA$3),0)),SomaAgrup)</f>
        <v>0</v>
      </c>
      <c r="AB274" s="130">
        <f t="shared" ca="1" si="76"/>
        <v>0</v>
      </c>
      <c r="AC274" s="131" t="str">
        <f ca="1">IF($N274="","",IF(ORÇAMENTO.Descricao="","DESCRIÇÃO",IF(AND($C274="S",ORÇAMENTO.Unidade=""),"UNIDADE",IF($X274&lt;0,"VALOR NEGATIVO",IF(OR(AND(TIPOORCAMENTO="Proposto",$AG274&lt;&gt;"",$AG274&gt;0,ORÇAMENTO.CustoUnitario&gt;$AG274),AND(TIPOORCAMENTO="LICITADO",ORÇAMENTO.PrecoUnitarioLicitado&gt;$AN274)),"ACIMA REF.","")))))</f>
        <v/>
      </c>
      <c r="AD274" t="str">
        <f ca="1">IF(C274&lt;=CRONO.NivelExibicao,MAX($AD$15:OFFSET(AD274,-1,0))+IF($C274&lt;&gt;1,1,MAX(1,COUNTIF(QCI!$A$13:$A$24,OFFSET($E274,-1,0)))),"")</f>
        <v/>
      </c>
      <c r="AE274" s="7" t="b">
        <f ca="1">IF(AND($C274="S",ORÇAMENTO.CodBarra&lt;&gt;""),IF(ORÇAMENTO.Fonte="",ORÇAMENTO.CodBarra,CONCATENATE(ORÇAMENTO.Fonte," ",ORÇAMENTO.CodBarra)))</f>
        <v>0</v>
      </c>
      <c r="AF274" s="13" t="str">
        <f ca="1">IF(ISERROR(INDIRECT(ORÇAMENTO.BancoRef)),"(abra o arquivo 'Referência "&amp;Excel_BuiltIn_Database&amp;".xlsm)",IF(OR($C274&lt;&gt;"S",ORÇAMENTO.CodBarra=""),"(Sem Código)",IF(ISERROR(MATCH($AE274,INDIRECT(ORÇAMENTO.BancoRef),0)),"(Código não identificado nas referências)",MATCH($AE274,INDIRECT(ORÇAMENTO.BancoRef),0))))</f>
        <v>(abra o arquivo 'Referência 03-2024.xlsm)</v>
      </c>
      <c r="AG274" s="498">
        <f ca="1">ROUND(IF(DESONERACAO="sim",REFERENCIA.Desonerado,REFERENCIA.NaoDesonerado),2)</f>
        <v>0</v>
      </c>
      <c r="AH274" s="499">
        <f t="shared" ca="1" si="77"/>
        <v>0.28170000000000001</v>
      </c>
      <c r="AJ274" s="501"/>
      <c r="AL274" s="527"/>
      <c r="AM274" s="381">
        <f t="shared" ca="1" si="78"/>
        <v>0</v>
      </c>
      <c r="AN274" s="566">
        <f t="shared" ca="1" si="79"/>
        <v>0</v>
      </c>
    </row>
    <row r="275" spans="1:40" hidden="1" x14ac:dyDescent="0.2">
      <c r="A275" t="str">
        <f t="shared" si="64"/>
        <v>S</v>
      </c>
      <c r="B275">
        <f t="shared" ca="1" si="65"/>
        <v>2</v>
      </c>
      <c r="C275" t="str">
        <f t="shared" ca="1" si="66"/>
        <v>S</v>
      </c>
      <c r="D275">
        <f t="shared" ca="1" si="67"/>
        <v>0</v>
      </c>
      <c r="E275">
        <f ca="1">IF($C275=1,OFFSET(E275,-1,0)+MAX(1,COUNTIF(QCI!$A$13:$A$24,OFFSET(ORÇAMENTO!E275,-1,0))),OFFSET(E275,-1,0))</f>
        <v>1</v>
      </c>
      <c r="F275">
        <f t="shared" ca="1" si="68"/>
        <v>13</v>
      </c>
      <c r="G275">
        <f t="shared" ca="1" si="69"/>
        <v>0</v>
      </c>
      <c r="H275">
        <f t="shared" ca="1" si="70"/>
        <v>0</v>
      </c>
      <c r="I275">
        <f t="shared" ca="1" si="71"/>
        <v>1</v>
      </c>
      <c r="J275">
        <f t="shared" ref="J275:J289" ca="1" si="80">IF(OR($C275="S",$C275=0),0,MATCH(0,OFFSET($D275,1,$C275,ROW($C$290)-ROW($C275)),0))</f>
        <v>0</v>
      </c>
      <c r="K275">
        <f ca="1">IF(OR($C275="S",$C275=0),0,MATCH(OFFSET($D275,0,$C275)+IF($C275&lt;&gt;1,1,COUNTIF(QCI!$A$13:$A$24,ORÇAMENTO!E275)),OFFSET($D275,1,$C275,ROW($C$290)-ROW($C275)),0))</f>
        <v>0</v>
      </c>
      <c r="L275" s="116" t="str">
        <f t="shared" ca="1" si="72"/>
        <v/>
      </c>
      <c r="M275" s="117" t="s">
        <v>199</v>
      </c>
      <c r="N275" s="118" t="str">
        <f t="shared" ca="1" si="73"/>
        <v>Serviço</v>
      </c>
      <c r="O275" s="119" t="str">
        <f t="shared" ca="1" si="74"/>
        <v>-</v>
      </c>
      <c r="P275" s="120" t="s">
        <v>247</v>
      </c>
      <c r="Q275" s="121"/>
      <c r="R275" s="122" t="str">
        <f ca="1">IF($C275="S",REFERENCIA.Descricao,"(digite a descrição aqui)")</f>
        <v>(abra o arquivo 'Referência 03-2024.xlsm)</v>
      </c>
      <c r="S275" s="123" t="str">
        <f ca="1">REFERENCIA.Unidade</f>
        <v>-</v>
      </c>
      <c r="T275" s="124">
        <f ca="1">OFFSET(CÁLCULO!H$15,ROW($T275)-ROW(T$15),0)</f>
        <v>0</v>
      </c>
      <c r="U275" s="125"/>
      <c r="V275" s="126" t="s">
        <v>156</v>
      </c>
      <c r="W275" s="124">
        <f ca="1">IF($C275="S",ROUND(IF(TIPOORCAMENTO="Proposto",ORÇAMENTO.CustoUnitario*(1+$AH275),ORÇAMENTO.PrecoUnitarioLicitado),15-13*$AF$10),0)</f>
        <v>0</v>
      </c>
      <c r="X275" s="127">
        <f ca="1">IF($C275="S",IF(Import.TipoArredondamento&lt;&gt;"TransfereGOV",VTOTAL1,SUM(OFFSET(CÁLCULO!$AA$15,ROW($X275)-ROW($X$15),1):OFFSET(CÁLCULO!$AL$15,ROW($X275)-ROW($X$15),-1))),IF($C275=0,0,ROUND(SomaAgrup,15-13*$AF$11)))</f>
        <v>0</v>
      </c>
      <c r="Y275" s="128" t="s">
        <v>245</v>
      </c>
      <c r="Z275" t="str">
        <f t="shared" ca="1" si="75"/>
        <v/>
      </c>
      <c r="AA275" s="129">
        <f ca="1">IF($C275="S",IF($Z275="CP",$X275,IF($Z275="RA",(($X275)*QCI!$AA$3),0)),SomaAgrup)</f>
        <v>0</v>
      </c>
      <c r="AB275" s="130">
        <f t="shared" ca="1" si="76"/>
        <v>0</v>
      </c>
      <c r="AC275" s="131" t="str">
        <f ca="1">IF($N275="","",IF(ORÇAMENTO.Descricao="","DESCRIÇÃO",IF(AND($C275="S",ORÇAMENTO.Unidade=""),"UNIDADE",IF($X275&lt;0,"VALOR NEGATIVO",IF(OR(AND(TIPOORCAMENTO="Proposto",$AG275&lt;&gt;"",$AG275&gt;0,ORÇAMENTO.CustoUnitario&gt;$AG275),AND(TIPOORCAMENTO="LICITADO",ORÇAMENTO.PrecoUnitarioLicitado&gt;$AN275)),"ACIMA REF.","")))))</f>
        <v/>
      </c>
      <c r="AD275" t="str">
        <f ca="1">IF(C275&lt;=CRONO.NivelExibicao,MAX($AD$15:OFFSET(AD275,-1,0))+IF($C275&lt;&gt;1,1,MAX(1,COUNTIF(QCI!$A$13:$A$24,OFFSET($E275,-1,0)))),"")</f>
        <v/>
      </c>
      <c r="AE275" s="7" t="b">
        <f ca="1">IF(AND($C275="S",ORÇAMENTO.CodBarra&lt;&gt;""),IF(ORÇAMENTO.Fonte="",ORÇAMENTO.CodBarra,CONCATENATE(ORÇAMENTO.Fonte," ",ORÇAMENTO.CodBarra)))</f>
        <v>0</v>
      </c>
      <c r="AF275" s="13" t="str">
        <f ca="1">IF(ISERROR(INDIRECT(ORÇAMENTO.BancoRef)),"(abra o arquivo 'Referência "&amp;Excel_BuiltIn_Database&amp;".xlsm)",IF(OR($C275&lt;&gt;"S",ORÇAMENTO.CodBarra=""),"(Sem Código)",IF(ISERROR(MATCH($AE275,INDIRECT(ORÇAMENTO.BancoRef),0)),"(Código não identificado nas referências)",MATCH($AE275,INDIRECT(ORÇAMENTO.BancoRef),0))))</f>
        <v>(abra o arquivo 'Referência 03-2024.xlsm)</v>
      </c>
      <c r="AG275" s="498">
        <f ca="1">ROUND(IF(DESONERACAO="sim",REFERENCIA.Desonerado,REFERENCIA.NaoDesonerado),2)</f>
        <v>0</v>
      </c>
      <c r="AH275" s="499">
        <f t="shared" ca="1" si="77"/>
        <v>0.28170000000000001</v>
      </c>
      <c r="AJ275" s="501"/>
      <c r="AL275" s="527"/>
      <c r="AM275" s="381">
        <f t="shared" ca="1" si="78"/>
        <v>0</v>
      </c>
      <c r="AN275" s="566">
        <f t="shared" ca="1" si="79"/>
        <v>0</v>
      </c>
    </row>
    <row r="276" spans="1:40" hidden="1" x14ac:dyDescent="0.2">
      <c r="A276" t="str">
        <f t="shared" si="64"/>
        <v>S</v>
      </c>
      <c r="B276">
        <f t="shared" ca="1" si="65"/>
        <v>2</v>
      </c>
      <c r="C276" t="str">
        <f t="shared" ca="1" si="66"/>
        <v>S</v>
      </c>
      <c r="D276">
        <f t="shared" ca="1" si="67"/>
        <v>0</v>
      </c>
      <c r="E276">
        <f ca="1">IF($C276=1,OFFSET(E276,-1,0)+MAX(1,COUNTIF(QCI!$A$13:$A$24,OFFSET(ORÇAMENTO!E276,-1,0))),OFFSET(E276,-1,0))</f>
        <v>1</v>
      </c>
      <c r="F276">
        <f t="shared" ca="1" si="68"/>
        <v>13</v>
      </c>
      <c r="G276">
        <f t="shared" ca="1" si="69"/>
        <v>0</v>
      </c>
      <c r="H276">
        <f t="shared" ca="1" si="70"/>
        <v>0</v>
      </c>
      <c r="I276">
        <f t="shared" ca="1" si="71"/>
        <v>1</v>
      </c>
      <c r="J276">
        <f t="shared" ca="1" si="80"/>
        <v>0</v>
      </c>
      <c r="K276">
        <f ca="1">IF(OR($C276="S",$C276=0),0,MATCH(OFFSET($D276,0,$C276)+IF($C276&lt;&gt;1,1,COUNTIF(QCI!$A$13:$A$24,ORÇAMENTO!E276)),OFFSET($D276,1,$C276,ROW($C$290)-ROW($C276)),0))</f>
        <v>0</v>
      </c>
      <c r="L276" s="116" t="str">
        <f t="shared" ca="1" si="72"/>
        <v/>
      </c>
      <c r="M276" s="117" t="s">
        <v>199</v>
      </c>
      <c r="N276" s="118" t="str">
        <f t="shared" ca="1" si="73"/>
        <v>Serviço</v>
      </c>
      <c r="O276" s="119" t="str">
        <f t="shared" ca="1" si="74"/>
        <v>-</v>
      </c>
      <c r="P276" s="120" t="s">
        <v>247</v>
      </c>
      <c r="Q276" s="121"/>
      <c r="R276" s="122" t="str">
        <f ca="1">IF($C276="S",REFERENCIA.Descricao,"(digite a descrição aqui)")</f>
        <v>(abra o arquivo 'Referência 03-2024.xlsm)</v>
      </c>
      <c r="S276" s="123" t="str">
        <f ca="1">REFERENCIA.Unidade</f>
        <v>-</v>
      </c>
      <c r="T276" s="124">
        <f ca="1">OFFSET(CÁLCULO!H$15,ROW($T276)-ROW(T$15),0)</f>
        <v>0</v>
      </c>
      <c r="U276" s="125"/>
      <c r="V276" s="126" t="s">
        <v>156</v>
      </c>
      <c r="W276" s="124">
        <f ca="1">IF($C276="S",ROUND(IF(TIPOORCAMENTO="Proposto",ORÇAMENTO.CustoUnitario*(1+$AH276),ORÇAMENTO.PrecoUnitarioLicitado),15-13*$AF$10),0)</f>
        <v>0</v>
      </c>
      <c r="X276" s="127">
        <f ca="1">IF($C276="S",IF(Import.TipoArredondamento&lt;&gt;"TransfereGOV",VTOTAL1,SUM(OFFSET(CÁLCULO!$AA$15,ROW($X276)-ROW($X$15),1):OFFSET(CÁLCULO!$AL$15,ROW($X276)-ROW($X$15),-1))),IF($C276=0,0,ROUND(SomaAgrup,15-13*$AF$11)))</f>
        <v>0</v>
      </c>
      <c r="Y276" s="128" t="s">
        <v>245</v>
      </c>
      <c r="Z276" t="str">
        <f t="shared" ca="1" si="75"/>
        <v/>
      </c>
      <c r="AA276" s="129">
        <f ca="1">IF($C276="S",IF($Z276="CP",$X276,IF($Z276="RA",(($X276)*QCI!$AA$3),0)),SomaAgrup)</f>
        <v>0</v>
      </c>
      <c r="AB276" s="130">
        <f t="shared" ca="1" si="76"/>
        <v>0</v>
      </c>
      <c r="AC276" s="131" t="str">
        <f ca="1">IF($N276="","",IF(ORÇAMENTO.Descricao="","DESCRIÇÃO",IF(AND($C276="S",ORÇAMENTO.Unidade=""),"UNIDADE",IF($X276&lt;0,"VALOR NEGATIVO",IF(OR(AND(TIPOORCAMENTO="Proposto",$AG276&lt;&gt;"",$AG276&gt;0,ORÇAMENTO.CustoUnitario&gt;$AG276),AND(TIPOORCAMENTO="LICITADO",ORÇAMENTO.PrecoUnitarioLicitado&gt;$AN276)),"ACIMA REF.","")))))</f>
        <v/>
      </c>
      <c r="AD276" t="str">
        <f ca="1">IF(C276&lt;=CRONO.NivelExibicao,MAX($AD$15:OFFSET(AD276,-1,0))+IF($C276&lt;&gt;1,1,MAX(1,COUNTIF(QCI!$A$13:$A$24,OFFSET($E276,-1,0)))),"")</f>
        <v/>
      </c>
      <c r="AE276" s="7" t="b">
        <f ca="1">IF(AND($C276="S",ORÇAMENTO.CodBarra&lt;&gt;""),IF(ORÇAMENTO.Fonte="",ORÇAMENTO.CodBarra,CONCATENATE(ORÇAMENTO.Fonte," ",ORÇAMENTO.CodBarra)))</f>
        <v>0</v>
      </c>
      <c r="AF276" s="13" t="str">
        <f ca="1">IF(ISERROR(INDIRECT(ORÇAMENTO.BancoRef)),"(abra o arquivo 'Referência "&amp;Excel_BuiltIn_Database&amp;".xlsm)",IF(OR($C276&lt;&gt;"S",ORÇAMENTO.CodBarra=""),"(Sem Código)",IF(ISERROR(MATCH($AE276,INDIRECT(ORÇAMENTO.BancoRef),0)),"(Código não identificado nas referências)",MATCH($AE276,INDIRECT(ORÇAMENTO.BancoRef),0))))</f>
        <v>(abra o arquivo 'Referência 03-2024.xlsm)</v>
      </c>
      <c r="AG276" s="498">
        <f ca="1">ROUND(IF(DESONERACAO="sim",REFERENCIA.Desonerado,REFERENCIA.NaoDesonerado),2)</f>
        <v>0</v>
      </c>
      <c r="AH276" s="499">
        <f t="shared" ca="1" si="77"/>
        <v>0.28170000000000001</v>
      </c>
      <c r="AJ276" s="501"/>
      <c r="AL276" s="527"/>
      <c r="AM276" s="381">
        <f t="shared" ca="1" si="78"/>
        <v>0</v>
      </c>
      <c r="AN276" s="566">
        <f t="shared" ca="1" si="79"/>
        <v>0</v>
      </c>
    </row>
    <row r="277" spans="1:40" hidden="1" x14ac:dyDescent="0.2">
      <c r="A277" t="str">
        <f t="shared" si="64"/>
        <v>S</v>
      </c>
      <c r="B277">
        <f t="shared" ca="1" si="65"/>
        <v>2</v>
      </c>
      <c r="C277" t="str">
        <f t="shared" ca="1" si="66"/>
        <v>S</v>
      </c>
      <c r="D277">
        <f t="shared" ca="1" si="67"/>
        <v>0</v>
      </c>
      <c r="E277">
        <f ca="1">IF($C277=1,OFFSET(E277,-1,0)+MAX(1,COUNTIF(QCI!$A$13:$A$24,OFFSET(ORÇAMENTO!E277,-1,0))),OFFSET(E277,-1,0))</f>
        <v>1</v>
      </c>
      <c r="F277">
        <f t="shared" ca="1" si="68"/>
        <v>13</v>
      </c>
      <c r="G277">
        <f t="shared" ca="1" si="69"/>
        <v>0</v>
      </c>
      <c r="H277">
        <f t="shared" ca="1" si="70"/>
        <v>0</v>
      </c>
      <c r="I277">
        <f t="shared" ca="1" si="71"/>
        <v>1</v>
      </c>
      <c r="J277">
        <f t="shared" ca="1" si="80"/>
        <v>0</v>
      </c>
      <c r="K277">
        <f ca="1">IF(OR($C277="S",$C277=0),0,MATCH(OFFSET($D277,0,$C277)+IF($C277&lt;&gt;1,1,COUNTIF(QCI!$A$13:$A$24,ORÇAMENTO!E277)),OFFSET($D277,1,$C277,ROW($C$290)-ROW($C277)),0))</f>
        <v>0</v>
      </c>
      <c r="L277" s="116" t="str">
        <f t="shared" ca="1" si="72"/>
        <v/>
      </c>
      <c r="M277" s="117" t="s">
        <v>199</v>
      </c>
      <c r="N277" s="118" t="str">
        <f t="shared" ca="1" si="73"/>
        <v>Serviço</v>
      </c>
      <c r="O277" s="119" t="str">
        <f t="shared" ca="1" si="74"/>
        <v>-</v>
      </c>
      <c r="P277" s="120" t="s">
        <v>247</v>
      </c>
      <c r="Q277" s="121"/>
      <c r="R277" s="122" t="str">
        <f ca="1">IF($C277="S",REFERENCIA.Descricao,"(digite a descrição aqui)")</f>
        <v>(abra o arquivo 'Referência 03-2024.xlsm)</v>
      </c>
      <c r="S277" s="123" t="str">
        <f ca="1">REFERENCIA.Unidade</f>
        <v>-</v>
      </c>
      <c r="T277" s="124">
        <f ca="1">OFFSET(CÁLCULO!H$15,ROW($T277)-ROW(T$15),0)</f>
        <v>0</v>
      </c>
      <c r="U277" s="125"/>
      <c r="V277" s="126" t="s">
        <v>156</v>
      </c>
      <c r="W277" s="124">
        <f ca="1">IF($C277="S",ROUND(IF(TIPOORCAMENTO="Proposto",ORÇAMENTO.CustoUnitario*(1+$AH277),ORÇAMENTO.PrecoUnitarioLicitado),15-13*$AF$10),0)</f>
        <v>0</v>
      </c>
      <c r="X277" s="127">
        <f ca="1">IF($C277="S",IF(Import.TipoArredondamento&lt;&gt;"TransfereGOV",VTOTAL1,SUM(OFFSET(CÁLCULO!$AA$15,ROW($X277)-ROW($X$15),1):OFFSET(CÁLCULO!$AL$15,ROW($X277)-ROW($X$15),-1))),IF($C277=0,0,ROUND(SomaAgrup,15-13*$AF$11)))</f>
        <v>0</v>
      </c>
      <c r="Y277" s="128" t="s">
        <v>245</v>
      </c>
      <c r="Z277" t="str">
        <f t="shared" ca="1" si="75"/>
        <v/>
      </c>
      <c r="AA277" s="129">
        <f ca="1">IF($C277="S",IF($Z277="CP",$X277,IF($Z277="RA",(($X277)*QCI!$AA$3),0)),SomaAgrup)</f>
        <v>0</v>
      </c>
      <c r="AB277" s="130">
        <f t="shared" ca="1" si="76"/>
        <v>0</v>
      </c>
      <c r="AC277" s="131" t="str">
        <f ca="1">IF($N277="","",IF(ORÇAMENTO.Descricao="","DESCRIÇÃO",IF(AND($C277="S",ORÇAMENTO.Unidade=""),"UNIDADE",IF($X277&lt;0,"VALOR NEGATIVO",IF(OR(AND(TIPOORCAMENTO="Proposto",$AG277&lt;&gt;"",$AG277&gt;0,ORÇAMENTO.CustoUnitario&gt;$AG277),AND(TIPOORCAMENTO="LICITADO",ORÇAMENTO.PrecoUnitarioLicitado&gt;$AN277)),"ACIMA REF.","")))))</f>
        <v/>
      </c>
      <c r="AD277" t="str">
        <f ca="1">IF(C277&lt;=CRONO.NivelExibicao,MAX($AD$15:OFFSET(AD277,-1,0))+IF($C277&lt;&gt;1,1,MAX(1,COUNTIF(QCI!$A$13:$A$24,OFFSET($E277,-1,0)))),"")</f>
        <v/>
      </c>
      <c r="AE277" s="7" t="b">
        <f ca="1">IF(AND($C277="S",ORÇAMENTO.CodBarra&lt;&gt;""),IF(ORÇAMENTO.Fonte="",ORÇAMENTO.CodBarra,CONCATENATE(ORÇAMENTO.Fonte," ",ORÇAMENTO.CodBarra)))</f>
        <v>0</v>
      </c>
      <c r="AF277" s="13" t="str">
        <f ca="1">IF(ISERROR(INDIRECT(ORÇAMENTO.BancoRef)),"(abra o arquivo 'Referência "&amp;Excel_BuiltIn_Database&amp;".xlsm)",IF(OR($C277&lt;&gt;"S",ORÇAMENTO.CodBarra=""),"(Sem Código)",IF(ISERROR(MATCH($AE277,INDIRECT(ORÇAMENTO.BancoRef),0)),"(Código não identificado nas referências)",MATCH($AE277,INDIRECT(ORÇAMENTO.BancoRef),0))))</f>
        <v>(abra o arquivo 'Referência 03-2024.xlsm)</v>
      </c>
      <c r="AG277" s="498">
        <f ca="1">ROUND(IF(DESONERACAO="sim",REFERENCIA.Desonerado,REFERENCIA.NaoDesonerado),2)</f>
        <v>0</v>
      </c>
      <c r="AH277" s="499">
        <f t="shared" ca="1" si="77"/>
        <v>0.28170000000000001</v>
      </c>
      <c r="AJ277" s="501"/>
      <c r="AL277" s="527"/>
      <c r="AM277" s="381">
        <f t="shared" ca="1" si="78"/>
        <v>0</v>
      </c>
      <c r="AN277" s="566">
        <f t="shared" ca="1" si="79"/>
        <v>0</v>
      </c>
    </row>
    <row r="278" spans="1:40" hidden="1" x14ac:dyDescent="0.2">
      <c r="A278" t="str">
        <f t="shared" si="64"/>
        <v>S</v>
      </c>
      <c r="B278">
        <f t="shared" ca="1" si="65"/>
        <v>2</v>
      </c>
      <c r="C278" t="str">
        <f t="shared" ca="1" si="66"/>
        <v>S</v>
      </c>
      <c r="D278">
        <f t="shared" ca="1" si="67"/>
        <v>0</v>
      </c>
      <c r="E278">
        <f ca="1">IF($C278=1,OFFSET(E278,-1,0)+MAX(1,COUNTIF(QCI!$A$13:$A$24,OFFSET(ORÇAMENTO!E278,-1,0))),OFFSET(E278,-1,0))</f>
        <v>1</v>
      </c>
      <c r="F278">
        <f t="shared" ca="1" si="68"/>
        <v>13</v>
      </c>
      <c r="G278">
        <f t="shared" ca="1" si="69"/>
        <v>0</v>
      </c>
      <c r="H278">
        <f t="shared" ca="1" si="70"/>
        <v>0</v>
      </c>
      <c r="I278">
        <f t="shared" ca="1" si="71"/>
        <v>1</v>
      </c>
      <c r="J278">
        <f t="shared" ca="1" si="80"/>
        <v>0</v>
      </c>
      <c r="K278">
        <f ca="1">IF(OR($C278="S",$C278=0),0,MATCH(OFFSET($D278,0,$C278)+IF($C278&lt;&gt;1,1,COUNTIF(QCI!$A$13:$A$24,ORÇAMENTO!E278)),OFFSET($D278,1,$C278,ROW($C$290)-ROW($C278)),0))</f>
        <v>0</v>
      </c>
      <c r="L278" s="116" t="str">
        <f t="shared" ca="1" si="72"/>
        <v/>
      </c>
      <c r="M278" s="117" t="s">
        <v>199</v>
      </c>
      <c r="N278" s="118" t="str">
        <f t="shared" ca="1" si="73"/>
        <v>Serviço</v>
      </c>
      <c r="O278" s="119" t="str">
        <f t="shared" ca="1" si="74"/>
        <v>-</v>
      </c>
      <c r="P278" s="120" t="s">
        <v>247</v>
      </c>
      <c r="Q278" s="121"/>
      <c r="R278" s="122" t="str">
        <f ca="1">IF($C278="S",REFERENCIA.Descricao,"(digite a descrição aqui)")</f>
        <v>(abra o arquivo 'Referência 03-2024.xlsm)</v>
      </c>
      <c r="S278" s="123" t="str">
        <f ca="1">REFERENCIA.Unidade</f>
        <v>-</v>
      </c>
      <c r="T278" s="124">
        <f ca="1">OFFSET(CÁLCULO!H$15,ROW($T278)-ROW(T$15),0)</f>
        <v>0</v>
      </c>
      <c r="U278" s="125"/>
      <c r="V278" s="126" t="s">
        <v>156</v>
      </c>
      <c r="W278" s="124">
        <f ca="1">IF($C278="S",ROUND(IF(TIPOORCAMENTO="Proposto",ORÇAMENTO.CustoUnitario*(1+$AH278),ORÇAMENTO.PrecoUnitarioLicitado),15-13*$AF$10),0)</f>
        <v>0</v>
      </c>
      <c r="X278" s="127">
        <f ca="1">IF($C278="S",IF(Import.TipoArredondamento&lt;&gt;"TransfereGOV",VTOTAL1,SUM(OFFSET(CÁLCULO!$AA$15,ROW($X278)-ROW($X$15),1):OFFSET(CÁLCULO!$AL$15,ROW($X278)-ROW($X$15),-1))),IF($C278=0,0,ROUND(SomaAgrup,15-13*$AF$11)))</f>
        <v>0</v>
      </c>
      <c r="Y278" s="128" t="s">
        <v>245</v>
      </c>
      <c r="Z278" t="str">
        <f t="shared" ca="1" si="75"/>
        <v/>
      </c>
      <c r="AA278" s="129">
        <f ca="1">IF($C278="S",IF($Z278="CP",$X278,IF($Z278="RA",(($X278)*QCI!$AA$3),0)),SomaAgrup)</f>
        <v>0</v>
      </c>
      <c r="AB278" s="130">
        <f t="shared" ca="1" si="76"/>
        <v>0</v>
      </c>
      <c r="AC278" s="131" t="str">
        <f ca="1">IF($N278="","",IF(ORÇAMENTO.Descricao="","DESCRIÇÃO",IF(AND($C278="S",ORÇAMENTO.Unidade=""),"UNIDADE",IF($X278&lt;0,"VALOR NEGATIVO",IF(OR(AND(TIPOORCAMENTO="Proposto",$AG278&lt;&gt;"",$AG278&gt;0,ORÇAMENTO.CustoUnitario&gt;$AG278),AND(TIPOORCAMENTO="LICITADO",ORÇAMENTO.PrecoUnitarioLicitado&gt;$AN278)),"ACIMA REF.","")))))</f>
        <v/>
      </c>
      <c r="AD278" t="str">
        <f ca="1">IF(C278&lt;=CRONO.NivelExibicao,MAX($AD$15:OFFSET(AD278,-1,0))+IF($C278&lt;&gt;1,1,MAX(1,COUNTIF(QCI!$A$13:$A$24,OFFSET($E278,-1,0)))),"")</f>
        <v/>
      </c>
      <c r="AE278" s="7" t="b">
        <f ca="1">IF(AND($C278="S",ORÇAMENTO.CodBarra&lt;&gt;""),IF(ORÇAMENTO.Fonte="",ORÇAMENTO.CodBarra,CONCATENATE(ORÇAMENTO.Fonte," ",ORÇAMENTO.CodBarra)))</f>
        <v>0</v>
      </c>
      <c r="AF278" s="13" t="str">
        <f ca="1">IF(ISERROR(INDIRECT(ORÇAMENTO.BancoRef)),"(abra o arquivo 'Referência "&amp;Excel_BuiltIn_Database&amp;".xlsm)",IF(OR($C278&lt;&gt;"S",ORÇAMENTO.CodBarra=""),"(Sem Código)",IF(ISERROR(MATCH($AE278,INDIRECT(ORÇAMENTO.BancoRef),0)),"(Código não identificado nas referências)",MATCH($AE278,INDIRECT(ORÇAMENTO.BancoRef),0))))</f>
        <v>(abra o arquivo 'Referência 03-2024.xlsm)</v>
      </c>
      <c r="AG278" s="498">
        <f ca="1">ROUND(IF(DESONERACAO="sim",REFERENCIA.Desonerado,REFERENCIA.NaoDesonerado),2)</f>
        <v>0</v>
      </c>
      <c r="AH278" s="499">
        <f t="shared" ca="1" si="77"/>
        <v>0.28170000000000001</v>
      </c>
      <c r="AJ278" s="501"/>
      <c r="AL278" s="527"/>
      <c r="AM278" s="381">
        <f t="shared" ca="1" si="78"/>
        <v>0</v>
      </c>
      <c r="AN278" s="566">
        <f t="shared" ca="1" si="79"/>
        <v>0</v>
      </c>
    </row>
    <row r="279" spans="1:40" hidden="1" x14ac:dyDescent="0.2">
      <c r="A279" t="str">
        <f t="shared" si="64"/>
        <v>S</v>
      </c>
      <c r="B279">
        <f t="shared" ca="1" si="65"/>
        <v>2</v>
      </c>
      <c r="C279" t="str">
        <f t="shared" ca="1" si="66"/>
        <v>S</v>
      </c>
      <c r="D279">
        <f t="shared" ca="1" si="67"/>
        <v>0</v>
      </c>
      <c r="E279">
        <f ca="1">IF($C279=1,OFFSET(E279,-1,0)+MAX(1,COUNTIF(QCI!$A$13:$A$24,OFFSET(ORÇAMENTO!E279,-1,0))),OFFSET(E279,-1,0))</f>
        <v>1</v>
      </c>
      <c r="F279">
        <f t="shared" ca="1" si="68"/>
        <v>13</v>
      </c>
      <c r="G279">
        <f t="shared" ca="1" si="69"/>
        <v>0</v>
      </c>
      <c r="H279">
        <f t="shared" ca="1" si="70"/>
        <v>0</v>
      </c>
      <c r="I279">
        <f t="shared" ca="1" si="71"/>
        <v>1</v>
      </c>
      <c r="J279">
        <f t="shared" ca="1" si="80"/>
        <v>0</v>
      </c>
      <c r="K279">
        <f ca="1">IF(OR($C279="S",$C279=0),0,MATCH(OFFSET($D279,0,$C279)+IF($C279&lt;&gt;1,1,COUNTIF(QCI!$A$13:$A$24,ORÇAMENTO!E279)),OFFSET($D279,1,$C279,ROW($C$290)-ROW($C279)),0))</f>
        <v>0</v>
      </c>
      <c r="L279" s="116" t="str">
        <f t="shared" ca="1" si="72"/>
        <v/>
      </c>
      <c r="M279" s="117" t="s">
        <v>199</v>
      </c>
      <c r="N279" s="118" t="str">
        <f t="shared" ca="1" si="73"/>
        <v>Serviço</v>
      </c>
      <c r="O279" s="119" t="str">
        <f t="shared" ca="1" si="74"/>
        <v>-</v>
      </c>
      <c r="P279" s="120" t="s">
        <v>247</v>
      </c>
      <c r="Q279" s="121"/>
      <c r="R279" s="122" t="str">
        <f ca="1">IF($C279="S",REFERENCIA.Descricao,"(digite a descrição aqui)")</f>
        <v>(abra o arquivo 'Referência 03-2024.xlsm)</v>
      </c>
      <c r="S279" s="123" t="str">
        <f ca="1">REFERENCIA.Unidade</f>
        <v>-</v>
      </c>
      <c r="T279" s="124">
        <f ca="1">OFFSET(CÁLCULO!H$15,ROW($T279)-ROW(T$15),0)</f>
        <v>0</v>
      </c>
      <c r="U279" s="125"/>
      <c r="V279" s="126" t="s">
        <v>156</v>
      </c>
      <c r="W279" s="124">
        <f ca="1">IF($C279="S",ROUND(IF(TIPOORCAMENTO="Proposto",ORÇAMENTO.CustoUnitario*(1+$AH279),ORÇAMENTO.PrecoUnitarioLicitado),15-13*$AF$10),0)</f>
        <v>0</v>
      </c>
      <c r="X279" s="127">
        <f ca="1">IF($C279="S",IF(Import.TipoArredondamento&lt;&gt;"TransfereGOV",VTOTAL1,SUM(OFFSET(CÁLCULO!$AA$15,ROW($X279)-ROW($X$15),1):OFFSET(CÁLCULO!$AL$15,ROW($X279)-ROW($X$15),-1))),IF($C279=0,0,ROUND(SomaAgrup,15-13*$AF$11)))</f>
        <v>0</v>
      </c>
      <c r="Y279" s="128" t="s">
        <v>245</v>
      </c>
      <c r="Z279" t="str">
        <f t="shared" ca="1" si="75"/>
        <v/>
      </c>
      <c r="AA279" s="129">
        <f ca="1">IF($C279="S",IF($Z279="CP",$X279,IF($Z279="RA",(($X279)*QCI!$AA$3),0)),SomaAgrup)</f>
        <v>0</v>
      </c>
      <c r="AB279" s="130">
        <f t="shared" ca="1" si="76"/>
        <v>0</v>
      </c>
      <c r="AC279" s="131" t="str">
        <f ca="1">IF($N279="","",IF(ORÇAMENTO.Descricao="","DESCRIÇÃO",IF(AND($C279="S",ORÇAMENTO.Unidade=""),"UNIDADE",IF($X279&lt;0,"VALOR NEGATIVO",IF(OR(AND(TIPOORCAMENTO="Proposto",$AG279&lt;&gt;"",$AG279&gt;0,ORÇAMENTO.CustoUnitario&gt;$AG279),AND(TIPOORCAMENTO="LICITADO",ORÇAMENTO.PrecoUnitarioLicitado&gt;$AN279)),"ACIMA REF.","")))))</f>
        <v/>
      </c>
      <c r="AD279" t="str">
        <f ca="1">IF(C279&lt;=CRONO.NivelExibicao,MAX($AD$15:OFFSET(AD279,-1,0))+IF($C279&lt;&gt;1,1,MAX(1,COUNTIF(QCI!$A$13:$A$24,OFFSET($E279,-1,0)))),"")</f>
        <v/>
      </c>
      <c r="AE279" s="7" t="b">
        <f ca="1">IF(AND($C279="S",ORÇAMENTO.CodBarra&lt;&gt;""),IF(ORÇAMENTO.Fonte="",ORÇAMENTO.CodBarra,CONCATENATE(ORÇAMENTO.Fonte," ",ORÇAMENTO.CodBarra)))</f>
        <v>0</v>
      </c>
      <c r="AF279" s="13" t="str">
        <f ca="1">IF(ISERROR(INDIRECT(ORÇAMENTO.BancoRef)),"(abra o arquivo 'Referência "&amp;Excel_BuiltIn_Database&amp;".xlsm)",IF(OR($C279&lt;&gt;"S",ORÇAMENTO.CodBarra=""),"(Sem Código)",IF(ISERROR(MATCH($AE279,INDIRECT(ORÇAMENTO.BancoRef),0)),"(Código não identificado nas referências)",MATCH($AE279,INDIRECT(ORÇAMENTO.BancoRef),0))))</f>
        <v>(abra o arquivo 'Referência 03-2024.xlsm)</v>
      </c>
      <c r="AG279" s="498">
        <f ca="1">ROUND(IF(DESONERACAO="sim",REFERENCIA.Desonerado,REFERENCIA.NaoDesonerado),2)</f>
        <v>0</v>
      </c>
      <c r="AH279" s="499">
        <f t="shared" ca="1" si="77"/>
        <v>0.28170000000000001</v>
      </c>
      <c r="AJ279" s="501"/>
      <c r="AL279" s="527"/>
      <c r="AM279" s="381">
        <f t="shared" ca="1" si="78"/>
        <v>0</v>
      </c>
      <c r="AN279" s="566">
        <f t="shared" ca="1" si="79"/>
        <v>0</v>
      </c>
    </row>
    <row r="280" spans="1:40" hidden="1" x14ac:dyDescent="0.2">
      <c r="A280" t="str">
        <f t="shared" si="64"/>
        <v>S</v>
      </c>
      <c r="B280">
        <f t="shared" ca="1" si="65"/>
        <v>2</v>
      </c>
      <c r="C280" t="str">
        <f t="shared" ca="1" si="66"/>
        <v>S</v>
      </c>
      <c r="D280">
        <f t="shared" ca="1" si="67"/>
        <v>0</v>
      </c>
      <c r="E280">
        <f ca="1">IF($C280=1,OFFSET(E280,-1,0)+MAX(1,COUNTIF(QCI!$A$13:$A$24,OFFSET(ORÇAMENTO!E280,-1,0))),OFFSET(E280,-1,0))</f>
        <v>1</v>
      </c>
      <c r="F280">
        <f t="shared" ca="1" si="68"/>
        <v>13</v>
      </c>
      <c r="G280">
        <f t="shared" ca="1" si="69"/>
        <v>0</v>
      </c>
      <c r="H280">
        <f t="shared" ca="1" si="70"/>
        <v>0</v>
      </c>
      <c r="I280">
        <f t="shared" ca="1" si="71"/>
        <v>1</v>
      </c>
      <c r="J280">
        <f t="shared" ca="1" si="80"/>
        <v>0</v>
      </c>
      <c r="K280">
        <f ca="1">IF(OR($C280="S",$C280=0),0,MATCH(OFFSET($D280,0,$C280)+IF($C280&lt;&gt;1,1,COUNTIF(QCI!$A$13:$A$24,ORÇAMENTO!E280)),OFFSET($D280,1,$C280,ROW($C$290)-ROW($C280)),0))</f>
        <v>0</v>
      </c>
      <c r="L280" s="116" t="str">
        <f t="shared" ca="1" si="72"/>
        <v/>
      </c>
      <c r="M280" s="117" t="s">
        <v>199</v>
      </c>
      <c r="N280" s="118" t="str">
        <f t="shared" ca="1" si="73"/>
        <v>Serviço</v>
      </c>
      <c r="O280" s="119" t="str">
        <f t="shared" ca="1" si="74"/>
        <v>-</v>
      </c>
      <c r="P280" s="120" t="s">
        <v>247</v>
      </c>
      <c r="Q280" s="121"/>
      <c r="R280" s="122" t="str">
        <f ca="1">IF($C280="S",REFERENCIA.Descricao,"(digite a descrição aqui)")</f>
        <v>(abra o arquivo 'Referência 03-2024.xlsm)</v>
      </c>
      <c r="S280" s="123" t="str">
        <f ca="1">REFERENCIA.Unidade</f>
        <v>-</v>
      </c>
      <c r="T280" s="124">
        <f ca="1">OFFSET(CÁLCULO!H$15,ROW($T280)-ROW(T$15),0)</f>
        <v>0</v>
      </c>
      <c r="U280" s="125"/>
      <c r="V280" s="126" t="s">
        <v>156</v>
      </c>
      <c r="W280" s="124">
        <f ca="1">IF($C280="S",ROUND(IF(TIPOORCAMENTO="Proposto",ORÇAMENTO.CustoUnitario*(1+$AH280),ORÇAMENTO.PrecoUnitarioLicitado),15-13*$AF$10),0)</f>
        <v>0</v>
      </c>
      <c r="X280" s="127">
        <f ca="1">IF($C280="S",IF(Import.TipoArredondamento&lt;&gt;"TransfereGOV",VTOTAL1,SUM(OFFSET(CÁLCULO!$AA$15,ROW($X280)-ROW($X$15),1):OFFSET(CÁLCULO!$AL$15,ROW($X280)-ROW($X$15),-1))),IF($C280=0,0,ROUND(SomaAgrup,15-13*$AF$11)))</f>
        <v>0</v>
      </c>
      <c r="Y280" s="128" t="s">
        <v>245</v>
      </c>
      <c r="Z280" t="str">
        <f t="shared" ca="1" si="75"/>
        <v/>
      </c>
      <c r="AA280" s="129">
        <f ca="1">IF($C280="S",IF($Z280="CP",$X280,IF($Z280="RA",(($X280)*QCI!$AA$3),0)),SomaAgrup)</f>
        <v>0</v>
      </c>
      <c r="AB280" s="130">
        <f t="shared" ca="1" si="76"/>
        <v>0</v>
      </c>
      <c r="AC280" s="131" t="str">
        <f ca="1">IF($N280="","",IF(ORÇAMENTO.Descricao="","DESCRIÇÃO",IF(AND($C280="S",ORÇAMENTO.Unidade=""),"UNIDADE",IF($X280&lt;0,"VALOR NEGATIVO",IF(OR(AND(TIPOORCAMENTO="Proposto",$AG280&lt;&gt;"",$AG280&gt;0,ORÇAMENTO.CustoUnitario&gt;$AG280),AND(TIPOORCAMENTO="LICITADO",ORÇAMENTO.PrecoUnitarioLicitado&gt;$AN280)),"ACIMA REF.","")))))</f>
        <v/>
      </c>
      <c r="AD280" t="str">
        <f ca="1">IF(C280&lt;=CRONO.NivelExibicao,MAX($AD$15:OFFSET(AD280,-1,0))+IF($C280&lt;&gt;1,1,MAX(1,COUNTIF(QCI!$A$13:$A$24,OFFSET($E280,-1,0)))),"")</f>
        <v/>
      </c>
      <c r="AE280" s="7" t="b">
        <f ca="1">IF(AND($C280="S",ORÇAMENTO.CodBarra&lt;&gt;""),IF(ORÇAMENTO.Fonte="",ORÇAMENTO.CodBarra,CONCATENATE(ORÇAMENTO.Fonte," ",ORÇAMENTO.CodBarra)))</f>
        <v>0</v>
      </c>
      <c r="AF280" s="13" t="str">
        <f ca="1">IF(ISERROR(INDIRECT(ORÇAMENTO.BancoRef)),"(abra o arquivo 'Referência "&amp;Excel_BuiltIn_Database&amp;".xlsm)",IF(OR($C280&lt;&gt;"S",ORÇAMENTO.CodBarra=""),"(Sem Código)",IF(ISERROR(MATCH($AE280,INDIRECT(ORÇAMENTO.BancoRef),0)),"(Código não identificado nas referências)",MATCH($AE280,INDIRECT(ORÇAMENTO.BancoRef),0))))</f>
        <v>(abra o arquivo 'Referência 03-2024.xlsm)</v>
      </c>
      <c r="AG280" s="498">
        <f ca="1">ROUND(IF(DESONERACAO="sim",REFERENCIA.Desonerado,REFERENCIA.NaoDesonerado),2)</f>
        <v>0</v>
      </c>
      <c r="AH280" s="499">
        <f t="shared" ca="1" si="77"/>
        <v>0.28170000000000001</v>
      </c>
      <c r="AJ280" s="501"/>
      <c r="AL280" s="527"/>
      <c r="AM280" s="381">
        <f t="shared" ca="1" si="78"/>
        <v>0</v>
      </c>
      <c r="AN280" s="566">
        <f t="shared" ca="1" si="79"/>
        <v>0</v>
      </c>
    </row>
    <row r="281" spans="1:40" hidden="1" x14ac:dyDescent="0.2">
      <c r="A281" t="str">
        <f t="shared" si="64"/>
        <v>S</v>
      </c>
      <c r="B281">
        <f t="shared" ca="1" si="65"/>
        <v>2</v>
      </c>
      <c r="C281" t="str">
        <f t="shared" ca="1" si="66"/>
        <v>S</v>
      </c>
      <c r="D281">
        <f t="shared" ca="1" si="67"/>
        <v>0</v>
      </c>
      <c r="E281">
        <f ca="1">IF($C281=1,OFFSET(E281,-1,0)+MAX(1,COUNTIF(QCI!$A$13:$A$24,OFFSET(ORÇAMENTO!E281,-1,0))),OFFSET(E281,-1,0))</f>
        <v>1</v>
      </c>
      <c r="F281">
        <f t="shared" ca="1" si="68"/>
        <v>13</v>
      </c>
      <c r="G281">
        <f t="shared" ca="1" si="69"/>
        <v>0</v>
      </c>
      <c r="H281">
        <f t="shared" ca="1" si="70"/>
        <v>0</v>
      </c>
      <c r="I281">
        <f t="shared" ca="1" si="71"/>
        <v>1</v>
      </c>
      <c r="J281">
        <f t="shared" ca="1" si="80"/>
        <v>0</v>
      </c>
      <c r="K281">
        <f ca="1">IF(OR($C281="S",$C281=0),0,MATCH(OFFSET($D281,0,$C281)+IF($C281&lt;&gt;1,1,COUNTIF(QCI!$A$13:$A$24,ORÇAMENTO!E281)),OFFSET($D281,1,$C281,ROW($C$290)-ROW($C281)),0))</f>
        <v>0</v>
      </c>
      <c r="L281" s="116" t="str">
        <f t="shared" ca="1" si="72"/>
        <v/>
      </c>
      <c r="M281" s="117" t="s">
        <v>199</v>
      </c>
      <c r="N281" s="118" t="str">
        <f t="shared" ca="1" si="73"/>
        <v>Serviço</v>
      </c>
      <c r="O281" s="119" t="str">
        <f t="shared" ca="1" si="74"/>
        <v>-</v>
      </c>
      <c r="P281" s="120" t="s">
        <v>247</v>
      </c>
      <c r="Q281" s="121"/>
      <c r="R281" s="122" t="str">
        <f ca="1">IF($C281="S",REFERENCIA.Descricao,"(digite a descrição aqui)")</f>
        <v>(abra o arquivo 'Referência 03-2024.xlsm)</v>
      </c>
      <c r="S281" s="123" t="str">
        <f ca="1">REFERENCIA.Unidade</f>
        <v>-</v>
      </c>
      <c r="T281" s="124">
        <f ca="1">OFFSET(CÁLCULO!H$15,ROW($T281)-ROW(T$15),0)</f>
        <v>0</v>
      </c>
      <c r="U281" s="125"/>
      <c r="V281" s="126" t="s">
        <v>156</v>
      </c>
      <c r="W281" s="124">
        <f ca="1">IF($C281="S",ROUND(IF(TIPOORCAMENTO="Proposto",ORÇAMENTO.CustoUnitario*(1+$AH281),ORÇAMENTO.PrecoUnitarioLicitado),15-13*$AF$10),0)</f>
        <v>0</v>
      </c>
      <c r="X281" s="127">
        <f ca="1">IF($C281="S",IF(Import.TipoArredondamento&lt;&gt;"TransfereGOV",VTOTAL1,SUM(OFFSET(CÁLCULO!$AA$15,ROW($X281)-ROW($X$15),1):OFFSET(CÁLCULO!$AL$15,ROW($X281)-ROW($X$15),-1))),IF($C281=0,0,ROUND(SomaAgrup,15-13*$AF$11)))</f>
        <v>0</v>
      </c>
      <c r="Y281" s="128" t="s">
        <v>245</v>
      </c>
      <c r="Z281" t="str">
        <f t="shared" ca="1" si="75"/>
        <v/>
      </c>
      <c r="AA281" s="129">
        <f ca="1">IF($C281="S",IF($Z281="CP",$X281,IF($Z281="RA",(($X281)*QCI!$AA$3),0)),SomaAgrup)</f>
        <v>0</v>
      </c>
      <c r="AB281" s="130">
        <f t="shared" ca="1" si="76"/>
        <v>0</v>
      </c>
      <c r="AC281" s="131" t="str">
        <f ca="1">IF($N281="","",IF(ORÇAMENTO.Descricao="","DESCRIÇÃO",IF(AND($C281="S",ORÇAMENTO.Unidade=""),"UNIDADE",IF($X281&lt;0,"VALOR NEGATIVO",IF(OR(AND(TIPOORCAMENTO="Proposto",$AG281&lt;&gt;"",$AG281&gt;0,ORÇAMENTO.CustoUnitario&gt;$AG281),AND(TIPOORCAMENTO="LICITADO",ORÇAMENTO.PrecoUnitarioLicitado&gt;$AN281)),"ACIMA REF.","")))))</f>
        <v/>
      </c>
      <c r="AD281" t="str">
        <f ca="1">IF(C281&lt;=CRONO.NivelExibicao,MAX($AD$15:OFFSET(AD281,-1,0))+IF($C281&lt;&gt;1,1,MAX(1,COUNTIF(QCI!$A$13:$A$24,OFFSET($E281,-1,0)))),"")</f>
        <v/>
      </c>
      <c r="AE281" s="7" t="b">
        <f ca="1">IF(AND($C281="S",ORÇAMENTO.CodBarra&lt;&gt;""),IF(ORÇAMENTO.Fonte="",ORÇAMENTO.CodBarra,CONCATENATE(ORÇAMENTO.Fonte," ",ORÇAMENTO.CodBarra)))</f>
        <v>0</v>
      </c>
      <c r="AF281" s="13" t="str">
        <f ca="1">IF(ISERROR(INDIRECT(ORÇAMENTO.BancoRef)),"(abra o arquivo 'Referência "&amp;Excel_BuiltIn_Database&amp;".xlsm)",IF(OR($C281&lt;&gt;"S",ORÇAMENTO.CodBarra=""),"(Sem Código)",IF(ISERROR(MATCH($AE281,INDIRECT(ORÇAMENTO.BancoRef),0)),"(Código não identificado nas referências)",MATCH($AE281,INDIRECT(ORÇAMENTO.BancoRef),0))))</f>
        <v>(abra o arquivo 'Referência 03-2024.xlsm)</v>
      </c>
      <c r="AG281" s="498">
        <f ca="1">ROUND(IF(DESONERACAO="sim",REFERENCIA.Desonerado,REFERENCIA.NaoDesonerado),2)</f>
        <v>0</v>
      </c>
      <c r="AH281" s="499">
        <f t="shared" ca="1" si="77"/>
        <v>0.28170000000000001</v>
      </c>
      <c r="AJ281" s="501"/>
      <c r="AL281" s="527"/>
      <c r="AM281" s="381">
        <f t="shared" ca="1" si="78"/>
        <v>0</v>
      </c>
      <c r="AN281" s="566">
        <f t="shared" ca="1" si="79"/>
        <v>0</v>
      </c>
    </row>
    <row r="282" spans="1:40" hidden="1" x14ac:dyDescent="0.2">
      <c r="A282" t="str">
        <f t="shared" si="64"/>
        <v>S</v>
      </c>
      <c r="B282">
        <f t="shared" ca="1" si="65"/>
        <v>2</v>
      </c>
      <c r="C282" t="str">
        <f t="shared" ca="1" si="66"/>
        <v>S</v>
      </c>
      <c r="D282">
        <f t="shared" ca="1" si="67"/>
        <v>0</v>
      </c>
      <c r="E282">
        <f ca="1">IF($C282=1,OFFSET(E282,-1,0)+MAX(1,COUNTIF(QCI!$A$13:$A$24,OFFSET(ORÇAMENTO!E282,-1,0))),OFFSET(E282,-1,0))</f>
        <v>1</v>
      </c>
      <c r="F282">
        <f t="shared" ca="1" si="68"/>
        <v>13</v>
      </c>
      <c r="G282">
        <f t="shared" ca="1" si="69"/>
        <v>0</v>
      </c>
      <c r="H282">
        <f t="shared" ca="1" si="70"/>
        <v>0</v>
      </c>
      <c r="I282">
        <f t="shared" ca="1" si="71"/>
        <v>1</v>
      </c>
      <c r="J282">
        <f t="shared" ca="1" si="80"/>
        <v>0</v>
      </c>
      <c r="K282">
        <f ca="1">IF(OR($C282="S",$C282=0),0,MATCH(OFFSET($D282,0,$C282)+IF($C282&lt;&gt;1,1,COUNTIF(QCI!$A$13:$A$24,ORÇAMENTO!E282)),OFFSET($D282,1,$C282,ROW($C$290)-ROW($C282)),0))</f>
        <v>0</v>
      </c>
      <c r="L282" s="116" t="str">
        <f t="shared" ca="1" si="72"/>
        <v/>
      </c>
      <c r="M282" s="117" t="s">
        <v>199</v>
      </c>
      <c r="N282" s="118" t="str">
        <f t="shared" ca="1" si="73"/>
        <v>Serviço</v>
      </c>
      <c r="O282" s="119" t="str">
        <f t="shared" ca="1" si="74"/>
        <v>-</v>
      </c>
      <c r="P282" s="120" t="s">
        <v>247</v>
      </c>
      <c r="Q282" s="121"/>
      <c r="R282" s="122" t="str">
        <f ca="1">IF($C282="S",REFERENCIA.Descricao,"(digite a descrição aqui)")</f>
        <v>(abra o arquivo 'Referência 03-2024.xlsm)</v>
      </c>
      <c r="S282" s="123" t="str">
        <f ca="1">REFERENCIA.Unidade</f>
        <v>-</v>
      </c>
      <c r="T282" s="124">
        <f ca="1">OFFSET(CÁLCULO!H$15,ROW($T282)-ROW(T$15),0)</f>
        <v>0</v>
      </c>
      <c r="U282" s="125"/>
      <c r="V282" s="126" t="s">
        <v>156</v>
      </c>
      <c r="W282" s="124">
        <f ca="1">IF($C282="S",ROUND(IF(TIPOORCAMENTO="Proposto",ORÇAMENTO.CustoUnitario*(1+$AH282),ORÇAMENTO.PrecoUnitarioLicitado),15-13*$AF$10),0)</f>
        <v>0</v>
      </c>
      <c r="X282" s="127">
        <f ca="1">IF($C282="S",IF(Import.TipoArredondamento&lt;&gt;"TransfereGOV",VTOTAL1,SUM(OFFSET(CÁLCULO!$AA$15,ROW($X282)-ROW($X$15),1):OFFSET(CÁLCULO!$AL$15,ROW($X282)-ROW($X$15),-1))),IF($C282=0,0,ROUND(SomaAgrup,15-13*$AF$11)))</f>
        <v>0</v>
      </c>
      <c r="Y282" s="128" t="s">
        <v>245</v>
      </c>
      <c r="Z282" t="str">
        <f t="shared" ca="1" si="75"/>
        <v/>
      </c>
      <c r="AA282" s="129">
        <f ca="1">IF($C282="S",IF($Z282="CP",$X282,IF($Z282="RA",(($X282)*QCI!$AA$3),0)),SomaAgrup)</f>
        <v>0</v>
      </c>
      <c r="AB282" s="130">
        <f t="shared" ca="1" si="76"/>
        <v>0</v>
      </c>
      <c r="AC282" s="131" t="str">
        <f ca="1">IF($N282="","",IF(ORÇAMENTO.Descricao="","DESCRIÇÃO",IF(AND($C282="S",ORÇAMENTO.Unidade=""),"UNIDADE",IF($X282&lt;0,"VALOR NEGATIVO",IF(OR(AND(TIPOORCAMENTO="Proposto",$AG282&lt;&gt;"",$AG282&gt;0,ORÇAMENTO.CustoUnitario&gt;$AG282),AND(TIPOORCAMENTO="LICITADO",ORÇAMENTO.PrecoUnitarioLicitado&gt;$AN282)),"ACIMA REF.","")))))</f>
        <v/>
      </c>
      <c r="AD282" t="str">
        <f ca="1">IF(C282&lt;=CRONO.NivelExibicao,MAX($AD$15:OFFSET(AD282,-1,0))+IF($C282&lt;&gt;1,1,MAX(1,COUNTIF(QCI!$A$13:$A$24,OFFSET($E282,-1,0)))),"")</f>
        <v/>
      </c>
      <c r="AE282" s="7" t="b">
        <f ca="1">IF(AND($C282="S",ORÇAMENTO.CodBarra&lt;&gt;""),IF(ORÇAMENTO.Fonte="",ORÇAMENTO.CodBarra,CONCATENATE(ORÇAMENTO.Fonte," ",ORÇAMENTO.CodBarra)))</f>
        <v>0</v>
      </c>
      <c r="AF282" s="13" t="str">
        <f ca="1">IF(ISERROR(INDIRECT(ORÇAMENTO.BancoRef)),"(abra o arquivo 'Referência "&amp;Excel_BuiltIn_Database&amp;".xlsm)",IF(OR($C282&lt;&gt;"S",ORÇAMENTO.CodBarra=""),"(Sem Código)",IF(ISERROR(MATCH($AE282,INDIRECT(ORÇAMENTO.BancoRef),0)),"(Código não identificado nas referências)",MATCH($AE282,INDIRECT(ORÇAMENTO.BancoRef),0))))</f>
        <v>(abra o arquivo 'Referência 03-2024.xlsm)</v>
      </c>
      <c r="AG282" s="498">
        <f ca="1">ROUND(IF(DESONERACAO="sim",REFERENCIA.Desonerado,REFERENCIA.NaoDesonerado),2)</f>
        <v>0</v>
      </c>
      <c r="AH282" s="499">
        <f t="shared" ca="1" si="77"/>
        <v>0.28170000000000001</v>
      </c>
      <c r="AJ282" s="501"/>
      <c r="AL282" s="527"/>
      <c r="AM282" s="381">
        <f t="shared" ca="1" si="78"/>
        <v>0</v>
      </c>
      <c r="AN282" s="566">
        <f t="shared" ca="1" si="79"/>
        <v>0</v>
      </c>
    </row>
    <row r="283" spans="1:40" hidden="1" x14ac:dyDescent="0.2">
      <c r="A283" t="str">
        <f t="shared" si="64"/>
        <v>S</v>
      </c>
      <c r="B283">
        <f t="shared" ca="1" si="65"/>
        <v>2</v>
      </c>
      <c r="C283" t="str">
        <f t="shared" ca="1" si="66"/>
        <v>S</v>
      </c>
      <c r="D283">
        <f t="shared" ca="1" si="67"/>
        <v>0</v>
      </c>
      <c r="E283">
        <f ca="1">IF($C283=1,OFFSET(E283,-1,0)+MAX(1,COUNTIF(QCI!$A$13:$A$24,OFFSET(ORÇAMENTO!E283,-1,0))),OFFSET(E283,-1,0))</f>
        <v>1</v>
      </c>
      <c r="F283">
        <f t="shared" ca="1" si="68"/>
        <v>13</v>
      </c>
      <c r="G283">
        <f t="shared" ca="1" si="69"/>
        <v>0</v>
      </c>
      <c r="H283">
        <f t="shared" ca="1" si="70"/>
        <v>0</v>
      </c>
      <c r="I283">
        <f t="shared" ca="1" si="71"/>
        <v>1</v>
      </c>
      <c r="J283">
        <f t="shared" ca="1" si="80"/>
        <v>0</v>
      </c>
      <c r="K283">
        <f ca="1">IF(OR($C283="S",$C283=0),0,MATCH(OFFSET($D283,0,$C283)+IF($C283&lt;&gt;1,1,COUNTIF(QCI!$A$13:$A$24,ORÇAMENTO!E283)),OFFSET($D283,1,$C283,ROW($C$290)-ROW($C283)),0))</f>
        <v>0</v>
      </c>
      <c r="L283" s="116" t="str">
        <f t="shared" ca="1" si="72"/>
        <v/>
      </c>
      <c r="M283" s="117" t="s">
        <v>199</v>
      </c>
      <c r="N283" s="118" t="str">
        <f t="shared" ca="1" si="73"/>
        <v>Serviço</v>
      </c>
      <c r="O283" s="119" t="str">
        <f t="shared" ca="1" si="74"/>
        <v>-</v>
      </c>
      <c r="P283" s="120" t="s">
        <v>247</v>
      </c>
      <c r="Q283" s="121"/>
      <c r="R283" s="122" t="str">
        <f ca="1">IF($C283="S",REFERENCIA.Descricao,"(digite a descrição aqui)")</f>
        <v>(abra o arquivo 'Referência 03-2024.xlsm)</v>
      </c>
      <c r="S283" s="123" t="str">
        <f ca="1">REFERENCIA.Unidade</f>
        <v>-</v>
      </c>
      <c r="T283" s="124">
        <f ca="1">OFFSET(CÁLCULO!H$15,ROW($T283)-ROW(T$15),0)</f>
        <v>0</v>
      </c>
      <c r="U283" s="125"/>
      <c r="V283" s="126" t="s">
        <v>156</v>
      </c>
      <c r="W283" s="124">
        <f ca="1">IF($C283="S",ROUND(IF(TIPOORCAMENTO="Proposto",ORÇAMENTO.CustoUnitario*(1+$AH283),ORÇAMENTO.PrecoUnitarioLicitado),15-13*$AF$10),0)</f>
        <v>0</v>
      </c>
      <c r="X283" s="127">
        <f ca="1">IF($C283="S",IF(Import.TipoArredondamento&lt;&gt;"TransfereGOV",VTOTAL1,SUM(OFFSET(CÁLCULO!$AA$15,ROW($X283)-ROW($X$15),1):OFFSET(CÁLCULO!$AL$15,ROW($X283)-ROW($X$15),-1))),IF($C283=0,0,ROUND(SomaAgrup,15-13*$AF$11)))</f>
        <v>0</v>
      </c>
      <c r="Y283" s="128" t="s">
        <v>245</v>
      </c>
      <c r="Z283" t="str">
        <f t="shared" ca="1" si="75"/>
        <v/>
      </c>
      <c r="AA283" s="129">
        <f ca="1">IF($C283="S",IF($Z283="CP",$X283,IF($Z283="RA",(($X283)*QCI!$AA$3),0)),SomaAgrup)</f>
        <v>0</v>
      </c>
      <c r="AB283" s="130">
        <f t="shared" ca="1" si="76"/>
        <v>0</v>
      </c>
      <c r="AC283" s="131" t="str">
        <f ca="1">IF($N283="","",IF(ORÇAMENTO.Descricao="","DESCRIÇÃO",IF(AND($C283="S",ORÇAMENTO.Unidade=""),"UNIDADE",IF($X283&lt;0,"VALOR NEGATIVO",IF(OR(AND(TIPOORCAMENTO="Proposto",$AG283&lt;&gt;"",$AG283&gt;0,ORÇAMENTO.CustoUnitario&gt;$AG283),AND(TIPOORCAMENTO="LICITADO",ORÇAMENTO.PrecoUnitarioLicitado&gt;$AN283)),"ACIMA REF.","")))))</f>
        <v/>
      </c>
      <c r="AD283" t="str">
        <f ca="1">IF(C283&lt;=CRONO.NivelExibicao,MAX($AD$15:OFFSET(AD283,-1,0))+IF($C283&lt;&gt;1,1,MAX(1,COUNTIF(QCI!$A$13:$A$24,OFFSET($E283,-1,0)))),"")</f>
        <v/>
      </c>
      <c r="AE283" s="7" t="b">
        <f ca="1">IF(AND($C283="S",ORÇAMENTO.CodBarra&lt;&gt;""),IF(ORÇAMENTO.Fonte="",ORÇAMENTO.CodBarra,CONCATENATE(ORÇAMENTO.Fonte," ",ORÇAMENTO.CodBarra)))</f>
        <v>0</v>
      </c>
      <c r="AF283" s="13" t="str">
        <f ca="1">IF(ISERROR(INDIRECT(ORÇAMENTO.BancoRef)),"(abra o arquivo 'Referência "&amp;Excel_BuiltIn_Database&amp;".xlsm)",IF(OR($C283&lt;&gt;"S",ORÇAMENTO.CodBarra=""),"(Sem Código)",IF(ISERROR(MATCH($AE283,INDIRECT(ORÇAMENTO.BancoRef),0)),"(Código não identificado nas referências)",MATCH($AE283,INDIRECT(ORÇAMENTO.BancoRef),0))))</f>
        <v>(abra o arquivo 'Referência 03-2024.xlsm)</v>
      </c>
      <c r="AG283" s="498">
        <f ca="1">ROUND(IF(DESONERACAO="sim",REFERENCIA.Desonerado,REFERENCIA.NaoDesonerado),2)</f>
        <v>0</v>
      </c>
      <c r="AH283" s="499">
        <f t="shared" ca="1" si="77"/>
        <v>0.28170000000000001</v>
      </c>
      <c r="AJ283" s="501"/>
      <c r="AL283" s="527"/>
      <c r="AM283" s="381">
        <f t="shared" ca="1" si="78"/>
        <v>0</v>
      </c>
      <c r="AN283" s="566">
        <f t="shared" ca="1" si="79"/>
        <v>0</v>
      </c>
    </row>
    <row r="284" spans="1:40" hidden="1" x14ac:dyDescent="0.2">
      <c r="A284" t="str">
        <f t="shared" si="64"/>
        <v>S</v>
      </c>
      <c r="B284">
        <f t="shared" ca="1" si="65"/>
        <v>2</v>
      </c>
      <c r="C284" t="str">
        <f t="shared" ca="1" si="66"/>
        <v>S</v>
      </c>
      <c r="D284">
        <f t="shared" ca="1" si="67"/>
        <v>0</v>
      </c>
      <c r="E284">
        <f ca="1">IF($C284=1,OFFSET(E284,-1,0)+MAX(1,COUNTIF(QCI!$A$13:$A$24,OFFSET(ORÇAMENTO!E284,-1,0))),OFFSET(E284,-1,0))</f>
        <v>1</v>
      </c>
      <c r="F284">
        <f t="shared" ca="1" si="68"/>
        <v>13</v>
      </c>
      <c r="G284">
        <f t="shared" ca="1" si="69"/>
        <v>0</v>
      </c>
      <c r="H284">
        <f t="shared" ca="1" si="70"/>
        <v>0</v>
      </c>
      <c r="I284">
        <f t="shared" ca="1" si="71"/>
        <v>1</v>
      </c>
      <c r="J284">
        <f t="shared" ca="1" si="80"/>
        <v>0</v>
      </c>
      <c r="K284">
        <f ca="1">IF(OR($C284="S",$C284=0),0,MATCH(OFFSET($D284,0,$C284)+IF($C284&lt;&gt;1,1,COUNTIF(QCI!$A$13:$A$24,ORÇAMENTO!E284)),OFFSET($D284,1,$C284,ROW($C$290)-ROW($C284)),0))</f>
        <v>0</v>
      </c>
      <c r="L284" s="116" t="str">
        <f t="shared" ca="1" si="72"/>
        <v/>
      </c>
      <c r="M284" s="117" t="s">
        <v>199</v>
      </c>
      <c r="N284" s="118" t="str">
        <f t="shared" ca="1" si="73"/>
        <v>Serviço</v>
      </c>
      <c r="O284" s="119" t="str">
        <f t="shared" ca="1" si="74"/>
        <v>-</v>
      </c>
      <c r="P284" s="120" t="s">
        <v>247</v>
      </c>
      <c r="Q284" s="121"/>
      <c r="R284" s="122" t="str">
        <f ca="1">IF($C284="S",REFERENCIA.Descricao,"(digite a descrição aqui)")</f>
        <v>(abra o arquivo 'Referência 03-2024.xlsm)</v>
      </c>
      <c r="S284" s="123" t="str">
        <f ca="1">REFERENCIA.Unidade</f>
        <v>-</v>
      </c>
      <c r="T284" s="124">
        <f ca="1">OFFSET(CÁLCULO!H$15,ROW($T284)-ROW(T$15),0)</f>
        <v>0</v>
      </c>
      <c r="U284" s="125"/>
      <c r="V284" s="126" t="s">
        <v>156</v>
      </c>
      <c r="W284" s="124">
        <f ca="1">IF($C284="S",ROUND(IF(TIPOORCAMENTO="Proposto",ORÇAMENTO.CustoUnitario*(1+$AH284),ORÇAMENTO.PrecoUnitarioLicitado),15-13*$AF$10),0)</f>
        <v>0</v>
      </c>
      <c r="X284" s="127">
        <f ca="1">IF($C284="S",IF(Import.TipoArredondamento&lt;&gt;"TransfereGOV",VTOTAL1,SUM(OFFSET(CÁLCULO!$AA$15,ROW($X284)-ROW($X$15),1):OFFSET(CÁLCULO!$AL$15,ROW($X284)-ROW($X$15),-1))),IF($C284=0,0,ROUND(SomaAgrup,15-13*$AF$11)))</f>
        <v>0</v>
      </c>
      <c r="Y284" s="128" t="s">
        <v>245</v>
      </c>
      <c r="Z284" t="str">
        <f t="shared" ca="1" si="75"/>
        <v/>
      </c>
      <c r="AA284" s="129">
        <f ca="1">IF($C284="S",IF($Z284="CP",$X284,IF($Z284="RA",(($X284)*QCI!$AA$3),0)),SomaAgrup)</f>
        <v>0</v>
      </c>
      <c r="AB284" s="130">
        <f t="shared" ca="1" si="76"/>
        <v>0</v>
      </c>
      <c r="AC284" s="131" t="str">
        <f ca="1">IF($N284="","",IF(ORÇAMENTO.Descricao="","DESCRIÇÃO",IF(AND($C284="S",ORÇAMENTO.Unidade=""),"UNIDADE",IF($X284&lt;0,"VALOR NEGATIVO",IF(OR(AND(TIPOORCAMENTO="Proposto",$AG284&lt;&gt;"",$AG284&gt;0,ORÇAMENTO.CustoUnitario&gt;$AG284),AND(TIPOORCAMENTO="LICITADO",ORÇAMENTO.PrecoUnitarioLicitado&gt;$AN284)),"ACIMA REF.","")))))</f>
        <v/>
      </c>
      <c r="AD284" t="str">
        <f ca="1">IF(C284&lt;=CRONO.NivelExibicao,MAX($AD$15:OFFSET(AD284,-1,0))+IF($C284&lt;&gt;1,1,MAX(1,COUNTIF(QCI!$A$13:$A$24,OFFSET($E284,-1,0)))),"")</f>
        <v/>
      </c>
      <c r="AE284" s="7" t="b">
        <f ca="1">IF(AND($C284="S",ORÇAMENTO.CodBarra&lt;&gt;""),IF(ORÇAMENTO.Fonte="",ORÇAMENTO.CodBarra,CONCATENATE(ORÇAMENTO.Fonte," ",ORÇAMENTO.CodBarra)))</f>
        <v>0</v>
      </c>
      <c r="AF284" s="13" t="str">
        <f ca="1">IF(ISERROR(INDIRECT(ORÇAMENTO.BancoRef)),"(abra o arquivo 'Referência "&amp;Excel_BuiltIn_Database&amp;".xlsm)",IF(OR($C284&lt;&gt;"S",ORÇAMENTO.CodBarra=""),"(Sem Código)",IF(ISERROR(MATCH($AE284,INDIRECT(ORÇAMENTO.BancoRef),0)),"(Código não identificado nas referências)",MATCH($AE284,INDIRECT(ORÇAMENTO.BancoRef),0))))</f>
        <v>(abra o arquivo 'Referência 03-2024.xlsm)</v>
      </c>
      <c r="AG284" s="498">
        <f ca="1">ROUND(IF(DESONERACAO="sim",REFERENCIA.Desonerado,REFERENCIA.NaoDesonerado),2)</f>
        <v>0</v>
      </c>
      <c r="AH284" s="499">
        <f t="shared" ca="1" si="77"/>
        <v>0.28170000000000001</v>
      </c>
      <c r="AJ284" s="501"/>
      <c r="AL284" s="527"/>
      <c r="AM284" s="381">
        <f t="shared" ca="1" si="78"/>
        <v>0</v>
      </c>
      <c r="AN284" s="566">
        <f t="shared" ca="1" si="79"/>
        <v>0</v>
      </c>
    </row>
    <row r="285" spans="1:40" hidden="1" x14ac:dyDescent="0.2">
      <c r="A285" t="str">
        <f t="shared" si="64"/>
        <v>S</v>
      </c>
      <c r="B285">
        <f t="shared" ca="1" si="65"/>
        <v>2</v>
      </c>
      <c r="C285" t="str">
        <f t="shared" ca="1" si="66"/>
        <v>S</v>
      </c>
      <c r="D285">
        <f t="shared" ca="1" si="67"/>
        <v>0</v>
      </c>
      <c r="E285">
        <f ca="1">IF($C285=1,OFFSET(E285,-1,0)+MAX(1,COUNTIF(QCI!$A$13:$A$24,OFFSET(ORÇAMENTO!E285,-1,0))),OFFSET(E285,-1,0))</f>
        <v>1</v>
      </c>
      <c r="F285">
        <f t="shared" ca="1" si="68"/>
        <v>13</v>
      </c>
      <c r="G285">
        <f t="shared" ca="1" si="69"/>
        <v>0</v>
      </c>
      <c r="H285">
        <f t="shared" ca="1" si="70"/>
        <v>0</v>
      </c>
      <c r="I285">
        <f t="shared" ca="1" si="71"/>
        <v>1</v>
      </c>
      <c r="J285">
        <f t="shared" ca="1" si="80"/>
        <v>0</v>
      </c>
      <c r="K285">
        <f ca="1">IF(OR($C285="S",$C285=0),0,MATCH(OFFSET($D285,0,$C285)+IF($C285&lt;&gt;1,1,COUNTIF(QCI!$A$13:$A$24,ORÇAMENTO!E285)),OFFSET($D285,1,$C285,ROW($C$290)-ROW($C285)),0))</f>
        <v>0</v>
      </c>
      <c r="L285" s="116" t="str">
        <f t="shared" ca="1" si="72"/>
        <v/>
      </c>
      <c r="M285" s="117" t="s">
        <v>199</v>
      </c>
      <c r="N285" s="118" t="str">
        <f t="shared" ca="1" si="73"/>
        <v>Serviço</v>
      </c>
      <c r="O285" s="119" t="str">
        <f t="shared" ca="1" si="74"/>
        <v>-</v>
      </c>
      <c r="P285" s="120" t="s">
        <v>247</v>
      </c>
      <c r="Q285" s="121"/>
      <c r="R285" s="122" t="str">
        <f ca="1">IF($C285="S",REFERENCIA.Descricao,"(digite a descrição aqui)")</f>
        <v>(abra o arquivo 'Referência 03-2024.xlsm)</v>
      </c>
      <c r="S285" s="123" t="str">
        <f ca="1">REFERENCIA.Unidade</f>
        <v>-</v>
      </c>
      <c r="T285" s="124">
        <f ca="1">OFFSET(CÁLCULO!H$15,ROW($T285)-ROW(T$15),0)</f>
        <v>0</v>
      </c>
      <c r="U285" s="125"/>
      <c r="V285" s="126" t="s">
        <v>156</v>
      </c>
      <c r="W285" s="124">
        <f ca="1">IF($C285="S",ROUND(IF(TIPOORCAMENTO="Proposto",ORÇAMENTO.CustoUnitario*(1+$AH285),ORÇAMENTO.PrecoUnitarioLicitado),15-13*$AF$10),0)</f>
        <v>0</v>
      </c>
      <c r="X285" s="127">
        <f ca="1">IF($C285="S",IF(Import.TipoArredondamento&lt;&gt;"TransfereGOV",VTOTAL1,SUM(OFFSET(CÁLCULO!$AA$15,ROW($X285)-ROW($X$15),1):OFFSET(CÁLCULO!$AL$15,ROW($X285)-ROW($X$15),-1))),IF($C285=0,0,ROUND(SomaAgrup,15-13*$AF$11)))</f>
        <v>0</v>
      </c>
      <c r="Y285" s="128" t="s">
        <v>245</v>
      </c>
      <c r="Z285" t="str">
        <f t="shared" ca="1" si="75"/>
        <v/>
      </c>
      <c r="AA285" s="129">
        <f ca="1">IF($C285="S",IF($Z285="CP",$X285,IF($Z285="RA",(($X285)*QCI!$AA$3),0)),SomaAgrup)</f>
        <v>0</v>
      </c>
      <c r="AB285" s="130">
        <f t="shared" ca="1" si="76"/>
        <v>0</v>
      </c>
      <c r="AC285" s="131" t="str">
        <f ca="1">IF($N285="","",IF(ORÇAMENTO.Descricao="","DESCRIÇÃO",IF(AND($C285="S",ORÇAMENTO.Unidade=""),"UNIDADE",IF($X285&lt;0,"VALOR NEGATIVO",IF(OR(AND(TIPOORCAMENTO="Proposto",$AG285&lt;&gt;"",$AG285&gt;0,ORÇAMENTO.CustoUnitario&gt;$AG285),AND(TIPOORCAMENTO="LICITADO",ORÇAMENTO.PrecoUnitarioLicitado&gt;$AN285)),"ACIMA REF.","")))))</f>
        <v/>
      </c>
      <c r="AD285" t="str">
        <f ca="1">IF(C285&lt;=CRONO.NivelExibicao,MAX($AD$15:OFFSET(AD285,-1,0))+IF($C285&lt;&gt;1,1,MAX(1,COUNTIF(QCI!$A$13:$A$24,OFFSET($E285,-1,0)))),"")</f>
        <v/>
      </c>
      <c r="AE285" s="7" t="b">
        <f ca="1">IF(AND($C285="S",ORÇAMENTO.CodBarra&lt;&gt;""),IF(ORÇAMENTO.Fonte="",ORÇAMENTO.CodBarra,CONCATENATE(ORÇAMENTO.Fonte," ",ORÇAMENTO.CodBarra)))</f>
        <v>0</v>
      </c>
      <c r="AF285" s="13" t="str">
        <f ca="1">IF(ISERROR(INDIRECT(ORÇAMENTO.BancoRef)),"(abra o arquivo 'Referência "&amp;Excel_BuiltIn_Database&amp;".xlsm)",IF(OR($C285&lt;&gt;"S",ORÇAMENTO.CodBarra=""),"(Sem Código)",IF(ISERROR(MATCH($AE285,INDIRECT(ORÇAMENTO.BancoRef),0)),"(Código não identificado nas referências)",MATCH($AE285,INDIRECT(ORÇAMENTO.BancoRef),0))))</f>
        <v>(abra o arquivo 'Referência 03-2024.xlsm)</v>
      </c>
      <c r="AG285" s="498">
        <f ca="1">ROUND(IF(DESONERACAO="sim",REFERENCIA.Desonerado,REFERENCIA.NaoDesonerado),2)</f>
        <v>0</v>
      </c>
      <c r="AH285" s="499">
        <f t="shared" ca="1" si="77"/>
        <v>0.28170000000000001</v>
      </c>
      <c r="AJ285" s="501"/>
      <c r="AL285" s="527"/>
      <c r="AM285" s="381">
        <f t="shared" ca="1" si="78"/>
        <v>0</v>
      </c>
      <c r="AN285" s="566">
        <f t="shared" ca="1" si="79"/>
        <v>0</v>
      </c>
    </row>
    <row r="286" spans="1:40" hidden="1" x14ac:dyDescent="0.2">
      <c r="A286" t="str">
        <f t="shared" si="64"/>
        <v>S</v>
      </c>
      <c r="B286">
        <f t="shared" ca="1" si="65"/>
        <v>2</v>
      </c>
      <c r="C286" t="str">
        <f t="shared" ca="1" si="66"/>
        <v>S</v>
      </c>
      <c r="D286">
        <f t="shared" ca="1" si="67"/>
        <v>0</v>
      </c>
      <c r="E286">
        <f ca="1">IF($C286=1,OFFSET(E286,-1,0)+MAX(1,COUNTIF(QCI!$A$13:$A$24,OFFSET(ORÇAMENTO!E286,-1,0))),OFFSET(E286,-1,0))</f>
        <v>1</v>
      </c>
      <c r="F286">
        <f t="shared" ca="1" si="68"/>
        <v>13</v>
      </c>
      <c r="G286">
        <f t="shared" ca="1" si="69"/>
        <v>0</v>
      </c>
      <c r="H286">
        <f t="shared" ca="1" si="70"/>
        <v>0</v>
      </c>
      <c r="I286">
        <f t="shared" ca="1" si="71"/>
        <v>1</v>
      </c>
      <c r="J286">
        <f t="shared" ca="1" si="80"/>
        <v>0</v>
      </c>
      <c r="K286">
        <f ca="1">IF(OR($C286="S",$C286=0),0,MATCH(OFFSET($D286,0,$C286)+IF($C286&lt;&gt;1,1,COUNTIF(QCI!$A$13:$A$24,ORÇAMENTO!E286)),OFFSET($D286,1,$C286,ROW($C$290)-ROW($C286)),0))</f>
        <v>0</v>
      </c>
      <c r="L286" s="116" t="str">
        <f t="shared" ca="1" si="72"/>
        <v/>
      </c>
      <c r="M286" s="117" t="s">
        <v>199</v>
      </c>
      <c r="N286" s="118" t="str">
        <f t="shared" ca="1" si="73"/>
        <v>Serviço</v>
      </c>
      <c r="O286" s="119" t="str">
        <f t="shared" ca="1" si="74"/>
        <v>-</v>
      </c>
      <c r="P286" s="120" t="s">
        <v>247</v>
      </c>
      <c r="Q286" s="121"/>
      <c r="R286" s="122" t="str">
        <f ca="1">IF($C286="S",REFERENCIA.Descricao,"(digite a descrição aqui)")</f>
        <v>(abra o arquivo 'Referência 03-2024.xlsm)</v>
      </c>
      <c r="S286" s="123" t="str">
        <f ca="1">REFERENCIA.Unidade</f>
        <v>-</v>
      </c>
      <c r="T286" s="124">
        <f ca="1">OFFSET(CÁLCULO!H$15,ROW($T286)-ROW(T$15),0)</f>
        <v>0</v>
      </c>
      <c r="U286" s="125"/>
      <c r="V286" s="126" t="s">
        <v>156</v>
      </c>
      <c r="W286" s="124">
        <f ca="1">IF($C286="S",ROUND(IF(TIPOORCAMENTO="Proposto",ORÇAMENTO.CustoUnitario*(1+$AH286),ORÇAMENTO.PrecoUnitarioLicitado),15-13*$AF$10),0)</f>
        <v>0</v>
      </c>
      <c r="X286" s="127">
        <f ca="1">IF($C286="S",IF(Import.TipoArredondamento&lt;&gt;"TransfereGOV",VTOTAL1,SUM(OFFSET(CÁLCULO!$AA$15,ROW($X286)-ROW($X$15),1):OFFSET(CÁLCULO!$AL$15,ROW($X286)-ROW($X$15),-1))),IF($C286=0,0,ROUND(SomaAgrup,15-13*$AF$11)))</f>
        <v>0</v>
      </c>
      <c r="Y286" s="128" t="s">
        <v>245</v>
      </c>
      <c r="Z286" t="str">
        <f t="shared" ca="1" si="75"/>
        <v/>
      </c>
      <c r="AA286" s="129">
        <f ca="1">IF($C286="S",IF($Z286="CP",$X286,IF($Z286="RA",(($X286)*QCI!$AA$3),0)),SomaAgrup)</f>
        <v>0</v>
      </c>
      <c r="AB286" s="130">
        <f t="shared" ca="1" si="76"/>
        <v>0</v>
      </c>
      <c r="AC286" s="131" t="str">
        <f ca="1">IF($N286="","",IF(ORÇAMENTO.Descricao="","DESCRIÇÃO",IF(AND($C286="S",ORÇAMENTO.Unidade=""),"UNIDADE",IF($X286&lt;0,"VALOR NEGATIVO",IF(OR(AND(TIPOORCAMENTO="Proposto",$AG286&lt;&gt;"",$AG286&gt;0,ORÇAMENTO.CustoUnitario&gt;$AG286),AND(TIPOORCAMENTO="LICITADO",ORÇAMENTO.PrecoUnitarioLicitado&gt;$AN286)),"ACIMA REF.","")))))</f>
        <v/>
      </c>
      <c r="AD286" t="str">
        <f ca="1">IF(C286&lt;=CRONO.NivelExibicao,MAX($AD$15:OFFSET(AD286,-1,0))+IF($C286&lt;&gt;1,1,MAX(1,COUNTIF(QCI!$A$13:$A$24,OFFSET($E286,-1,0)))),"")</f>
        <v/>
      </c>
      <c r="AE286" s="7" t="b">
        <f ca="1">IF(AND($C286="S",ORÇAMENTO.CodBarra&lt;&gt;""),IF(ORÇAMENTO.Fonte="",ORÇAMENTO.CodBarra,CONCATENATE(ORÇAMENTO.Fonte," ",ORÇAMENTO.CodBarra)))</f>
        <v>0</v>
      </c>
      <c r="AF286" s="13" t="str">
        <f ca="1">IF(ISERROR(INDIRECT(ORÇAMENTO.BancoRef)),"(abra o arquivo 'Referência "&amp;Excel_BuiltIn_Database&amp;".xlsm)",IF(OR($C286&lt;&gt;"S",ORÇAMENTO.CodBarra=""),"(Sem Código)",IF(ISERROR(MATCH($AE286,INDIRECT(ORÇAMENTO.BancoRef),0)),"(Código não identificado nas referências)",MATCH($AE286,INDIRECT(ORÇAMENTO.BancoRef),0))))</f>
        <v>(abra o arquivo 'Referência 03-2024.xlsm)</v>
      </c>
      <c r="AG286" s="498">
        <f ca="1">ROUND(IF(DESONERACAO="sim",REFERENCIA.Desonerado,REFERENCIA.NaoDesonerado),2)</f>
        <v>0</v>
      </c>
      <c r="AH286" s="499">
        <f t="shared" ca="1" si="77"/>
        <v>0.28170000000000001</v>
      </c>
      <c r="AJ286" s="501"/>
      <c r="AL286" s="527"/>
      <c r="AM286" s="381">
        <f t="shared" ca="1" si="78"/>
        <v>0</v>
      </c>
      <c r="AN286" s="566">
        <f t="shared" ca="1" si="79"/>
        <v>0</v>
      </c>
    </row>
    <row r="287" spans="1:40" hidden="1" x14ac:dyDescent="0.2">
      <c r="A287" t="str">
        <f t="shared" si="64"/>
        <v>S</v>
      </c>
      <c r="B287">
        <f t="shared" ca="1" si="65"/>
        <v>2</v>
      </c>
      <c r="C287" t="str">
        <f t="shared" ca="1" si="66"/>
        <v>S</v>
      </c>
      <c r="D287">
        <f t="shared" ca="1" si="67"/>
        <v>0</v>
      </c>
      <c r="E287">
        <f ca="1">IF($C287=1,OFFSET(E287,-1,0)+MAX(1,COUNTIF(QCI!$A$13:$A$24,OFFSET(ORÇAMENTO!E287,-1,0))),OFFSET(E287,-1,0))</f>
        <v>1</v>
      </c>
      <c r="F287">
        <f t="shared" ca="1" si="68"/>
        <v>13</v>
      </c>
      <c r="G287">
        <f t="shared" ca="1" si="69"/>
        <v>0</v>
      </c>
      <c r="H287">
        <f t="shared" ca="1" si="70"/>
        <v>0</v>
      </c>
      <c r="I287">
        <f t="shared" ca="1" si="71"/>
        <v>1</v>
      </c>
      <c r="J287">
        <f t="shared" ca="1" si="80"/>
        <v>0</v>
      </c>
      <c r="K287">
        <f ca="1">IF(OR($C287="S",$C287=0),0,MATCH(OFFSET($D287,0,$C287)+IF($C287&lt;&gt;1,1,COUNTIF(QCI!$A$13:$A$24,ORÇAMENTO!E287)),OFFSET($D287,1,$C287,ROW($C$290)-ROW($C287)),0))</f>
        <v>0</v>
      </c>
      <c r="L287" s="116" t="str">
        <f t="shared" ca="1" si="72"/>
        <v/>
      </c>
      <c r="M287" s="117" t="s">
        <v>199</v>
      </c>
      <c r="N287" s="118" t="str">
        <f t="shared" ca="1" si="73"/>
        <v>Serviço</v>
      </c>
      <c r="O287" s="119" t="str">
        <f t="shared" ca="1" si="74"/>
        <v>-</v>
      </c>
      <c r="P287" s="120" t="s">
        <v>247</v>
      </c>
      <c r="Q287" s="121"/>
      <c r="R287" s="122" t="str">
        <f ca="1">IF($C287="S",REFERENCIA.Descricao,"(digite a descrição aqui)")</f>
        <v>(abra o arquivo 'Referência 03-2024.xlsm)</v>
      </c>
      <c r="S287" s="123" t="str">
        <f ca="1">REFERENCIA.Unidade</f>
        <v>-</v>
      </c>
      <c r="T287" s="124">
        <f ca="1">OFFSET(CÁLCULO!H$15,ROW($T287)-ROW(T$15),0)</f>
        <v>0</v>
      </c>
      <c r="U287" s="125"/>
      <c r="V287" s="126" t="s">
        <v>156</v>
      </c>
      <c r="W287" s="124">
        <f ca="1">IF($C287="S",ROUND(IF(TIPOORCAMENTO="Proposto",ORÇAMENTO.CustoUnitario*(1+$AH287),ORÇAMENTO.PrecoUnitarioLicitado),15-13*$AF$10),0)</f>
        <v>0</v>
      </c>
      <c r="X287" s="127">
        <f ca="1">IF($C287="S",IF(Import.TipoArredondamento&lt;&gt;"TransfereGOV",VTOTAL1,SUM(OFFSET(CÁLCULO!$AA$15,ROW($X287)-ROW($X$15),1):OFFSET(CÁLCULO!$AL$15,ROW($X287)-ROW($X$15),-1))),IF($C287=0,0,ROUND(SomaAgrup,15-13*$AF$11)))</f>
        <v>0</v>
      </c>
      <c r="Y287" s="128" t="s">
        <v>245</v>
      </c>
      <c r="Z287" t="str">
        <f t="shared" ca="1" si="75"/>
        <v/>
      </c>
      <c r="AA287" s="129">
        <f ca="1">IF($C287="S",IF($Z287="CP",$X287,IF($Z287="RA",(($X287)*QCI!$AA$3),0)),SomaAgrup)</f>
        <v>0</v>
      </c>
      <c r="AB287" s="130">
        <f t="shared" ca="1" si="76"/>
        <v>0</v>
      </c>
      <c r="AC287" s="131" t="str">
        <f ca="1">IF($N287="","",IF(ORÇAMENTO.Descricao="","DESCRIÇÃO",IF(AND($C287="S",ORÇAMENTO.Unidade=""),"UNIDADE",IF($X287&lt;0,"VALOR NEGATIVO",IF(OR(AND(TIPOORCAMENTO="Proposto",$AG287&lt;&gt;"",$AG287&gt;0,ORÇAMENTO.CustoUnitario&gt;$AG287),AND(TIPOORCAMENTO="LICITADO",ORÇAMENTO.PrecoUnitarioLicitado&gt;$AN287)),"ACIMA REF.","")))))</f>
        <v/>
      </c>
      <c r="AD287" t="str">
        <f ca="1">IF(C287&lt;=CRONO.NivelExibicao,MAX($AD$15:OFFSET(AD287,-1,0))+IF($C287&lt;&gt;1,1,MAX(1,COUNTIF(QCI!$A$13:$A$24,OFFSET($E287,-1,0)))),"")</f>
        <v/>
      </c>
      <c r="AE287" s="7" t="b">
        <f ca="1">IF(AND($C287="S",ORÇAMENTO.CodBarra&lt;&gt;""),IF(ORÇAMENTO.Fonte="",ORÇAMENTO.CodBarra,CONCATENATE(ORÇAMENTO.Fonte," ",ORÇAMENTO.CodBarra)))</f>
        <v>0</v>
      </c>
      <c r="AF287" s="13" t="str">
        <f ca="1">IF(ISERROR(INDIRECT(ORÇAMENTO.BancoRef)),"(abra o arquivo 'Referência "&amp;Excel_BuiltIn_Database&amp;".xlsm)",IF(OR($C287&lt;&gt;"S",ORÇAMENTO.CodBarra=""),"(Sem Código)",IF(ISERROR(MATCH($AE287,INDIRECT(ORÇAMENTO.BancoRef),0)),"(Código não identificado nas referências)",MATCH($AE287,INDIRECT(ORÇAMENTO.BancoRef),0))))</f>
        <v>(abra o arquivo 'Referência 03-2024.xlsm)</v>
      </c>
      <c r="AG287" s="498">
        <f ca="1">ROUND(IF(DESONERACAO="sim",REFERENCIA.Desonerado,REFERENCIA.NaoDesonerado),2)</f>
        <v>0</v>
      </c>
      <c r="AH287" s="499">
        <f t="shared" ca="1" si="77"/>
        <v>0.28170000000000001</v>
      </c>
      <c r="AJ287" s="501"/>
      <c r="AL287" s="527"/>
      <c r="AM287" s="381">
        <f t="shared" ca="1" si="78"/>
        <v>0</v>
      </c>
      <c r="AN287" s="566">
        <f t="shared" ca="1" si="79"/>
        <v>0</v>
      </c>
    </row>
    <row r="288" spans="1:40" hidden="1" x14ac:dyDescent="0.2">
      <c r="A288" t="str">
        <f t="shared" si="64"/>
        <v>S</v>
      </c>
      <c r="B288">
        <f t="shared" ca="1" si="65"/>
        <v>2</v>
      </c>
      <c r="C288" t="str">
        <f t="shared" ca="1" si="66"/>
        <v>S</v>
      </c>
      <c r="D288">
        <f t="shared" ca="1" si="67"/>
        <v>0</v>
      </c>
      <c r="E288">
        <f ca="1">IF($C288=1,OFFSET(E288,-1,0)+MAX(1,COUNTIF(QCI!$A$13:$A$24,OFFSET(ORÇAMENTO!E288,-1,0))),OFFSET(E288,-1,0))</f>
        <v>1</v>
      </c>
      <c r="F288">
        <f t="shared" ca="1" si="68"/>
        <v>13</v>
      </c>
      <c r="G288">
        <f t="shared" ca="1" si="69"/>
        <v>0</v>
      </c>
      <c r="H288">
        <f t="shared" ca="1" si="70"/>
        <v>0</v>
      </c>
      <c r="I288">
        <f t="shared" ca="1" si="71"/>
        <v>1</v>
      </c>
      <c r="J288">
        <f t="shared" ca="1" si="80"/>
        <v>0</v>
      </c>
      <c r="K288">
        <f ca="1">IF(OR($C288="S",$C288=0),0,MATCH(OFFSET($D288,0,$C288)+IF($C288&lt;&gt;1,1,COUNTIF(QCI!$A$13:$A$24,ORÇAMENTO!E288)),OFFSET($D288,1,$C288,ROW($C$290)-ROW($C288)),0))</f>
        <v>0</v>
      </c>
      <c r="L288" s="116" t="str">
        <f t="shared" ca="1" si="72"/>
        <v/>
      </c>
      <c r="M288" s="117" t="s">
        <v>199</v>
      </c>
      <c r="N288" s="118" t="str">
        <f t="shared" ca="1" si="73"/>
        <v>Serviço</v>
      </c>
      <c r="O288" s="119" t="str">
        <f t="shared" ca="1" si="74"/>
        <v>-</v>
      </c>
      <c r="P288" s="120" t="s">
        <v>247</v>
      </c>
      <c r="Q288" s="121"/>
      <c r="R288" s="122" t="str">
        <f ca="1">IF($C288="S",REFERENCIA.Descricao,"(digite a descrição aqui)")</f>
        <v>(abra o arquivo 'Referência 03-2024.xlsm)</v>
      </c>
      <c r="S288" s="123" t="str">
        <f ca="1">REFERENCIA.Unidade</f>
        <v>-</v>
      </c>
      <c r="T288" s="124">
        <f ca="1">OFFSET(CÁLCULO!H$15,ROW($T288)-ROW(T$15),0)</f>
        <v>0</v>
      </c>
      <c r="U288" s="125"/>
      <c r="V288" s="126" t="s">
        <v>156</v>
      </c>
      <c r="W288" s="124">
        <f ca="1">IF($C288="S",ROUND(IF(TIPOORCAMENTO="Proposto",ORÇAMENTO.CustoUnitario*(1+$AH288),ORÇAMENTO.PrecoUnitarioLicitado),15-13*$AF$10),0)</f>
        <v>0</v>
      </c>
      <c r="X288" s="127">
        <f ca="1">IF($C288="S",IF(Import.TipoArredondamento&lt;&gt;"TransfereGOV",VTOTAL1,SUM(OFFSET(CÁLCULO!$AA$15,ROW($X288)-ROW($X$15),1):OFFSET(CÁLCULO!$AL$15,ROW($X288)-ROW($X$15),-1))),IF($C288=0,0,ROUND(SomaAgrup,15-13*$AF$11)))</f>
        <v>0</v>
      </c>
      <c r="Y288" s="128" t="s">
        <v>245</v>
      </c>
      <c r="Z288" t="str">
        <f t="shared" ca="1" si="75"/>
        <v/>
      </c>
      <c r="AA288" s="129">
        <f ca="1">IF($C288="S",IF($Z288="CP",$X288,IF($Z288="RA",(($X288)*QCI!$AA$3),0)),SomaAgrup)</f>
        <v>0</v>
      </c>
      <c r="AB288" s="130">
        <f t="shared" ca="1" si="76"/>
        <v>0</v>
      </c>
      <c r="AC288" s="131" t="str">
        <f ca="1">IF($N288="","",IF(ORÇAMENTO.Descricao="","DESCRIÇÃO",IF(AND($C288="S",ORÇAMENTO.Unidade=""),"UNIDADE",IF($X288&lt;0,"VALOR NEGATIVO",IF(OR(AND(TIPOORCAMENTO="Proposto",$AG288&lt;&gt;"",$AG288&gt;0,ORÇAMENTO.CustoUnitario&gt;$AG288),AND(TIPOORCAMENTO="LICITADO",ORÇAMENTO.PrecoUnitarioLicitado&gt;$AN288)),"ACIMA REF.","")))))</f>
        <v/>
      </c>
      <c r="AD288" t="str">
        <f ca="1">IF(C288&lt;=CRONO.NivelExibicao,MAX($AD$15:OFFSET(AD288,-1,0))+IF($C288&lt;&gt;1,1,MAX(1,COUNTIF(QCI!$A$13:$A$24,OFFSET($E288,-1,0)))),"")</f>
        <v/>
      </c>
      <c r="AE288" s="7" t="b">
        <f ca="1">IF(AND($C288="S",ORÇAMENTO.CodBarra&lt;&gt;""),IF(ORÇAMENTO.Fonte="",ORÇAMENTO.CodBarra,CONCATENATE(ORÇAMENTO.Fonte," ",ORÇAMENTO.CodBarra)))</f>
        <v>0</v>
      </c>
      <c r="AF288" s="13" t="str">
        <f ca="1">IF(ISERROR(INDIRECT(ORÇAMENTO.BancoRef)),"(abra o arquivo 'Referência "&amp;Excel_BuiltIn_Database&amp;".xlsm)",IF(OR($C288&lt;&gt;"S",ORÇAMENTO.CodBarra=""),"(Sem Código)",IF(ISERROR(MATCH($AE288,INDIRECT(ORÇAMENTO.BancoRef),0)),"(Código não identificado nas referências)",MATCH($AE288,INDIRECT(ORÇAMENTO.BancoRef),0))))</f>
        <v>(abra o arquivo 'Referência 03-2024.xlsm)</v>
      </c>
      <c r="AG288" s="498">
        <f ca="1">ROUND(IF(DESONERACAO="sim",REFERENCIA.Desonerado,REFERENCIA.NaoDesonerado),2)</f>
        <v>0</v>
      </c>
      <c r="AH288" s="499">
        <f t="shared" ca="1" si="77"/>
        <v>0.28170000000000001</v>
      </c>
      <c r="AJ288" s="501"/>
      <c r="AL288" s="527"/>
      <c r="AM288" s="381">
        <f t="shared" ca="1" si="78"/>
        <v>0</v>
      </c>
      <c r="AN288" s="566">
        <f t="shared" ca="1" si="79"/>
        <v>0</v>
      </c>
    </row>
    <row r="289" spans="1:40" hidden="1" x14ac:dyDescent="0.2">
      <c r="A289" t="str">
        <f t="shared" si="64"/>
        <v>S</v>
      </c>
      <c r="B289">
        <f t="shared" ca="1" si="65"/>
        <v>2</v>
      </c>
      <c r="C289" t="str">
        <f t="shared" ca="1" si="66"/>
        <v>S</v>
      </c>
      <c r="D289">
        <f t="shared" ca="1" si="67"/>
        <v>0</v>
      </c>
      <c r="E289">
        <f ca="1">IF($C289=1,OFFSET(E289,-1,0)+MAX(1,COUNTIF(QCI!$A$13:$A$24,OFFSET(ORÇAMENTO!E289,-1,0))),OFFSET(E289,-1,0))</f>
        <v>1</v>
      </c>
      <c r="F289">
        <f t="shared" ca="1" si="68"/>
        <v>13</v>
      </c>
      <c r="G289">
        <f t="shared" ca="1" si="69"/>
        <v>0</v>
      </c>
      <c r="H289">
        <f t="shared" ca="1" si="70"/>
        <v>0</v>
      </c>
      <c r="I289">
        <f t="shared" ca="1" si="71"/>
        <v>1</v>
      </c>
      <c r="J289">
        <f t="shared" ca="1" si="80"/>
        <v>0</v>
      </c>
      <c r="K289">
        <f ca="1">IF(OR($C289="S",$C289=0),0,MATCH(OFFSET($D289,0,$C289)+IF($C289&lt;&gt;1,1,COUNTIF(QCI!$A$13:$A$24,ORÇAMENTO!E289)),OFFSET($D289,1,$C289,ROW($C$290)-ROW($C289)),0))</f>
        <v>0</v>
      </c>
      <c r="L289" s="116" t="str">
        <f t="shared" ca="1" si="72"/>
        <v/>
      </c>
      <c r="M289" s="117" t="s">
        <v>199</v>
      </c>
      <c r="N289" s="118" t="str">
        <f t="shared" ca="1" si="73"/>
        <v>Serviço</v>
      </c>
      <c r="O289" s="119" t="str">
        <f t="shared" ca="1" si="74"/>
        <v>-</v>
      </c>
      <c r="P289" s="120" t="s">
        <v>247</v>
      </c>
      <c r="Q289" s="121"/>
      <c r="R289" s="122" t="str">
        <f ca="1">IF($C289="S",REFERENCIA.Descricao,"(digite a descrição aqui)")</f>
        <v>(abra o arquivo 'Referência 03-2024.xlsm)</v>
      </c>
      <c r="S289" s="123" t="str">
        <f ca="1">REFERENCIA.Unidade</f>
        <v>-</v>
      </c>
      <c r="T289" s="124">
        <f ca="1">OFFSET(CÁLCULO!H$15,ROW($T289)-ROW(T$15),0)</f>
        <v>0</v>
      </c>
      <c r="U289" s="125"/>
      <c r="V289" s="126" t="s">
        <v>156</v>
      </c>
      <c r="W289" s="124">
        <f ca="1">IF($C289="S",ROUND(IF(TIPOORCAMENTO="Proposto",ORÇAMENTO.CustoUnitario*(1+$AH289),ORÇAMENTO.PrecoUnitarioLicitado),15-13*$AF$10),0)</f>
        <v>0</v>
      </c>
      <c r="X289" s="127">
        <f ca="1">IF($C289="S",IF(Import.TipoArredondamento&lt;&gt;"TransfereGOV",VTOTAL1,SUM(OFFSET(CÁLCULO!$AA$15,ROW($X289)-ROW($X$15),1):OFFSET(CÁLCULO!$AL$15,ROW($X289)-ROW($X$15),-1))),IF($C289=0,0,ROUND(SomaAgrup,15-13*$AF$11)))</f>
        <v>0</v>
      </c>
      <c r="Y289" s="128" t="s">
        <v>245</v>
      </c>
      <c r="Z289" t="str">
        <f t="shared" ca="1" si="75"/>
        <v/>
      </c>
      <c r="AA289" s="129">
        <f ca="1">IF($C289="S",IF($Z289="CP",$X289,IF($Z289="RA",(($X289)*QCI!$AA$3),0)),SomaAgrup)</f>
        <v>0</v>
      </c>
      <c r="AB289" s="130">
        <f t="shared" ca="1" si="76"/>
        <v>0</v>
      </c>
      <c r="AC289" s="131" t="str">
        <f ca="1">IF($N289="","",IF(ORÇAMENTO.Descricao="","DESCRIÇÃO",IF(AND($C289="S",ORÇAMENTO.Unidade=""),"UNIDADE",IF($X289&lt;0,"VALOR NEGATIVO",IF(OR(AND(TIPOORCAMENTO="Proposto",$AG289&lt;&gt;"",$AG289&gt;0,ORÇAMENTO.CustoUnitario&gt;$AG289),AND(TIPOORCAMENTO="LICITADO",ORÇAMENTO.PrecoUnitarioLicitado&gt;$AN289)),"ACIMA REF.","")))))</f>
        <v/>
      </c>
      <c r="AD289" t="str">
        <f ca="1">IF(C289&lt;=CRONO.NivelExibicao,MAX($AD$15:OFFSET(AD289,-1,0))+IF($C289&lt;&gt;1,1,MAX(1,COUNTIF(QCI!$A$13:$A$24,OFFSET($E289,-1,0)))),"")</f>
        <v/>
      </c>
      <c r="AE289" s="7" t="b">
        <f ca="1">IF(AND($C289="S",ORÇAMENTO.CodBarra&lt;&gt;""),IF(ORÇAMENTO.Fonte="",ORÇAMENTO.CodBarra,CONCATENATE(ORÇAMENTO.Fonte," ",ORÇAMENTO.CodBarra)))</f>
        <v>0</v>
      </c>
      <c r="AF289" s="13" t="str">
        <f ca="1">IF(ISERROR(INDIRECT(ORÇAMENTO.BancoRef)),"(abra o arquivo 'Referência "&amp;Excel_BuiltIn_Database&amp;".xlsm)",IF(OR($C289&lt;&gt;"S",ORÇAMENTO.CodBarra=""),"(Sem Código)",IF(ISERROR(MATCH($AE289,INDIRECT(ORÇAMENTO.BancoRef),0)),"(Código não identificado nas referências)",MATCH($AE289,INDIRECT(ORÇAMENTO.BancoRef),0))))</f>
        <v>(abra o arquivo 'Referência 03-2024.xlsm)</v>
      </c>
      <c r="AG289" s="498">
        <f ca="1">ROUND(IF(DESONERACAO="sim",REFERENCIA.Desonerado,REFERENCIA.NaoDesonerado),2)</f>
        <v>0</v>
      </c>
      <c r="AH289" s="499">
        <f t="shared" ca="1" si="77"/>
        <v>0.28170000000000001</v>
      </c>
      <c r="AJ289" s="501"/>
      <c r="AL289" s="527"/>
      <c r="AM289" s="381">
        <f t="shared" ca="1" si="78"/>
        <v>0</v>
      </c>
      <c r="AN289" s="566">
        <f t="shared" ca="1" si="79"/>
        <v>0</v>
      </c>
    </row>
    <row r="290" spans="1:40" ht="5.0999999999999996" customHeight="1" x14ac:dyDescent="0.2">
      <c r="A290">
        <v>-1</v>
      </c>
      <c r="C290">
        <v>-1</v>
      </c>
      <c r="E290">
        <v>0</v>
      </c>
      <c r="F290">
        <v>0</v>
      </c>
      <c r="G290">
        <v>0</v>
      </c>
      <c r="H290">
        <v>0</v>
      </c>
      <c r="I290">
        <v>0</v>
      </c>
      <c r="L290" s="116" t="s">
        <v>246</v>
      </c>
      <c r="M290" s="492"/>
      <c r="N290" s="493"/>
      <c r="O290" s="492"/>
      <c r="P290" s="494"/>
      <c r="Q290" s="494"/>
      <c r="R290" s="494"/>
      <c r="S290" s="494"/>
      <c r="T290" s="494"/>
      <c r="U290" s="494"/>
      <c r="V290" s="494"/>
      <c r="W290" s="494"/>
      <c r="X290" s="493"/>
      <c r="AG290" s="484"/>
      <c r="AH290" s="486"/>
      <c r="AJ290" s="495"/>
      <c r="AL290" s="484"/>
      <c r="AM290" s="485"/>
      <c r="AN290" s="486"/>
    </row>
    <row r="293" spans="1:40" ht="14.25" x14ac:dyDescent="0.2">
      <c r="O293" s="140" t="s">
        <v>248</v>
      </c>
      <c r="Q293" s="612" t="s">
        <v>249</v>
      </c>
      <c r="R293" s="612"/>
      <c r="S293" s="612"/>
      <c r="T293" s="612"/>
      <c r="U293" s="612"/>
      <c r="V293" s="612"/>
      <c r="W293" s="612"/>
      <c r="X293" s="612"/>
    </row>
    <row r="295" spans="1:40" ht="14.25" x14ac:dyDescent="0.2">
      <c r="O295" s="141" t="s">
        <v>187</v>
      </c>
      <c r="X295" s="4"/>
    </row>
    <row r="296" spans="1:40" ht="12.75" customHeight="1" x14ac:dyDescent="0.2">
      <c r="O296" s="613"/>
      <c r="P296" s="613"/>
      <c r="Q296" s="613"/>
      <c r="R296" s="613"/>
      <c r="S296" s="613"/>
      <c r="T296" s="613"/>
      <c r="U296" s="613"/>
      <c r="V296" s="613"/>
      <c r="W296" s="613"/>
      <c r="X296" s="613"/>
    </row>
    <row r="297" spans="1:40" x14ac:dyDescent="0.2">
      <c r="O297" s="613"/>
      <c r="P297" s="613"/>
      <c r="Q297" s="613"/>
      <c r="R297" s="613"/>
      <c r="S297" s="613"/>
      <c r="T297" s="613"/>
      <c r="U297" s="613"/>
      <c r="V297" s="613"/>
      <c r="W297" s="613"/>
      <c r="X297" s="613"/>
    </row>
    <row r="298" spans="1:40" x14ac:dyDescent="0.2">
      <c r="O298" s="613"/>
      <c r="P298" s="613"/>
      <c r="Q298" s="613"/>
      <c r="R298" s="613"/>
      <c r="S298" s="613"/>
      <c r="T298" s="613"/>
      <c r="U298" s="613"/>
      <c r="V298" s="613"/>
      <c r="W298" s="613"/>
      <c r="X298" s="613"/>
    </row>
    <row r="299" spans="1:40" ht="14.25" x14ac:dyDescent="0.2">
      <c r="O299" s="534"/>
      <c r="P299" s="534"/>
      <c r="Q299" s="534"/>
      <c r="R299" s="534"/>
      <c r="S299" s="534"/>
      <c r="T299" s="534"/>
      <c r="U299" s="534"/>
      <c r="V299" s="534"/>
      <c r="W299" s="534"/>
      <c r="X299" s="534"/>
      <c r="Y299" s="534"/>
      <c r="Z299" s="142"/>
      <c r="AA299" s="142"/>
      <c r="AB299" s="142"/>
    </row>
    <row r="300" spans="1:40" ht="15" x14ac:dyDescent="0.25">
      <c r="O300" s="614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300" s="614"/>
      <c r="Q300" s="614"/>
      <c r="R300" s="614"/>
      <c r="S300" s="614"/>
      <c r="T300" s="614"/>
      <c r="U300" s="614"/>
      <c r="V300" s="614"/>
      <c r="W300" s="614"/>
      <c r="X300" s="614"/>
      <c r="Y300" s="143"/>
      <c r="Z300" s="143"/>
      <c r="AA300" s="143"/>
      <c r="AB300" s="143"/>
    </row>
    <row r="301" spans="1:40" ht="15" customHeight="1" x14ac:dyDescent="0.25">
      <c r="O301" s="616" t="s">
        <v>250</v>
      </c>
      <c r="P301" s="616"/>
      <c r="Q301" s="616"/>
      <c r="R301" s="616"/>
      <c r="S301" s="616"/>
      <c r="T301" s="616"/>
      <c r="U301" s="616"/>
      <c r="V301" s="616"/>
      <c r="W301" s="616"/>
      <c r="X301" s="616"/>
      <c r="Y301" s="143"/>
      <c r="Z301" s="143"/>
      <c r="AA301" s="143"/>
      <c r="AB301" s="143"/>
    </row>
    <row r="303" spans="1:40" ht="30" customHeight="1" x14ac:dyDescent="0.2">
      <c r="O303" s="615" t="str">
        <f>Import.Município</f>
        <v>RONDINHA - RS</v>
      </c>
      <c r="P303" s="615"/>
      <c r="Q303" s="615"/>
      <c r="S303" s="553"/>
      <c r="T303" s="553"/>
      <c r="U303" s="553"/>
      <c r="V303" s="553"/>
      <c r="W303" s="479"/>
    </row>
    <row r="304" spans="1:40" x14ac:dyDescent="0.2">
      <c r="O304" s="10" t="s">
        <v>188</v>
      </c>
      <c r="S304" s="195" t="s">
        <v>190</v>
      </c>
      <c r="T304" s="195"/>
      <c r="U304" s="195"/>
      <c r="V304" s="195"/>
    </row>
    <row r="305" spans="15:22" x14ac:dyDescent="0.2">
      <c r="S305" s="78" t="s">
        <v>108</v>
      </c>
      <c r="T305" s="79" t="str">
        <f t="array" ref="T305:T307">Import.RespOrçamento</f>
        <v>MARCELO SETTI</v>
      </c>
      <c r="V305" s="80"/>
    </row>
    <row r="306" spans="15:22" x14ac:dyDescent="0.2">
      <c r="O306" s="610">
        <f ca="1">DADOS!$F$25</f>
        <v>45412</v>
      </c>
      <c r="P306" s="610"/>
      <c r="Q306" s="610"/>
      <c r="S306" s="78" t="s">
        <v>109</v>
      </c>
      <c r="T306" s="79" t="str">
        <v>CREA/RS 226290</v>
      </c>
      <c r="U306" s="80"/>
      <c r="V306" s="80"/>
    </row>
    <row r="307" spans="15:22" x14ac:dyDescent="0.2">
      <c r="O307" s="146" t="s">
        <v>189</v>
      </c>
      <c r="P307" s="1"/>
      <c r="Q307" s="1"/>
      <c r="S307" s="78" t="s">
        <v>110</v>
      </c>
      <c r="T307" s="79" t="str">
        <v>13152333</v>
      </c>
      <c r="U307" s="80"/>
      <c r="V307" s="80"/>
    </row>
  </sheetData>
  <sheetProtection algorithmName="SHA-512" hashValue="4jwQh1+jLBinCtgyeCkcuamOrbeZq6G12O3NPu8BIHkLwVK9vS86L3qR2BxB58bg1gGXITu5NvdJPRzMh9xdcg==" saltValue="QBSMhtW4PFsl7Suq+W5/Rw==" spinCount="100000" sheet="1" objects="1" scenarios="1" autoFilter="0"/>
  <autoFilter ref="L15:L290" xr:uid="{00000000-0009-0000-0000-000004000000}">
    <filterColumn colId="0">
      <customFilters>
        <customFilter operator="notEqual" val=" "/>
      </customFilters>
    </filterColumn>
  </autoFilter>
  <mergeCells count="24">
    <mergeCell ref="AE5:AF5"/>
    <mergeCell ref="O7:P7"/>
    <mergeCell ref="S7:U7"/>
    <mergeCell ref="AL7:AL11"/>
    <mergeCell ref="Y8:Y12"/>
    <mergeCell ref="Z8:Z12"/>
    <mergeCell ref="AA12:AB12"/>
    <mergeCell ref="AJ7:AJ11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O306:Q306"/>
    <mergeCell ref="O15:R15"/>
    <mergeCell ref="Q293:X293"/>
    <mergeCell ref="O296:X298"/>
    <mergeCell ref="O300:X300"/>
    <mergeCell ref="O303:Q303"/>
    <mergeCell ref="O301:X301"/>
  </mergeCells>
  <phoneticPr fontId="38" type="noConversion"/>
  <conditionalFormatting sqref="M14 M39:M41 M62:M65 M43:M47 M23:M24 M86 M208:M209 M218:M225 M235:M237 M239:M243 M245:M247">
    <cfRule type="cellIs" dxfId="1439" priority="8665" stopIfTrue="1" operator="notEqual">
      <formula>$N14</formula>
    </cfRule>
  </conditionalFormatting>
  <conditionalFormatting sqref="N14:O14 R14 W14:X14 N39:O41 R39:R41 W39:X41 W62:X65 R62:R65 N62:O65 W43:X47 R43:R47 N43:O47 N23:O24 R23:R24 W23:X24 N86:O86 R86 W86:X86 N208:O209 R208:R209 W208:X209 N218:O225 R218:R225 W218:X225 N235:O237 R235:R237 W235:X237 W239:X243 R239:R243 N239:O243 N245:O247 R245:R247 W245:X247">
    <cfRule type="expression" dxfId="1438" priority="8666" stopIfTrue="1">
      <formula>$C14=1</formula>
    </cfRule>
    <cfRule type="expression" dxfId="1437" priority="8667" stopIfTrue="1">
      <formula>OR($C14=0,$C14=2,$C14=3,$C14=4)</formula>
    </cfRule>
  </conditionalFormatting>
  <conditionalFormatting sqref="U14:V14 U39:V41 U62:V65 U43:V47 U23:V24 U86:V86 U208:V209 U218:V225 U235:V237 U239:V243 U245:V247">
    <cfRule type="expression" dxfId="1436" priority="8668" stopIfTrue="1">
      <formula>$C14=1</formula>
    </cfRule>
    <cfRule type="expression" dxfId="1435" priority="8669" stopIfTrue="1">
      <formula>OR($C14=0,$C14=2,$C14=3,$C14=4)</formula>
    </cfRule>
    <cfRule type="expression" dxfId="1434" priority="8670" stopIfTrue="1">
      <formula>AND(TIPOORCAMENTO="Licitado",$C14&lt;&gt;"L",$C14&lt;&gt;-1)</formula>
    </cfRule>
  </conditionalFormatting>
  <conditionalFormatting sqref="P14:Q14 S14:T14 Y14 AG14:AH14 P39:Q41 S39:T41 Y39:Y41 AG39:AH41 AG62:AH65 Y62:Y65 S62:T65 P62:Q65 AG43:AH47 Y43:Y47 S43:T47 P43:Q47 P23:Q24 S23:T24 Y23:Y24 AG23:AH24 P86:Q86 S86:T86 Y86 AG86:AH86 P208:Q209 S208:T209 Y208:Y209 AG208:AH209 P218:Q225 S218:T225 Y218:Y225 AG218:AH225 P235:Q237 S235:T237 Y235:Y237 AG235:AH237 AG239:AH243 Y239:Y243 S239:T243 P239:Q243 P245:Q247 S245:T247 Y245:Y247 AG245:AH247">
    <cfRule type="expression" dxfId="1433" priority="8671" stopIfTrue="1">
      <formula>$C14=1</formula>
    </cfRule>
    <cfRule type="expression" dxfId="1432" priority="8672" stopIfTrue="1">
      <formula>OR($C14=0,$C14=2,$C14=3,$C14=4)</formula>
    </cfRule>
  </conditionalFormatting>
  <conditionalFormatting sqref="AJ7:AJ15 AJ290 AJ39:AJ41 AJ62:AJ65 AJ43:AJ47 AJ23:AJ24 AJ86 AJ208:AJ209 AJ218:AJ225 AJ235:AJ237 AJ239:AJ243 AJ245:AJ247">
    <cfRule type="expression" dxfId="1431" priority="8673" stopIfTrue="1">
      <formula>OR(ACOMPANHAMENTO&lt;&gt;"BM",TIPOORCAMENTO="Licitado")</formula>
    </cfRule>
    <cfRule type="expression" dxfId="1430" priority="8674" stopIfTrue="1">
      <formula>$C7=1</formula>
    </cfRule>
    <cfRule type="expression" dxfId="1429" priority="8675" stopIfTrue="1">
      <formula>OR(AND(ISNUMBER($C7),$C7=0),$C7=2,$C7=3,$C7=4)</formula>
    </cfRule>
  </conditionalFormatting>
  <conditionalFormatting sqref="AL7:AL15 AL290 AL39:AL41 AL62:AL65 AL43:AL47 AL23:AL24 AL86 AL208:AL209 AL218:AL225 AL235:AL237 AL239:AL243 AL245:AL247">
    <cfRule type="expression" dxfId="1428" priority="8676" stopIfTrue="1">
      <formula>TIPOORCAMENTO="PROPOSTO"</formula>
    </cfRule>
    <cfRule type="expression" dxfId="1427" priority="8677" stopIfTrue="1">
      <formula>$C7=1</formula>
    </cfRule>
    <cfRule type="expression" dxfId="1426" priority="8678" stopIfTrue="1">
      <formula>OR(AND(ISNUMBER($C7),$C7=0),$C7=2,$C7=3,$C7=4)</formula>
    </cfRule>
  </conditionalFormatting>
  <conditionalFormatting sqref="O8:P8">
    <cfRule type="expression" dxfId="1425" priority="8682" stopIfTrue="1">
      <formula>ISERROR(INDIRECT($F$9))</formula>
    </cfRule>
  </conditionalFormatting>
  <conditionalFormatting sqref="S7:V8">
    <cfRule type="expression" dxfId="1424" priority="8683" stopIfTrue="1">
      <formula>TIPOORCAMENTO="Proposto"</formula>
    </cfRule>
  </conditionalFormatting>
  <conditionalFormatting sqref="S9:V9">
    <cfRule type="expression" dxfId="1423" priority="8630" stopIfTrue="1">
      <formula>TIPOORCAMENTO="Proposto"</formula>
    </cfRule>
  </conditionalFormatting>
  <conditionalFormatting sqref="AM7:AN15 AM290:AN290 AM39:AN41 AM62:AN65 AM43:AN47 AM23:AN24 AM86:AN86 AM208:AN209 AM218:AN225 AM235:AN237 AM239:AN243 AM245:AN247">
    <cfRule type="expression" dxfId="1422" priority="8679" stopIfTrue="1">
      <formula>TIPOORCAMENTO="PROPOSTO"</formula>
    </cfRule>
    <cfRule type="expression" dxfId="1421" priority="8680" stopIfTrue="1">
      <formula>$C7=1</formula>
    </cfRule>
    <cfRule type="expression" dxfId="1420" priority="8681" stopIfTrue="1">
      <formula>OR(AND(ISNUMBER($C7),$C7=0),$C7=2,$C7=3,$C7=4)</formula>
    </cfRule>
  </conditionalFormatting>
  <conditionalFormatting sqref="M16:M20 M25:M27 M22">
    <cfRule type="cellIs" dxfId="1419" priority="834" stopIfTrue="1" operator="notEqual">
      <formula>$N16</formula>
    </cfRule>
  </conditionalFormatting>
  <conditionalFormatting sqref="N16:O20 R16:R20 W16:X20 W25:X27 R25:R27 N25:O27 W22:X22 R22 N22:O22">
    <cfRule type="expression" dxfId="1418" priority="835" stopIfTrue="1">
      <formula>$C16=1</formula>
    </cfRule>
    <cfRule type="expression" dxfId="1417" priority="836" stopIfTrue="1">
      <formula>OR($C16=0,$C16=2,$C16=3,$C16=4)</formula>
    </cfRule>
  </conditionalFormatting>
  <conditionalFormatting sqref="U16:V20 U25:V27 U22:V22">
    <cfRule type="expression" dxfId="1416" priority="837" stopIfTrue="1">
      <formula>$C16=1</formula>
    </cfRule>
    <cfRule type="expression" dxfId="1415" priority="838" stopIfTrue="1">
      <formula>OR($C16=0,$C16=2,$C16=3,$C16=4)</formula>
    </cfRule>
    <cfRule type="expression" dxfId="1414" priority="839" stopIfTrue="1">
      <formula>AND(TIPOORCAMENTO="Licitado",$C16&lt;&gt;"L",$C16&lt;&gt;-1)</formula>
    </cfRule>
  </conditionalFormatting>
  <conditionalFormatting sqref="P16:Q20 S16:T20 Y16:Y20 AG16:AH20 AG25:AH27 Y25:Y27 S25:T27 P25:Q27 AG22:AH22 Y22 S22:T22 P22:Q22">
    <cfRule type="expression" dxfId="1413" priority="840" stopIfTrue="1">
      <formula>$C16=1</formula>
    </cfRule>
    <cfRule type="expression" dxfId="1412" priority="841" stopIfTrue="1">
      <formula>OR($C16=0,$C16=2,$C16=3,$C16=4)</formula>
    </cfRule>
  </conditionalFormatting>
  <conditionalFormatting sqref="AJ16:AJ20 AJ25:AJ27 AJ22">
    <cfRule type="expression" dxfId="1411" priority="842" stopIfTrue="1">
      <formula>OR(ACOMPANHAMENTO&lt;&gt;"BM",TIPOORCAMENTO="Licitado")</formula>
    </cfRule>
    <cfRule type="expression" dxfId="1410" priority="843" stopIfTrue="1">
      <formula>$C16=1</formula>
    </cfRule>
    <cfRule type="expression" dxfId="1409" priority="844" stopIfTrue="1">
      <formula>OR(AND(ISNUMBER($C16),$C16=0),$C16=2,$C16=3,$C16=4)</formula>
    </cfRule>
  </conditionalFormatting>
  <conditionalFormatting sqref="AL16:AL20 AL25:AL27 AL22">
    <cfRule type="expression" dxfId="1408" priority="845" stopIfTrue="1">
      <formula>TIPOORCAMENTO="PROPOSTO"</formula>
    </cfRule>
    <cfRule type="expression" dxfId="1407" priority="846" stopIfTrue="1">
      <formula>$C16=1</formula>
    </cfRule>
    <cfRule type="expression" dxfId="1406" priority="847" stopIfTrue="1">
      <formula>OR(AND(ISNUMBER($C16),$C16=0),$C16=2,$C16=3,$C16=4)</formula>
    </cfRule>
  </conditionalFormatting>
  <conditionalFormatting sqref="AM16:AN20 AM25:AN27 AM22:AN22">
    <cfRule type="expression" dxfId="1405" priority="848" stopIfTrue="1">
      <formula>TIPOORCAMENTO="PROPOSTO"</formula>
    </cfRule>
    <cfRule type="expression" dxfId="1404" priority="849" stopIfTrue="1">
      <formula>$C16=1</formula>
    </cfRule>
    <cfRule type="expression" dxfId="1403" priority="850" stopIfTrue="1">
      <formula>OR(AND(ISNUMBER($C16),$C16=0),$C16=2,$C16=3,$C16=4)</formula>
    </cfRule>
  </conditionalFormatting>
  <conditionalFormatting sqref="M28:M34 M37:M38">
    <cfRule type="cellIs" dxfId="1402" priority="817" stopIfTrue="1" operator="notEqual">
      <formula>$N28</formula>
    </cfRule>
  </conditionalFormatting>
  <conditionalFormatting sqref="N28:O34 R28:R34 W28:X34 W37:X38 R37:R38 N37:O38">
    <cfRule type="expression" dxfId="1401" priority="818" stopIfTrue="1">
      <formula>$C28=1</formula>
    </cfRule>
    <cfRule type="expression" dxfId="1400" priority="819" stopIfTrue="1">
      <formula>OR($C28=0,$C28=2,$C28=3,$C28=4)</formula>
    </cfRule>
  </conditionalFormatting>
  <conditionalFormatting sqref="U28:V34 U37:V38">
    <cfRule type="expression" dxfId="1399" priority="820" stopIfTrue="1">
      <formula>$C28=1</formula>
    </cfRule>
    <cfRule type="expression" dxfId="1398" priority="821" stopIfTrue="1">
      <formula>OR($C28=0,$C28=2,$C28=3,$C28=4)</formula>
    </cfRule>
    <cfRule type="expression" dxfId="1397" priority="822" stopIfTrue="1">
      <formula>AND(TIPOORCAMENTO="Licitado",$C28&lt;&gt;"L",$C28&lt;&gt;-1)</formula>
    </cfRule>
  </conditionalFormatting>
  <conditionalFormatting sqref="P28:Q34 S28:T34 Y28:Y34 AG28:AH34 AG37:AH38 Y37:Y38 S37:T38 P37:Q38">
    <cfRule type="expression" dxfId="1396" priority="823" stopIfTrue="1">
      <formula>$C28=1</formula>
    </cfRule>
    <cfRule type="expression" dxfId="1395" priority="824" stopIfTrue="1">
      <formula>OR($C28=0,$C28=2,$C28=3,$C28=4)</formula>
    </cfRule>
  </conditionalFormatting>
  <conditionalFormatting sqref="AJ28:AJ34 AJ37:AJ38">
    <cfRule type="expression" dxfId="1394" priority="825" stopIfTrue="1">
      <formula>OR(ACOMPANHAMENTO&lt;&gt;"BM",TIPOORCAMENTO="Licitado")</formula>
    </cfRule>
    <cfRule type="expression" dxfId="1393" priority="826" stopIfTrue="1">
      <formula>$C28=1</formula>
    </cfRule>
    <cfRule type="expression" dxfId="1392" priority="827" stopIfTrue="1">
      <formula>OR(AND(ISNUMBER($C28),$C28=0),$C28=2,$C28=3,$C28=4)</formula>
    </cfRule>
  </conditionalFormatting>
  <conditionalFormatting sqref="AL28:AL34 AL37:AL38">
    <cfRule type="expression" dxfId="1391" priority="828" stopIfTrue="1">
      <formula>TIPOORCAMENTO="PROPOSTO"</formula>
    </cfRule>
    <cfRule type="expression" dxfId="1390" priority="829" stopIfTrue="1">
      <formula>$C28=1</formula>
    </cfRule>
    <cfRule type="expression" dxfId="1389" priority="830" stopIfTrue="1">
      <formula>OR(AND(ISNUMBER($C28),$C28=0),$C28=2,$C28=3,$C28=4)</formula>
    </cfRule>
  </conditionalFormatting>
  <conditionalFormatting sqref="AM28:AN34 AM37:AN38">
    <cfRule type="expression" dxfId="1388" priority="831" stopIfTrue="1">
      <formula>TIPOORCAMENTO="PROPOSTO"</formula>
    </cfRule>
    <cfRule type="expression" dxfId="1387" priority="832" stopIfTrue="1">
      <formula>$C28=1</formula>
    </cfRule>
    <cfRule type="expression" dxfId="1386" priority="833" stopIfTrue="1">
      <formula>OR(AND(ISNUMBER($C28),$C28=0),$C28=2,$C28=3,$C28=4)</formula>
    </cfRule>
  </conditionalFormatting>
  <conditionalFormatting sqref="M48:M56">
    <cfRule type="cellIs" dxfId="1385" priority="783" stopIfTrue="1" operator="notEqual">
      <formula>$N48</formula>
    </cfRule>
  </conditionalFormatting>
  <conditionalFormatting sqref="N48:O56 R48:R56 W48:X56">
    <cfRule type="expression" dxfId="1384" priority="784" stopIfTrue="1">
      <formula>$C48=1</formula>
    </cfRule>
    <cfRule type="expression" dxfId="1383" priority="785" stopIfTrue="1">
      <formula>OR($C48=0,$C48=2,$C48=3,$C48=4)</formula>
    </cfRule>
  </conditionalFormatting>
  <conditionalFormatting sqref="U48:V56">
    <cfRule type="expression" dxfId="1382" priority="786" stopIfTrue="1">
      <formula>$C48=1</formula>
    </cfRule>
    <cfRule type="expression" dxfId="1381" priority="787" stopIfTrue="1">
      <formula>OR($C48=0,$C48=2,$C48=3,$C48=4)</formula>
    </cfRule>
    <cfRule type="expression" dxfId="1380" priority="788" stopIfTrue="1">
      <formula>AND(TIPOORCAMENTO="Licitado",$C48&lt;&gt;"L",$C48&lt;&gt;-1)</formula>
    </cfRule>
  </conditionalFormatting>
  <conditionalFormatting sqref="P48:Q56 S48:T56 Y48:Y56 AG48:AH56">
    <cfRule type="expression" dxfId="1379" priority="789" stopIfTrue="1">
      <formula>$C48=1</formula>
    </cfRule>
    <cfRule type="expression" dxfId="1378" priority="790" stopIfTrue="1">
      <formula>OR($C48=0,$C48=2,$C48=3,$C48=4)</formula>
    </cfRule>
  </conditionalFormatting>
  <conditionalFormatting sqref="AJ48:AJ56">
    <cfRule type="expression" dxfId="1377" priority="791" stopIfTrue="1">
      <formula>OR(ACOMPANHAMENTO&lt;&gt;"BM",TIPOORCAMENTO="Licitado")</formula>
    </cfRule>
    <cfRule type="expression" dxfId="1376" priority="792" stopIfTrue="1">
      <formula>$C48=1</formula>
    </cfRule>
    <cfRule type="expression" dxfId="1375" priority="793" stopIfTrue="1">
      <formula>OR(AND(ISNUMBER($C48),$C48=0),$C48=2,$C48=3,$C48=4)</formula>
    </cfRule>
  </conditionalFormatting>
  <conditionalFormatting sqref="AL48:AL56">
    <cfRule type="expression" dxfId="1374" priority="794" stopIfTrue="1">
      <formula>TIPOORCAMENTO="PROPOSTO"</formula>
    </cfRule>
    <cfRule type="expression" dxfId="1373" priority="795" stopIfTrue="1">
      <formula>$C48=1</formula>
    </cfRule>
    <cfRule type="expression" dxfId="1372" priority="796" stopIfTrue="1">
      <formula>OR(AND(ISNUMBER($C48),$C48=0),$C48=2,$C48=3,$C48=4)</formula>
    </cfRule>
  </conditionalFormatting>
  <conditionalFormatting sqref="AM48:AN56">
    <cfRule type="expression" dxfId="1371" priority="797" stopIfTrue="1">
      <formula>TIPOORCAMENTO="PROPOSTO"</formula>
    </cfRule>
    <cfRule type="expression" dxfId="1370" priority="798" stopIfTrue="1">
      <formula>$C48=1</formula>
    </cfRule>
    <cfRule type="expression" dxfId="1369" priority="799" stopIfTrue="1">
      <formula>OR(AND(ISNUMBER($C48),$C48=0),$C48=2,$C48=3,$C48=4)</formula>
    </cfRule>
  </conditionalFormatting>
  <conditionalFormatting sqref="M57:M60">
    <cfRule type="cellIs" dxfId="1368" priority="766" stopIfTrue="1" operator="notEqual">
      <formula>$N57</formula>
    </cfRule>
  </conditionalFormatting>
  <conditionalFormatting sqref="N57:O60 R57:R60 W57:X60">
    <cfRule type="expression" dxfId="1367" priority="767" stopIfTrue="1">
      <formula>$C57=1</formula>
    </cfRule>
    <cfRule type="expression" dxfId="1366" priority="768" stopIfTrue="1">
      <formula>OR($C57=0,$C57=2,$C57=3,$C57=4)</formula>
    </cfRule>
  </conditionalFormatting>
  <conditionalFormatting sqref="U57:V60">
    <cfRule type="expression" dxfId="1365" priority="769" stopIfTrue="1">
      <formula>$C57=1</formula>
    </cfRule>
    <cfRule type="expression" dxfId="1364" priority="770" stopIfTrue="1">
      <formula>OR($C57=0,$C57=2,$C57=3,$C57=4)</formula>
    </cfRule>
    <cfRule type="expression" dxfId="1363" priority="771" stopIfTrue="1">
      <formula>AND(TIPOORCAMENTO="Licitado",$C57&lt;&gt;"L",$C57&lt;&gt;-1)</formula>
    </cfRule>
  </conditionalFormatting>
  <conditionalFormatting sqref="P57:Q60 S57:T60 Y57:Y60 AG57:AH60">
    <cfRule type="expression" dxfId="1362" priority="772" stopIfTrue="1">
      <formula>$C57=1</formula>
    </cfRule>
    <cfRule type="expression" dxfId="1361" priority="773" stopIfTrue="1">
      <formula>OR($C57=0,$C57=2,$C57=3,$C57=4)</formula>
    </cfRule>
  </conditionalFormatting>
  <conditionalFormatting sqref="AJ57:AJ60">
    <cfRule type="expression" dxfId="1360" priority="774" stopIfTrue="1">
      <formula>OR(ACOMPANHAMENTO&lt;&gt;"BM",TIPOORCAMENTO="Licitado")</formula>
    </cfRule>
    <cfRule type="expression" dxfId="1359" priority="775" stopIfTrue="1">
      <formula>$C57=1</formula>
    </cfRule>
    <cfRule type="expression" dxfId="1358" priority="776" stopIfTrue="1">
      <formula>OR(AND(ISNUMBER($C57),$C57=0),$C57=2,$C57=3,$C57=4)</formula>
    </cfRule>
  </conditionalFormatting>
  <conditionalFormatting sqref="AL57:AL60">
    <cfRule type="expression" dxfId="1357" priority="777" stopIfTrue="1">
      <formula>TIPOORCAMENTO="PROPOSTO"</formula>
    </cfRule>
    <cfRule type="expression" dxfId="1356" priority="778" stopIfTrue="1">
      <formula>$C57=1</formula>
    </cfRule>
    <cfRule type="expression" dxfId="1355" priority="779" stopIfTrue="1">
      <formula>OR(AND(ISNUMBER($C57),$C57=0),$C57=2,$C57=3,$C57=4)</formula>
    </cfRule>
  </conditionalFormatting>
  <conditionalFormatting sqref="AM57:AN60">
    <cfRule type="expression" dxfId="1354" priority="780" stopIfTrue="1">
      <formula>TIPOORCAMENTO="PROPOSTO"</formula>
    </cfRule>
    <cfRule type="expression" dxfId="1353" priority="781" stopIfTrue="1">
      <formula>$C57=1</formula>
    </cfRule>
    <cfRule type="expression" dxfId="1352" priority="782" stopIfTrue="1">
      <formula>OR(AND(ISNUMBER($C57),$C57=0),$C57=2,$C57=3,$C57=4)</formula>
    </cfRule>
  </conditionalFormatting>
  <conditionalFormatting sqref="M66:M74">
    <cfRule type="cellIs" dxfId="1351" priority="749" stopIfTrue="1" operator="notEqual">
      <formula>$N66</formula>
    </cfRule>
  </conditionalFormatting>
  <conditionalFormatting sqref="N66:O74 R66:R74 W66:X74">
    <cfRule type="expression" dxfId="1350" priority="750" stopIfTrue="1">
      <formula>$C66=1</formula>
    </cfRule>
    <cfRule type="expression" dxfId="1349" priority="751" stopIfTrue="1">
      <formula>OR($C66=0,$C66=2,$C66=3,$C66=4)</formula>
    </cfRule>
  </conditionalFormatting>
  <conditionalFormatting sqref="U66:V74">
    <cfRule type="expression" dxfId="1348" priority="752" stopIfTrue="1">
      <formula>$C66=1</formula>
    </cfRule>
    <cfRule type="expression" dxfId="1347" priority="753" stopIfTrue="1">
      <formula>OR($C66=0,$C66=2,$C66=3,$C66=4)</formula>
    </cfRule>
    <cfRule type="expression" dxfId="1346" priority="754" stopIfTrue="1">
      <formula>AND(TIPOORCAMENTO="Licitado",$C66&lt;&gt;"L",$C66&lt;&gt;-1)</formula>
    </cfRule>
  </conditionalFormatting>
  <conditionalFormatting sqref="P66:Q74 S66:T74 Y66:Y74 AG66:AH74">
    <cfRule type="expression" dxfId="1345" priority="755" stopIfTrue="1">
      <formula>$C66=1</formula>
    </cfRule>
    <cfRule type="expression" dxfId="1344" priority="756" stopIfTrue="1">
      <formula>OR($C66=0,$C66=2,$C66=3,$C66=4)</formula>
    </cfRule>
  </conditionalFormatting>
  <conditionalFormatting sqref="AJ66:AJ74">
    <cfRule type="expression" dxfId="1343" priority="757" stopIfTrue="1">
      <formula>OR(ACOMPANHAMENTO&lt;&gt;"BM",TIPOORCAMENTO="Licitado")</formula>
    </cfRule>
    <cfRule type="expression" dxfId="1342" priority="758" stopIfTrue="1">
      <formula>$C66=1</formula>
    </cfRule>
    <cfRule type="expression" dxfId="1341" priority="759" stopIfTrue="1">
      <formula>OR(AND(ISNUMBER($C66),$C66=0),$C66=2,$C66=3,$C66=4)</formula>
    </cfRule>
  </conditionalFormatting>
  <conditionalFormatting sqref="AL66:AL74">
    <cfRule type="expression" dxfId="1340" priority="760" stopIfTrue="1">
      <formula>TIPOORCAMENTO="PROPOSTO"</formula>
    </cfRule>
    <cfRule type="expression" dxfId="1339" priority="761" stopIfTrue="1">
      <formula>$C66=1</formula>
    </cfRule>
    <cfRule type="expression" dxfId="1338" priority="762" stopIfTrue="1">
      <formula>OR(AND(ISNUMBER($C66),$C66=0),$C66=2,$C66=3,$C66=4)</formula>
    </cfRule>
  </conditionalFormatting>
  <conditionalFormatting sqref="AM66:AN74">
    <cfRule type="expression" dxfId="1337" priority="763" stopIfTrue="1">
      <formula>TIPOORCAMENTO="PROPOSTO"</formula>
    </cfRule>
    <cfRule type="expression" dxfId="1336" priority="764" stopIfTrue="1">
      <formula>$C66=1</formula>
    </cfRule>
    <cfRule type="expression" dxfId="1335" priority="765" stopIfTrue="1">
      <formula>OR(AND(ISNUMBER($C66),$C66=0),$C66=2,$C66=3,$C66=4)</formula>
    </cfRule>
  </conditionalFormatting>
  <conditionalFormatting sqref="M75:M82 M85">
    <cfRule type="cellIs" dxfId="1334" priority="732" stopIfTrue="1" operator="notEqual">
      <formula>$N75</formula>
    </cfRule>
  </conditionalFormatting>
  <conditionalFormatting sqref="N75:O82 R75:R82 W75:X82 W85:X85 R85 N85:O85">
    <cfRule type="expression" dxfId="1333" priority="733" stopIfTrue="1">
      <formula>$C75=1</formula>
    </cfRule>
    <cfRule type="expression" dxfId="1332" priority="734" stopIfTrue="1">
      <formula>OR($C75=0,$C75=2,$C75=3,$C75=4)</formula>
    </cfRule>
  </conditionalFormatting>
  <conditionalFormatting sqref="U75:V82 U85:V85">
    <cfRule type="expression" dxfId="1331" priority="735" stopIfTrue="1">
      <formula>$C75=1</formula>
    </cfRule>
    <cfRule type="expression" dxfId="1330" priority="736" stopIfTrue="1">
      <formula>OR($C75=0,$C75=2,$C75=3,$C75=4)</formula>
    </cfRule>
    <cfRule type="expression" dxfId="1329" priority="737" stopIfTrue="1">
      <formula>AND(TIPOORCAMENTO="Licitado",$C75&lt;&gt;"L",$C75&lt;&gt;-1)</formula>
    </cfRule>
  </conditionalFormatting>
  <conditionalFormatting sqref="P75:Q82 S75:T82 Y75:Y82 AG75:AH82 AG85:AH85 Y85 S85:T85 P85:Q85">
    <cfRule type="expression" dxfId="1328" priority="738" stopIfTrue="1">
      <formula>$C75=1</formula>
    </cfRule>
    <cfRule type="expression" dxfId="1327" priority="739" stopIfTrue="1">
      <formula>OR($C75=0,$C75=2,$C75=3,$C75=4)</formula>
    </cfRule>
  </conditionalFormatting>
  <conditionalFormatting sqref="AJ75:AJ82 AJ85">
    <cfRule type="expression" dxfId="1326" priority="740" stopIfTrue="1">
      <formula>OR(ACOMPANHAMENTO&lt;&gt;"BM",TIPOORCAMENTO="Licitado")</formula>
    </cfRule>
    <cfRule type="expression" dxfId="1325" priority="741" stopIfTrue="1">
      <formula>$C75=1</formula>
    </cfRule>
    <cfRule type="expression" dxfId="1324" priority="742" stopIfTrue="1">
      <formula>OR(AND(ISNUMBER($C75),$C75=0),$C75=2,$C75=3,$C75=4)</formula>
    </cfRule>
  </conditionalFormatting>
  <conditionalFormatting sqref="AL75:AL82 AL85">
    <cfRule type="expression" dxfId="1323" priority="743" stopIfTrue="1">
      <formula>TIPOORCAMENTO="PROPOSTO"</formula>
    </cfRule>
    <cfRule type="expression" dxfId="1322" priority="744" stopIfTrue="1">
      <formula>$C75=1</formula>
    </cfRule>
    <cfRule type="expression" dxfId="1321" priority="745" stopIfTrue="1">
      <formula>OR(AND(ISNUMBER($C75),$C75=0),$C75=2,$C75=3,$C75=4)</formula>
    </cfRule>
  </conditionalFormatting>
  <conditionalFormatting sqref="AM75:AN82 AM85:AN85">
    <cfRule type="expression" dxfId="1320" priority="746" stopIfTrue="1">
      <formula>TIPOORCAMENTO="PROPOSTO"</formula>
    </cfRule>
    <cfRule type="expression" dxfId="1319" priority="747" stopIfTrue="1">
      <formula>$C75=1</formula>
    </cfRule>
    <cfRule type="expression" dxfId="1318" priority="748" stopIfTrue="1">
      <formula>OR(AND(ISNUMBER($C75),$C75=0),$C75=2,$C75=3,$C75=4)</formula>
    </cfRule>
  </conditionalFormatting>
  <conditionalFormatting sqref="M88:M94">
    <cfRule type="cellIs" dxfId="1317" priority="715" stopIfTrue="1" operator="notEqual">
      <formula>$N88</formula>
    </cfRule>
  </conditionalFormatting>
  <conditionalFormatting sqref="W88:X94 R88:R94 N88:O94">
    <cfRule type="expression" dxfId="1316" priority="716" stopIfTrue="1">
      <formula>$C88=1</formula>
    </cfRule>
    <cfRule type="expression" dxfId="1315" priority="717" stopIfTrue="1">
      <formula>OR($C88=0,$C88=2,$C88=3,$C88=4)</formula>
    </cfRule>
  </conditionalFormatting>
  <conditionalFormatting sqref="U88:V94">
    <cfRule type="expression" dxfId="1314" priority="718" stopIfTrue="1">
      <formula>$C88=1</formula>
    </cfRule>
    <cfRule type="expression" dxfId="1313" priority="719" stopIfTrue="1">
      <formula>OR($C88=0,$C88=2,$C88=3,$C88=4)</formula>
    </cfRule>
    <cfRule type="expression" dxfId="1312" priority="720" stopIfTrue="1">
      <formula>AND(TIPOORCAMENTO="Licitado",$C88&lt;&gt;"L",$C88&lt;&gt;-1)</formula>
    </cfRule>
  </conditionalFormatting>
  <conditionalFormatting sqref="AG88:AH94 Y88:Y94 S88:T94 P88:Q94">
    <cfRule type="expression" dxfId="1311" priority="721" stopIfTrue="1">
      <formula>$C88=1</formula>
    </cfRule>
    <cfRule type="expression" dxfId="1310" priority="722" stopIfTrue="1">
      <formula>OR($C88=0,$C88=2,$C88=3,$C88=4)</formula>
    </cfRule>
  </conditionalFormatting>
  <conditionalFormatting sqref="AJ88:AJ94">
    <cfRule type="expression" dxfId="1309" priority="723" stopIfTrue="1">
      <formula>OR(ACOMPANHAMENTO&lt;&gt;"BM",TIPOORCAMENTO="Licitado")</formula>
    </cfRule>
    <cfRule type="expression" dxfId="1308" priority="724" stopIfTrue="1">
      <formula>$C88=1</formula>
    </cfRule>
    <cfRule type="expression" dxfId="1307" priority="725" stopIfTrue="1">
      <formula>OR(AND(ISNUMBER($C88),$C88=0),$C88=2,$C88=3,$C88=4)</formula>
    </cfRule>
  </conditionalFormatting>
  <conditionalFormatting sqref="AL88:AL94">
    <cfRule type="expression" dxfId="1306" priority="726" stopIfTrue="1">
      <formula>TIPOORCAMENTO="PROPOSTO"</formula>
    </cfRule>
    <cfRule type="expression" dxfId="1305" priority="727" stopIfTrue="1">
      <formula>$C88=1</formula>
    </cfRule>
    <cfRule type="expression" dxfId="1304" priority="728" stopIfTrue="1">
      <formula>OR(AND(ISNUMBER($C88),$C88=0),$C88=2,$C88=3,$C88=4)</formula>
    </cfRule>
  </conditionalFormatting>
  <conditionalFormatting sqref="AM88:AN94">
    <cfRule type="expression" dxfId="1303" priority="729" stopIfTrue="1">
      <formula>TIPOORCAMENTO="PROPOSTO"</formula>
    </cfRule>
    <cfRule type="expression" dxfId="1302" priority="730" stopIfTrue="1">
      <formula>$C88=1</formula>
    </cfRule>
    <cfRule type="expression" dxfId="1301" priority="731" stopIfTrue="1">
      <formula>OR(AND(ISNUMBER($C88),$C88=0),$C88=2,$C88=3,$C88=4)</formula>
    </cfRule>
  </conditionalFormatting>
  <conditionalFormatting sqref="M95:M103">
    <cfRule type="cellIs" dxfId="1300" priority="698" stopIfTrue="1" operator="notEqual">
      <formula>$N95</formula>
    </cfRule>
  </conditionalFormatting>
  <conditionalFormatting sqref="N95:O103 R95:R103 W95:X103">
    <cfRule type="expression" dxfId="1299" priority="699" stopIfTrue="1">
      <formula>$C95=1</formula>
    </cfRule>
    <cfRule type="expression" dxfId="1298" priority="700" stopIfTrue="1">
      <formula>OR($C95=0,$C95=2,$C95=3,$C95=4)</formula>
    </cfRule>
  </conditionalFormatting>
  <conditionalFormatting sqref="U95:V103">
    <cfRule type="expression" dxfId="1297" priority="701" stopIfTrue="1">
      <formula>$C95=1</formula>
    </cfRule>
    <cfRule type="expression" dxfId="1296" priority="702" stopIfTrue="1">
      <formula>OR($C95=0,$C95=2,$C95=3,$C95=4)</formula>
    </cfRule>
    <cfRule type="expression" dxfId="1295" priority="703" stopIfTrue="1">
      <formula>AND(TIPOORCAMENTO="Licitado",$C95&lt;&gt;"L",$C95&lt;&gt;-1)</formula>
    </cfRule>
  </conditionalFormatting>
  <conditionalFormatting sqref="P95:Q103 S95:T103 Y95:Y103 AG95:AH103">
    <cfRule type="expression" dxfId="1294" priority="704" stopIfTrue="1">
      <formula>$C95=1</formula>
    </cfRule>
    <cfRule type="expression" dxfId="1293" priority="705" stopIfTrue="1">
      <formula>OR($C95=0,$C95=2,$C95=3,$C95=4)</formula>
    </cfRule>
  </conditionalFormatting>
  <conditionalFormatting sqref="AJ95:AJ103">
    <cfRule type="expression" dxfId="1292" priority="706" stopIfTrue="1">
      <formula>OR(ACOMPANHAMENTO&lt;&gt;"BM",TIPOORCAMENTO="Licitado")</formula>
    </cfRule>
    <cfRule type="expression" dxfId="1291" priority="707" stopIfTrue="1">
      <formula>$C95=1</formula>
    </cfRule>
    <cfRule type="expression" dxfId="1290" priority="708" stopIfTrue="1">
      <formula>OR(AND(ISNUMBER($C95),$C95=0),$C95=2,$C95=3,$C95=4)</formula>
    </cfRule>
  </conditionalFormatting>
  <conditionalFormatting sqref="AL95:AL103">
    <cfRule type="expression" dxfId="1289" priority="709" stopIfTrue="1">
      <formula>TIPOORCAMENTO="PROPOSTO"</formula>
    </cfRule>
    <cfRule type="expression" dxfId="1288" priority="710" stopIfTrue="1">
      <formula>$C95=1</formula>
    </cfRule>
    <cfRule type="expression" dxfId="1287" priority="711" stopIfTrue="1">
      <formula>OR(AND(ISNUMBER($C95),$C95=0),$C95=2,$C95=3,$C95=4)</formula>
    </cfRule>
  </conditionalFormatting>
  <conditionalFormatting sqref="AM95:AN103">
    <cfRule type="expression" dxfId="1286" priority="712" stopIfTrue="1">
      <formula>TIPOORCAMENTO="PROPOSTO"</formula>
    </cfRule>
    <cfRule type="expression" dxfId="1285" priority="713" stopIfTrue="1">
      <formula>$C95=1</formula>
    </cfRule>
    <cfRule type="expression" dxfId="1284" priority="714" stopIfTrue="1">
      <formula>OR(AND(ISNUMBER($C95),$C95=0),$C95=2,$C95=3,$C95=4)</formula>
    </cfRule>
  </conditionalFormatting>
  <conditionalFormatting sqref="M104:M110 M114:M115">
    <cfRule type="cellIs" dxfId="1283" priority="681" stopIfTrue="1" operator="notEqual">
      <formula>$N104</formula>
    </cfRule>
  </conditionalFormatting>
  <conditionalFormatting sqref="N104:O110 R104:R110 W104:X110 W114:X115 R114:R115 N114:O115">
    <cfRule type="expression" dxfId="1282" priority="682" stopIfTrue="1">
      <formula>$C104=1</formula>
    </cfRule>
    <cfRule type="expression" dxfId="1281" priority="683" stopIfTrue="1">
      <formula>OR($C104=0,$C104=2,$C104=3,$C104=4)</formula>
    </cfRule>
  </conditionalFormatting>
  <conditionalFormatting sqref="U104:V110 U114:V115">
    <cfRule type="expression" dxfId="1280" priority="684" stopIfTrue="1">
      <formula>$C104=1</formula>
    </cfRule>
    <cfRule type="expression" dxfId="1279" priority="685" stopIfTrue="1">
      <formula>OR($C104=0,$C104=2,$C104=3,$C104=4)</formula>
    </cfRule>
    <cfRule type="expression" dxfId="1278" priority="686" stopIfTrue="1">
      <formula>AND(TIPOORCAMENTO="Licitado",$C104&lt;&gt;"L",$C104&lt;&gt;-1)</formula>
    </cfRule>
  </conditionalFormatting>
  <conditionalFormatting sqref="P104:Q110 S104:T110 Y104:Y110 AG104:AH110 AG114:AH115 Y114:Y115 S114:T115 P114:Q115">
    <cfRule type="expression" dxfId="1277" priority="687" stopIfTrue="1">
      <formula>$C104=1</formula>
    </cfRule>
    <cfRule type="expression" dxfId="1276" priority="688" stopIfTrue="1">
      <formula>OR($C104=0,$C104=2,$C104=3,$C104=4)</formula>
    </cfRule>
  </conditionalFormatting>
  <conditionalFormatting sqref="AJ104:AJ110 AJ114:AJ115">
    <cfRule type="expression" dxfId="1275" priority="689" stopIfTrue="1">
      <formula>OR(ACOMPANHAMENTO&lt;&gt;"BM",TIPOORCAMENTO="Licitado")</formula>
    </cfRule>
    <cfRule type="expression" dxfId="1274" priority="690" stopIfTrue="1">
      <formula>$C104=1</formula>
    </cfRule>
    <cfRule type="expression" dxfId="1273" priority="691" stopIfTrue="1">
      <formula>OR(AND(ISNUMBER($C104),$C104=0),$C104=2,$C104=3,$C104=4)</formula>
    </cfRule>
  </conditionalFormatting>
  <conditionalFormatting sqref="AL104:AL110 AL114:AL115">
    <cfRule type="expression" dxfId="1272" priority="692" stopIfTrue="1">
      <formula>TIPOORCAMENTO="PROPOSTO"</formula>
    </cfRule>
    <cfRule type="expression" dxfId="1271" priority="693" stopIfTrue="1">
      <formula>$C104=1</formula>
    </cfRule>
    <cfRule type="expression" dxfId="1270" priority="694" stopIfTrue="1">
      <formula>OR(AND(ISNUMBER($C104),$C104=0),$C104=2,$C104=3,$C104=4)</formula>
    </cfRule>
  </conditionalFormatting>
  <conditionalFormatting sqref="AM104:AN110 AM114:AN115">
    <cfRule type="expression" dxfId="1269" priority="695" stopIfTrue="1">
      <formula>TIPOORCAMENTO="PROPOSTO"</formula>
    </cfRule>
    <cfRule type="expression" dxfId="1268" priority="696" stopIfTrue="1">
      <formula>$C104=1</formula>
    </cfRule>
    <cfRule type="expression" dxfId="1267" priority="697" stopIfTrue="1">
      <formula>OR(AND(ISNUMBER($C104),$C104=0),$C104=2,$C104=3,$C104=4)</formula>
    </cfRule>
  </conditionalFormatting>
  <conditionalFormatting sqref="M116:M124">
    <cfRule type="cellIs" dxfId="1266" priority="664" stopIfTrue="1" operator="notEqual">
      <formula>$N116</formula>
    </cfRule>
  </conditionalFormatting>
  <conditionalFormatting sqref="N116:O124 R116:R124 W116:X124">
    <cfRule type="expression" dxfId="1265" priority="665" stopIfTrue="1">
      <formula>$C116=1</formula>
    </cfRule>
    <cfRule type="expression" dxfId="1264" priority="666" stopIfTrue="1">
      <formula>OR($C116=0,$C116=2,$C116=3,$C116=4)</formula>
    </cfRule>
  </conditionalFormatting>
  <conditionalFormatting sqref="U116:V124">
    <cfRule type="expression" dxfId="1263" priority="667" stopIfTrue="1">
      <formula>$C116=1</formula>
    </cfRule>
    <cfRule type="expression" dxfId="1262" priority="668" stopIfTrue="1">
      <formula>OR($C116=0,$C116=2,$C116=3,$C116=4)</formula>
    </cfRule>
    <cfRule type="expression" dxfId="1261" priority="669" stopIfTrue="1">
      <formula>AND(TIPOORCAMENTO="Licitado",$C116&lt;&gt;"L",$C116&lt;&gt;-1)</formula>
    </cfRule>
  </conditionalFormatting>
  <conditionalFormatting sqref="P116:Q124 S116:T124 Y116:Y124 AG116:AH124">
    <cfRule type="expression" dxfId="1260" priority="670" stopIfTrue="1">
      <formula>$C116=1</formula>
    </cfRule>
    <cfRule type="expression" dxfId="1259" priority="671" stopIfTrue="1">
      <formula>OR($C116=0,$C116=2,$C116=3,$C116=4)</formula>
    </cfRule>
  </conditionalFormatting>
  <conditionalFormatting sqref="AJ116:AJ124">
    <cfRule type="expression" dxfId="1258" priority="672" stopIfTrue="1">
      <formula>OR(ACOMPANHAMENTO&lt;&gt;"BM",TIPOORCAMENTO="Licitado")</formula>
    </cfRule>
    <cfRule type="expression" dxfId="1257" priority="673" stopIfTrue="1">
      <formula>$C116=1</formula>
    </cfRule>
    <cfRule type="expression" dxfId="1256" priority="674" stopIfTrue="1">
      <formula>OR(AND(ISNUMBER($C116),$C116=0),$C116=2,$C116=3,$C116=4)</formula>
    </cfRule>
  </conditionalFormatting>
  <conditionalFormatting sqref="AL116:AL124">
    <cfRule type="expression" dxfId="1255" priority="675" stopIfTrue="1">
      <formula>TIPOORCAMENTO="PROPOSTO"</formula>
    </cfRule>
    <cfRule type="expression" dxfId="1254" priority="676" stopIfTrue="1">
      <formula>$C116=1</formula>
    </cfRule>
    <cfRule type="expression" dxfId="1253" priority="677" stopIfTrue="1">
      <formula>OR(AND(ISNUMBER($C116),$C116=0),$C116=2,$C116=3,$C116=4)</formula>
    </cfRule>
  </conditionalFormatting>
  <conditionalFormatting sqref="AM116:AN124">
    <cfRule type="expression" dxfId="1252" priority="678" stopIfTrue="1">
      <formula>TIPOORCAMENTO="PROPOSTO"</formula>
    </cfRule>
    <cfRule type="expression" dxfId="1251" priority="679" stopIfTrue="1">
      <formula>$C116=1</formula>
    </cfRule>
    <cfRule type="expression" dxfId="1250" priority="680" stopIfTrue="1">
      <formula>OR(AND(ISNUMBER($C116),$C116=0),$C116=2,$C116=3,$C116=4)</formula>
    </cfRule>
  </conditionalFormatting>
  <conditionalFormatting sqref="M125:M129 M131:M134">
    <cfRule type="cellIs" dxfId="1249" priority="647" stopIfTrue="1" operator="notEqual">
      <formula>$N125</formula>
    </cfRule>
  </conditionalFormatting>
  <conditionalFormatting sqref="N125:O129 R125:R129 W125:X129 W131:X134 R131:R134 N131:O134">
    <cfRule type="expression" dxfId="1248" priority="648" stopIfTrue="1">
      <formula>$C125=1</formula>
    </cfRule>
    <cfRule type="expression" dxfId="1247" priority="649" stopIfTrue="1">
      <formula>OR($C125=0,$C125=2,$C125=3,$C125=4)</formula>
    </cfRule>
  </conditionalFormatting>
  <conditionalFormatting sqref="U125:V129 U131:V134">
    <cfRule type="expression" dxfId="1246" priority="650" stopIfTrue="1">
      <formula>$C125=1</formula>
    </cfRule>
    <cfRule type="expression" dxfId="1245" priority="651" stopIfTrue="1">
      <formula>OR($C125=0,$C125=2,$C125=3,$C125=4)</formula>
    </cfRule>
    <cfRule type="expression" dxfId="1244" priority="652" stopIfTrue="1">
      <formula>AND(TIPOORCAMENTO="Licitado",$C125&lt;&gt;"L",$C125&lt;&gt;-1)</formula>
    </cfRule>
  </conditionalFormatting>
  <conditionalFormatting sqref="P125:Q129 S125:T129 Y125:Y129 AG125:AH129 AG131:AH134 Y131:Y134 S131:T134 P131:Q134">
    <cfRule type="expression" dxfId="1243" priority="653" stopIfTrue="1">
      <formula>$C125=1</formula>
    </cfRule>
    <cfRule type="expression" dxfId="1242" priority="654" stopIfTrue="1">
      <formula>OR($C125=0,$C125=2,$C125=3,$C125=4)</formula>
    </cfRule>
  </conditionalFormatting>
  <conditionalFormatting sqref="AJ125:AJ129 AJ131:AJ134">
    <cfRule type="expression" dxfId="1241" priority="655" stopIfTrue="1">
      <formula>OR(ACOMPANHAMENTO&lt;&gt;"BM",TIPOORCAMENTO="Licitado")</formula>
    </cfRule>
    <cfRule type="expression" dxfId="1240" priority="656" stopIfTrue="1">
      <formula>$C125=1</formula>
    </cfRule>
    <cfRule type="expression" dxfId="1239" priority="657" stopIfTrue="1">
      <formula>OR(AND(ISNUMBER($C125),$C125=0),$C125=2,$C125=3,$C125=4)</formula>
    </cfRule>
  </conditionalFormatting>
  <conditionalFormatting sqref="AL125:AL129 AL131:AL134">
    <cfRule type="expression" dxfId="1238" priority="658" stopIfTrue="1">
      <formula>TIPOORCAMENTO="PROPOSTO"</formula>
    </cfRule>
    <cfRule type="expression" dxfId="1237" priority="659" stopIfTrue="1">
      <formula>$C125=1</formula>
    </cfRule>
    <cfRule type="expression" dxfId="1236" priority="660" stopIfTrue="1">
      <formula>OR(AND(ISNUMBER($C125),$C125=0),$C125=2,$C125=3,$C125=4)</formula>
    </cfRule>
  </conditionalFormatting>
  <conditionalFormatting sqref="AM125:AN129 AM131:AN134">
    <cfRule type="expression" dxfId="1235" priority="661" stopIfTrue="1">
      <formula>TIPOORCAMENTO="PROPOSTO"</formula>
    </cfRule>
    <cfRule type="expression" dxfId="1234" priority="662" stopIfTrue="1">
      <formula>$C125=1</formula>
    </cfRule>
    <cfRule type="expression" dxfId="1233" priority="663" stopIfTrue="1">
      <formula>OR(AND(ISNUMBER($C125),$C125=0),$C125=2,$C125=3,$C125=4)</formula>
    </cfRule>
  </conditionalFormatting>
  <conditionalFormatting sqref="M135:M143">
    <cfRule type="cellIs" dxfId="1232" priority="630" stopIfTrue="1" operator="notEqual">
      <formula>$N135</formula>
    </cfRule>
  </conditionalFormatting>
  <conditionalFormatting sqref="W135:X143 R135:R143 N135:O143">
    <cfRule type="expression" dxfId="1231" priority="631" stopIfTrue="1">
      <formula>$C135=1</formula>
    </cfRule>
    <cfRule type="expression" dxfId="1230" priority="632" stopIfTrue="1">
      <formula>OR($C135=0,$C135=2,$C135=3,$C135=4)</formula>
    </cfRule>
  </conditionalFormatting>
  <conditionalFormatting sqref="U135:V143">
    <cfRule type="expression" dxfId="1229" priority="633" stopIfTrue="1">
      <formula>$C135=1</formula>
    </cfRule>
    <cfRule type="expression" dxfId="1228" priority="634" stopIfTrue="1">
      <formula>OR($C135=0,$C135=2,$C135=3,$C135=4)</formula>
    </cfRule>
    <cfRule type="expression" dxfId="1227" priority="635" stopIfTrue="1">
      <formula>AND(TIPOORCAMENTO="Licitado",$C135&lt;&gt;"L",$C135&lt;&gt;-1)</formula>
    </cfRule>
  </conditionalFormatting>
  <conditionalFormatting sqref="AG135:AH143 Y135:Y143 S135:T143 P135:Q143">
    <cfRule type="expression" dxfId="1226" priority="636" stopIfTrue="1">
      <formula>$C135=1</formula>
    </cfRule>
    <cfRule type="expression" dxfId="1225" priority="637" stopIfTrue="1">
      <formula>OR($C135=0,$C135=2,$C135=3,$C135=4)</formula>
    </cfRule>
  </conditionalFormatting>
  <conditionalFormatting sqref="AJ135:AJ143">
    <cfRule type="expression" dxfId="1224" priority="638" stopIfTrue="1">
      <formula>OR(ACOMPANHAMENTO&lt;&gt;"BM",TIPOORCAMENTO="Licitado")</formula>
    </cfRule>
    <cfRule type="expression" dxfId="1223" priority="639" stopIfTrue="1">
      <formula>$C135=1</formula>
    </cfRule>
    <cfRule type="expression" dxfId="1222" priority="640" stopIfTrue="1">
      <formula>OR(AND(ISNUMBER($C135),$C135=0),$C135=2,$C135=3,$C135=4)</formula>
    </cfRule>
  </conditionalFormatting>
  <conditionalFormatting sqref="AL135:AL143">
    <cfRule type="expression" dxfId="1221" priority="641" stopIfTrue="1">
      <formula>TIPOORCAMENTO="PROPOSTO"</formula>
    </cfRule>
    <cfRule type="expression" dxfId="1220" priority="642" stopIfTrue="1">
      <formula>$C135=1</formula>
    </cfRule>
    <cfRule type="expression" dxfId="1219" priority="643" stopIfTrue="1">
      <formula>OR(AND(ISNUMBER($C135),$C135=0),$C135=2,$C135=3,$C135=4)</formula>
    </cfRule>
  </conditionalFormatting>
  <conditionalFormatting sqref="AM135:AN143">
    <cfRule type="expression" dxfId="1218" priority="644" stopIfTrue="1">
      <formula>TIPOORCAMENTO="PROPOSTO"</formula>
    </cfRule>
    <cfRule type="expression" dxfId="1217" priority="645" stopIfTrue="1">
      <formula>$C135=1</formula>
    </cfRule>
    <cfRule type="expression" dxfId="1216" priority="646" stopIfTrue="1">
      <formula>OR(AND(ISNUMBER($C135),$C135=0),$C135=2,$C135=3,$C135=4)</formula>
    </cfRule>
  </conditionalFormatting>
  <conditionalFormatting sqref="M144:M147 M149:M153">
    <cfRule type="cellIs" dxfId="1215" priority="613" stopIfTrue="1" operator="notEqual">
      <formula>$N144</formula>
    </cfRule>
  </conditionalFormatting>
  <conditionalFormatting sqref="N144:O147 R144:R147 W144:X147 W149:X153 R149:R153 N149:O153">
    <cfRule type="expression" dxfId="1214" priority="614" stopIfTrue="1">
      <formula>$C144=1</formula>
    </cfRule>
    <cfRule type="expression" dxfId="1213" priority="615" stopIfTrue="1">
      <formula>OR($C144=0,$C144=2,$C144=3,$C144=4)</formula>
    </cfRule>
  </conditionalFormatting>
  <conditionalFormatting sqref="U144:V147 U149:V153">
    <cfRule type="expression" dxfId="1212" priority="616" stopIfTrue="1">
      <formula>$C144=1</formula>
    </cfRule>
    <cfRule type="expression" dxfId="1211" priority="617" stopIfTrue="1">
      <formula>OR($C144=0,$C144=2,$C144=3,$C144=4)</formula>
    </cfRule>
    <cfRule type="expression" dxfId="1210" priority="618" stopIfTrue="1">
      <formula>AND(TIPOORCAMENTO="Licitado",$C144&lt;&gt;"L",$C144&lt;&gt;-1)</formula>
    </cfRule>
  </conditionalFormatting>
  <conditionalFormatting sqref="P144:Q147 S144:T147 Y144:Y147 AG144:AH147 AG149:AH153 Y149:Y153 S149:T153 P149:Q153">
    <cfRule type="expression" dxfId="1209" priority="619" stopIfTrue="1">
      <formula>$C144=1</formula>
    </cfRule>
    <cfRule type="expression" dxfId="1208" priority="620" stopIfTrue="1">
      <formula>OR($C144=0,$C144=2,$C144=3,$C144=4)</formula>
    </cfRule>
  </conditionalFormatting>
  <conditionalFormatting sqref="AJ144:AJ147 AJ149:AJ153">
    <cfRule type="expression" dxfId="1207" priority="621" stopIfTrue="1">
      <formula>OR(ACOMPANHAMENTO&lt;&gt;"BM",TIPOORCAMENTO="Licitado")</formula>
    </cfRule>
    <cfRule type="expression" dxfId="1206" priority="622" stopIfTrue="1">
      <formula>$C144=1</formula>
    </cfRule>
    <cfRule type="expression" dxfId="1205" priority="623" stopIfTrue="1">
      <formula>OR(AND(ISNUMBER($C144),$C144=0),$C144=2,$C144=3,$C144=4)</formula>
    </cfRule>
  </conditionalFormatting>
  <conditionalFormatting sqref="AL144:AL147 AL149:AL153">
    <cfRule type="expression" dxfId="1204" priority="624" stopIfTrue="1">
      <formula>TIPOORCAMENTO="PROPOSTO"</formula>
    </cfRule>
    <cfRule type="expression" dxfId="1203" priority="625" stopIfTrue="1">
      <formula>$C144=1</formula>
    </cfRule>
    <cfRule type="expression" dxfId="1202" priority="626" stopIfTrue="1">
      <formula>OR(AND(ISNUMBER($C144),$C144=0),$C144=2,$C144=3,$C144=4)</formula>
    </cfRule>
  </conditionalFormatting>
  <conditionalFormatting sqref="AM144:AN147 AM149:AN153">
    <cfRule type="expression" dxfId="1201" priority="627" stopIfTrue="1">
      <formula>TIPOORCAMENTO="PROPOSTO"</formula>
    </cfRule>
    <cfRule type="expression" dxfId="1200" priority="628" stopIfTrue="1">
      <formula>$C144=1</formula>
    </cfRule>
    <cfRule type="expression" dxfId="1199" priority="629" stopIfTrue="1">
      <formula>OR(AND(ISNUMBER($C144),$C144=0),$C144=2,$C144=3,$C144=4)</formula>
    </cfRule>
  </conditionalFormatting>
  <conditionalFormatting sqref="M154:M157 M159:M162 M164">
    <cfRule type="cellIs" dxfId="1198" priority="596" stopIfTrue="1" operator="notEqual">
      <formula>$N154</formula>
    </cfRule>
  </conditionalFormatting>
  <conditionalFormatting sqref="N154:O157 R154:R157 W154:X157 W159:X162 R159:R162 N159:O162 N164:O164 R164 W164:X164">
    <cfRule type="expression" dxfId="1197" priority="597" stopIfTrue="1">
      <formula>$C154=1</formula>
    </cfRule>
    <cfRule type="expression" dxfId="1196" priority="598" stopIfTrue="1">
      <formula>OR($C154=0,$C154=2,$C154=3,$C154=4)</formula>
    </cfRule>
  </conditionalFormatting>
  <conditionalFormatting sqref="U154:V157 U159:V162 U164:V164">
    <cfRule type="expression" dxfId="1195" priority="599" stopIfTrue="1">
      <formula>$C154=1</formula>
    </cfRule>
    <cfRule type="expression" dxfId="1194" priority="600" stopIfTrue="1">
      <formula>OR($C154=0,$C154=2,$C154=3,$C154=4)</formula>
    </cfRule>
    <cfRule type="expression" dxfId="1193" priority="601" stopIfTrue="1">
      <formula>AND(TIPOORCAMENTO="Licitado",$C154&lt;&gt;"L",$C154&lt;&gt;-1)</formula>
    </cfRule>
  </conditionalFormatting>
  <conditionalFormatting sqref="P154:Q157 S154:T157 Y154:Y157 AG154:AH157 AG159:AH162 Y159:Y162 S159:T162 P159:Q162 P164:Q164 S164:T164 Y164 AG164:AH164">
    <cfRule type="expression" dxfId="1192" priority="602" stopIfTrue="1">
      <formula>$C154=1</formula>
    </cfRule>
    <cfRule type="expression" dxfId="1191" priority="603" stopIfTrue="1">
      <formula>OR($C154=0,$C154=2,$C154=3,$C154=4)</formula>
    </cfRule>
  </conditionalFormatting>
  <conditionalFormatting sqref="AJ154:AJ157 AJ159:AJ162 AJ164">
    <cfRule type="expression" dxfId="1190" priority="604" stopIfTrue="1">
      <formula>OR(ACOMPANHAMENTO&lt;&gt;"BM",TIPOORCAMENTO="Licitado")</formula>
    </cfRule>
    <cfRule type="expression" dxfId="1189" priority="605" stopIfTrue="1">
      <formula>$C154=1</formula>
    </cfRule>
    <cfRule type="expression" dxfId="1188" priority="606" stopIfTrue="1">
      <formula>OR(AND(ISNUMBER($C154),$C154=0),$C154=2,$C154=3,$C154=4)</formula>
    </cfRule>
  </conditionalFormatting>
  <conditionalFormatting sqref="AL154:AL157 AL159:AL162 AL164">
    <cfRule type="expression" dxfId="1187" priority="607" stopIfTrue="1">
      <formula>TIPOORCAMENTO="PROPOSTO"</formula>
    </cfRule>
    <cfRule type="expression" dxfId="1186" priority="608" stopIfTrue="1">
      <formula>$C154=1</formula>
    </cfRule>
    <cfRule type="expression" dxfId="1185" priority="609" stopIfTrue="1">
      <formula>OR(AND(ISNUMBER($C154),$C154=0),$C154=2,$C154=3,$C154=4)</formula>
    </cfRule>
  </conditionalFormatting>
  <conditionalFormatting sqref="AM154:AN157 AM159:AN162 AM164:AN164">
    <cfRule type="expression" dxfId="1184" priority="610" stopIfTrue="1">
      <formula>TIPOORCAMENTO="PROPOSTO"</formula>
    </cfRule>
    <cfRule type="expression" dxfId="1183" priority="611" stopIfTrue="1">
      <formula>$C154=1</formula>
    </cfRule>
    <cfRule type="expression" dxfId="1182" priority="612" stopIfTrue="1">
      <formula>OR(AND(ISNUMBER($C154),$C154=0),$C154=2,$C154=3,$C154=4)</formula>
    </cfRule>
  </conditionalFormatting>
  <conditionalFormatting sqref="M165:M166 M168:M173 M177">
    <cfRule type="cellIs" dxfId="1181" priority="579" stopIfTrue="1" operator="notEqual">
      <formula>$N165</formula>
    </cfRule>
  </conditionalFormatting>
  <conditionalFormatting sqref="N165:O166 R165:R166 W165:X166 W168:X173 R168:R173 N168:O173 N177:O177 R177 W177:X177">
    <cfRule type="expression" dxfId="1180" priority="580" stopIfTrue="1">
      <formula>$C165=1</formula>
    </cfRule>
    <cfRule type="expression" dxfId="1179" priority="581" stopIfTrue="1">
      <formula>OR($C165=0,$C165=2,$C165=3,$C165=4)</formula>
    </cfRule>
  </conditionalFormatting>
  <conditionalFormatting sqref="U165:V166 U168:V173 U177:V177">
    <cfRule type="expression" dxfId="1178" priority="582" stopIfTrue="1">
      <formula>$C165=1</formula>
    </cfRule>
    <cfRule type="expression" dxfId="1177" priority="583" stopIfTrue="1">
      <formula>OR($C165=0,$C165=2,$C165=3,$C165=4)</formula>
    </cfRule>
    <cfRule type="expression" dxfId="1176" priority="584" stopIfTrue="1">
      <formula>AND(TIPOORCAMENTO="Licitado",$C165&lt;&gt;"L",$C165&lt;&gt;-1)</formula>
    </cfRule>
  </conditionalFormatting>
  <conditionalFormatting sqref="P165:Q166 S165:T166 Y165:Y166 AG165:AH166 AG168:AH173 Y168:Y173 S168:T173 P168:Q173 P177:Q177 S177:T177 Y177 AG177:AH177">
    <cfRule type="expression" dxfId="1175" priority="585" stopIfTrue="1">
      <formula>$C165=1</formula>
    </cfRule>
    <cfRule type="expression" dxfId="1174" priority="586" stopIfTrue="1">
      <formula>OR($C165=0,$C165=2,$C165=3,$C165=4)</formula>
    </cfRule>
  </conditionalFormatting>
  <conditionalFormatting sqref="AJ165:AJ166 AJ168:AJ173 AJ177">
    <cfRule type="expression" dxfId="1173" priority="587" stopIfTrue="1">
      <formula>OR(ACOMPANHAMENTO&lt;&gt;"BM",TIPOORCAMENTO="Licitado")</formula>
    </cfRule>
    <cfRule type="expression" dxfId="1172" priority="588" stopIfTrue="1">
      <formula>$C165=1</formula>
    </cfRule>
    <cfRule type="expression" dxfId="1171" priority="589" stopIfTrue="1">
      <formula>OR(AND(ISNUMBER($C165),$C165=0),$C165=2,$C165=3,$C165=4)</formula>
    </cfRule>
  </conditionalFormatting>
  <conditionalFormatting sqref="AL165:AL166 AL168:AL173 AL177">
    <cfRule type="expression" dxfId="1170" priority="590" stopIfTrue="1">
      <formula>TIPOORCAMENTO="PROPOSTO"</formula>
    </cfRule>
    <cfRule type="expression" dxfId="1169" priority="591" stopIfTrue="1">
      <formula>$C165=1</formula>
    </cfRule>
    <cfRule type="expression" dxfId="1168" priority="592" stopIfTrue="1">
      <formula>OR(AND(ISNUMBER($C165),$C165=0),$C165=2,$C165=3,$C165=4)</formula>
    </cfRule>
  </conditionalFormatting>
  <conditionalFormatting sqref="AM165:AN166 AM168:AN173 AM177:AN177">
    <cfRule type="expression" dxfId="1167" priority="593" stopIfTrue="1">
      <formula>TIPOORCAMENTO="PROPOSTO"</formula>
    </cfRule>
    <cfRule type="expression" dxfId="1166" priority="594" stopIfTrue="1">
      <formula>$C165=1</formula>
    </cfRule>
    <cfRule type="expression" dxfId="1165" priority="595" stopIfTrue="1">
      <formula>OR(AND(ISNUMBER($C165),$C165=0),$C165=2,$C165=3,$C165=4)</formula>
    </cfRule>
  </conditionalFormatting>
  <conditionalFormatting sqref="M178:M186">
    <cfRule type="cellIs" dxfId="1164" priority="562" stopIfTrue="1" operator="notEqual">
      <formula>$N178</formula>
    </cfRule>
  </conditionalFormatting>
  <conditionalFormatting sqref="N178:O186 R178:R186 W178:X186">
    <cfRule type="expression" dxfId="1163" priority="563" stopIfTrue="1">
      <formula>$C178=1</formula>
    </cfRule>
    <cfRule type="expression" dxfId="1162" priority="564" stopIfTrue="1">
      <formula>OR($C178=0,$C178=2,$C178=3,$C178=4)</formula>
    </cfRule>
  </conditionalFormatting>
  <conditionalFormatting sqref="U178:V186">
    <cfRule type="expression" dxfId="1161" priority="565" stopIfTrue="1">
      <formula>$C178=1</formula>
    </cfRule>
    <cfRule type="expression" dxfId="1160" priority="566" stopIfTrue="1">
      <formula>OR($C178=0,$C178=2,$C178=3,$C178=4)</formula>
    </cfRule>
    <cfRule type="expression" dxfId="1159" priority="567" stopIfTrue="1">
      <formula>AND(TIPOORCAMENTO="Licitado",$C178&lt;&gt;"L",$C178&lt;&gt;-1)</formula>
    </cfRule>
  </conditionalFormatting>
  <conditionalFormatting sqref="P178:Q186 S178:T186 Y178:Y186 AG178:AH186">
    <cfRule type="expression" dxfId="1158" priority="568" stopIfTrue="1">
      <formula>$C178=1</formula>
    </cfRule>
    <cfRule type="expression" dxfId="1157" priority="569" stopIfTrue="1">
      <formula>OR($C178=0,$C178=2,$C178=3,$C178=4)</formula>
    </cfRule>
  </conditionalFormatting>
  <conditionalFormatting sqref="AJ178:AJ186">
    <cfRule type="expression" dxfId="1156" priority="570" stopIfTrue="1">
      <formula>OR(ACOMPANHAMENTO&lt;&gt;"BM",TIPOORCAMENTO="Licitado")</formula>
    </cfRule>
    <cfRule type="expression" dxfId="1155" priority="571" stopIfTrue="1">
      <formula>$C178=1</formula>
    </cfRule>
    <cfRule type="expression" dxfId="1154" priority="572" stopIfTrue="1">
      <formula>OR(AND(ISNUMBER($C178),$C178=0),$C178=2,$C178=3,$C178=4)</formula>
    </cfRule>
  </conditionalFormatting>
  <conditionalFormatting sqref="AL178:AL186">
    <cfRule type="expression" dxfId="1153" priority="573" stopIfTrue="1">
      <formula>TIPOORCAMENTO="PROPOSTO"</formula>
    </cfRule>
    <cfRule type="expression" dxfId="1152" priority="574" stopIfTrue="1">
      <formula>$C178=1</formula>
    </cfRule>
    <cfRule type="expression" dxfId="1151" priority="575" stopIfTrue="1">
      <formula>OR(AND(ISNUMBER($C178),$C178=0),$C178=2,$C178=3,$C178=4)</formula>
    </cfRule>
  </conditionalFormatting>
  <conditionalFormatting sqref="AM178:AN186">
    <cfRule type="expression" dxfId="1150" priority="576" stopIfTrue="1">
      <formula>TIPOORCAMENTO="PROPOSTO"</formula>
    </cfRule>
    <cfRule type="expression" dxfId="1149" priority="577" stopIfTrue="1">
      <formula>$C178=1</formula>
    </cfRule>
    <cfRule type="expression" dxfId="1148" priority="578" stopIfTrue="1">
      <formula>OR(AND(ISNUMBER($C178),$C178=0),$C178=2,$C178=3,$C178=4)</formula>
    </cfRule>
  </conditionalFormatting>
  <conditionalFormatting sqref="M187:M195">
    <cfRule type="cellIs" dxfId="1147" priority="545" stopIfTrue="1" operator="notEqual">
      <formula>$N187</formula>
    </cfRule>
  </conditionalFormatting>
  <conditionalFormatting sqref="N187:O195 R187:R195 W187:X195">
    <cfRule type="expression" dxfId="1146" priority="546" stopIfTrue="1">
      <formula>$C187=1</formula>
    </cfRule>
    <cfRule type="expression" dxfId="1145" priority="547" stopIfTrue="1">
      <formula>OR($C187=0,$C187=2,$C187=3,$C187=4)</formula>
    </cfRule>
  </conditionalFormatting>
  <conditionalFormatting sqref="U187:V195">
    <cfRule type="expression" dxfId="1144" priority="548" stopIfTrue="1">
      <formula>$C187=1</formula>
    </cfRule>
    <cfRule type="expression" dxfId="1143" priority="549" stopIfTrue="1">
      <formula>OR($C187=0,$C187=2,$C187=3,$C187=4)</formula>
    </cfRule>
    <cfRule type="expression" dxfId="1142" priority="550" stopIfTrue="1">
      <formula>AND(TIPOORCAMENTO="Licitado",$C187&lt;&gt;"L",$C187&lt;&gt;-1)</formula>
    </cfRule>
  </conditionalFormatting>
  <conditionalFormatting sqref="P187:Q195 S187:T195 Y187:Y195 AG187:AH195">
    <cfRule type="expression" dxfId="1141" priority="551" stopIfTrue="1">
      <formula>$C187=1</formula>
    </cfRule>
    <cfRule type="expression" dxfId="1140" priority="552" stopIfTrue="1">
      <formula>OR($C187=0,$C187=2,$C187=3,$C187=4)</formula>
    </cfRule>
  </conditionalFormatting>
  <conditionalFormatting sqref="AJ187:AJ195">
    <cfRule type="expression" dxfId="1139" priority="553" stopIfTrue="1">
      <formula>OR(ACOMPANHAMENTO&lt;&gt;"BM",TIPOORCAMENTO="Licitado")</formula>
    </cfRule>
    <cfRule type="expression" dxfId="1138" priority="554" stopIfTrue="1">
      <formula>$C187=1</formula>
    </cfRule>
    <cfRule type="expression" dxfId="1137" priority="555" stopIfTrue="1">
      <formula>OR(AND(ISNUMBER($C187),$C187=0),$C187=2,$C187=3,$C187=4)</formula>
    </cfRule>
  </conditionalFormatting>
  <conditionalFormatting sqref="AL187:AL195">
    <cfRule type="expression" dxfId="1136" priority="556" stopIfTrue="1">
      <formula>TIPOORCAMENTO="PROPOSTO"</formula>
    </cfRule>
    <cfRule type="expression" dxfId="1135" priority="557" stopIfTrue="1">
      <formula>$C187=1</formula>
    </cfRule>
    <cfRule type="expression" dxfId="1134" priority="558" stopIfTrue="1">
      <formula>OR(AND(ISNUMBER($C187),$C187=0),$C187=2,$C187=3,$C187=4)</formula>
    </cfRule>
  </conditionalFormatting>
  <conditionalFormatting sqref="AM187:AN195">
    <cfRule type="expression" dxfId="1133" priority="559" stopIfTrue="1">
      <formula>TIPOORCAMENTO="PROPOSTO"</formula>
    </cfRule>
    <cfRule type="expression" dxfId="1132" priority="560" stopIfTrue="1">
      <formula>$C187=1</formula>
    </cfRule>
    <cfRule type="expression" dxfId="1131" priority="561" stopIfTrue="1">
      <formula>OR(AND(ISNUMBER($C187),$C187=0),$C187=2,$C187=3,$C187=4)</formula>
    </cfRule>
  </conditionalFormatting>
  <conditionalFormatting sqref="M196:M204">
    <cfRule type="cellIs" dxfId="1130" priority="528" stopIfTrue="1" operator="notEqual">
      <formula>$N196</formula>
    </cfRule>
  </conditionalFormatting>
  <conditionalFormatting sqref="N196:O204 R196:R204 W196:X204">
    <cfRule type="expression" dxfId="1129" priority="529" stopIfTrue="1">
      <formula>$C196=1</formula>
    </cfRule>
    <cfRule type="expression" dxfId="1128" priority="530" stopIfTrue="1">
      <formula>OR($C196=0,$C196=2,$C196=3,$C196=4)</formula>
    </cfRule>
  </conditionalFormatting>
  <conditionalFormatting sqref="U196:V204">
    <cfRule type="expression" dxfId="1127" priority="531" stopIfTrue="1">
      <formula>$C196=1</formula>
    </cfRule>
    <cfRule type="expression" dxfId="1126" priority="532" stopIfTrue="1">
      <formula>OR($C196=0,$C196=2,$C196=3,$C196=4)</formula>
    </cfRule>
    <cfRule type="expression" dxfId="1125" priority="533" stopIfTrue="1">
      <formula>AND(TIPOORCAMENTO="Licitado",$C196&lt;&gt;"L",$C196&lt;&gt;-1)</formula>
    </cfRule>
  </conditionalFormatting>
  <conditionalFormatting sqref="P196:Q204 S196:T204 Y196:Y204 AG196:AH204">
    <cfRule type="expression" dxfId="1124" priority="534" stopIfTrue="1">
      <formula>$C196=1</formula>
    </cfRule>
    <cfRule type="expression" dxfId="1123" priority="535" stopIfTrue="1">
      <formula>OR($C196=0,$C196=2,$C196=3,$C196=4)</formula>
    </cfRule>
  </conditionalFormatting>
  <conditionalFormatting sqref="AJ196:AJ204">
    <cfRule type="expression" dxfId="1122" priority="536" stopIfTrue="1">
      <formula>OR(ACOMPANHAMENTO&lt;&gt;"BM",TIPOORCAMENTO="Licitado")</formula>
    </cfRule>
    <cfRule type="expression" dxfId="1121" priority="537" stopIfTrue="1">
      <formula>$C196=1</formula>
    </cfRule>
    <cfRule type="expression" dxfId="1120" priority="538" stopIfTrue="1">
      <formula>OR(AND(ISNUMBER($C196),$C196=0),$C196=2,$C196=3,$C196=4)</formula>
    </cfRule>
  </conditionalFormatting>
  <conditionalFormatting sqref="AL196:AL204">
    <cfRule type="expression" dxfId="1119" priority="539" stopIfTrue="1">
      <formula>TIPOORCAMENTO="PROPOSTO"</formula>
    </cfRule>
    <cfRule type="expression" dxfId="1118" priority="540" stopIfTrue="1">
      <formula>$C196=1</formula>
    </cfRule>
    <cfRule type="expression" dxfId="1117" priority="541" stopIfTrue="1">
      <formula>OR(AND(ISNUMBER($C196),$C196=0),$C196=2,$C196=3,$C196=4)</formula>
    </cfRule>
  </conditionalFormatting>
  <conditionalFormatting sqref="AM196:AN204">
    <cfRule type="expression" dxfId="1116" priority="542" stopIfTrue="1">
      <formula>TIPOORCAMENTO="PROPOSTO"</formula>
    </cfRule>
    <cfRule type="expression" dxfId="1115" priority="543" stopIfTrue="1">
      <formula>$C196=1</formula>
    </cfRule>
    <cfRule type="expression" dxfId="1114" priority="544" stopIfTrue="1">
      <formula>OR(AND(ISNUMBER($C196),$C196=0),$C196=2,$C196=3,$C196=4)</formula>
    </cfRule>
  </conditionalFormatting>
  <conditionalFormatting sqref="M205 M210:M217">
    <cfRule type="cellIs" dxfId="1113" priority="511" stopIfTrue="1" operator="notEqual">
      <formula>$N205</formula>
    </cfRule>
  </conditionalFormatting>
  <conditionalFormatting sqref="N205:O205 R205 W205:X205 W210:X217 R210:R217 N210:O217">
    <cfRule type="expression" dxfId="1112" priority="512" stopIfTrue="1">
      <formula>$C205=1</formula>
    </cfRule>
    <cfRule type="expression" dxfId="1111" priority="513" stopIfTrue="1">
      <formula>OR($C205=0,$C205=2,$C205=3,$C205=4)</formula>
    </cfRule>
  </conditionalFormatting>
  <conditionalFormatting sqref="U205:V205 U210:V217">
    <cfRule type="expression" dxfId="1110" priority="514" stopIfTrue="1">
      <formula>$C205=1</formula>
    </cfRule>
    <cfRule type="expression" dxfId="1109" priority="515" stopIfTrue="1">
      <formula>OR($C205=0,$C205=2,$C205=3,$C205=4)</formula>
    </cfRule>
    <cfRule type="expression" dxfId="1108" priority="516" stopIfTrue="1">
      <formula>AND(TIPOORCAMENTO="Licitado",$C205&lt;&gt;"L",$C205&lt;&gt;-1)</formula>
    </cfRule>
  </conditionalFormatting>
  <conditionalFormatting sqref="P205:Q205 S205:T205 Y205 AG205:AH205 AG210:AH217 Y210:Y217 S210:T217 P210:Q217">
    <cfRule type="expression" dxfId="1107" priority="517" stopIfTrue="1">
      <formula>$C205=1</formula>
    </cfRule>
    <cfRule type="expression" dxfId="1106" priority="518" stopIfTrue="1">
      <formula>OR($C205=0,$C205=2,$C205=3,$C205=4)</formula>
    </cfRule>
  </conditionalFormatting>
  <conditionalFormatting sqref="AJ205 AJ210:AJ217">
    <cfRule type="expression" dxfId="1105" priority="519" stopIfTrue="1">
      <formula>OR(ACOMPANHAMENTO&lt;&gt;"BM",TIPOORCAMENTO="Licitado")</formula>
    </cfRule>
    <cfRule type="expression" dxfId="1104" priority="520" stopIfTrue="1">
      <formula>$C205=1</formula>
    </cfRule>
    <cfRule type="expression" dxfId="1103" priority="521" stopIfTrue="1">
      <formula>OR(AND(ISNUMBER($C205),$C205=0),$C205=2,$C205=3,$C205=4)</formula>
    </cfRule>
  </conditionalFormatting>
  <conditionalFormatting sqref="AL205 AL210:AL217">
    <cfRule type="expression" dxfId="1102" priority="522" stopIfTrue="1">
      <formula>TIPOORCAMENTO="PROPOSTO"</formula>
    </cfRule>
    <cfRule type="expression" dxfId="1101" priority="523" stopIfTrue="1">
      <formula>$C205=1</formula>
    </cfRule>
    <cfRule type="expression" dxfId="1100" priority="524" stopIfTrue="1">
      <formula>OR(AND(ISNUMBER($C205),$C205=0),$C205=2,$C205=3,$C205=4)</formula>
    </cfRule>
  </conditionalFormatting>
  <conditionalFormatting sqref="AM205:AN205 AM210:AN217">
    <cfRule type="expression" dxfId="1099" priority="525" stopIfTrue="1">
      <formula>TIPOORCAMENTO="PROPOSTO"</formula>
    </cfRule>
    <cfRule type="expression" dxfId="1098" priority="526" stopIfTrue="1">
      <formula>$C205=1</formula>
    </cfRule>
    <cfRule type="expression" dxfId="1097" priority="527" stopIfTrue="1">
      <formula>OR(AND(ISNUMBER($C205),$C205=0),$C205=2,$C205=3,$C205=4)</formula>
    </cfRule>
  </conditionalFormatting>
  <conditionalFormatting sqref="M226:M234">
    <cfRule type="cellIs" dxfId="1096" priority="477" stopIfTrue="1" operator="notEqual">
      <formula>$N226</formula>
    </cfRule>
  </conditionalFormatting>
  <conditionalFormatting sqref="N226:O234 R226:R234 W226:X234">
    <cfRule type="expression" dxfId="1095" priority="478" stopIfTrue="1">
      <formula>$C226=1</formula>
    </cfRule>
    <cfRule type="expression" dxfId="1094" priority="479" stopIfTrue="1">
      <formula>OR($C226=0,$C226=2,$C226=3,$C226=4)</formula>
    </cfRule>
  </conditionalFormatting>
  <conditionalFormatting sqref="U226:V234">
    <cfRule type="expression" dxfId="1093" priority="480" stopIfTrue="1">
      <formula>$C226=1</formula>
    </cfRule>
    <cfRule type="expression" dxfId="1092" priority="481" stopIfTrue="1">
      <formula>OR($C226=0,$C226=2,$C226=3,$C226=4)</formula>
    </cfRule>
    <cfRule type="expression" dxfId="1091" priority="482" stopIfTrue="1">
      <formula>AND(TIPOORCAMENTO="Licitado",$C226&lt;&gt;"L",$C226&lt;&gt;-1)</formula>
    </cfRule>
  </conditionalFormatting>
  <conditionalFormatting sqref="P226:Q234 S226:T234 Y226:Y234 AG226:AH234">
    <cfRule type="expression" dxfId="1090" priority="483" stopIfTrue="1">
      <formula>$C226=1</formula>
    </cfRule>
    <cfRule type="expression" dxfId="1089" priority="484" stopIfTrue="1">
      <formula>OR($C226=0,$C226=2,$C226=3,$C226=4)</formula>
    </cfRule>
  </conditionalFormatting>
  <conditionalFormatting sqref="AJ226:AJ234">
    <cfRule type="expression" dxfId="1088" priority="485" stopIfTrue="1">
      <formula>OR(ACOMPANHAMENTO&lt;&gt;"BM",TIPOORCAMENTO="Licitado")</formula>
    </cfRule>
    <cfRule type="expression" dxfId="1087" priority="486" stopIfTrue="1">
      <formula>$C226=1</formula>
    </cfRule>
    <cfRule type="expression" dxfId="1086" priority="487" stopIfTrue="1">
      <formula>OR(AND(ISNUMBER($C226),$C226=0),$C226=2,$C226=3,$C226=4)</formula>
    </cfRule>
  </conditionalFormatting>
  <conditionalFormatting sqref="AL226:AL234">
    <cfRule type="expression" dxfId="1085" priority="488" stopIfTrue="1">
      <formula>TIPOORCAMENTO="PROPOSTO"</formula>
    </cfRule>
    <cfRule type="expression" dxfId="1084" priority="489" stopIfTrue="1">
      <formula>$C226=1</formula>
    </cfRule>
    <cfRule type="expression" dxfId="1083" priority="490" stopIfTrue="1">
      <formula>OR(AND(ISNUMBER($C226),$C226=0),$C226=2,$C226=3,$C226=4)</formula>
    </cfRule>
  </conditionalFormatting>
  <conditionalFormatting sqref="AM226:AN234">
    <cfRule type="expression" dxfId="1082" priority="491" stopIfTrue="1">
      <formula>TIPOORCAMENTO="PROPOSTO"</formula>
    </cfRule>
    <cfRule type="expression" dxfId="1081" priority="492" stopIfTrue="1">
      <formula>$C226=1</formula>
    </cfRule>
    <cfRule type="expression" dxfId="1080" priority="493" stopIfTrue="1">
      <formula>OR(AND(ISNUMBER($C226),$C226=0),$C226=2,$C226=3,$C226=4)</formula>
    </cfRule>
  </conditionalFormatting>
  <conditionalFormatting sqref="M244 M248:M255">
    <cfRule type="cellIs" dxfId="1079" priority="443" stopIfTrue="1" operator="notEqual">
      <formula>$N244</formula>
    </cfRule>
  </conditionalFormatting>
  <conditionalFormatting sqref="N244:O244 R244 W244:X244 W248:X255 R248:R255 N248:O255">
    <cfRule type="expression" dxfId="1078" priority="444" stopIfTrue="1">
      <formula>$C244=1</formula>
    </cfRule>
    <cfRule type="expression" dxfId="1077" priority="445" stopIfTrue="1">
      <formula>OR($C244=0,$C244=2,$C244=3,$C244=4)</formula>
    </cfRule>
  </conditionalFormatting>
  <conditionalFormatting sqref="U244:V244 U248:V255">
    <cfRule type="expression" dxfId="1076" priority="446" stopIfTrue="1">
      <formula>$C244=1</formula>
    </cfRule>
    <cfRule type="expression" dxfId="1075" priority="447" stopIfTrue="1">
      <formula>OR($C244=0,$C244=2,$C244=3,$C244=4)</formula>
    </cfRule>
    <cfRule type="expression" dxfId="1074" priority="448" stopIfTrue="1">
      <formula>AND(TIPOORCAMENTO="Licitado",$C244&lt;&gt;"L",$C244&lt;&gt;-1)</formula>
    </cfRule>
  </conditionalFormatting>
  <conditionalFormatting sqref="P244:Q244 S244:T244 Y244 AG244:AH244 AG248:AH255 Y248:Y255 S248:T255 P248:Q255">
    <cfRule type="expression" dxfId="1073" priority="449" stopIfTrue="1">
      <formula>$C244=1</formula>
    </cfRule>
    <cfRule type="expression" dxfId="1072" priority="450" stopIfTrue="1">
      <formula>OR($C244=0,$C244=2,$C244=3,$C244=4)</formula>
    </cfRule>
  </conditionalFormatting>
  <conditionalFormatting sqref="AJ244 AJ248:AJ255">
    <cfRule type="expression" dxfId="1071" priority="451" stopIfTrue="1">
      <formula>OR(ACOMPANHAMENTO&lt;&gt;"BM",TIPOORCAMENTO="Licitado")</formula>
    </cfRule>
    <cfRule type="expression" dxfId="1070" priority="452" stopIfTrue="1">
      <formula>$C244=1</formula>
    </cfRule>
    <cfRule type="expression" dxfId="1069" priority="453" stopIfTrue="1">
      <formula>OR(AND(ISNUMBER($C244),$C244=0),$C244=2,$C244=3,$C244=4)</formula>
    </cfRule>
  </conditionalFormatting>
  <conditionalFormatting sqref="AL244 AL248:AL255">
    <cfRule type="expression" dxfId="1068" priority="454" stopIfTrue="1">
      <formula>TIPOORCAMENTO="PROPOSTO"</formula>
    </cfRule>
    <cfRule type="expression" dxfId="1067" priority="455" stopIfTrue="1">
      <formula>$C244=1</formula>
    </cfRule>
    <cfRule type="expression" dxfId="1066" priority="456" stopIfTrue="1">
      <formula>OR(AND(ISNUMBER($C244),$C244=0),$C244=2,$C244=3,$C244=4)</formula>
    </cfRule>
  </conditionalFormatting>
  <conditionalFormatting sqref="AM244:AN244 AM248:AN255">
    <cfRule type="expression" dxfId="1065" priority="457" stopIfTrue="1">
      <formula>TIPOORCAMENTO="PROPOSTO"</formula>
    </cfRule>
    <cfRule type="expression" dxfId="1064" priority="458" stopIfTrue="1">
      <formula>$C244=1</formula>
    </cfRule>
    <cfRule type="expression" dxfId="1063" priority="459" stopIfTrue="1">
      <formula>OR(AND(ISNUMBER($C244),$C244=0),$C244=2,$C244=3,$C244=4)</formula>
    </cfRule>
  </conditionalFormatting>
  <conditionalFormatting sqref="M256:M264">
    <cfRule type="cellIs" dxfId="1062" priority="426" stopIfTrue="1" operator="notEqual">
      <formula>$N256</formula>
    </cfRule>
  </conditionalFormatting>
  <conditionalFormatting sqref="N256:O264 R256:R264 W256:X264">
    <cfRule type="expression" dxfId="1061" priority="427" stopIfTrue="1">
      <formula>$C256=1</formula>
    </cfRule>
    <cfRule type="expression" dxfId="1060" priority="428" stopIfTrue="1">
      <formula>OR($C256=0,$C256=2,$C256=3,$C256=4)</formula>
    </cfRule>
  </conditionalFormatting>
  <conditionalFormatting sqref="U256:V264">
    <cfRule type="expression" dxfId="1059" priority="429" stopIfTrue="1">
      <formula>$C256=1</formula>
    </cfRule>
    <cfRule type="expression" dxfId="1058" priority="430" stopIfTrue="1">
      <formula>OR($C256=0,$C256=2,$C256=3,$C256=4)</formula>
    </cfRule>
    <cfRule type="expression" dxfId="1057" priority="431" stopIfTrue="1">
      <formula>AND(TIPOORCAMENTO="Licitado",$C256&lt;&gt;"L",$C256&lt;&gt;-1)</formula>
    </cfRule>
  </conditionalFormatting>
  <conditionalFormatting sqref="P256:Q264 S256:T264 Y256:Y264 AG256:AH264">
    <cfRule type="expression" dxfId="1056" priority="432" stopIfTrue="1">
      <formula>$C256=1</formula>
    </cfRule>
    <cfRule type="expression" dxfId="1055" priority="433" stopIfTrue="1">
      <formula>OR($C256=0,$C256=2,$C256=3,$C256=4)</formula>
    </cfRule>
  </conditionalFormatting>
  <conditionalFormatting sqref="AJ256:AJ264">
    <cfRule type="expression" dxfId="1054" priority="434" stopIfTrue="1">
      <formula>OR(ACOMPANHAMENTO&lt;&gt;"BM",TIPOORCAMENTO="Licitado")</formula>
    </cfRule>
    <cfRule type="expression" dxfId="1053" priority="435" stopIfTrue="1">
      <formula>$C256=1</formula>
    </cfRule>
    <cfRule type="expression" dxfId="1052" priority="436" stopIfTrue="1">
      <formula>OR(AND(ISNUMBER($C256),$C256=0),$C256=2,$C256=3,$C256=4)</formula>
    </cfRule>
  </conditionalFormatting>
  <conditionalFormatting sqref="AL256:AL264">
    <cfRule type="expression" dxfId="1051" priority="437" stopIfTrue="1">
      <formula>TIPOORCAMENTO="PROPOSTO"</formula>
    </cfRule>
    <cfRule type="expression" dxfId="1050" priority="438" stopIfTrue="1">
      <formula>$C256=1</formula>
    </cfRule>
    <cfRule type="expression" dxfId="1049" priority="439" stopIfTrue="1">
      <formula>OR(AND(ISNUMBER($C256),$C256=0),$C256=2,$C256=3,$C256=4)</formula>
    </cfRule>
  </conditionalFormatting>
  <conditionalFormatting sqref="AM256:AN264">
    <cfRule type="expression" dxfId="1048" priority="440" stopIfTrue="1">
      <formula>TIPOORCAMENTO="PROPOSTO"</formula>
    </cfRule>
    <cfRule type="expression" dxfId="1047" priority="441" stopIfTrue="1">
      <formula>$C256=1</formula>
    </cfRule>
    <cfRule type="expression" dxfId="1046" priority="442" stopIfTrue="1">
      <formula>OR(AND(ISNUMBER($C256),$C256=0),$C256=2,$C256=3,$C256=4)</formula>
    </cfRule>
  </conditionalFormatting>
  <conditionalFormatting sqref="M265:M273">
    <cfRule type="cellIs" dxfId="1045" priority="409" stopIfTrue="1" operator="notEqual">
      <formula>$N265</formula>
    </cfRule>
  </conditionalFormatting>
  <conditionalFormatting sqref="N265:O273 R265:R273 W265:X273">
    <cfRule type="expression" dxfId="1044" priority="410" stopIfTrue="1">
      <formula>$C265=1</formula>
    </cfRule>
    <cfRule type="expression" dxfId="1043" priority="411" stopIfTrue="1">
      <formula>OR($C265=0,$C265=2,$C265=3,$C265=4)</formula>
    </cfRule>
  </conditionalFormatting>
  <conditionalFormatting sqref="U265:V273">
    <cfRule type="expression" dxfId="1042" priority="412" stopIfTrue="1">
      <formula>$C265=1</formula>
    </cfRule>
    <cfRule type="expression" dxfId="1041" priority="413" stopIfTrue="1">
      <formula>OR($C265=0,$C265=2,$C265=3,$C265=4)</formula>
    </cfRule>
    <cfRule type="expression" dxfId="1040" priority="414" stopIfTrue="1">
      <formula>AND(TIPOORCAMENTO="Licitado",$C265&lt;&gt;"L",$C265&lt;&gt;-1)</formula>
    </cfRule>
  </conditionalFormatting>
  <conditionalFormatting sqref="P265:Q273 S265:T273 Y265:Y273 AG265:AH273">
    <cfRule type="expression" dxfId="1039" priority="415" stopIfTrue="1">
      <formula>$C265=1</formula>
    </cfRule>
    <cfRule type="expression" dxfId="1038" priority="416" stopIfTrue="1">
      <formula>OR($C265=0,$C265=2,$C265=3,$C265=4)</formula>
    </cfRule>
  </conditionalFormatting>
  <conditionalFormatting sqref="AJ265:AJ273">
    <cfRule type="expression" dxfId="1037" priority="417" stopIfTrue="1">
      <formula>OR(ACOMPANHAMENTO&lt;&gt;"BM",TIPOORCAMENTO="Licitado")</formula>
    </cfRule>
    <cfRule type="expression" dxfId="1036" priority="418" stopIfTrue="1">
      <formula>$C265=1</formula>
    </cfRule>
    <cfRule type="expression" dxfId="1035" priority="419" stopIfTrue="1">
      <formula>OR(AND(ISNUMBER($C265),$C265=0),$C265=2,$C265=3,$C265=4)</formula>
    </cfRule>
  </conditionalFormatting>
  <conditionalFormatting sqref="AL265:AL273">
    <cfRule type="expression" dxfId="1034" priority="420" stopIfTrue="1">
      <formula>TIPOORCAMENTO="PROPOSTO"</formula>
    </cfRule>
    <cfRule type="expression" dxfId="1033" priority="421" stopIfTrue="1">
      <formula>$C265=1</formula>
    </cfRule>
    <cfRule type="expression" dxfId="1032" priority="422" stopIfTrue="1">
      <formula>OR(AND(ISNUMBER($C265),$C265=0),$C265=2,$C265=3,$C265=4)</formula>
    </cfRule>
  </conditionalFormatting>
  <conditionalFormatting sqref="AM265:AN273">
    <cfRule type="expression" dxfId="1031" priority="423" stopIfTrue="1">
      <formula>TIPOORCAMENTO="PROPOSTO"</formula>
    </cfRule>
    <cfRule type="expression" dxfId="1030" priority="424" stopIfTrue="1">
      <formula>$C265=1</formula>
    </cfRule>
    <cfRule type="expression" dxfId="1029" priority="425" stopIfTrue="1">
      <formula>OR(AND(ISNUMBER($C265),$C265=0),$C265=2,$C265=3,$C265=4)</formula>
    </cfRule>
  </conditionalFormatting>
  <conditionalFormatting sqref="M274:M282">
    <cfRule type="cellIs" dxfId="1028" priority="392" stopIfTrue="1" operator="notEqual">
      <formula>$N274</formula>
    </cfRule>
  </conditionalFormatting>
  <conditionalFormatting sqref="N274:O282 R274:R282 W274:X282">
    <cfRule type="expression" dxfId="1027" priority="393" stopIfTrue="1">
      <formula>$C274=1</formula>
    </cfRule>
    <cfRule type="expression" dxfId="1026" priority="394" stopIfTrue="1">
      <formula>OR($C274=0,$C274=2,$C274=3,$C274=4)</formula>
    </cfRule>
  </conditionalFormatting>
  <conditionalFormatting sqref="U274:V282">
    <cfRule type="expression" dxfId="1025" priority="395" stopIfTrue="1">
      <formula>$C274=1</formula>
    </cfRule>
    <cfRule type="expression" dxfId="1024" priority="396" stopIfTrue="1">
      <formula>OR($C274=0,$C274=2,$C274=3,$C274=4)</formula>
    </cfRule>
    <cfRule type="expression" dxfId="1023" priority="397" stopIfTrue="1">
      <formula>AND(TIPOORCAMENTO="Licitado",$C274&lt;&gt;"L",$C274&lt;&gt;-1)</formula>
    </cfRule>
  </conditionalFormatting>
  <conditionalFormatting sqref="P274:Q282 S274:T282 Y274:Y282 AG274:AH282">
    <cfRule type="expression" dxfId="1022" priority="398" stopIfTrue="1">
      <formula>$C274=1</formula>
    </cfRule>
    <cfRule type="expression" dxfId="1021" priority="399" stopIfTrue="1">
      <formula>OR($C274=0,$C274=2,$C274=3,$C274=4)</formula>
    </cfRule>
  </conditionalFormatting>
  <conditionalFormatting sqref="AJ274:AJ282">
    <cfRule type="expression" dxfId="1020" priority="400" stopIfTrue="1">
      <formula>OR(ACOMPANHAMENTO&lt;&gt;"BM",TIPOORCAMENTO="Licitado")</formula>
    </cfRule>
    <cfRule type="expression" dxfId="1019" priority="401" stopIfTrue="1">
      <formula>$C274=1</formula>
    </cfRule>
    <cfRule type="expression" dxfId="1018" priority="402" stopIfTrue="1">
      <formula>OR(AND(ISNUMBER($C274),$C274=0),$C274=2,$C274=3,$C274=4)</formula>
    </cfRule>
  </conditionalFormatting>
  <conditionalFormatting sqref="AL274:AL282">
    <cfRule type="expression" dxfId="1017" priority="403" stopIfTrue="1">
      <formula>TIPOORCAMENTO="PROPOSTO"</formula>
    </cfRule>
    <cfRule type="expression" dxfId="1016" priority="404" stopIfTrue="1">
      <formula>$C274=1</formula>
    </cfRule>
    <cfRule type="expression" dxfId="1015" priority="405" stopIfTrue="1">
      <formula>OR(AND(ISNUMBER($C274),$C274=0),$C274=2,$C274=3,$C274=4)</formula>
    </cfRule>
  </conditionalFormatting>
  <conditionalFormatting sqref="AM274:AN282">
    <cfRule type="expression" dxfId="1014" priority="406" stopIfTrue="1">
      <formula>TIPOORCAMENTO="PROPOSTO"</formula>
    </cfRule>
    <cfRule type="expression" dxfId="1013" priority="407" stopIfTrue="1">
      <formula>$C274=1</formula>
    </cfRule>
    <cfRule type="expression" dxfId="1012" priority="408" stopIfTrue="1">
      <formula>OR(AND(ISNUMBER($C274),$C274=0),$C274=2,$C274=3,$C274=4)</formula>
    </cfRule>
  </conditionalFormatting>
  <conditionalFormatting sqref="M283:M289">
    <cfRule type="cellIs" dxfId="1011" priority="375" stopIfTrue="1" operator="notEqual">
      <formula>$N283</formula>
    </cfRule>
  </conditionalFormatting>
  <conditionalFormatting sqref="N283:O289 R283:R289 W283:X289">
    <cfRule type="expression" dxfId="1010" priority="376" stopIfTrue="1">
      <formula>$C283=1</formula>
    </cfRule>
    <cfRule type="expression" dxfId="1009" priority="377" stopIfTrue="1">
      <formula>OR($C283=0,$C283=2,$C283=3,$C283=4)</formula>
    </cfRule>
  </conditionalFormatting>
  <conditionalFormatting sqref="U283:V289">
    <cfRule type="expression" dxfId="1008" priority="378" stopIfTrue="1">
      <formula>$C283=1</formula>
    </cfRule>
    <cfRule type="expression" dxfId="1007" priority="379" stopIfTrue="1">
      <formula>OR($C283=0,$C283=2,$C283=3,$C283=4)</formula>
    </cfRule>
    <cfRule type="expression" dxfId="1006" priority="380" stopIfTrue="1">
      <formula>AND(TIPOORCAMENTO="Licitado",$C283&lt;&gt;"L",$C283&lt;&gt;-1)</formula>
    </cfRule>
  </conditionalFormatting>
  <conditionalFormatting sqref="P283:Q289 S283:T289 Y283:Y289 AG283:AH289">
    <cfRule type="expression" dxfId="1005" priority="381" stopIfTrue="1">
      <formula>$C283=1</formula>
    </cfRule>
    <cfRule type="expression" dxfId="1004" priority="382" stopIfTrue="1">
      <formula>OR($C283=0,$C283=2,$C283=3,$C283=4)</formula>
    </cfRule>
  </conditionalFormatting>
  <conditionalFormatting sqref="AJ283:AJ289">
    <cfRule type="expression" dxfId="1003" priority="383" stopIfTrue="1">
      <formula>OR(ACOMPANHAMENTO&lt;&gt;"BM",TIPOORCAMENTO="Licitado")</formula>
    </cfRule>
    <cfRule type="expression" dxfId="1002" priority="384" stopIfTrue="1">
      <formula>$C283=1</formula>
    </cfRule>
    <cfRule type="expression" dxfId="1001" priority="385" stopIfTrue="1">
      <formula>OR(AND(ISNUMBER($C283),$C283=0),$C283=2,$C283=3,$C283=4)</formula>
    </cfRule>
  </conditionalFormatting>
  <conditionalFormatting sqref="AL283:AL289">
    <cfRule type="expression" dxfId="1000" priority="386" stopIfTrue="1">
      <formula>TIPOORCAMENTO="PROPOSTO"</formula>
    </cfRule>
    <cfRule type="expression" dxfId="999" priority="387" stopIfTrue="1">
      <formula>$C283=1</formula>
    </cfRule>
    <cfRule type="expression" dxfId="998" priority="388" stopIfTrue="1">
      <formula>OR(AND(ISNUMBER($C283),$C283=0),$C283=2,$C283=3,$C283=4)</formula>
    </cfRule>
  </conditionalFormatting>
  <conditionalFormatting sqref="AM283:AN289">
    <cfRule type="expression" dxfId="997" priority="389" stopIfTrue="1">
      <formula>TIPOORCAMENTO="PROPOSTO"</formula>
    </cfRule>
    <cfRule type="expression" dxfId="996" priority="390" stopIfTrue="1">
      <formula>$C283=1</formula>
    </cfRule>
    <cfRule type="expression" dxfId="995" priority="391" stopIfTrue="1">
      <formula>OR(AND(ISNUMBER($C283),$C283=0),$C283=2,$C283=3,$C283=4)</formula>
    </cfRule>
  </conditionalFormatting>
  <conditionalFormatting sqref="M61">
    <cfRule type="cellIs" dxfId="994" priority="358" stopIfTrue="1" operator="notEqual">
      <formula>$N61</formula>
    </cfRule>
  </conditionalFormatting>
  <conditionalFormatting sqref="N61:O61 R61 W61:X61">
    <cfRule type="expression" dxfId="993" priority="359" stopIfTrue="1">
      <formula>$C61=1</formula>
    </cfRule>
    <cfRule type="expression" dxfId="992" priority="360" stopIfTrue="1">
      <formula>OR($C61=0,$C61=2,$C61=3,$C61=4)</formula>
    </cfRule>
  </conditionalFormatting>
  <conditionalFormatting sqref="U61:V61">
    <cfRule type="expression" dxfId="991" priority="361" stopIfTrue="1">
      <formula>$C61=1</formula>
    </cfRule>
    <cfRule type="expression" dxfId="990" priority="362" stopIfTrue="1">
      <formula>OR($C61=0,$C61=2,$C61=3,$C61=4)</formula>
    </cfRule>
    <cfRule type="expression" dxfId="989" priority="363" stopIfTrue="1">
      <formula>AND(TIPOORCAMENTO="Licitado",$C61&lt;&gt;"L",$C61&lt;&gt;-1)</formula>
    </cfRule>
  </conditionalFormatting>
  <conditionalFormatting sqref="P61:Q61 S61:T61 Y61 AG61:AH61">
    <cfRule type="expression" dxfId="988" priority="364" stopIfTrue="1">
      <formula>$C61=1</formula>
    </cfRule>
    <cfRule type="expression" dxfId="987" priority="365" stopIfTrue="1">
      <formula>OR($C61=0,$C61=2,$C61=3,$C61=4)</formula>
    </cfRule>
  </conditionalFormatting>
  <conditionalFormatting sqref="AJ61">
    <cfRule type="expression" dxfId="986" priority="366" stopIfTrue="1">
      <formula>OR(ACOMPANHAMENTO&lt;&gt;"BM",TIPOORCAMENTO="Licitado")</formula>
    </cfRule>
    <cfRule type="expression" dxfId="985" priority="367" stopIfTrue="1">
      <formula>$C61=1</formula>
    </cfRule>
    <cfRule type="expression" dxfId="984" priority="368" stopIfTrue="1">
      <formula>OR(AND(ISNUMBER($C61),$C61=0),$C61=2,$C61=3,$C61=4)</formula>
    </cfRule>
  </conditionalFormatting>
  <conditionalFormatting sqref="AL61">
    <cfRule type="expression" dxfId="983" priority="369" stopIfTrue="1">
      <formula>TIPOORCAMENTO="PROPOSTO"</formula>
    </cfRule>
    <cfRule type="expression" dxfId="982" priority="370" stopIfTrue="1">
      <formula>$C61=1</formula>
    </cfRule>
    <cfRule type="expression" dxfId="981" priority="371" stopIfTrue="1">
      <formula>OR(AND(ISNUMBER($C61),$C61=0),$C61=2,$C61=3,$C61=4)</formula>
    </cfRule>
  </conditionalFormatting>
  <conditionalFormatting sqref="AM61:AN61">
    <cfRule type="expression" dxfId="980" priority="372" stopIfTrue="1">
      <formula>TIPOORCAMENTO="PROPOSTO"</formula>
    </cfRule>
    <cfRule type="expression" dxfId="979" priority="373" stopIfTrue="1">
      <formula>$C61=1</formula>
    </cfRule>
    <cfRule type="expression" dxfId="978" priority="374" stopIfTrue="1">
      <formula>OR(AND(ISNUMBER($C61),$C61=0),$C61=2,$C61=3,$C61=4)</formula>
    </cfRule>
  </conditionalFormatting>
  <conditionalFormatting sqref="M42">
    <cfRule type="cellIs" dxfId="977" priority="341" stopIfTrue="1" operator="notEqual">
      <formula>$N42</formula>
    </cfRule>
  </conditionalFormatting>
  <conditionalFormatting sqref="N42:O42 R42 W42:X42">
    <cfRule type="expression" dxfId="976" priority="342" stopIfTrue="1">
      <formula>$C42=1</formula>
    </cfRule>
    <cfRule type="expression" dxfId="975" priority="343" stopIfTrue="1">
      <formula>OR($C42=0,$C42=2,$C42=3,$C42=4)</formula>
    </cfRule>
  </conditionalFormatting>
  <conditionalFormatting sqref="U42:V42">
    <cfRule type="expression" dxfId="974" priority="344" stopIfTrue="1">
      <formula>$C42=1</formula>
    </cfRule>
    <cfRule type="expression" dxfId="973" priority="345" stopIfTrue="1">
      <formula>OR($C42=0,$C42=2,$C42=3,$C42=4)</formula>
    </cfRule>
    <cfRule type="expression" dxfId="972" priority="346" stopIfTrue="1">
      <formula>AND(TIPOORCAMENTO="Licitado",$C42&lt;&gt;"L",$C42&lt;&gt;-1)</formula>
    </cfRule>
  </conditionalFormatting>
  <conditionalFormatting sqref="P42:Q42 S42:T42 Y42 AG42:AH42">
    <cfRule type="expression" dxfId="971" priority="347" stopIfTrue="1">
      <formula>$C42=1</formula>
    </cfRule>
    <cfRule type="expression" dxfId="970" priority="348" stopIfTrue="1">
      <formula>OR($C42=0,$C42=2,$C42=3,$C42=4)</formula>
    </cfRule>
  </conditionalFormatting>
  <conditionalFormatting sqref="AJ42">
    <cfRule type="expression" dxfId="969" priority="349" stopIfTrue="1">
      <formula>OR(ACOMPANHAMENTO&lt;&gt;"BM",TIPOORCAMENTO="Licitado")</formula>
    </cfRule>
    <cfRule type="expression" dxfId="968" priority="350" stopIfTrue="1">
      <formula>$C42=1</formula>
    </cfRule>
    <cfRule type="expression" dxfId="967" priority="351" stopIfTrue="1">
      <formula>OR(AND(ISNUMBER($C42),$C42=0),$C42=2,$C42=3,$C42=4)</formula>
    </cfRule>
  </conditionalFormatting>
  <conditionalFormatting sqref="AL42">
    <cfRule type="expression" dxfId="966" priority="352" stopIfTrue="1">
      <formula>TIPOORCAMENTO="PROPOSTO"</formula>
    </cfRule>
    <cfRule type="expression" dxfId="965" priority="353" stopIfTrue="1">
      <formula>$C42=1</formula>
    </cfRule>
    <cfRule type="expression" dxfId="964" priority="354" stopIfTrue="1">
      <formula>OR(AND(ISNUMBER($C42),$C42=0),$C42=2,$C42=3,$C42=4)</formula>
    </cfRule>
  </conditionalFormatting>
  <conditionalFormatting sqref="AM42:AN42">
    <cfRule type="expression" dxfId="963" priority="355" stopIfTrue="1">
      <formula>TIPOORCAMENTO="PROPOSTO"</formula>
    </cfRule>
    <cfRule type="expression" dxfId="962" priority="356" stopIfTrue="1">
      <formula>$C42=1</formula>
    </cfRule>
    <cfRule type="expression" dxfId="961" priority="357" stopIfTrue="1">
      <formula>OR(AND(ISNUMBER($C42),$C42=0),$C42=2,$C42=3,$C42=4)</formula>
    </cfRule>
  </conditionalFormatting>
  <conditionalFormatting sqref="M35">
    <cfRule type="cellIs" dxfId="960" priority="324" stopIfTrue="1" operator="notEqual">
      <formula>$N35</formula>
    </cfRule>
  </conditionalFormatting>
  <conditionalFormatting sqref="N35:O35 R35 W35:X35">
    <cfRule type="expression" dxfId="959" priority="325" stopIfTrue="1">
      <formula>$C35=1</formula>
    </cfRule>
    <cfRule type="expression" dxfId="958" priority="326" stopIfTrue="1">
      <formula>OR($C35=0,$C35=2,$C35=3,$C35=4)</formula>
    </cfRule>
  </conditionalFormatting>
  <conditionalFormatting sqref="U35:V35">
    <cfRule type="expression" dxfId="957" priority="327" stopIfTrue="1">
      <formula>$C35=1</formula>
    </cfRule>
    <cfRule type="expression" dxfId="956" priority="328" stopIfTrue="1">
      <formula>OR($C35=0,$C35=2,$C35=3,$C35=4)</formula>
    </cfRule>
    <cfRule type="expression" dxfId="955" priority="329" stopIfTrue="1">
      <formula>AND(TIPOORCAMENTO="Licitado",$C35&lt;&gt;"L",$C35&lt;&gt;-1)</formula>
    </cfRule>
  </conditionalFormatting>
  <conditionalFormatting sqref="P35:Q35 S35:T35 Y35 AG35:AH35">
    <cfRule type="expression" dxfId="954" priority="330" stopIfTrue="1">
      <formula>$C35=1</formula>
    </cfRule>
    <cfRule type="expression" dxfId="953" priority="331" stopIfTrue="1">
      <formula>OR($C35=0,$C35=2,$C35=3,$C35=4)</formula>
    </cfRule>
  </conditionalFormatting>
  <conditionalFormatting sqref="AJ35">
    <cfRule type="expression" dxfId="952" priority="332" stopIfTrue="1">
      <formula>OR(ACOMPANHAMENTO&lt;&gt;"BM",TIPOORCAMENTO="Licitado")</formula>
    </cfRule>
    <cfRule type="expression" dxfId="951" priority="333" stopIfTrue="1">
      <formula>$C35=1</formula>
    </cfRule>
    <cfRule type="expression" dxfId="950" priority="334" stopIfTrue="1">
      <formula>OR(AND(ISNUMBER($C35),$C35=0),$C35=2,$C35=3,$C35=4)</formula>
    </cfRule>
  </conditionalFormatting>
  <conditionalFormatting sqref="AL35">
    <cfRule type="expression" dxfId="949" priority="335" stopIfTrue="1">
      <formula>TIPOORCAMENTO="PROPOSTO"</formula>
    </cfRule>
    <cfRule type="expression" dxfId="948" priority="336" stopIfTrue="1">
      <formula>$C35=1</formula>
    </cfRule>
    <cfRule type="expression" dxfId="947" priority="337" stopIfTrue="1">
      <formula>OR(AND(ISNUMBER($C35),$C35=0),$C35=2,$C35=3,$C35=4)</formula>
    </cfRule>
  </conditionalFormatting>
  <conditionalFormatting sqref="AM35:AN35">
    <cfRule type="expression" dxfId="946" priority="338" stopIfTrue="1">
      <formula>TIPOORCAMENTO="PROPOSTO"</formula>
    </cfRule>
    <cfRule type="expression" dxfId="945" priority="339" stopIfTrue="1">
      <formula>$C35=1</formula>
    </cfRule>
    <cfRule type="expression" dxfId="944" priority="340" stopIfTrue="1">
      <formula>OR(AND(ISNUMBER($C35),$C35=0),$C35=2,$C35=3,$C35=4)</formula>
    </cfRule>
  </conditionalFormatting>
  <conditionalFormatting sqref="M36">
    <cfRule type="cellIs" dxfId="943" priority="307" stopIfTrue="1" operator="notEqual">
      <formula>$N36</formula>
    </cfRule>
  </conditionalFormatting>
  <conditionalFormatting sqref="N36:O36 R36 W36:X36">
    <cfRule type="expression" dxfId="942" priority="308" stopIfTrue="1">
      <formula>$C36=1</formula>
    </cfRule>
    <cfRule type="expression" dxfId="941" priority="309" stopIfTrue="1">
      <formula>OR($C36=0,$C36=2,$C36=3,$C36=4)</formula>
    </cfRule>
  </conditionalFormatting>
  <conditionalFormatting sqref="U36:V36">
    <cfRule type="expression" dxfId="940" priority="310" stopIfTrue="1">
      <formula>$C36=1</formula>
    </cfRule>
    <cfRule type="expression" dxfId="939" priority="311" stopIfTrue="1">
      <formula>OR($C36=0,$C36=2,$C36=3,$C36=4)</formula>
    </cfRule>
    <cfRule type="expression" dxfId="938" priority="312" stopIfTrue="1">
      <formula>AND(TIPOORCAMENTO="Licitado",$C36&lt;&gt;"L",$C36&lt;&gt;-1)</formula>
    </cfRule>
  </conditionalFormatting>
  <conditionalFormatting sqref="P36:Q36 S36:T36 Y36 AG36:AH36">
    <cfRule type="expression" dxfId="937" priority="313" stopIfTrue="1">
      <formula>$C36=1</formula>
    </cfRule>
    <cfRule type="expression" dxfId="936" priority="314" stopIfTrue="1">
      <formula>OR($C36=0,$C36=2,$C36=3,$C36=4)</formula>
    </cfRule>
  </conditionalFormatting>
  <conditionalFormatting sqref="AJ36">
    <cfRule type="expression" dxfId="935" priority="315" stopIfTrue="1">
      <formula>OR(ACOMPANHAMENTO&lt;&gt;"BM",TIPOORCAMENTO="Licitado")</formula>
    </cfRule>
    <cfRule type="expression" dxfId="934" priority="316" stopIfTrue="1">
      <formula>$C36=1</formula>
    </cfRule>
    <cfRule type="expression" dxfId="933" priority="317" stopIfTrue="1">
      <formula>OR(AND(ISNUMBER($C36),$C36=0),$C36=2,$C36=3,$C36=4)</formula>
    </cfRule>
  </conditionalFormatting>
  <conditionalFormatting sqref="AL36">
    <cfRule type="expression" dxfId="932" priority="318" stopIfTrue="1">
      <formula>TIPOORCAMENTO="PROPOSTO"</formula>
    </cfRule>
    <cfRule type="expression" dxfId="931" priority="319" stopIfTrue="1">
      <formula>$C36=1</formula>
    </cfRule>
    <cfRule type="expression" dxfId="930" priority="320" stopIfTrue="1">
      <formula>OR(AND(ISNUMBER($C36),$C36=0),$C36=2,$C36=3,$C36=4)</formula>
    </cfRule>
  </conditionalFormatting>
  <conditionalFormatting sqref="AM36:AN36">
    <cfRule type="expression" dxfId="929" priority="321" stopIfTrue="1">
      <formula>TIPOORCAMENTO="PROPOSTO"</formula>
    </cfRule>
    <cfRule type="expression" dxfId="928" priority="322" stopIfTrue="1">
      <formula>$C36=1</formula>
    </cfRule>
    <cfRule type="expression" dxfId="927" priority="323" stopIfTrue="1">
      <formula>OR(AND(ISNUMBER($C36),$C36=0),$C36=2,$C36=3,$C36=4)</formula>
    </cfRule>
  </conditionalFormatting>
  <conditionalFormatting sqref="M83:M84">
    <cfRule type="cellIs" dxfId="926" priority="273" stopIfTrue="1" operator="notEqual">
      <formula>$N83</formula>
    </cfRule>
  </conditionalFormatting>
  <conditionalFormatting sqref="N83:O84 R83:R84 W83:X84">
    <cfRule type="expression" dxfId="925" priority="274" stopIfTrue="1">
      <formula>$C83=1</formula>
    </cfRule>
    <cfRule type="expression" dxfId="924" priority="275" stopIfTrue="1">
      <formula>OR($C83=0,$C83=2,$C83=3,$C83=4)</formula>
    </cfRule>
  </conditionalFormatting>
  <conditionalFormatting sqref="U83:V84">
    <cfRule type="expression" dxfId="923" priority="276" stopIfTrue="1">
      <formula>$C83=1</formula>
    </cfRule>
    <cfRule type="expression" dxfId="922" priority="277" stopIfTrue="1">
      <formula>OR($C83=0,$C83=2,$C83=3,$C83=4)</formula>
    </cfRule>
    <cfRule type="expression" dxfId="921" priority="278" stopIfTrue="1">
      <formula>AND(TIPOORCAMENTO="Licitado",$C83&lt;&gt;"L",$C83&lt;&gt;-1)</formula>
    </cfRule>
  </conditionalFormatting>
  <conditionalFormatting sqref="P83:Q84 S83:T84 Y83:Y84 AG83:AH84">
    <cfRule type="expression" dxfId="920" priority="279" stopIfTrue="1">
      <formula>$C83=1</formula>
    </cfRule>
    <cfRule type="expression" dxfId="919" priority="280" stopIfTrue="1">
      <formula>OR($C83=0,$C83=2,$C83=3,$C83=4)</formula>
    </cfRule>
  </conditionalFormatting>
  <conditionalFormatting sqref="AJ83:AJ84">
    <cfRule type="expression" dxfId="918" priority="281" stopIfTrue="1">
      <formula>OR(ACOMPANHAMENTO&lt;&gt;"BM",TIPOORCAMENTO="Licitado")</formula>
    </cfRule>
    <cfRule type="expression" dxfId="917" priority="282" stopIfTrue="1">
      <formula>$C83=1</formula>
    </cfRule>
    <cfRule type="expression" dxfId="916" priority="283" stopIfTrue="1">
      <formula>OR(AND(ISNUMBER($C83),$C83=0),$C83=2,$C83=3,$C83=4)</formula>
    </cfRule>
  </conditionalFormatting>
  <conditionalFormatting sqref="AL83:AL84">
    <cfRule type="expression" dxfId="915" priority="284" stopIfTrue="1">
      <formula>TIPOORCAMENTO="PROPOSTO"</formula>
    </cfRule>
    <cfRule type="expression" dxfId="914" priority="285" stopIfTrue="1">
      <formula>$C83=1</formula>
    </cfRule>
    <cfRule type="expression" dxfId="913" priority="286" stopIfTrue="1">
      <formula>OR(AND(ISNUMBER($C83),$C83=0),$C83=2,$C83=3,$C83=4)</formula>
    </cfRule>
  </conditionalFormatting>
  <conditionalFormatting sqref="AM83:AN84">
    <cfRule type="expression" dxfId="912" priority="287" stopIfTrue="1">
      <formula>TIPOORCAMENTO="PROPOSTO"</formula>
    </cfRule>
    <cfRule type="expression" dxfId="911" priority="288" stopIfTrue="1">
      <formula>$C83=1</formula>
    </cfRule>
    <cfRule type="expression" dxfId="910" priority="289" stopIfTrue="1">
      <formula>OR(AND(ISNUMBER($C83),$C83=0),$C83=2,$C83=3,$C83=4)</formula>
    </cfRule>
  </conditionalFormatting>
  <conditionalFormatting sqref="M87">
    <cfRule type="cellIs" dxfId="909" priority="256" stopIfTrue="1" operator="notEqual">
      <formula>$N87</formula>
    </cfRule>
  </conditionalFormatting>
  <conditionalFormatting sqref="N87:O87 R87 W87:X87">
    <cfRule type="expression" dxfId="908" priority="257" stopIfTrue="1">
      <formula>$C87=1</formula>
    </cfRule>
    <cfRule type="expression" dxfId="907" priority="258" stopIfTrue="1">
      <formula>OR($C87=0,$C87=2,$C87=3,$C87=4)</formula>
    </cfRule>
  </conditionalFormatting>
  <conditionalFormatting sqref="U87:V87">
    <cfRule type="expression" dxfId="906" priority="259" stopIfTrue="1">
      <formula>$C87=1</formula>
    </cfRule>
    <cfRule type="expression" dxfId="905" priority="260" stopIfTrue="1">
      <formula>OR($C87=0,$C87=2,$C87=3,$C87=4)</formula>
    </cfRule>
    <cfRule type="expression" dxfId="904" priority="261" stopIfTrue="1">
      <formula>AND(TIPOORCAMENTO="Licitado",$C87&lt;&gt;"L",$C87&lt;&gt;-1)</formula>
    </cfRule>
  </conditionalFormatting>
  <conditionalFormatting sqref="P87:Q87 S87:T87 Y87 AG87:AH87">
    <cfRule type="expression" dxfId="903" priority="262" stopIfTrue="1">
      <formula>$C87=1</formula>
    </cfRule>
    <cfRule type="expression" dxfId="902" priority="263" stopIfTrue="1">
      <formula>OR($C87=0,$C87=2,$C87=3,$C87=4)</formula>
    </cfRule>
  </conditionalFormatting>
  <conditionalFormatting sqref="AJ87">
    <cfRule type="expression" dxfId="901" priority="264" stopIfTrue="1">
      <formula>OR(ACOMPANHAMENTO&lt;&gt;"BM",TIPOORCAMENTO="Licitado")</formula>
    </cfRule>
    <cfRule type="expression" dxfId="900" priority="265" stopIfTrue="1">
      <formula>$C87=1</formula>
    </cfRule>
    <cfRule type="expression" dxfId="899" priority="266" stopIfTrue="1">
      <formula>OR(AND(ISNUMBER($C87),$C87=0),$C87=2,$C87=3,$C87=4)</formula>
    </cfRule>
  </conditionalFormatting>
  <conditionalFormatting sqref="AL87">
    <cfRule type="expression" dxfId="898" priority="267" stopIfTrue="1">
      <formula>TIPOORCAMENTO="PROPOSTO"</formula>
    </cfRule>
    <cfRule type="expression" dxfId="897" priority="268" stopIfTrue="1">
      <formula>$C87=1</formula>
    </cfRule>
    <cfRule type="expression" dxfId="896" priority="269" stopIfTrue="1">
      <formula>OR(AND(ISNUMBER($C87),$C87=0),$C87=2,$C87=3,$C87=4)</formula>
    </cfRule>
  </conditionalFormatting>
  <conditionalFormatting sqref="AM87:AN87">
    <cfRule type="expression" dxfId="895" priority="270" stopIfTrue="1">
      <formula>TIPOORCAMENTO="PROPOSTO"</formula>
    </cfRule>
    <cfRule type="expression" dxfId="894" priority="271" stopIfTrue="1">
      <formula>$C87=1</formula>
    </cfRule>
    <cfRule type="expression" dxfId="893" priority="272" stopIfTrue="1">
      <formula>OR(AND(ISNUMBER($C87),$C87=0),$C87=2,$C87=3,$C87=4)</formula>
    </cfRule>
  </conditionalFormatting>
  <conditionalFormatting sqref="M111:M113">
    <cfRule type="cellIs" dxfId="892" priority="239" stopIfTrue="1" operator="notEqual">
      <formula>$N111</formula>
    </cfRule>
  </conditionalFormatting>
  <conditionalFormatting sqref="N111:O113 R111:R113 W111:X113">
    <cfRule type="expression" dxfId="891" priority="240" stopIfTrue="1">
      <formula>$C111=1</formula>
    </cfRule>
    <cfRule type="expression" dxfId="890" priority="241" stopIfTrue="1">
      <formula>OR($C111=0,$C111=2,$C111=3,$C111=4)</formula>
    </cfRule>
  </conditionalFormatting>
  <conditionalFormatting sqref="U111:V113">
    <cfRule type="expression" dxfId="889" priority="242" stopIfTrue="1">
      <formula>$C111=1</formula>
    </cfRule>
    <cfRule type="expression" dxfId="888" priority="243" stopIfTrue="1">
      <formula>OR($C111=0,$C111=2,$C111=3,$C111=4)</formula>
    </cfRule>
    <cfRule type="expression" dxfId="887" priority="244" stopIfTrue="1">
      <formula>AND(TIPOORCAMENTO="Licitado",$C111&lt;&gt;"L",$C111&lt;&gt;-1)</formula>
    </cfRule>
  </conditionalFormatting>
  <conditionalFormatting sqref="P111:Q113 S111:T113 Y111:Y113 AG111:AH113">
    <cfRule type="expression" dxfId="886" priority="245" stopIfTrue="1">
      <formula>$C111=1</formula>
    </cfRule>
    <cfRule type="expression" dxfId="885" priority="246" stopIfTrue="1">
      <formula>OR($C111=0,$C111=2,$C111=3,$C111=4)</formula>
    </cfRule>
  </conditionalFormatting>
  <conditionalFormatting sqref="AJ111:AJ113">
    <cfRule type="expression" dxfId="884" priority="247" stopIfTrue="1">
      <formula>OR(ACOMPANHAMENTO&lt;&gt;"BM",TIPOORCAMENTO="Licitado")</formula>
    </cfRule>
    <cfRule type="expression" dxfId="883" priority="248" stopIfTrue="1">
      <formula>$C111=1</formula>
    </cfRule>
    <cfRule type="expression" dxfId="882" priority="249" stopIfTrue="1">
      <formula>OR(AND(ISNUMBER($C111),$C111=0),$C111=2,$C111=3,$C111=4)</formula>
    </cfRule>
  </conditionalFormatting>
  <conditionalFormatting sqref="AL111:AL113">
    <cfRule type="expression" dxfId="881" priority="250" stopIfTrue="1">
      <formula>TIPOORCAMENTO="PROPOSTO"</formula>
    </cfRule>
    <cfRule type="expression" dxfId="880" priority="251" stopIfTrue="1">
      <formula>$C111=1</formula>
    </cfRule>
    <cfRule type="expression" dxfId="879" priority="252" stopIfTrue="1">
      <formula>OR(AND(ISNUMBER($C111),$C111=0),$C111=2,$C111=3,$C111=4)</formula>
    </cfRule>
  </conditionalFormatting>
  <conditionalFormatting sqref="AM111:AN113">
    <cfRule type="expression" dxfId="878" priority="253" stopIfTrue="1">
      <formula>TIPOORCAMENTO="PROPOSTO"</formula>
    </cfRule>
    <cfRule type="expression" dxfId="877" priority="254" stopIfTrue="1">
      <formula>$C111=1</formula>
    </cfRule>
    <cfRule type="expression" dxfId="876" priority="255" stopIfTrue="1">
      <formula>OR(AND(ISNUMBER($C111),$C111=0),$C111=2,$C111=3,$C111=4)</formula>
    </cfRule>
  </conditionalFormatting>
  <conditionalFormatting sqref="M148">
    <cfRule type="cellIs" dxfId="875" priority="205" stopIfTrue="1" operator="notEqual">
      <formula>$N148</formula>
    </cfRule>
  </conditionalFormatting>
  <conditionalFormatting sqref="N148:O148 R148 W148:X148">
    <cfRule type="expression" dxfId="874" priority="206" stopIfTrue="1">
      <formula>$C148=1</formula>
    </cfRule>
    <cfRule type="expression" dxfId="873" priority="207" stopIfTrue="1">
      <formula>OR($C148=0,$C148=2,$C148=3,$C148=4)</formula>
    </cfRule>
  </conditionalFormatting>
  <conditionalFormatting sqref="U148:V148">
    <cfRule type="expression" dxfId="872" priority="208" stopIfTrue="1">
      <formula>$C148=1</formula>
    </cfRule>
    <cfRule type="expression" dxfId="871" priority="209" stopIfTrue="1">
      <formula>OR($C148=0,$C148=2,$C148=3,$C148=4)</formula>
    </cfRule>
    <cfRule type="expression" dxfId="870" priority="210" stopIfTrue="1">
      <formula>AND(TIPOORCAMENTO="Licitado",$C148&lt;&gt;"L",$C148&lt;&gt;-1)</formula>
    </cfRule>
  </conditionalFormatting>
  <conditionalFormatting sqref="P148:Q148 S148:T148 Y148 AG148:AH148">
    <cfRule type="expression" dxfId="869" priority="211" stopIfTrue="1">
      <formula>$C148=1</formula>
    </cfRule>
    <cfRule type="expression" dxfId="868" priority="212" stopIfTrue="1">
      <formula>OR($C148=0,$C148=2,$C148=3,$C148=4)</formula>
    </cfRule>
  </conditionalFormatting>
  <conditionalFormatting sqref="AJ148">
    <cfRule type="expression" dxfId="867" priority="213" stopIfTrue="1">
      <formula>OR(ACOMPANHAMENTO&lt;&gt;"BM",TIPOORCAMENTO="Licitado")</formula>
    </cfRule>
    <cfRule type="expression" dxfId="866" priority="214" stopIfTrue="1">
      <formula>$C148=1</formula>
    </cfRule>
    <cfRule type="expression" dxfId="865" priority="215" stopIfTrue="1">
      <formula>OR(AND(ISNUMBER($C148),$C148=0),$C148=2,$C148=3,$C148=4)</formula>
    </cfRule>
  </conditionalFormatting>
  <conditionalFormatting sqref="AL148">
    <cfRule type="expression" dxfId="864" priority="216" stopIfTrue="1">
      <formula>TIPOORCAMENTO="PROPOSTO"</formula>
    </cfRule>
    <cfRule type="expression" dxfId="863" priority="217" stopIfTrue="1">
      <formula>$C148=1</formula>
    </cfRule>
    <cfRule type="expression" dxfId="862" priority="218" stopIfTrue="1">
      <formula>OR(AND(ISNUMBER($C148),$C148=0),$C148=2,$C148=3,$C148=4)</formula>
    </cfRule>
  </conditionalFormatting>
  <conditionalFormatting sqref="AM148:AN148">
    <cfRule type="expression" dxfId="861" priority="219" stopIfTrue="1">
      <formula>TIPOORCAMENTO="PROPOSTO"</formula>
    </cfRule>
    <cfRule type="expression" dxfId="860" priority="220" stopIfTrue="1">
      <formula>$C148=1</formula>
    </cfRule>
    <cfRule type="expression" dxfId="859" priority="221" stopIfTrue="1">
      <formula>OR(AND(ISNUMBER($C148),$C148=0),$C148=2,$C148=3,$C148=4)</formula>
    </cfRule>
  </conditionalFormatting>
  <conditionalFormatting sqref="M158">
    <cfRule type="cellIs" dxfId="858" priority="188" stopIfTrue="1" operator="notEqual">
      <formula>$N158</formula>
    </cfRule>
  </conditionalFormatting>
  <conditionalFormatting sqref="N158:O158 R158 W158:X158">
    <cfRule type="expression" dxfId="857" priority="189" stopIfTrue="1">
      <formula>$C158=1</formula>
    </cfRule>
    <cfRule type="expression" dxfId="856" priority="190" stopIfTrue="1">
      <formula>OR($C158=0,$C158=2,$C158=3,$C158=4)</formula>
    </cfRule>
  </conditionalFormatting>
  <conditionalFormatting sqref="U158:V158">
    <cfRule type="expression" dxfId="855" priority="191" stopIfTrue="1">
      <formula>$C158=1</formula>
    </cfRule>
    <cfRule type="expression" dxfId="854" priority="192" stopIfTrue="1">
      <formula>OR($C158=0,$C158=2,$C158=3,$C158=4)</formula>
    </cfRule>
    <cfRule type="expression" dxfId="853" priority="193" stopIfTrue="1">
      <formula>AND(TIPOORCAMENTO="Licitado",$C158&lt;&gt;"L",$C158&lt;&gt;-1)</formula>
    </cfRule>
  </conditionalFormatting>
  <conditionalFormatting sqref="P158:Q158 S158:T158 Y158 AG158:AH158">
    <cfRule type="expression" dxfId="852" priority="194" stopIfTrue="1">
      <formula>$C158=1</formula>
    </cfRule>
    <cfRule type="expression" dxfId="851" priority="195" stopIfTrue="1">
      <formula>OR($C158=0,$C158=2,$C158=3,$C158=4)</formula>
    </cfRule>
  </conditionalFormatting>
  <conditionalFormatting sqref="AJ158">
    <cfRule type="expression" dxfId="850" priority="196" stopIfTrue="1">
      <formula>OR(ACOMPANHAMENTO&lt;&gt;"BM",TIPOORCAMENTO="Licitado")</formula>
    </cfRule>
    <cfRule type="expression" dxfId="849" priority="197" stopIfTrue="1">
      <formula>$C158=1</formula>
    </cfRule>
    <cfRule type="expression" dxfId="848" priority="198" stopIfTrue="1">
      <formula>OR(AND(ISNUMBER($C158),$C158=0),$C158=2,$C158=3,$C158=4)</formula>
    </cfRule>
  </conditionalFormatting>
  <conditionalFormatting sqref="AL158">
    <cfRule type="expression" dxfId="847" priority="199" stopIfTrue="1">
      <formula>TIPOORCAMENTO="PROPOSTO"</formula>
    </cfRule>
    <cfRule type="expression" dxfId="846" priority="200" stopIfTrue="1">
      <formula>$C158=1</formula>
    </cfRule>
    <cfRule type="expression" dxfId="845" priority="201" stopIfTrue="1">
      <formula>OR(AND(ISNUMBER($C158),$C158=0),$C158=2,$C158=3,$C158=4)</formula>
    </cfRule>
  </conditionalFormatting>
  <conditionalFormatting sqref="AM158:AN158">
    <cfRule type="expression" dxfId="844" priority="202" stopIfTrue="1">
      <formula>TIPOORCAMENTO="PROPOSTO"</formula>
    </cfRule>
    <cfRule type="expression" dxfId="843" priority="203" stopIfTrue="1">
      <formula>$C158=1</formula>
    </cfRule>
    <cfRule type="expression" dxfId="842" priority="204" stopIfTrue="1">
      <formula>OR(AND(ISNUMBER($C158),$C158=0),$C158=2,$C158=3,$C158=4)</formula>
    </cfRule>
  </conditionalFormatting>
  <conditionalFormatting sqref="M167">
    <cfRule type="cellIs" dxfId="841" priority="171" stopIfTrue="1" operator="notEqual">
      <formula>$N167</formula>
    </cfRule>
  </conditionalFormatting>
  <conditionalFormatting sqref="N167:O167 R167 W167:X167">
    <cfRule type="expression" dxfId="840" priority="172" stopIfTrue="1">
      <formula>$C167=1</formula>
    </cfRule>
    <cfRule type="expression" dxfId="839" priority="173" stopIfTrue="1">
      <formula>OR($C167=0,$C167=2,$C167=3,$C167=4)</formula>
    </cfRule>
  </conditionalFormatting>
  <conditionalFormatting sqref="U167:V167">
    <cfRule type="expression" dxfId="838" priority="174" stopIfTrue="1">
      <formula>$C167=1</formula>
    </cfRule>
    <cfRule type="expression" dxfId="837" priority="175" stopIfTrue="1">
      <formula>OR($C167=0,$C167=2,$C167=3,$C167=4)</formula>
    </cfRule>
    <cfRule type="expression" dxfId="836" priority="176" stopIfTrue="1">
      <formula>AND(TIPOORCAMENTO="Licitado",$C167&lt;&gt;"L",$C167&lt;&gt;-1)</formula>
    </cfRule>
  </conditionalFormatting>
  <conditionalFormatting sqref="P167:Q167 S167:T167 Y167 AG167:AH167">
    <cfRule type="expression" dxfId="835" priority="177" stopIfTrue="1">
      <formula>$C167=1</formula>
    </cfRule>
    <cfRule type="expression" dxfId="834" priority="178" stopIfTrue="1">
      <formula>OR($C167=0,$C167=2,$C167=3,$C167=4)</formula>
    </cfRule>
  </conditionalFormatting>
  <conditionalFormatting sqref="AJ167">
    <cfRule type="expression" dxfId="833" priority="179" stopIfTrue="1">
      <formula>OR(ACOMPANHAMENTO&lt;&gt;"BM",TIPOORCAMENTO="Licitado")</formula>
    </cfRule>
    <cfRule type="expression" dxfId="832" priority="180" stopIfTrue="1">
      <formula>$C167=1</formula>
    </cfRule>
    <cfRule type="expression" dxfId="831" priority="181" stopIfTrue="1">
      <formula>OR(AND(ISNUMBER($C167),$C167=0),$C167=2,$C167=3,$C167=4)</formula>
    </cfRule>
  </conditionalFormatting>
  <conditionalFormatting sqref="AL167">
    <cfRule type="expression" dxfId="830" priority="182" stopIfTrue="1">
      <formula>TIPOORCAMENTO="PROPOSTO"</formula>
    </cfRule>
    <cfRule type="expression" dxfId="829" priority="183" stopIfTrue="1">
      <formula>$C167=1</formula>
    </cfRule>
    <cfRule type="expression" dxfId="828" priority="184" stopIfTrue="1">
      <formula>OR(AND(ISNUMBER($C167),$C167=0),$C167=2,$C167=3,$C167=4)</formula>
    </cfRule>
  </conditionalFormatting>
  <conditionalFormatting sqref="AM167:AN167">
    <cfRule type="expression" dxfId="827" priority="185" stopIfTrue="1">
      <formula>TIPOORCAMENTO="PROPOSTO"</formula>
    </cfRule>
    <cfRule type="expression" dxfId="826" priority="186" stopIfTrue="1">
      <formula>$C167=1</formula>
    </cfRule>
    <cfRule type="expression" dxfId="825" priority="187" stopIfTrue="1">
      <formula>OR(AND(ISNUMBER($C167),$C167=0),$C167=2,$C167=3,$C167=4)</formula>
    </cfRule>
  </conditionalFormatting>
  <conditionalFormatting sqref="M163">
    <cfRule type="cellIs" dxfId="824" priority="154" stopIfTrue="1" operator="notEqual">
      <formula>$N163</formula>
    </cfRule>
  </conditionalFormatting>
  <conditionalFormatting sqref="N163:O163 R163 W163:X163">
    <cfRule type="expression" dxfId="823" priority="155" stopIfTrue="1">
      <formula>$C163=1</formula>
    </cfRule>
    <cfRule type="expression" dxfId="822" priority="156" stopIfTrue="1">
      <formula>OR($C163=0,$C163=2,$C163=3,$C163=4)</formula>
    </cfRule>
  </conditionalFormatting>
  <conditionalFormatting sqref="U163:V163">
    <cfRule type="expression" dxfId="821" priority="157" stopIfTrue="1">
      <formula>$C163=1</formula>
    </cfRule>
    <cfRule type="expression" dxfId="820" priority="158" stopIfTrue="1">
      <formula>OR($C163=0,$C163=2,$C163=3,$C163=4)</formula>
    </cfRule>
    <cfRule type="expression" dxfId="819" priority="159" stopIfTrue="1">
      <formula>AND(TIPOORCAMENTO="Licitado",$C163&lt;&gt;"L",$C163&lt;&gt;-1)</formula>
    </cfRule>
  </conditionalFormatting>
  <conditionalFormatting sqref="P163:Q163 S163:T163 Y163 AG163:AH163">
    <cfRule type="expression" dxfId="818" priority="160" stopIfTrue="1">
      <formula>$C163=1</formula>
    </cfRule>
    <cfRule type="expression" dxfId="817" priority="161" stopIfTrue="1">
      <formula>OR($C163=0,$C163=2,$C163=3,$C163=4)</formula>
    </cfRule>
  </conditionalFormatting>
  <conditionalFormatting sqref="AJ163">
    <cfRule type="expression" dxfId="816" priority="162" stopIfTrue="1">
      <formula>OR(ACOMPANHAMENTO&lt;&gt;"BM",TIPOORCAMENTO="Licitado")</formula>
    </cfRule>
    <cfRule type="expression" dxfId="815" priority="163" stopIfTrue="1">
      <formula>$C163=1</formula>
    </cfRule>
    <cfRule type="expression" dxfId="814" priority="164" stopIfTrue="1">
      <formula>OR(AND(ISNUMBER($C163),$C163=0),$C163=2,$C163=3,$C163=4)</formula>
    </cfRule>
  </conditionalFormatting>
  <conditionalFormatting sqref="AL163">
    <cfRule type="expression" dxfId="813" priority="165" stopIfTrue="1">
      <formula>TIPOORCAMENTO="PROPOSTO"</formula>
    </cfRule>
    <cfRule type="expression" dxfId="812" priority="166" stopIfTrue="1">
      <formula>$C163=1</formula>
    </cfRule>
    <cfRule type="expression" dxfId="811" priority="167" stopIfTrue="1">
      <formula>OR(AND(ISNUMBER($C163),$C163=0),$C163=2,$C163=3,$C163=4)</formula>
    </cfRule>
  </conditionalFormatting>
  <conditionalFormatting sqref="AM163:AN163">
    <cfRule type="expression" dxfId="810" priority="168" stopIfTrue="1">
      <formula>TIPOORCAMENTO="PROPOSTO"</formula>
    </cfRule>
    <cfRule type="expression" dxfId="809" priority="169" stopIfTrue="1">
      <formula>$C163=1</formula>
    </cfRule>
    <cfRule type="expression" dxfId="808" priority="170" stopIfTrue="1">
      <formula>OR(AND(ISNUMBER($C163),$C163=0),$C163=2,$C163=3,$C163=4)</formula>
    </cfRule>
  </conditionalFormatting>
  <conditionalFormatting sqref="M174:M175">
    <cfRule type="cellIs" dxfId="807" priority="137" stopIfTrue="1" operator="notEqual">
      <formula>$N174</formula>
    </cfRule>
  </conditionalFormatting>
  <conditionalFormatting sqref="N174:O175 R174:R175 W174:X175">
    <cfRule type="expression" dxfId="806" priority="138" stopIfTrue="1">
      <formula>$C174=1</formula>
    </cfRule>
    <cfRule type="expression" dxfId="805" priority="139" stopIfTrue="1">
      <formula>OR($C174=0,$C174=2,$C174=3,$C174=4)</formula>
    </cfRule>
  </conditionalFormatting>
  <conditionalFormatting sqref="U174:V175">
    <cfRule type="expression" dxfId="804" priority="140" stopIfTrue="1">
      <formula>$C174=1</formula>
    </cfRule>
    <cfRule type="expression" dxfId="803" priority="141" stopIfTrue="1">
      <formula>OR($C174=0,$C174=2,$C174=3,$C174=4)</formula>
    </cfRule>
    <cfRule type="expression" dxfId="802" priority="142" stopIfTrue="1">
      <formula>AND(TIPOORCAMENTO="Licitado",$C174&lt;&gt;"L",$C174&lt;&gt;-1)</formula>
    </cfRule>
  </conditionalFormatting>
  <conditionalFormatting sqref="P174:Q175 S174:T175 Y174:Y175 AG174:AH175">
    <cfRule type="expression" dxfId="801" priority="143" stopIfTrue="1">
      <formula>$C174=1</formula>
    </cfRule>
    <cfRule type="expression" dxfId="800" priority="144" stopIfTrue="1">
      <formula>OR($C174=0,$C174=2,$C174=3,$C174=4)</formula>
    </cfRule>
  </conditionalFormatting>
  <conditionalFormatting sqref="AJ174:AJ175">
    <cfRule type="expression" dxfId="799" priority="145" stopIfTrue="1">
      <formula>OR(ACOMPANHAMENTO&lt;&gt;"BM",TIPOORCAMENTO="Licitado")</formula>
    </cfRule>
    <cfRule type="expression" dxfId="798" priority="146" stopIfTrue="1">
      <formula>$C174=1</formula>
    </cfRule>
    <cfRule type="expression" dxfId="797" priority="147" stopIfTrue="1">
      <formula>OR(AND(ISNUMBER($C174),$C174=0),$C174=2,$C174=3,$C174=4)</formula>
    </cfRule>
  </conditionalFormatting>
  <conditionalFormatting sqref="AL174:AL175">
    <cfRule type="expression" dxfId="796" priority="148" stopIfTrue="1">
      <formula>TIPOORCAMENTO="PROPOSTO"</formula>
    </cfRule>
    <cfRule type="expression" dxfId="795" priority="149" stopIfTrue="1">
      <formula>$C174=1</formula>
    </cfRule>
    <cfRule type="expression" dxfId="794" priority="150" stopIfTrue="1">
      <formula>OR(AND(ISNUMBER($C174),$C174=0),$C174=2,$C174=3,$C174=4)</formula>
    </cfRule>
  </conditionalFormatting>
  <conditionalFormatting sqref="AM174:AN175">
    <cfRule type="expression" dxfId="793" priority="151" stopIfTrue="1">
      <formula>TIPOORCAMENTO="PROPOSTO"</formula>
    </cfRule>
    <cfRule type="expression" dxfId="792" priority="152" stopIfTrue="1">
      <formula>$C174=1</formula>
    </cfRule>
    <cfRule type="expression" dxfId="791" priority="153" stopIfTrue="1">
      <formula>OR(AND(ISNUMBER($C174),$C174=0),$C174=2,$C174=3,$C174=4)</formula>
    </cfRule>
  </conditionalFormatting>
  <conditionalFormatting sqref="M176">
    <cfRule type="cellIs" dxfId="790" priority="120" stopIfTrue="1" operator="notEqual">
      <formula>$N176</formula>
    </cfRule>
  </conditionalFormatting>
  <conditionalFormatting sqref="N176:O176 R176 W176:X176">
    <cfRule type="expression" dxfId="789" priority="121" stopIfTrue="1">
      <formula>$C176=1</formula>
    </cfRule>
    <cfRule type="expression" dxfId="788" priority="122" stopIfTrue="1">
      <formula>OR($C176=0,$C176=2,$C176=3,$C176=4)</formula>
    </cfRule>
  </conditionalFormatting>
  <conditionalFormatting sqref="U176:V176">
    <cfRule type="expression" dxfId="787" priority="123" stopIfTrue="1">
      <formula>$C176=1</formula>
    </cfRule>
    <cfRule type="expression" dxfId="786" priority="124" stopIfTrue="1">
      <formula>OR($C176=0,$C176=2,$C176=3,$C176=4)</formula>
    </cfRule>
    <cfRule type="expression" dxfId="785" priority="125" stopIfTrue="1">
      <formula>AND(TIPOORCAMENTO="Licitado",$C176&lt;&gt;"L",$C176&lt;&gt;-1)</formula>
    </cfRule>
  </conditionalFormatting>
  <conditionalFormatting sqref="P176:Q176 S176:T176 Y176 AG176:AH176">
    <cfRule type="expression" dxfId="784" priority="126" stopIfTrue="1">
      <formula>$C176=1</formula>
    </cfRule>
    <cfRule type="expression" dxfId="783" priority="127" stopIfTrue="1">
      <formula>OR($C176=0,$C176=2,$C176=3,$C176=4)</formula>
    </cfRule>
  </conditionalFormatting>
  <conditionalFormatting sqref="AJ176">
    <cfRule type="expression" dxfId="782" priority="128" stopIfTrue="1">
      <formula>OR(ACOMPANHAMENTO&lt;&gt;"BM",TIPOORCAMENTO="Licitado")</formula>
    </cfRule>
    <cfRule type="expression" dxfId="781" priority="129" stopIfTrue="1">
      <formula>$C176=1</formula>
    </cfRule>
    <cfRule type="expression" dxfId="780" priority="130" stopIfTrue="1">
      <formula>OR(AND(ISNUMBER($C176),$C176=0),$C176=2,$C176=3,$C176=4)</formula>
    </cfRule>
  </conditionalFormatting>
  <conditionalFormatting sqref="AL176">
    <cfRule type="expression" dxfId="779" priority="131" stopIfTrue="1">
      <formula>TIPOORCAMENTO="PROPOSTO"</formula>
    </cfRule>
    <cfRule type="expression" dxfId="778" priority="132" stopIfTrue="1">
      <formula>$C176=1</formula>
    </cfRule>
    <cfRule type="expression" dxfId="777" priority="133" stopIfTrue="1">
      <formula>OR(AND(ISNUMBER($C176),$C176=0),$C176=2,$C176=3,$C176=4)</formula>
    </cfRule>
  </conditionalFormatting>
  <conditionalFormatting sqref="AM176:AN176">
    <cfRule type="expression" dxfId="776" priority="134" stopIfTrue="1">
      <formula>TIPOORCAMENTO="PROPOSTO"</formula>
    </cfRule>
    <cfRule type="expression" dxfId="775" priority="135" stopIfTrue="1">
      <formula>$C176=1</formula>
    </cfRule>
    <cfRule type="expression" dxfId="774" priority="136" stopIfTrue="1">
      <formula>OR(AND(ISNUMBER($C176),$C176=0),$C176=2,$C176=3,$C176=4)</formula>
    </cfRule>
  </conditionalFormatting>
  <conditionalFormatting sqref="M130">
    <cfRule type="cellIs" dxfId="773" priority="103" stopIfTrue="1" operator="notEqual">
      <formula>$N130</formula>
    </cfRule>
  </conditionalFormatting>
  <conditionalFormatting sqref="N130:O130 R130 W130:X130">
    <cfRule type="expression" dxfId="772" priority="104" stopIfTrue="1">
      <formula>$C130=1</formula>
    </cfRule>
    <cfRule type="expression" dxfId="771" priority="105" stopIfTrue="1">
      <formula>OR($C130=0,$C130=2,$C130=3,$C130=4)</formula>
    </cfRule>
  </conditionalFormatting>
  <conditionalFormatting sqref="U130:V130">
    <cfRule type="expression" dxfId="770" priority="106" stopIfTrue="1">
      <formula>$C130=1</formula>
    </cfRule>
    <cfRule type="expression" dxfId="769" priority="107" stopIfTrue="1">
      <formula>OR($C130=0,$C130=2,$C130=3,$C130=4)</formula>
    </cfRule>
    <cfRule type="expression" dxfId="768" priority="108" stopIfTrue="1">
      <formula>AND(TIPOORCAMENTO="Licitado",$C130&lt;&gt;"L",$C130&lt;&gt;-1)</formula>
    </cfRule>
  </conditionalFormatting>
  <conditionalFormatting sqref="P130:Q130 S130:T130 Y130 AG130:AH130">
    <cfRule type="expression" dxfId="767" priority="109" stopIfTrue="1">
      <formula>$C130=1</formula>
    </cfRule>
    <cfRule type="expression" dxfId="766" priority="110" stopIfTrue="1">
      <formula>OR($C130=0,$C130=2,$C130=3,$C130=4)</formula>
    </cfRule>
  </conditionalFormatting>
  <conditionalFormatting sqref="AJ130">
    <cfRule type="expression" dxfId="765" priority="111" stopIfTrue="1">
      <formula>OR(ACOMPANHAMENTO&lt;&gt;"BM",TIPOORCAMENTO="Licitado")</formula>
    </cfRule>
    <cfRule type="expression" dxfId="764" priority="112" stopIfTrue="1">
      <formula>$C130=1</formula>
    </cfRule>
    <cfRule type="expression" dxfId="763" priority="113" stopIfTrue="1">
      <formula>OR(AND(ISNUMBER($C130),$C130=0),$C130=2,$C130=3,$C130=4)</formula>
    </cfRule>
  </conditionalFormatting>
  <conditionalFormatting sqref="AL130">
    <cfRule type="expression" dxfId="762" priority="114" stopIfTrue="1">
      <formula>TIPOORCAMENTO="PROPOSTO"</formula>
    </cfRule>
    <cfRule type="expression" dxfId="761" priority="115" stopIfTrue="1">
      <formula>$C130=1</formula>
    </cfRule>
    <cfRule type="expression" dxfId="760" priority="116" stopIfTrue="1">
      <formula>OR(AND(ISNUMBER($C130),$C130=0),$C130=2,$C130=3,$C130=4)</formula>
    </cfRule>
  </conditionalFormatting>
  <conditionalFormatting sqref="AM130:AN130">
    <cfRule type="expression" dxfId="759" priority="117" stopIfTrue="1">
      <formula>TIPOORCAMENTO="PROPOSTO"</formula>
    </cfRule>
    <cfRule type="expression" dxfId="758" priority="118" stopIfTrue="1">
      <formula>$C130=1</formula>
    </cfRule>
    <cfRule type="expression" dxfId="757" priority="119" stopIfTrue="1">
      <formula>OR(AND(ISNUMBER($C130),$C130=0),$C130=2,$C130=3,$C130=4)</formula>
    </cfRule>
  </conditionalFormatting>
  <conditionalFormatting sqref="M21">
    <cfRule type="cellIs" dxfId="756" priority="86" stopIfTrue="1" operator="notEqual">
      <formula>$N21</formula>
    </cfRule>
  </conditionalFormatting>
  <conditionalFormatting sqref="N21:O21 R21 W21:X21">
    <cfRule type="expression" dxfId="755" priority="87" stopIfTrue="1">
      <formula>$C21=1</formula>
    </cfRule>
    <cfRule type="expression" dxfId="754" priority="88" stopIfTrue="1">
      <formula>OR($C21=0,$C21=2,$C21=3,$C21=4)</formula>
    </cfRule>
  </conditionalFormatting>
  <conditionalFormatting sqref="U21:V21">
    <cfRule type="expression" dxfId="753" priority="89" stopIfTrue="1">
      <formula>$C21=1</formula>
    </cfRule>
    <cfRule type="expression" dxfId="752" priority="90" stopIfTrue="1">
      <formula>OR($C21=0,$C21=2,$C21=3,$C21=4)</formula>
    </cfRule>
    <cfRule type="expression" dxfId="751" priority="91" stopIfTrue="1">
      <formula>AND(TIPOORCAMENTO="Licitado",$C21&lt;&gt;"L",$C21&lt;&gt;-1)</formula>
    </cfRule>
  </conditionalFormatting>
  <conditionalFormatting sqref="P21:Q21 S21:T21 Y21 AG21:AH21">
    <cfRule type="expression" dxfId="750" priority="92" stopIfTrue="1">
      <formula>$C21=1</formula>
    </cfRule>
    <cfRule type="expression" dxfId="749" priority="93" stopIfTrue="1">
      <formula>OR($C21=0,$C21=2,$C21=3,$C21=4)</formula>
    </cfRule>
  </conditionalFormatting>
  <conditionalFormatting sqref="AJ21">
    <cfRule type="expression" dxfId="748" priority="94" stopIfTrue="1">
      <formula>OR(ACOMPANHAMENTO&lt;&gt;"BM",TIPOORCAMENTO="Licitado")</formula>
    </cfRule>
    <cfRule type="expression" dxfId="747" priority="95" stopIfTrue="1">
      <formula>$C21=1</formula>
    </cfRule>
    <cfRule type="expression" dxfId="746" priority="96" stopIfTrue="1">
      <formula>OR(AND(ISNUMBER($C21),$C21=0),$C21=2,$C21=3,$C21=4)</formula>
    </cfRule>
  </conditionalFormatting>
  <conditionalFormatting sqref="AL21">
    <cfRule type="expression" dxfId="745" priority="97" stopIfTrue="1">
      <formula>TIPOORCAMENTO="PROPOSTO"</formula>
    </cfRule>
    <cfRule type="expression" dxfId="744" priority="98" stopIfTrue="1">
      <formula>$C21=1</formula>
    </cfRule>
    <cfRule type="expression" dxfId="743" priority="99" stopIfTrue="1">
      <formula>OR(AND(ISNUMBER($C21),$C21=0),$C21=2,$C21=3,$C21=4)</formula>
    </cfRule>
  </conditionalFormatting>
  <conditionalFormatting sqref="AM21:AN21">
    <cfRule type="expression" dxfId="742" priority="100" stopIfTrue="1">
      <formula>TIPOORCAMENTO="PROPOSTO"</formula>
    </cfRule>
    <cfRule type="expression" dxfId="741" priority="101" stopIfTrue="1">
      <formula>$C21=1</formula>
    </cfRule>
    <cfRule type="expression" dxfId="740" priority="102" stopIfTrue="1">
      <formula>OR(AND(ISNUMBER($C21),$C21=0),$C21=2,$C21=3,$C21=4)</formula>
    </cfRule>
  </conditionalFormatting>
  <conditionalFormatting sqref="M206">
    <cfRule type="cellIs" dxfId="739" priority="69" stopIfTrue="1" operator="notEqual">
      <formula>$N206</formula>
    </cfRule>
  </conditionalFormatting>
  <conditionalFormatting sqref="N206:O206 R206 W206:X206">
    <cfRule type="expression" dxfId="738" priority="70" stopIfTrue="1">
      <formula>$C206=1</formula>
    </cfRule>
    <cfRule type="expression" dxfId="737" priority="71" stopIfTrue="1">
      <formula>OR($C206=0,$C206=2,$C206=3,$C206=4)</formula>
    </cfRule>
  </conditionalFormatting>
  <conditionalFormatting sqref="U206:V206">
    <cfRule type="expression" dxfId="736" priority="72" stopIfTrue="1">
      <formula>$C206=1</formula>
    </cfRule>
    <cfRule type="expression" dxfId="735" priority="73" stopIfTrue="1">
      <formula>OR($C206=0,$C206=2,$C206=3,$C206=4)</formula>
    </cfRule>
    <cfRule type="expression" dxfId="734" priority="74" stopIfTrue="1">
      <formula>AND(TIPOORCAMENTO="Licitado",$C206&lt;&gt;"L",$C206&lt;&gt;-1)</formula>
    </cfRule>
  </conditionalFormatting>
  <conditionalFormatting sqref="P206:Q206 S206:T206 Y206 AG206:AH206">
    <cfRule type="expression" dxfId="733" priority="75" stopIfTrue="1">
      <formula>$C206=1</formula>
    </cfRule>
    <cfRule type="expression" dxfId="732" priority="76" stopIfTrue="1">
      <formula>OR($C206=0,$C206=2,$C206=3,$C206=4)</formula>
    </cfRule>
  </conditionalFormatting>
  <conditionalFormatting sqref="AJ206">
    <cfRule type="expression" dxfId="731" priority="77" stopIfTrue="1">
      <formula>OR(ACOMPANHAMENTO&lt;&gt;"BM",TIPOORCAMENTO="Licitado")</formula>
    </cfRule>
    <cfRule type="expression" dxfId="730" priority="78" stopIfTrue="1">
      <formula>$C206=1</formula>
    </cfRule>
    <cfRule type="expression" dxfId="729" priority="79" stopIfTrue="1">
      <formula>OR(AND(ISNUMBER($C206),$C206=0),$C206=2,$C206=3,$C206=4)</formula>
    </cfRule>
  </conditionalFormatting>
  <conditionalFormatting sqref="AL206">
    <cfRule type="expression" dxfId="728" priority="80" stopIfTrue="1">
      <formula>TIPOORCAMENTO="PROPOSTO"</formula>
    </cfRule>
    <cfRule type="expression" dxfId="727" priority="81" stopIfTrue="1">
      <formula>$C206=1</formula>
    </cfRule>
    <cfRule type="expression" dxfId="726" priority="82" stopIfTrue="1">
      <formula>OR(AND(ISNUMBER($C206),$C206=0),$C206=2,$C206=3,$C206=4)</formula>
    </cfRule>
  </conditionalFormatting>
  <conditionalFormatting sqref="AM206:AN206">
    <cfRule type="expression" dxfId="725" priority="83" stopIfTrue="1">
      <formula>TIPOORCAMENTO="PROPOSTO"</formula>
    </cfRule>
    <cfRule type="expression" dxfId="724" priority="84" stopIfTrue="1">
      <formula>$C206=1</formula>
    </cfRule>
    <cfRule type="expression" dxfId="723" priority="85" stopIfTrue="1">
      <formula>OR(AND(ISNUMBER($C206),$C206=0),$C206=2,$C206=3,$C206=4)</formula>
    </cfRule>
  </conditionalFormatting>
  <conditionalFormatting sqref="M207">
    <cfRule type="cellIs" dxfId="722" priority="52" stopIfTrue="1" operator="notEqual">
      <formula>$N207</formula>
    </cfRule>
  </conditionalFormatting>
  <conditionalFormatting sqref="N207:O207 R207 W207:X207">
    <cfRule type="expression" dxfId="721" priority="53" stopIfTrue="1">
      <formula>$C207=1</formula>
    </cfRule>
    <cfRule type="expression" dxfId="720" priority="54" stopIfTrue="1">
      <formula>OR($C207=0,$C207=2,$C207=3,$C207=4)</formula>
    </cfRule>
  </conditionalFormatting>
  <conditionalFormatting sqref="U207:V207">
    <cfRule type="expression" dxfId="719" priority="55" stopIfTrue="1">
      <formula>$C207=1</formula>
    </cfRule>
    <cfRule type="expression" dxfId="718" priority="56" stopIfTrue="1">
      <formula>OR($C207=0,$C207=2,$C207=3,$C207=4)</formula>
    </cfRule>
    <cfRule type="expression" dxfId="717" priority="57" stopIfTrue="1">
      <formula>AND(TIPOORCAMENTO="Licitado",$C207&lt;&gt;"L",$C207&lt;&gt;-1)</formula>
    </cfRule>
  </conditionalFormatting>
  <conditionalFormatting sqref="P207:Q207 S207:T207 Y207 AG207:AH207">
    <cfRule type="expression" dxfId="716" priority="58" stopIfTrue="1">
      <formula>$C207=1</formula>
    </cfRule>
    <cfRule type="expression" dxfId="715" priority="59" stopIfTrue="1">
      <formula>OR($C207=0,$C207=2,$C207=3,$C207=4)</formula>
    </cfRule>
  </conditionalFormatting>
  <conditionalFormatting sqref="AJ207">
    <cfRule type="expression" dxfId="714" priority="60" stopIfTrue="1">
      <formula>OR(ACOMPANHAMENTO&lt;&gt;"BM",TIPOORCAMENTO="Licitado")</formula>
    </cfRule>
    <cfRule type="expression" dxfId="713" priority="61" stopIfTrue="1">
      <formula>$C207=1</formula>
    </cfRule>
    <cfRule type="expression" dxfId="712" priority="62" stopIfTrue="1">
      <formula>OR(AND(ISNUMBER($C207),$C207=0),$C207=2,$C207=3,$C207=4)</formula>
    </cfRule>
  </conditionalFormatting>
  <conditionalFormatting sqref="AL207">
    <cfRule type="expression" dxfId="711" priority="63" stopIfTrue="1">
      <formula>TIPOORCAMENTO="PROPOSTO"</formula>
    </cfRule>
    <cfRule type="expression" dxfId="710" priority="64" stopIfTrue="1">
      <formula>$C207=1</formula>
    </cfRule>
    <cfRule type="expression" dxfId="709" priority="65" stopIfTrue="1">
      <formula>OR(AND(ISNUMBER($C207),$C207=0),$C207=2,$C207=3,$C207=4)</formula>
    </cfRule>
  </conditionalFormatting>
  <conditionalFormatting sqref="AM207:AN207">
    <cfRule type="expression" dxfId="708" priority="66" stopIfTrue="1">
      <formula>TIPOORCAMENTO="PROPOSTO"</formula>
    </cfRule>
    <cfRule type="expression" dxfId="707" priority="67" stopIfTrue="1">
      <formula>$C207=1</formula>
    </cfRule>
    <cfRule type="expression" dxfId="706" priority="68" stopIfTrue="1">
      <formula>OR(AND(ISNUMBER($C207),$C207=0),$C207=2,$C207=3,$C207=4)</formula>
    </cfRule>
  </conditionalFormatting>
  <conditionalFormatting sqref="M238">
    <cfRule type="cellIs" dxfId="705" priority="18" stopIfTrue="1" operator="notEqual">
      <formula>$N238</formula>
    </cfRule>
  </conditionalFormatting>
  <conditionalFormatting sqref="N238:O238 R238 W238:X238">
    <cfRule type="expression" dxfId="704" priority="19" stopIfTrue="1">
      <formula>$C238=1</formula>
    </cfRule>
    <cfRule type="expression" dxfId="703" priority="20" stopIfTrue="1">
      <formula>OR($C238=0,$C238=2,$C238=3,$C238=4)</formula>
    </cfRule>
  </conditionalFormatting>
  <conditionalFormatting sqref="U238:V238">
    <cfRule type="expression" dxfId="702" priority="21" stopIfTrue="1">
      <formula>$C238=1</formula>
    </cfRule>
    <cfRule type="expression" dxfId="701" priority="22" stopIfTrue="1">
      <formula>OR($C238=0,$C238=2,$C238=3,$C238=4)</formula>
    </cfRule>
    <cfRule type="expression" dxfId="700" priority="23" stopIfTrue="1">
      <formula>AND(TIPOORCAMENTO="Licitado",$C238&lt;&gt;"L",$C238&lt;&gt;-1)</formula>
    </cfRule>
  </conditionalFormatting>
  <conditionalFormatting sqref="P238:Q238 S238:T238 Y238 AG238:AH238">
    <cfRule type="expression" dxfId="699" priority="24" stopIfTrue="1">
      <formula>$C238=1</formula>
    </cfRule>
    <cfRule type="expression" dxfId="698" priority="25" stopIfTrue="1">
      <formula>OR($C238=0,$C238=2,$C238=3,$C238=4)</formula>
    </cfRule>
  </conditionalFormatting>
  <conditionalFormatting sqref="AJ238">
    <cfRule type="expression" dxfId="697" priority="26" stopIfTrue="1">
      <formula>OR(ACOMPANHAMENTO&lt;&gt;"BM",TIPOORCAMENTO="Licitado")</formula>
    </cfRule>
    <cfRule type="expression" dxfId="696" priority="27" stopIfTrue="1">
      <formula>$C238=1</formula>
    </cfRule>
    <cfRule type="expression" dxfId="695" priority="28" stopIfTrue="1">
      <formula>OR(AND(ISNUMBER($C238),$C238=0),$C238=2,$C238=3,$C238=4)</formula>
    </cfRule>
  </conditionalFormatting>
  <conditionalFormatting sqref="AL238">
    <cfRule type="expression" dxfId="694" priority="29" stopIfTrue="1">
      <formula>TIPOORCAMENTO="PROPOSTO"</formula>
    </cfRule>
    <cfRule type="expression" dxfId="693" priority="30" stopIfTrue="1">
      <formula>$C238=1</formula>
    </cfRule>
    <cfRule type="expression" dxfId="692" priority="31" stopIfTrue="1">
      <formula>OR(AND(ISNUMBER($C238),$C238=0),$C238=2,$C238=3,$C238=4)</formula>
    </cfRule>
  </conditionalFormatting>
  <conditionalFormatting sqref="AM238:AN238">
    <cfRule type="expression" dxfId="691" priority="32" stopIfTrue="1">
      <formula>TIPOORCAMENTO="PROPOSTO"</formula>
    </cfRule>
    <cfRule type="expression" dxfId="690" priority="33" stopIfTrue="1">
      <formula>$C238=1</formula>
    </cfRule>
    <cfRule type="expression" dxfId="689" priority="34" stopIfTrue="1">
      <formula>OR(AND(ISNUMBER($C238),$C238=0),$C238=2,$C238=3,$C238=4)</formula>
    </cfRule>
  </conditionalFormatting>
  <dataValidations count="7">
    <dataValidation type="decimal" operator="greaterThan" allowBlank="1" showErrorMessage="1" error="Apenas números decimais maiores que zero." sqref="U14 AL14 AJ14 U16:U289 AL16:AL289 AJ16:AJ289" xr:uid="{00000000-0002-0000-0400-000000000000}">
      <formula1>0</formula1>
      <formula2>0</formula2>
    </dataValidation>
    <dataValidation type="list" allowBlank="1" sqref="P14 P16:P289" xr:uid="{00000000-0002-0000-0400-000001000000}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289" xr:uid="{00000000-0002-0000-0400-000002000000}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289" xr:uid="{00000000-0002-0000-0400-000003000000}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289" xr:uid="{00000000-0002-0000-0400-000004000000}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289" xr:uid="{00000000-0002-0000-0400-000005000000}"/>
    <dataValidation allowBlank="1" showInputMessage="1" showErrorMessage="1" prompt="Para Orçamento Proposto, o Preço Unitário é resultado do produto do Custo Unitário pelo BDI._x000a_Para Orçamento Licitado, deve ser preenchido na Coluna AL." sqref="W14 W16:W289" xr:uid="{00000000-0002-0000-0400-000006000000}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/>
  <dimension ref="A1:BG65558"/>
  <sheetViews>
    <sheetView showGridLines="0" zoomScale="90" zoomScaleNormal="90" zoomScaleSheetLayoutView="9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A249" sqref="A249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 x14ac:dyDescent="0.2">
      <c r="F1" s="624" t="str">
        <f>IF(ACOMPANHAMENTO="BM","MEMÓRIA DE CÁLCULO","PLQ - PLANILHA DE LEVANTAMENTO DE QUANTIDADES")</f>
        <v>MEMÓRIA DE CÁLCULO</v>
      </c>
      <c r="G1" s="624"/>
      <c r="H1" s="624"/>
      <c r="I1" s="147"/>
      <c r="K1" s="147"/>
      <c r="L1" s="147"/>
      <c r="M1" s="148"/>
      <c r="N1" s="147"/>
      <c r="P1" s="147"/>
      <c r="Q1" s="581" t="s">
        <v>140</v>
      </c>
      <c r="R1" s="581"/>
      <c r="Y1" s="581" t="s">
        <v>140</v>
      </c>
      <c r="Z1" s="581"/>
    </row>
    <row r="2" spans="1:59" ht="15" customHeight="1" x14ac:dyDescent="0.2">
      <c r="F2" s="625" t="str">
        <f>IF(ACOMPANHAMENTO="BM","","Memória de Cálculo")&amp;" - "&amp;import.recurso</f>
        <v xml:space="preserve"> - OGU</v>
      </c>
      <c r="G2" s="625"/>
      <c r="H2" s="625"/>
      <c r="I2" s="149"/>
      <c r="K2" s="149"/>
      <c r="L2" s="149"/>
      <c r="M2" s="150"/>
      <c r="N2" s="149"/>
      <c r="P2" s="149"/>
      <c r="Q2" s="582" t="s">
        <v>143</v>
      </c>
      <c r="R2" s="582"/>
      <c r="Y2" s="582" t="s">
        <v>143</v>
      </c>
      <c r="Z2" s="582"/>
    </row>
    <row r="3" spans="1:59" ht="12.75" customHeight="1" x14ac:dyDescent="0.2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75" t="e">
        <f ca="1">SUM(AB3:AD3)-SUM(#REF!)</f>
        <v>#REF!</v>
      </c>
    </row>
    <row r="4" spans="1:59" ht="12.75" customHeight="1" x14ac:dyDescent="0.2">
      <c r="E4" s="583" t="s">
        <v>202</v>
      </c>
      <c r="F4" s="583"/>
      <c r="G4" s="583" t="s">
        <v>443</v>
      </c>
      <c r="H4" s="583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583" t="s">
        <v>146</v>
      </c>
      <c r="T4" s="583"/>
      <c r="U4" s="583" t="s">
        <v>147</v>
      </c>
      <c r="V4" s="583"/>
      <c r="W4" s="583"/>
      <c r="X4" s="583"/>
      <c r="Y4" s="583"/>
      <c r="Z4" s="583"/>
    </row>
    <row r="5" spans="1:59" ht="12.75" customHeight="1" x14ac:dyDescent="0.2">
      <c r="E5" s="580" t="str">
        <f>Import.Apelido</f>
        <v>PRAÇA PÚBLICA - BAIRRO N. S. APARECIDA</v>
      </c>
      <c r="F5" s="580"/>
      <c r="G5" s="580" cm="1">
        <f t="array" ref="G5">Import.TransfereGOV</f>
        <v>0</v>
      </c>
      <c r="H5" s="580"/>
      <c r="I5" s="92">
        <f>Import.CR</f>
        <v>0</v>
      </c>
      <c r="K5" s="154" t="str">
        <f>Import.Proponente</f>
        <v>MUNICÍPIO DE RONDINHA</v>
      </c>
      <c r="L5" s="155"/>
      <c r="M5" s="102"/>
      <c r="N5" s="155"/>
      <c r="O5" s="155"/>
      <c r="P5" s="155"/>
      <c r="Q5" s="155"/>
      <c r="R5" s="93"/>
      <c r="S5" s="580">
        <f>Import.CR</f>
        <v>0</v>
      </c>
      <c r="T5" s="580"/>
      <c r="U5" s="580" t="str">
        <f>Import.Proponente</f>
        <v>MUNICÍPIO DE RONDINHA</v>
      </c>
      <c r="V5" s="580"/>
      <c r="W5" s="580"/>
      <c r="X5" s="580"/>
      <c r="Y5" s="580"/>
      <c r="Z5" s="580"/>
    </row>
    <row r="6" spans="1:59" ht="12.75" customHeight="1" x14ac:dyDescent="0.2">
      <c r="T6" s="575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56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>IF(ACOMPANHAMENTO="BM",0,COUNTIF(M15:M290,0))</f>
        <v>0</v>
      </c>
      <c r="N12" s="158" t="s">
        <v>257</v>
      </c>
      <c r="O12" s="162"/>
      <c r="P12" s="159" t="s">
        <v>255</v>
      </c>
      <c r="Q12" s="543"/>
      <c r="R12" s="162"/>
      <c r="S12" s="162"/>
      <c r="T12" s="162"/>
      <c r="U12" s="162"/>
      <c r="V12" s="162"/>
      <c r="W12" s="162"/>
      <c r="X12" s="162"/>
      <c r="Y12" s="162"/>
      <c r="Z12" s="163"/>
      <c r="AA12" s="159" t="s">
        <v>255</v>
      </c>
      <c r="AB12" s="164">
        <f ca="1">OFFSET($P$12,0,AB$13)</f>
        <v>0</v>
      </c>
      <c r="AC12" s="165">
        <f t="shared" ref="AC12:AK12" ca="1" si="0">OFFSET($P$12,0,AC$13)</f>
        <v>0</v>
      </c>
      <c r="AD12" s="165">
        <f t="shared" ca="1" si="0"/>
        <v>0</v>
      </c>
      <c r="AE12" s="165">
        <f t="shared" ca="1" si="0"/>
        <v>0</v>
      </c>
      <c r="AF12" s="165">
        <f t="shared" ca="1" si="0"/>
        <v>0</v>
      </c>
      <c r="AG12" s="165">
        <f t="shared" ca="1" si="0"/>
        <v>0</v>
      </c>
      <c r="AH12" s="165">
        <f t="shared" ca="1" si="0"/>
        <v>0</v>
      </c>
      <c r="AI12" s="165">
        <f t="shared" ca="1" si="0"/>
        <v>0</v>
      </c>
      <c r="AJ12" s="165">
        <f t="shared" ca="1" si="0"/>
        <v>0</v>
      </c>
      <c r="AK12" s="166">
        <f t="shared" ca="1" si="0"/>
        <v>0</v>
      </c>
      <c r="AM12" s="164">
        <f ca="1">OFFSET($P$12,0,AM$13)</f>
        <v>0</v>
      </c>
      <c r="AN12" s="165">
        <f t="shared" ref="AN12:AV12" ca="1" si="1">OFFSET($P$12,0,AN$13)</f>
        <v>0</v>
      </c>
      <c r="AO12" s="165">
        <f t="shared" ca="1" si="1"/>
        <v>0</v>
      </c>
      <c r="AP12" s="165">
        <f t="shared" ca="1" si="1"/>
        <v>0</v>
      </c>
      <c r="AQ12" s="165">
        <f t="shared" ca="1" si="1"/>
        <v>0</v>
      </c>
      <c r="AR12" s="165">
        <f t="shared" ca="1" si="1"/>
        <v>0</v>
      </c>
      <c r="AS12" s="165">
        <f t="shared" ca="1" si="1"/>
        <v>0</v>
      </c>
      <c r="AT12" s="165">
        <f t="shared" ca="1" si="1"/>
        <v>0</v>
      </c>
      <c r="AU12" s="165">
        <f t="shared" ca="1" si="1"/>
        <v>0</v>
      </c>
      <c r="AV12" s="166">
        <f t="shared" ca="1" si="1"/>
        <v>0</v>
      </c>
      <c r="AX12" s="164">
        <f ca="1">OFFSET($P$12,0,AX$13)</f>
        <v>0</v>
      </c>
      <c r="AY12" s="165">
        <f t="shared" ref="AY12:BG12" ca="1" si="2">OFFSET($P$12,0,AY$13)</f>
        <v>0</v>
      </c>
      <c r="AZ12" s="165">
        <f t="shared" ca="1" si="2"/>
        <v>0</v>
      </c>
      <c r="BA12" s="165">
        <f t="shared" ca="1" si="2"/>
        <v>0</v>
      </c>
      <c r="BB12" s="165">
        <f t="shared" ca="1" si="2"/>
        <v>0</v>
      </c>
      <c r="BC12" s="165">
        <f t="shared" ca="1" si="2"/>
        <v>0</v>
      </c>
      <c r="BD12" s="165">
        <f t="shared" ca="1" si="2"/>
        <v>0</v>
      </c>
      <c r="BE12" s="165">
        <f t="shared" ca="1" si="2"/>
        <v>0</v>
      </c>
      <c r="BF12" s="165">
        <f t="shared" ca="1" si="2"/>
        <v>0</v>
      </c>
      <c r="BG12" s="166">
        <f t="shared" ca="1" si="2"/>
        <v>0</v>
      </c>
    </row>
    <row r="13" spans="1:59" ht="12.75" customHeight="1" x14ac:dyDescent="0.2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Z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B13" s="115">
        <f t="shared" ref="AB13:BG13" ca="1" si="4">OFFSET(AB13,0,-1)+1</f>
        <v>1</v>
      </c>
      <c r="AC13" s="170">
        <f t="shared" ca="1" si="4"/>
        <v>2</v>
      </c>
      <c r="AD13" s="170">
        <f t="shared" ca="1" si="4"/>
        <v>3</v>
      </c>
      <c r="AE13" s="170">
        <f t="shared" ca="1" si="4"/>
        <v>4</v>
      </c>
      <c r="AF13" s="170">
        <f t="shared" ca="1" si="4"/>
        <v>5</v>
      </c>
      <c r="AG13" s="170">
        <f t="shared" ca="1" si="4"/>
        <v>6</v>
      </c>
      <c r="AH13" s="170">
        <f t="shared" ca="1" si="4"/>
        <v>7</v>
      </c>
      <c r="AI13" s="170">
        <f t="shared" ca="1" si="4"/>
        <v>8</v>
      </c>
      <c r="AJ13" s="170">
        <f t="shared" ca="1" si="4"/>
        <v>9</v>
      </c>
      <c r="AK13" s="171">
        <f t="shared" ca="1" si="4"/>
        <v>10</v>
      </c>
      <c r="AM13" s="115">
        <f t="shared" ca="1" si="4"/>
        <v>1</v>
      </c>
      <c r="AN13" s="170">
        <f t="shared" ca="1" si="4"/>
        <v>2</v>
      </c>
      <c r="AO13" s="170">
        <f t="shared" ca="1" si="4"/>
        <v>3</v>
      </c>
      <c r="AP13" s="170">
        <f t="shared" ca="1" si="4"/>
        <v>4</v>
      </c>
      <c r="AQ13" s="170">
        <f t="shared" ca="1" si="4"/>
        <v>5</v>
      </c>
      <c r="AR13" s="170">
        <f t="shared" ca="1" si="4"/>
        <v>6</v>
      </c>
      <c r="AS13" s="170">
        <f t="shared" ca="1" si="4"/>
        <v>7</v>
      </c>
      <c r="AT13" s="170">
        <f t="shared" ca="1" si="4"/>
        <v>8</v>
      </c>
      <c r="AU13" s="170">
        <f t="shared" ca="1" si="4"/>
        <v>9</v>
      </c>
      <c r="AV13" s="171">
        <f t="shared" ca="1" si="4"/>
        <v>10</v>
      </c>
      <c r="AX13" s="115">
        <f t="shared" ca="1" si="4"/>
        <v>1</v>
      </c>
      <c r="AY13" s="170">
        <f t="shared" ca="1" si="4"/>
        <v>2</v>
      </c>
      <c r="AZ13" s="170">
        <f t="shared" ca="1" si="4"/>
        <v>3</v>
      </c>
      <c r="BA13" s="170">
        <f t="shared" ca="1" si="4"/>
        <v>4</v>
      </c>
      <c r="BB13" s="170">
        <f t="shared" ca="1" si="4"/>
        <v>5</v>
      </c>
      <c r="BC13" s="170">
        <f t="shared" ca="1" si="4"/>
        <v>6</v>
      </c>
      <c r="BD13" s="170">
        <f t="shared" ca="1" si="4"/>
        <v>7</v>
      </c>
      <c r="BE13" s="170">
        <f t="shared" ca="1" si="4"/>
        <v>8</v>
      </c>
      <c r="BF13" s="170">
        <f t="shared" ca="1" si="4"/>
        <v>9</v>
      </c>
      <c r="BG13" s="171">
        <f t="shared" ca="1" si="4"/>
        <v>10</v>
      </c>
    </row>
    <row r="14" spans="1:59" ht="12.75" hidden="1" x14ac:dyDescent="0.2">
      <c r="A14" s="7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(abra o arquivo 'Referência 03-2024.xlsm)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561"/>
      <c r="K14" s="174"/>
      <c r="L14" s="175" t="s">
        <v>255</v>
      </c>
      <c r="M14" s="17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177" t="e">
        <f ca="1">IF($D14&lt;&gt;"Serviço","",IF(AUTOEVENTO="Manual",IF($A14=0,"&lt;-- defina o número do agrupador",OFFSET(EVENTOS!$D$14,$A14,0)),OFFSET($F$15,$A14,0)))</f>
        <v>#VALUE!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B14" s="544">
        <f ca="1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545">
        <f ca="1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545">
        <f ca="1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545">
        <f ca="1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545">
        <f ca="1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545">
        <f ca="1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545">
        <f ca="1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545">
        <f ca="1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545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546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181" t="e">
        <f ca="1">IF($D14&lt;&gt;"Serviço",0,IF(AND(AUTOEVENTO="Manual",$M14=1),0,IF(OFFSET(CRONOPLE!$F$14,$M14,AM$13)="",10^12,OFFSET(CRONOPLE!$F$14,$M14,AM$13))))</f>
        <v>#VALUE!</v>
      </c>
      <c r="AN14" s="181" t="e">
        <f ca="1">IF($D14&lt;&gt;"Serviço",0,IF(AND(AUTOEVENTO="Manual",$M14=1),0,IF(OFFSET(CRONOPLE!$F$14,$M14,AN$13)="",10^12,OFFSET(CRONOPLE!$F$14,$M14,AN$13))))</f>
        <v>#VALUE!</v>
      </c>
      <c r="AO14" s="181" t="e">
        <f ca="1">IF($D14&lt;&gt;"Serviço",0,IF(AND(AUTOEVENTO="Manual",$M14=1),0,IF(OFFSET(CRONOPLE!$F$14,$M14,AO$13)="",10^12,OFFSET(CRONOPLE!$F$14,$M14,AO$13))))</f>
        <v>#VALUE!</v>
      </c>
      <c r="AP14" s="181" t="e">
        <f ca="1">IF($D14&lt;&gt;"Serviço",0,IF(AND(AUTOEVENTO="Manual",$M14=1),0,IF(OFFSET(CRONOPLE!$F$14,$M14,AP$13)="",10^12,OFFSET(CRONOPLE!$F$14,$M14,AP$13))))</f>
        <v>#VALUE!</v>
      </c>
      <c r="AQ14" s="181" t="e">
        <f ca="1">IF($D14&lt;&gt;"Serviço",0,IF(AND(AUTOEVENTO="Manual",$M14=1),0,IF(OFFSET(CRONOPLE!$F$14,$M14,AQ$13)="",10^12,OFFSET(CRONOPLE!$F$14,$M14,AQ$13))))</f>
        <v>#VALUE!</v>
      </c>
      <c r="AR14" s="181" t="e">
        <f ca="1">IF($D14&lt;&gt;"Serviço",0,IF(AND(AUTOEVENTO="Manual",$M14=1),0,IF(OFFSET(CRONOPLE!$F$14,$M14,AR$13)="",10^12,OFFSET(CRONOPLE!$F$14,$M14,AR$13))))</f>
        <v>#VALUE!</v>
      </c>
      <c r="AS14" s="181" t="e">
        <f ca="1">IF($D14&lt;&gt;"Serviço",0,IF(AND(AUTOEVENTO="Manual",$M14=1),0,IF(OFFSET(CRONOPLE!$F$14,$M14,AS$13)="",10^12,OFFSET(CRONOPLE!$F$14,$M14,AS$13))))</f>
        <v>#VALUE!</v>
      </c>
      <c r="AT14" s="181" t="e">
        <f ca="1">IF($D14&lt;&gt;"Serviço",0,IF(AND(AUTOEVENTO="Manual",$M14=1),0,IF(OFFSET(CRONOPLE!$F$14,$M14,AT$13)="",10^12,OFFSET(CRONOPLE!$F$14,$M14,AT$13))))</f>
        <v>#VALUE!</v>
      </c>
      <c r="AU14" s="181" t="e">
        <f ca="1">IF($D14&lt;&gt;"Serviço",0,IF(AND(AUTOEVENTO="Manual",$M14=1),0,IF(OFFSET(CRONOPLE!$F$14,$M14,AU$13)="",10^12,OFFSET(CRONOPLE!$F$14,$M14,AU$13))))</f>
        <v>#VALUE!</v>
      </c>
      <c r="AV14" s="181" t="e">
        <f ca="1">IF($D14&lt;&gt;"Serviço",0,IF(AND(AUTOEVENTO="Manual",$M14=1),0,IF(OFFSET(CRONOPLE!$F$14,$M14,AV$13)="",10^12,OFFSET(CRONOPLE!$F$14,$M14,AV$13))))</f>
        <v>#VALUE!</v>
      </c>
      <c r="AX14" s="182">
        <f ca="1">IF($D14&lt;&gt;"Serviço",0,IF(OR(AND(AUTOEVENTO="Manual",$M14=1),$M14&gt;(ROW(PLE.lastrow)-ROW(PLE.firstrow))),0,IF(OFFSET(PLE!$G$14,$M14,AX$13)="",10^12,OFFSET(PLE!$G$14,$M14,AX$13))))</f>
        <v>0</v>
      </c>
      <c r="AY14" s="182">
        <f ca="1">IF($D14&lt;&gt;"Serviço",0,IF(OR(AND(AUTOEVENTO="Manual",$M14=1),$M14&gt;(ROW(PLE.lastrow)-ROW(PLE.firstrow))),0,IF(OFFSET(PLE!$G$14,$M14,AY$13)="",10^12,OFFSET(PLE!$G$14,$M14,AY$13))))</f>
        <v>0</v>
      </c>
      <c r="AZ14" s="182">
        <f ca="1">IF($D14&lt;&gt;"Serviço",0,IF(OR(AND(AUTOEVENTO="Manual",$M14=1),$M14&gt;(ROW(PLE.lastrow)-ROW(PLE.firstrow))),0,IF(OFFSET(PLE!$G$14,$M14,AZ$13)="",10^12,OFFSET(PLE!$G$14,$M14,AZ$13))))</f>
        <v>0</v>
      </c>
      <c r="BA14" s="182">
        <f ca="1">IF($D14&lt;&gt;"Serviço",0,IF(OR(AND(AUTOEVENTO="Manual",$M14=1),$M14&gt;(ROW(PLE.lastrow)-ROW(PLE.firstrow))),0,IF(OFFSET(PLE!$G$14,$M14,BA$13)="",10^12,OFFSET(PLE!$G$14,$M14,BA$13))))</f>
        <v>0</v>
      </c>
      <c r="BB14" s="182">
        <f ca="1">IF($D14&lt;&gt;"Serviço",0,IF(OR(AND(AUTOEVENTO="Manual",$M14=1),$M14&gt;(ROW(PLE.lastrow)-ROW(PLE.firstrow))),0,IF(OFFSET(PLE!$G$14,$M14,BB$13)="",10^12,OFFSET(PLE!$G$14,$M14,BB$13))))</f>
        <v>0</v>
      </c>
      <c r="BC14" s="182">
        <f ca="1">IF($D14&lt;&gt;"Serviço",0,IF(OR(AND(AUTOEVENTO="Manual",$M14=1),$M14&gt;(ROW(PLE.lastrow)-ROW(PLE.firstrow))),0,IF(OFFSET(PLE!$G$14,$M14,BC$13)="",10^12,OFFSET(PLE!$G$14,$M14,BC$13))))</f>
        <v>0</v>
      </c>
      <c r="BD14" s="182">
        <f ca="1">IF($D14&lt;&gt;"Serviço",0,IF(OR(AND(AUTOEVENTO="Manual",$M14=1),$M14&gt;(ROW(PLE.lastrow)-ROW(PLE.firstrow))),0,IF(OFFSET(PLE!$G$14,$M14,BD$13)="",10^12,OFFSET(PLE!$G$14,$M14,BD$13))))</f>
        <v>0</v>
      </c>
      <c r="BE14" s="182">
        <f ca="1">IF($D14&lt;&gt;"Serviço",0,IF(OR(AND(AUTOEVENTO="Manual",$M14=1),$M14&gt;(ROW(PLE.lastrow)-ROW(PLE.firstrow))),0,IF(OFFSET(PLE!$G$14,$M14,BE$13)="",10^12,OFFSET(PLE!$G$14,$M14,BE$13))))</f>
        <v>0</v>
      </c>
      <c r="BF14" s="182">
        <f ca="1">IF($D14&lt;&gt;"Serviço",0,IF(OR(AND(AUTOEVENTO="Manual",$M14=1),$M14&gt;(ROW(PLE.lastrow)-ROW(PLE.firstrow))),0,IF(OFFSET(PLE!$G$14,$M14,BF$13)="",10^12,OFFSET(PLE!$G$14,$M14,BF$13))))</f>
        <v>0</v>
      </c>
      <c r="BG14" s="182">
        <f ca="1">IF($D14&lt;&gt;"Serviço",0,IF(OR(AND(AUTOEVENTO="Manual",$M14=1),$M14&gt;(ROW(PLE.lastrow)-ROW(PLE.firstrow))),0,IF(OFFSET(PLE!$G$14,$M14,BG$13)="",10^12,OFFSET(PLE!$G$14,$M14,BG$13))))</f>
        <v>0</v>
      </c>
    </row>
    <row r="15" spans="1:59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LOTE</v>
      </c>
      <c r="E15" s="626" t="str">
        <f>Import.DescLote</f>
        <v>PRAÇA PÚBLICA - BAIRRO N. S. APARECIDA</v>
      </c>
      <c r="F15" s="626"/>
      <c r="G15" s="626"/>
      <c r="H15" s="626"/>
      <c r="I15" s="562"/>
      <c r="K15" s="183"/>
      <c r="L15" s="175" t="s">
        <v>255</v>
      </c>
      <c r="M15" s="184">
        <f ca="1">IF(AUTOEVENTO="MANUAL",0,1)</f>
        <v>1</v>
      </c>
      <c r="N15" s="185" t="s">
        <v>263</v>
      </c>
      <c r="O15" s="186" t="e">
        <f ca="1">OFFSET($AA$15,0,O$13)</f>
        <v>#VALUE!</v>
      </c>
      <c r="Q15" s="187">
        <f t="shared" ref="Q15:Z15" ca="1" si="5">OFFSET($AA$15,0,Q$13)</f>
        <v>0</v>
      </c>
      <c r="R15" s="186">
        <f t="shared" ca="1" si="5"/>
        <v>0</v>
      </c>
      <c r="S15" s="186">
        <f t="shared" ca="1" si="5"/>
        <v>0</v>
      </c>
      <c r="T15" s="186">
        <f t="shared" ca="1" si="5"/>
        <v>0</v>
      </c>
      <c r="U15" s="186">
        <f t="shared" ca="1" si="5"/>
        <v>0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B15" s="189">
        <f ca="1">ROUND(SUM(OFFSET(AB$15,1,0):AB$290),2)</f>
        <v>0</v>
      </c>
      <c r="AC15" s="189">
        <f ca="1">SUM(OFFSET(AC$15,1,0):AC$290)</f>
        <v>0</v>
      </c>
      <c r="AD15" s="189">
        <f ca="1">SUM(OFFSET(AD$15,1,0):AD$290)</f>
        <v>0</v>
      </c>
      <c r="AE15" s="189">
        <f ca="1">SUM(OFFSET(AE$15,1,0):AE$290)</f>
        <v>0</v>
      </c>
      <c r="AF15" s="189">
        <f ca="1">SUM(OFFSET(AF$15,1,0):AF$290)</f>
        <v>0</v>
      </c>
      <c r="AG15" s="189">
        <f ca="1">SUM(OFFSET(AG$15,1,0):AG$290)</f>
        <v>0</v>
      </c>
      <c r="AH15" s="189">
        <f ca="1">SUM(OFFSET(AH$15,1,0):AH$290)</f>
        <v>0</v>
      </c>
      <c r="AI15" s="189">
        <f ca="1">SUM(OFFSET(AI$15,1,0):AI$290)</f>
        <v>0</v>
      </c>
      <c r="AJ15" s="189">
        <f ca="1">SUM(OFFSET(AJ$15,1,0):AJ$290)</f>
        <v>0</v>
      </c>
      <c r="AK15" s="189">
        <f ca="1">SUM(OFFSET(AK$15,1,0):AK$290)</f>
        <v>0</v>
      </c>
      <c r="AM15" s="190">
        <f>10^12</f>
        <v>1000000000000</v>
      </c>
      <c r="AN15" s="190">
        <f t="shared" ref="AN15:AV15" si="6">10^12</f>
        <v>1000000000000</v>
      </c>
      <c r="AO15" s="190">
        <f t="shared" si="6"/>
        <v>1000000000000</v>
      </c>
      <c r="AP15" s="190">
        <f t="shared" si="6"/>
        <v>1000000000000</v>
      </c>
      <c r="AQ15" s="190">
        <f t="shared" si="6"/>
        <v>1000000000000</v>
      </c>
      <c r="AR15" s="190">
        <f t="shared" si="6"/>
        <v>1000000000000</v>
      </c>
      <c r="AS15" s="190">
        <f t="shared" si="6"/>
        <v>1000000000000</v>
      </c>
      <c r="AT15" s="190">
        <f t="shared" si="6"/>
        <v>1000000000000</v>
      </c>
      <c r="AU15" s="190">
        <f t="shared" si="6"/>
        <v>1000000000000</v>
      </c>
      <c r="AV15" s="190">
        <f t="shared" si="6"/>
        <v>1000000000000</v>
      </c>
      <c r="AX15" s="190">
        <f t="shared" ref="AX15:BG15" si="7">10^12</f>
        <v>1000000000000</v>
      </c>
      <c r="AY15" s="190">
        <f t="shared" si="7"/>
        <v>1000000000000</v>
      </c>
      <c r="AZ15" s="190">
        <f t="shared" si="7"/>
        <v>1000000000000</v>
      </c>
      <c r="BA15" s="190">
        <f t="shared" si="7"/>
        <v>1000000000000</v>
      </c>
      <c r="BB15" s="190">
        <f t="shared" si="7"/>
        <v>1000000000000</v>
      </c>
      <c r="BC15" s="190">
        <f t="shared" si="7"/>
        <v>1000000000000</v>
      </c>
      <c r="BD15" s="190">
        <f t="shared" si="7"/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</row>
    <row r="16" spans="1:59" ht="12.75" x14ac:dyDescent="0.2">
      <c r="A16" s="7" t="str">
        <f t="shared" ref="A16:A86" ca="1" si="8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1.</v>
      </c>
      <c r="F16" s="172" t="str">
        <f ca="1">OFFSET(ORÇAMENTO!R$15,ROW(F16)-ROW(F$15),0)</f>
        <v>PRAÇA PÚBLICA - BAIRRO N. S. APARECIDA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B16" s="544">
        <f ca="1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545">
        <f ca="1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545">
        <f ca="1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545">
        <f ca="1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545">
        <f ca="1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545">
        <f ca="1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545">
        <f ca="1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545">
        <f ca="1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545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546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181">
        <f ca="1">IF($D16&lt;&gt;"Serviço",0,IF(AND(AUTOEVENTO="Manual",$M16=1),0,IF(OFFSET(CRONOPLE!$F$14,$M16,AM$13)="",10^12,OFFSET(CRONOPLE!$F$14,$M16,AM$13))))</f>
        <v>0</v>
      </c>
      <c r="AN16" s="181">
        <f ca="1">IF($D16&lt;&gt;"Serviço",0,IF(AND(AUTOEVENTO="Manual",$M16=1),0,IF(OFFSET(CRONOPLE!$F$14,$M16,AN$13)="",10^12,OFFSET(CRONOPLE!$F$14,$M16,AN$13))))</f>
        <v>0</v>
      </c>
      <c r="AO16" s="181">
        <f ca="1">IF($D16&lt;&gt;"Serviço",0,IF(AND(AUTOEVENTO="Manual",$M16=1),0,IF(OFFSET(CRONOPLE!$F$14,$M16,AO$13)="",10^12,OFFSET(CRONOPLE!$F$14,$M16,AO$13))))</f>
        <v>0</v>
      </c>
      <c r="AP16" s="181">
        <f ca="1">IF($D16&lt;&gt;"Serviço",0,IF(AND(AUTOEVENTO="Manual",$M16=1),0,IF(OFFSET(CRONOPLE!$F$14,$M16,AP$13)="",10^12,OFFSET(CRONOPLE!$F$14,$M16,AP$13))))</f>
        <v>0</v>
      </c>
      <c r="AQ16" s="181">
        <f ca="1">IF($D16&lt;&gt;"Serviço",0,IF(AND(AUTOEVENTO="Manual",$M16=1),0,IF(OFFSET(CRONOPLE!$F$14,$M16,AQ$13)="",10^12,OFFSET(CRONOPLE!$F$14,$M16,AQ$13))))</f>
        <v>0</v>
      </c>
      <c r="AR16" s="181">
        <f ca="1">IF($D16&lt;&gt;"Serviço",0,IF(AND(AUTOEVENTO="Manual",$M16=1),0,IF(OFFSET(CRONOPLE!$F$14,$M16,AR$13)="",10^12,OFFSET(CRONOPLE!$F$14,$M16,AR$13))))</f>
        <v>0</v>
      </c>
      <c r="AS16" s="181">
        <f ca="1">IF($D16&lt;&gt;"Serviço",0,IF(AND(AUTOEVENTO="Manual",$M16=1),0,IF(OFFSET(CRONOPLE!$F$14,$M16,AS$13)="",10^12,OFFSET(CRONOPLE!$F$14,$M16,AS$13))))</f>
        <v>0</v>
      </c>
      <c r="AT16" s="181">
        <f ca="1">IF($D16&lt;&gt;"Serviço",0,IF(AND(AUTOEVENTO="Manual",$M16=1),0,IF(OFFSET(CRONOPLE!$F$14,$M16,AT$13)="",10^12,OFFSET(CRONOPLE!$F$14,$M16,AT$13))))</f>
        <v>0</v>
      </c>
      <c r="AU16" s="181">
        <f ca="1">IF($D16&lt;&gt;"Serviço",0,IF(AND(AUTOEVENTO="Manual",$M16=1),0,IF(OFFSET(CRONOPLE!$F$14,$M16,AU$13)="",10^12,OFFSET(CRONOPLE!$F$14,$M16,AU$13))))</f>
        <v>0</v>
      </c>
      <c r="AV16" s="181">
        <f ca="1">IF($D16&lt;&gt;"Serviço",0,IF(AND(AUTOEVENTO="Manual",$M16=1),0,IF(OFFSET(CRONOPLE!$F$14,$M16,AV$13)="",10^12,OFFSET(CRONOPLE!$F$14,$M16,AV$13))))</f>
        <v>0</v>
      </c>
      <c r="AX16" s="182">
        <f ca="1">IF($D16&lt;&gt;"Serviço",0,IF(OR(AND(AUTOEVENTO="Manual",$M16=1),$M16&gt;(ROW(PLE.lastrow)-ROW(PLE.firstrow))),0,IF(OFFSET(PLE!$G$14,$M16,AX$13)="",10^12,OFFSET(PLE!$G$14,$M16,AX$13))))</f>
        <v>0</v>
      </c>
      <c r="AY16" s="182">
        <f ca="1">IF($D16&lt;&gt;"Serviço",0,IF(OR(AND(AUTOEVENTO="Manual",$M16=1),$M16&gt;(ROW(PLE.lastrow)-ROW(PLE.firstrow))),0,IF(OFFSET(PLE!$G$14,$M16,AY$13)="",10^12,OFFSET(PLE!$G$14,$M16,AY$13))))</f>
        <v>0</v>
      </c>
      <c r="AZ16" s="182">
        <f ca="1">IF($D16&lt;&gt;"Serviço",0,IF(OR(AND(AUTOEVENTO="Manual",$M16=1),$M16&gt;(ROW(PLE.lastrow)-ROW(PLE.firstrow))),0,IF(OFFSET(PLE!$G$14,$M16,AZ$13)="",10^12,OFFSET(PLE!$G$14,$M16,AZ$13))))</f>
        <v>0</v>
      </c>
      <c r="BA16" s="182">
        <f ca="1">IF($D16&lt;&gt;"Serviço",0,IF(OR(AND(AUTOEVENTO="Manual",$M16=1),$M16&gt;(ROW(PLE.lastrow)-ROW(PLE.firstrow))),0,IF(OFFSET(PLE!$G$14,$M16,BA$13)="",10^12,OFFSET(PLE!$G$14,$M16,BA$13))))</f>
        <v>0</v>
      </c>
      <c r="BB16" s="182">
        <f ca="1">IF($D16&lt;&gt;"Serviço",0,IF(OR(AND(AUTOEVENTO="Manual",$M16=1),$M16&gt;(ROW(PLE.lastrow)-ROW(PLE.firstrow))),0,IF(OFFSET(PLE!$G$14,$M16,BB$13)="",10^12,OFFSET(PLE!$G$14,$M16,BB$13))))</f>
        <v>0</v>
      </c>
      <c r="BC16" s="182">
        <f ca="1">IF($D16&lt;&gt;"Serviço",0,IF(OR(AND(AUTOEVENTO="Manual",$M16=1),$M16&gt;(ROW(PLE.lastrow)-ROW(PLE.firstrow))),0,IF(OFFSET(PLE!$G$14,$M16,BC$13)="",10^12,OFFSET(PLE!$G$14,$M16,BC$13))))</f>
        <v>0</v>
      </c>
      <c r="BD16" s="182">
        <f ca="1">IF($D16&lt;&gt;"Serviço",0,IF(OR(AND(AUTOEVENTO="Manual",$M16=1),$M16&gt;(ROW(PLE.lastrow)-ROW(PLE.firstrow))),0,IF(OFFSET(PLE!$G$14,$M16,BD$13)="",10^12,OFFSET(PLE!$G$14,$M16,BD$13))))</f>
        <v>0</v>
      </c>
      <c r="BE16" s="182">
        <f ca="1">IF($D16&lt;&gt;"Serviço",0,IF(OR(AND(AUTOEVENTO="Manual",$M16=1),$M16&gt;(ROW(PLE.lastrow)-ROW(PLE.firstrow))),0,IF(OFFSET(PLE!$G$14,$M16,BE$13)="",10^12,OFFSET(PLE!$G$14,$M16,BE$13))))</f>
        <v>0</v>
      </c>
      <c r="BF16" s="182">
        <f ca="1">IF($D16&lt;&gt;"Serviço",0,IF(OR(AND(AUTOEVENTO="Manual",$M16=1),$M16&gt;(ROW(PLE.lastrow)-ROW(PLE.firstrow))),0,IF(OFFSET(PLE!$G$14,$M16,BF$13)="",10^12,OFFSET(PLE!$G$14,$M16,BF$13))))</f>
        <v>0</v>
      </c>
      <c r="BG16" s="18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2.75" x14ac:dyDescent="0.2">
      <c r="A17" s="7" t="str">
        <f t="shared" ca="1" si="8"/>
        <v>2.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1.1.</v>
      </c>
      <c r="F17" s="172" t="str">
        <f ca="1">OFFSET(ORÇAMENTO!R$15,ROW(F17)-ROW(F$15),0)</f>
        <v>SERVIÇOS INICIAIS E DRENO DE ÁGUAS PLUVIAIS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B17" s="544">
        <f ca="1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545">
        <f ca="1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545">
        <f ca="1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545">
        <f ca="1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545">
        <f ca="1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545">
        <f ca="1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545">
        <f ca="1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545">
        <f ca="1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545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546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181">
        <f ca="1">IF($D17&lt;&gt;"Serviço",0,IF(AND(AUTOEVENTO="Manual",$M17=1),0,IF(OFFSET(CRONOPLE!$F$14,$M17,AM$13)="",10^12,OFFSET(CRONOPLE!$F$14,$M17,AM$13))))</f>
        <v>0</v>
      </c>
      <c r="AN17" s="181">
        <f ca="1">IF($D17&lt;&gt;"Serviço",0,IF(AND(AUTOEVENTO="Manual",$M17=1),0,IF(OFFSET(CRONOPLE!$F$14,$M17,AN$13)="",10^12,OFFSET(CRONOPLE!$F$14,$M17,AN$13))))</f>
        <v>0</v>
      </c>
      <c r="AO17" s="181">
        <f ca="1">IF($D17&lt;&gt;"Serviço",0,IF(AND(AUTOEVENTO="Manual",$M17=1),0,IF(OFFSET(CRONOPLE!$F$14,$M17,AO$13)="",10^12,OFFSET(CRONOPLE!$F$14,$M17,AO$13))))</f>
        <v>0</v>
      </c>
      <c r="AP17" s="181">
        <f ca="1">IF($D17&lt;&gt;"Serviço",0,IF(AND(AUTOEVENTO="Manual",$M17=1),0,IF(OFFSET(CRONOPLE!$F$14,$M17,AP$13)="",10^12,OFFSET(CRONOPLE!$F$14,$M17,AP$13))))</f>
        <v>0</v>
      </c>
      <c r="AQ17" s="181">
        <f ca="1">IF($D17&lt;&gt;"Serviço",0,IF(AND(AUTOEVENTO="Manual",$M17=1),0,IF(OFFSET(CRONOPLE!$F$14,$M17,AQ$13)="",10^12,OFFSET(CRONOPLE!$F$14,$M17,AQ$13))))</f>
        <v>0</v>
      </c>
      <c r="AR17" s="181">
        <f ca="1">IF($D17&lt;&gt;"Serviço",0,IF(AND(AUTOEVENTO="Manual",$M17=1),0,IF(OFFSET(CRONOPLE!$F$14,$M17,AR$13)="",10^12,OFFSET(CRONOPLE!$F$14,$M17,AR$13))))</f>
        <v>0</v>
      </c>
      <c r="AS17" s="181">
        <f ca="1">IF($D17&lt;&gt;"Serviço",0,IF(AND(AUTOEVENTO="Manual",$M17=1),0,IF(OFFSET(CRONOPLE!$F$14,$M17,AS$13)="",10^12,OFFSET(CRONOPLE!$F$14,$M17,AS$13))))</f>
        <v>0</v>
      </c>
      <c r="AT17" s="181">
        <f ca="1">IF($D17&lt;&gt;"Serviço",0,IF(AND(AUTOEVENTO="Manual",$M17=1),0,IF(OFFSET(CRONOPLE!$F$14,$M17,AT$13)="",10^12,OFFSET(CRONOPLE!$F$14,$M17,AT$13))))</f>
        <v>0</v>
      </c>
      <c r="AU17" s="181">
        <f ca="1">IF($D17&lt;&gt;"Serviço",0,IF(AND(AUTOEVENTO="Manual",$M17=1),0,IF(OFFSET(CRONOPLE!$F$14,$M17,AU$13)="",10^12,OFFSET(CRONOPLE!$F$14,$M17,AU$13))))</f>
        <v>0</v>
      </c>
      <c r="AV17" s="181">
        <f ca="1">IF($D17&lt;&gt;"Serviço",0,IF(AND(AUTOEVENTO="Manual",$M17=1),0,IF(OFFSET(CRONOPLE!$F$14,$M17,AV$13)="",10^12,OFFSET(CRONOPLE!$F$14,$M17,AV$13))))</f>
        <v>0</v>
      </c>
      <c r="AX17" s="182">
        <f ca="1">IF($D17&lt;&gt;"Serviço",0,IF(OR(AND(AUTOEVENTO="Manual",$M17=1),$M17&gt;(ROW(PLE.lastrow)-ROW(PLE.firstrow))),0,IF(OFFSET(PLE!$G$14,$M17,AX$13)="",10^12,OFFSET(PLE!$G$14,$M17,AX$13))))</f>
        <v>0</v>
      </c>
      <c r="AY17" s="182">
        <f ca="1">IF($D17&lt;&gt;"Serviço",0,IF(OR(AND(AUTOEVENTO="Manual",$M17=1),$M17&gt;(ROW(PLE.lastrow)-ROW(PLE.firstrow))),0,IF(OFFSET(PLE!$G$14,$M17,AY$13)="",10^12,OFFSET(PLE!$G$14,$M17,AY$13))))</f>
        <v>0</v>
      </c>
      <c r="AZ17" s="182">
        <f ca="1">IF($D17&lt;&gt;"Serviço",0,IF(OR(AND(AUTOEVENTO="Manual",$M17=1),$M17&gt;(ROW(PLE.lastrow)-ROW(PLE.firstrow))),0,IF(OFFSET(PLE!$G$14,$M17,AZ$13)="",10^12,OFFSET(PLE!$G$14,$M17,AZ$13))))</f>
        <v>0</v>
      </c>
      <c r="BA17" s="182">
        <f ca="1">IF($D17&lt;&gt;"Serviço",0,IF(OR(AND(AUTOEVENTO="Manual",$M17=1),$M17&gt;(ROW(PLE.lastrow)-ROW(PLE.firstrow))),0,IF(OFFSET(PLE!$G$14,$M17,BA$13)="",10^12,OFFSET(PLE!$G$14,$M17,BA$13))))</f>
        <v>0</v>
      </c>
      <c r="BB17" s="182">
        <f ca="1">IF($D17&lt;&gt;"Serviço",0,IF(OR(AND(AUTOEVENTO="Manual",$M17=1),$M17&gt;(ROW(PLE.lastrow)-ROW(PLE.firstrow))),0,IF(OFFSET(PLE!$G$14,$M17,BB$13)="",10^12,OFFSET(PLE!$G$14,$M17,BB$13))))</f>
        <v>0</v>
      </c>
      <c r="BC17" s="182">
        <f ca="1">IF($D17&lt;&gt;"Serviço",0,IF(OR(AND(AUTOEVENTO="Manual",$M17=1),$M17&gt;(ROW(PLE.lastrow)-ROW(PLE.firstrow))),0,IF(OFFSET(PLE!$G$14,$M17,BC$13)="",10^12,OFFSET(PLE!$G$14,$M17,BC$13))))</f>
        <v>0</v>
      </c>
      <c r="BD17" s="182">
        <f ca="1">IF($D17&lt;&gt;"Serviço",0,IF(OR(AND(AUTOEVENTO="Manual",$M17=1),$M17&gt;(ROW(PLE.lastrow)-ROW(PLE.firstrow))),0,IF(OFFSET(PLE!$G$14,$M17,BD$13)="",10^12,OFFSET(PLE!$G$14,$M17,BD$13))))</f>
        <v>0</v>
      </c>
      <c r="BE17" s="182">
        <f ca="1">IF($D17&lt;&gt;"Serviço",0,IF(OR(AND(AUTOEVENTO="Manual",$M17=1),$M17&gt;(ROW(PLE.lastrow)-ROW(PLE.firstrow))),0,IF(OFFSET(PLE!$G$14,$M17,BE$13)="",10^12,OFFSET(PLE!$G$14,$M17,BE$13))))</f>
        <v>0</v>
      </c>
      <c r="BF17" s="182">
        <f ca="1">IF($D17&lt;&gt;"Serviço",0,IF(OR(AND(AUTOEVENTO="Manual",$M17=1),$M17&gt;(ROW(PLE.lastrow)-ROW(PLE.firstrow))),0,IF(OFFSET(PLE!$G$14,$M17,BF$13)="",10^12,OFFSET(PLE!$G$14,$M17,BF$13))))</f>
        <v>0</v>
      </c>
      <c r="BG17" s="18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63.75" x14ac:dyDescent="0.2">
      <c r="A18" s="7" t="str">
        <f t="shared" ca="1" si="8"/>
        <v>2</v>
      </c>
      <c r="B18" s="7" t="str">
        <f ca="1">OFFSET(ORÇAMENTO!C$15,ROW(B18)-ROW(B$15),0)</f>
        <v>S</v>
      </c>
      <c r="C18" s="7" t="str">
        <f ca="1">OFFSET(ORÇAMENTO!L$15,ROW(C18)-ROW(C$15),0)</f>
        <v>F</v>
      </c>
      <c r="D18" s="118" t="str">
        <f ca="1">OFFSET(ORÇAMENTO!N$15,ROW(D18)-ROW(D$15),0)</f>
        <v>Serviço</v>
      </c>
      <c r="E18" s="119" t="str">
        <f ca="1">OFFSET(ORÇAMENTO!O$15,ROW(E18)-ROW(E$15),0)</f>
        <v>1.1.0.1.</v>
      </c>
      <c r="F18" s="172" t="str">
        <f ca="1">OFFSET(ORÇAMENTO!R$15,ROW(F18)-ROW(F$15),0)</f>
        <v>(abra o arquivo 'Referência 03-2024.xlsm)</v>
      </c>
      <c r="G18" s="173" t="str">
        <f ca="1">IF($D18&lt;&gt;"Serviço","",OFFSET(ORÇAMENTO!S$15,ROW(G18)-ROW(G$15),0))</f>
        <v>-</v>
      </c>
      <c r="H18" s="124">
        <f ca="1">IF($D18&lt;&gt;"Serviço",0,IF(ACOMPANHAMENTO="BM",ROUND(OFFSET(ORÇAMENTO!AJ$15,ROW(H18)-ROW(H$15),0),15-13*ORÇAMENTO!$AF$7),SUMPRODUCT(($Q$12:$AA$12&lt;&gt;"")*ROUND($Q18:$AA18,15-13*ORÇAMENTO!$AF$7))))</f>
        <v>54.56</v>
      </c>
      <c r="I18" s="561"/>
      <c r="K18" s="174"/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>SERVIÇOS INICIAIS E DRENO DE ÁGUAS PLUVIAIS</v>
      </c>
      <c r="O18" s="178"/>
      <c r="Q18" s="178"/>
      <c r="R18" s="179"/>
      <c r="S18" s="179"/>
      <c r="T18" s="179"/>
      <c r="U18" s="179"/>
      <c r="V18" s="179"/>
      <c r="W18" s="179"/>
      <c r="X18" s="179"/>
      <c r="Y18" s="179"/>
      <c r="Z18" s="180"/>
      <c r="AB18" s="544">
        <f ca="1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0</v>
      </c>
      <c r="AC18" s="545">
        <f ca="1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0</v>
      </c>
      <c r="AD18" s="545">
        <f ca="1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0</v>
      </c>
      <c r="AE18" s="545">
        <f ca="1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0</v>
      </c>
      <c r="AF18" s="545">
        <f ca="1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545">
        <f ca="1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545">
        <f ca="1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545">
        <f ca="1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545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546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181">
        <f ca="1">IF($D18&lt;&gt;"Serviço",0,IF(AND(AUTOEVENTO="Manual",$M18=1),0,IF(OFFSET(CRONOPLE!$F$14,$M18,AM$13)="",10^12,OFFSET(CRONOPLE!$F$14,$M18,AM$13))))</f>
        <v>1000000000000</v>
      </c>
      <c r="AN18" s="181">
        <f ca="1">IF($D18&lt;&gt;"Serviço",0,IF(AND(AUTOEVENTO="Manual",$M18=1),0,IF(OFFSET(CRONOPLE!$F$14,$M18,AN$13)="",10^12,OFFSET(CRONOPLE!$F$14,$M18,AN$13))))</f>
        <v>1000000000000</v>
      </c>
      <c r="AO18" s="181">
        <f ca="1">IF($D18&lt;&gt;"Serviço",0,IF(AND(AUTOEVENTO="Manual",$M18=1),0,IF(OFFSET(CRONOPLE!$F$14,$M18,AO$13)="",10^12,OFFSET(CRONOPLE!$F$14,$M18,AO$13))))</f>
        <v>1000000000000</v>
      </c>
      <c r="AP18" s="181">
        <f ca="1">IF($D18&lt;&gt;"Serviço",0,IF(AND(AUTOEVENTO="Manual",$M18=1),0,IF(OFFSET(CRONOPLE!$F$14,$M18,AP$13)="",10^12,OFFSET(CRONOPLE!$F$14,$M18,AP$13))))</f>
        <v>1000000000000</v>
      </c>
      <c r="AQ18" s="181">
        <f ca="1">IF($D18&lt;&gt;"Serviço",0,IF(AND(AUTOEVENTO="Manual",$M18=1),0,IF(OFFSET(CRONOPLE!$F$14,$M18,AQ$13)="",10^12,OFFSET(CRONOPLE!$F$14,$M18,AQ$13))))</f>
        <v>1000000000000</v>
      </c>
      <c r="AR18" s="181">
        <f ca="1">IF($D18&lt;&gt;"Serviço",0,IF(AND(AUTOEVENTO="Manual",$M18=1),0,IF(OFFSET(CRONOPLE!$F$14,$M18,AR$13)="",10^12,OFFSET(CRONOPLE!$F$14,$M18,AR$13))))</f>
        <v>1000000000000</v>
      </c>
      <c r="AS18" s="181">
        <f ca="1">IF($D18&lt;&gt;"Serviço",0,IF(AND(AUTOEVENTO="Manual",$M18=1),0,IF(OFFSET(CRONOPLE!$F$14,$M18,AS$13)="",10^12,OFFSET(CRONOPLE!$F$14,$M18,AS$13))))</f>
        <v>1000000000000</v>
      </c>
      <c r="AT18" s="181">
        <f ca="1">IF($D18&lt;&gt;"Serviço",0,IF(AND(AUTOEVENTO="Manual",$M18=1),0,IF(OFFSET(CRONOPLE!$F$14,$M18,AT$13)="",10^12,OFFSET(CRONOPLE!$F$14,$M18,AT$13))))</f>
        <v>1000000000000</v>
      </c>
      <c r="AU18" s="181">
        <f ca="1">IF($D18&lt;&gt;"Serviço",0,IF(AND(AUTOEVENTO="Manual",$M18=1),0,IF(OFFSET(CRONOPLE!$F$14,$M18,AU$13)="",10^12,OFFSET(CRONOPLE!$F$14,$M18,AU$13))))</f>
        <v>1000000000000</v>
      </c>
      <c r="AV18" s="181">
        <f ca="1">IF($D18&lt;&gt;"Serviço",0,IF(AND(AUTOEVENTO="Manual",$M18=1),0,IF(OFFSET(CRONOPLE!$F$14,$M18,AV$13)="",10^12,OFFSET(CRONOPLE!$F$14,$M18,AV$13))))</f>
        <v>1000000000000</v>
      </c>
      <c r="AX18" s="182">
        <f ca="1">IF($D18&lt;&gt;"Serviço",0,IF(OR(AND(AUTOEVENTO="Manual",$M18=1),$M18&gt;(ROW(PLE.lastrow)-ROW(PLE.firstrow))),0,IF(OFFSET(PLE!$G$14,$M18,AX$13)="",10^12,OFFSET(PLE!$G$14,$M18,AX$13))))</f>
        <v>1000000000000</v>
      </c>
      <c r="AY18" s="182">
        <f ca="1">IF($D18&lt;&gt;"Serviço",0,IF(OR(AND(AUTOEVENTO="Manual",$M18=1),$M18&gt;(ROW(PLE.lastrow)-ROW(PLE.firstrow))),0,IF(OFFSET(PLE!$G$14,$M18,AY$13)="",10^12,OFFSET(PLE!$G$14,$M18,AY$13))))</f>
        <v>1000000000000</v>
      </c>
      <c r="AZ18" s="182">
        <f ca="1">IF($D18&lt;&gt;"Serviço",0,IF(OR(AND(AUTOEVENTO="Manual",$M18=1),$M18&gt;(ROW(PLE.lastrow)-ROW(PLE.firstrow))),0,IF(OFFSET(PLE!$G$14,$M18,AZ$13)="",10^12,OFFSET(PLE!$G$14,$M18,AZ$13))))</f>
        <v>1000000000000</v>
      </c>
      <c r="BA18" s="182">
        <f ca="1">IF($D18&lt;&gt;"Serviço",0,IF(OR(AND(AUTOEVENTO="Manual",$M18=1),$M18&gt;(ROW(PLE.lastrow)-ROW(PLE.firstrow))),0,IF(OFFSET(PLE!$G$14,$M18,BA$13)="",10^12,OFFSET(PLE!$G$14,$M18,BA$13))))</f>
        <v>1000000000000</v>
      </c>
      <c r="BB18" s="182">
        <f ca="1">IF($D18&lt;&gt;"Serviço",0,IF(OR(AND(AUTOEVENTO="Manual",$M18=1),$M18&gt;(ROW(PLE.lastrow)-ROW(PLE.firstrow))),0,IF(OFFSET(PLE!$G$14,$M18,BB$13)="",10^12,OFFSET(PLE!$G$14,$M18,BB$13))))</f>
        <v>1000000000000</v>
      </c>
      <c r="BC18" s="182">
        <f ca="1">IF($D18&lt;&gt;"Serviço",0,IF(OR(AND(AUTOEVENTO="Manual",$M18=1),$M18&gt;(ROW(PLE.lastrow)-ROW(PLE.firstrow))),0,IF(OFFSET(PLE!$G$14,$M18,BC$13)="",10^12,OFFSET(PLE!$G$14,$M18,BC$13))))</f>
        <v>1000000000000</v>
      </c>
      <c r="BD18" s="182">
        <f ca="1">IF($D18&lt;&gt;"Serviço",0,IF(OR(AND(AUTOEVENTO="Manual",$M18=1),$M18&gt;(ROW(PLE.lastrow)-ROW(PLE.firstrow))),0,IF(OFFSET(PLE!$G$14,$M18,BD$13)="",10^12,OFFSET(PLE!$G$14,$M18,BD$13))))</f>
        <v>1000000000000</v>
      </c>
      <c r="BE18" s="182">
        <f ca="1">IF($D18&lt;&gt;"Serviço",0,IF(OR(AND(AUTOEVENTO="Manual",$M18=1),$M18&gt;(ROW(PLE.lastrow)-ROW(PLE.firstrow))),0,IF(OFFSET(PLE!$G$14,$M18,BE$13)="",10^12,OFFSET(PLE!$G$14,$M18,BE$13))))</f>
        <v>1000000000000</v>
      </c>
      <c r="BF18" s="182">
        <f ca="1">IF($D18&lt;&gt;"Serviço",0,IF(OR(AND(AUTOEVENTO="Manual",$M18=1),$M18&gt;(ROW(PLE.lastrow)-ROW(PLE.firstrow))),0,IF(OFFSET(PLE!$G$14,$M18,BF$13)="",10^12,OFFSET(PLE!$G$14,$M18,BF$13))))</f>
        <v>1000000000000</v>
      </c>
      <c r="BG18" s="18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51" x14ac:dyDescent="0.2">
      <c r="A19" s="7" t="str">
        <f t="shared" ca="1" si="8"/>
        <v>2</v>
      </c>
      <c r="B19" s="7" t="str">
        <f ca="1">OFFSET(ORÇAMENTO!C$15,ROW(B19)-ROW(B$15),0)</f>
        <v>S</v>
      </c>
      <c r="C19" s="7" t="str">
        <f ca="1">OFFSET(ORÇAMENTO!L$15,ROW(C19)-ROW(C$15),0)</f>
        <v>F</v>
      </c>
      <c r="D19" s="118" t="str">
        <f ca="1">OFFSET(ORÇAMENTO!N$15,ROW(D19)-ROW(D$15),0)</f>
        <v>Serviço</v>
      </c>
      <c r="E19" s="119" t="str">
        <f ca="1">OFFSET(ORÇAMENTO!O$15,ROW(E19)-ROW(E$15),0)</f>
        <v>1.1.0.2.</v>
      </c>
      <c r="F19" s="172" t="str">
        <f ca="1">OFFSET(ORÇAMENTO!R$15,ROW(F19)-ROW(F$15),0)</f>
        <v>(abra o arquivo 'Referência 03-2024.xlsm)</v>
      </c>
      <c r="G19" s="173" t="str">
        <f ca="1">IF($D19&lt;&gt;"Serviço","",OFFSET(ORÇAMENTO!S$15,ROW(G19)-ROW(G$15),0))</f>
        <v>-</v>
      </c>
      <c r="H19" s="124">
        <f ca="1">IF($D19&lt;&gt;"Serviço",0,IF(ACOMPANHAMENTO="BM",ROUND(OFFSET(ORÇAMENTO!AJ$15,ROW(H19)-ROW(H$15),0),15-13*ORÇAMENTO!$AF$7),SUMPRODUCT(($Q$12:$AA$12&lt;&gt;"")*ROUND($Q19:$AA19,15-13*ORÇAMENTO!$AF$7))))</f>
        <v>18.559999999999999</v>
      </c>
      <c r="I19" s="561"/>
      <c r="K19" s="174"/>
      <c r="L19" s="175" t="s">
        <v>255</v>
      </c>
      <c r="M19" s="176">
        <f ca="1">IF($D19&lt;&gt;"Serviço","",IF(AUTOEVENTO="manual",$A19,IF(ISERROR(MATCH($A19,$A$15:OFFSET($A19,-1,0),0)),MAX($M$15:OFFSET(M19,-1,0))+1,INDEX($M$15:OFFSET(M19,-1,0),MATCH($A19,$A$15:OFFSET($A19,-1,0),0)))))</f>
        <v>2</v>
      </c>
      <c r="N19" s="177" t="str">
        <f ca="1">IF($D19&lt;&gt;"Serviço","",IF(AUTOEVENTO="Manual",IF($A19=0,"&lt;-- defina o número do agrupador",OFFSET(EVENTOS!$D$14,$A19,0)),OFFSET($F$15,$A19,0)))</f>
        <v>SERVIÇOS INICIAIS E DRENO DE ÁGUAS PLUVIAIS</v>
      </c>
      <c r="O19" s="178"/>
      <c r="Q19" s="178"/>
      <c r="R19" s="179"/>
      <c r="S19" s="179"/>
      <c r="T19" s="179"/>
      <c r="U19" s="179"/>
      <c r="V19" s="179"/>
      <c r="W19" s="179"/>
      <c r="X19" s="179"/>
      <c r="Y19" s="179"/>
      <c r="Z19" s="180"/>
      <c r="AB19" s="544">
        <f ca="1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0</v>
      </c>
      <c r="AC19" s="545">
        <f ca="1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545">
        <f ca="1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545">
        <f ca="1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545">
        <f ca="1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545">
        <f ca="1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545">
        <f ca="1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545">
        <f ca="1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545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546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181">
        <f ca="1">IF($D19&lt;&gt;"Serviço",0,IF(AND(AUTOEVENTO="Manual",$M19=1),0,IF(OFFSET(CRONOPLE!$F$14,$M19,AM$13)="",10^12,OFFSET(CRONOPLE!$F$14,$M19,AM$13))))</f>
        <v>1000000000000</v>
      </c>
      <c r="AN19" s="181">
        <f ca="1">IF($D19&lt;&gt;"Serviço",0,IF(AND(AUTOEVENTO="Manual",$M19=1),0,IF(OFFSET(CRONOPLE!$F$14,$M19,AN$13)="",10^12,OFFSET(CRONOPLE!$F$14,$M19,AN$13))))</f>
        <v>1000000000000</v>
      </c>
      <c r="AO19" s="181">
        <f ca="1">IF($D19&lt;&gt;"Serviço",0,IF(AND(AUTOEVENTO="Manual",$M19=1),0,IF(OFFSET(CRONOPLE!$F$14,$M19,AO$13)="",10^12,OFFSET(CRONOPLE!$F$14,$M19,AO$13))))</f>
        <v>1000000000000</v>
      </c>
      <c r="AP19" s="181">
        <f ca="1">IF($D19&lt;&gt;"Serviço",0,IF(AND(AUTOEVENTO="Manual",$M19=1),0,IF(OFFSET(CRONOPLE!$F$14,$M19,AP$13)="",10^12,OFFSET(CRONOPLE!$F$14,$M19,AP$13))))</f>
        <v>1000000000000</v>
      </c>
      <c r="AQ19" s="181">
        <f ca="1">IF($D19&lt;&gt;"Serviço",0,IF(AND(AUTOEVENTO="Manual",$M19=1),0,IF(OFFSET(CRONOPLE!$F$14,$M19,AQ$13)="",10^12,OFFSET(CRONOPLE!$F$14,$M19,AQ$13))))</f>
        <v>1000000000000</v>
      </c>
      <c r="AR19" s="181">
        <f ca="1">IF($D19&lt;&gt;"Serviço",0,IF(AND(AUTOEVENTO="Manual",$M19=1),0,IF(OFFSET(CRONOPLE!$F$14,$M19,AR$13)="",10^12,OFFSET(CRONOPLE!$F$14,$M19,AR$13))))</f>
        <v>1000000000000</v>
      </c>
      <c r="AS19" s="181">
        <f ca="1">IF($D19&lt;&gt;"Serviço",0,IF(AND(AUTOEVENTO="Manual",$M19=1),0,IF(OFFSET(CRONOPLE!$F$14,$M19,AS$13)="",10^12,OFFSET(CRONOPLE!$F$14,$M19,AS$13))))</f>
        <v>1000000000000</v>
      </c>
      <c r="AT19" s="181">
        <f ca="1">IF($D19&lt;&gt;"Serviço",0,IF(AND(AUTOEVENTO="Manual",$M19=1),0,IF(OFFSET(CRONOPLE!$F$14,$M19,AT$13)="",10^12,OFFSET(CRONOPLE!$F$14,$M19,AT$13))))</f>
        <v>1000000000000</v>
      </c>
      <c r="AU19" s="181">
        <f ca="1">IF($D19&lt;&gt;"Serviço",0,IF(AND(AUTOEVENTO="Manual",$M19=1),0,IF(OFFSET(CRONOPLE!$F$14,$M19,AU$13)="",10^12,OFFSET(CRONOPLE!$F$14,$M19,AU$13))))</f>
        <v>1000000000000</v>
      </c>
      <c r="AV19" s="181">
        <f ca="1">IF($D19&lt;&gt;"Serviço",0,IF(AND(AUTOEVENTO="Manual",$M19=1),0,IF(OFFSET(CRONOPLE!$F$14,$M19,AV$13)="",10^12,OFFSET(CRONOPLE!$F$14,$M19,AV$13))))</f>
        <v>1000000000000</v>
      </c>
      <c r="AX19" s="182">
        <f ca="1">IF($D19&lt;&gt;"Serviço",0,IF(OR(AND(AUTOEVENTO="Manual",$M19=1),$M19&gt;(ROW(PLE.lastrow)-ROW(PLE.firstrow))),0,IF(OFFSET(PLE!$G$14,$M19,AX$13)="",10^12,OFFSET(PLE!$G$14,$M19,AX$13))))</f>
        <v>1000000000000</v>
      </c>
      <c r="AY19" s="182">
        <f ca="1">IF($D19&lt;&gt;"Serviço",0,IF(OR(AND(AUTOEVENTO="Manual",$M19=1),$M19&gt;(ROW(PLE.lastrow)-ROW(PLE.firstrow))),0,IF(OFFSET(PLE!$G$14,$M19,AY$13)="",10^12,OFFSET(PLE!$G$14,$M19,AY$13))))</f>
        <v>1000000000000</v>
      </c>
      <c r="AZ19" s="182">
        <f ca="1">IF($D19&lt;&gt;"Serviço",0,IF(OR(AND(AUTOEVENTO="Manual",$M19=1),$M19&gt;(ROW(PLE.lastrow)-ROW(PLE.firstrow))),0,IF(OFFSET(PLE!$G$14,$M19,AZ$13)="",10^12,OFFSET(PLE!$G$14,$M19,AZ$13))))</f>
        <v>1000000000000</v>
      </c>
      <c r="BA19" s="182">
        <f ca="1">IF($D19&lt;&gt;"Serviço",0,IF(OR(AND(AUTOEVENTO="Manual",$M19=1),$M19&gt;(ROW(PLE.lastrow)-ROW(PLE.firstrow))),0,IF(OFFSET(PLE!$G$14,$M19,BA$13)="",10^12,OFFSET(PLE!$G$14,$M19,BA$13))))</f>
        <v>1000000000000</v>
      </c>
      <c r="BB19" s="182">
        <f ca="1">IF($D19&lt;&gt;"Serviço",0,IF(OR(AND(AUTOEVENTO="Manual",$M19=1),$M19&gt;(ROW(PLE.lastrow)-ROW(PLE.firstrow))),0,IF(OFFSET(PLE!$G$14,$M19,BB$13)="",10^12,OFFSET(PLE!$G$14,$M19,BB$13))))</f>
        <v>1000000000000</v>
      </c>
      <c r="BC19" s="182">
        <f ca="1">IF($D19&lt;&gt;"Serviço",0,IF(OR(AND(AUTOEVENTO="Manual",$M19=1),$M19&gt;(ROW(PLE.lastrow)-ROW(PLE.firstrow))),0,IF(OFFSET(PLE!$G$14,$M19,BC$13)="",10^12,OFFSET(PLE!$G$14,$M19,BC$13))))</f>
        <v>1000000000000</v>
      </c>
      <c r="BD19" s="182">
        <f ca="1">IF($D19&lt;&gt;"Serviço",0,IF(OR(AND(AUTOEVENTO="Manual",$M19=1),$M19&gt;(ROW(PLE.lastrow)-ROW(PLE.firstrow))),0,IF(OFFSET(PLE!$G$14,$M19,BD$13)="",10^12,OFFSET(PLE!$G$14,$M19,BD$13))))</f>
        <v>1000000000000</v>
      </c>
      <c r="BE19" s="182">
        <f ca="1">IF($D19&lt;&gt;"Serviço",0,IF(OR(AND(AUTOEVENTO="Manual",$M19=1),$M19&gt;(ROW(PLE.lastrow)-ROW(PLE.firstrow))),0,IF(OFFSET(PLE!$G$14,$M19,BE$13)="",10^12,OFFSET(PLE!$G$14,$M19,BE$13))))</f>
        <v>1000000000000</v>
      </c>
      <c r="BF19" s="182">
        <f ca="1">IF($D19&lt;&gt;"Serviço",0,IF(OR(AND(AUTOEVENTO="Manual",$M19=1),$M19&gt;(ROW(PLE.lastrow)-ROW(PLE.firstrow))),0,IF(OFFSET(PLE!$G$14,$M19,BF$13)="",10^12,OFFSET(PLE!$G$14,$M19,BF$13))))</f>
        <v>1000000000000</v>
      </c>
      <c r="BG19" s="182">
        <f ca="1">IF($D19&lt;&gt;"Serviço",0,IF(OR(AND(AUTOEVENTO="Manual",$M19=1),$M19&gt;(ROW(PLE.lastrow)-ROW(PLE.firstrow))),0,IF(OFFSET(PLE!$G$14,$M19,BG$13)="",10^12,OFFSET(PLE!$G$14,$M19,BG$13))))</f>
        <v>1000000000000</v>
      </c>
    </row>
    <row r="20" spans="1:59" ht="25.5" x14ac:dyDescent="0.2">
      <c r="A20" s="7" t="str">
        <f t="shared" ca="1" si="8"/>
        <v>2</v>
      </c>
      <c r="B20" s="7" t="str">
        <f ca="1">OFFSET(ORÇAMENTO!C$15,ROW(B20)-ROW(B$15),0)</f>
        <v>S</v>
      </c>
      <c r="C20" s="7" t="str">
        <f ca="1">OFFSET(ORÇAMENTO!L$15,ROW(C20)-ROW(C$15),0)</f>
        <v>F</v>
      </c>
      <c r="D20" s="118" t="str">
        <f ca="1">OFFSET(ORÇAMENTO!N$15,ROW(D20)-ROW(D$15),0)</f>
        <v>Serviço</v>
      </c>
      <c r="E20" s="119" t="str">
        <f ca="1">OFFSET(ORÇAMENTO!O$15,ROW(E20)-ROW(E$15),0)</f>
        <v>1.1.0.3.</v>
      </c>
      <c r="F20" s="172" t="str">
        <f ca="1">OFFSET(ORÇAMENTO!R$15,ROW(F20)-ROW(F$15),0)</f>
        <v>(abra o arquivo 'Referência 03-2024.xlsm)</v>
      </c>
      <c r="G20" s="173" t="str">
        <f ca="1">IF($D20&lt;&gt;"Serviço","",OFFSET(ORÇAMENTO!S$15,ROW(G20)-ROW(G$15),0))</f>
        <v>-</v>
      </c>
      <c r="H20" s="124">
        <f ca="1">IF($D20&lt;&gt;"Serviço",0,IF(ACOMPANHAMENTO="BM",ROUND(OFFSET(ORÇAMENTO!AJ$15,ROW(H20)-ROW(H$15),0),15-13*ORÇAMENTO!$AF$7),SUMPRODUCT(($Q$12:$AA$12&lt;&gt;"")*ROUND($Q20:$AA20,15-13*ORÇAMENTO!$AF$7))))</f>
        <v>120</v>
      </c>
      <c r="I20" s="561"/>
      <c r="K20" s="174"/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2</v>
      </c>
      <c r="N20" s="177" t="str">
        <f ca="1">IF($D20&lt;&gt;"Serviço","",IF(AUTOEVENTO="Manual",IF($A20=0,"&lt;-- defina o número do agrupador",OFFSET(EVENTOS!$D$14,$A20,0)),OFFSET($F$15,$A20,0)))</f>
        <v>SERVIÇOS INICIAIS E DRENO DE ÁGUAS PLUVIAIS</v>
      </c>
      <c r="O20" s="178"/>
      <c r="Q20" s="178"/>
      <c r="R20" s="179"/>
      <c r="S20" s="179"/>
      <c r="T20" s="179"/>
      <c r="U20" s="179"/>
      <c r="V20" s="179"/>
      <c r="W20" s="179"/>
      <c r="X20" s="179"/>
      <c r="Y20" s="179"/>
      <c r="Z20" s="180"/>
      <c r="AB20" s="544">
        <f ca="1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0</v>
      </c>
      <c r="AC20" s="545">
        <f ca="1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0</v>
      </c>
      <c r="AD20" s="545">
        <f ca="1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0</v>
      </c>
      <c r="AE20" s="545">
        <f ca="1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0</v>
      </c>
      <c r="AF20" s="545">
        <f ca="1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0</v>
      </c>
      <c r="AG20" s="545">
        <f ca="1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545">
        <f ca="1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545">
        <f ca="1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545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546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181">
        <f ca="1">IF($D20&lt;&gt;"Serviço",0,IF(AND(AUTOEVENTO="Manual",$M20=1),0,IF(OFFSET(CRONOPLE!$F$14,$M20,AM$13)="",10^12,OFFSET(CRONOPLE!$F$14,$M20,AM$13))))</f>
        <v>1000000000000</v>
      </c>
      <c r="AN20" s="181">
        <f ca="1">IF($D20&lt;&gt;"Serviço",0,IF(AND(AUTOEVENTO="Manual",$M20=1),0,IF(OFFSET(CRONOPLE!$F$14,$M20,AN$13)="",10^12,OFFSET(CRONOPLE!$F$14,$M20,AN$13))))</f>
        <v>1000000000000</v>
      </c>
      <c r="AO20" s="181">
        <f ca="1">IF($D20&lt;&gt;"Serviço",0,IF(AND(AUTOEVENTO="Manual",$M20=1),0,IF(OFFSET(CRONOPLE!$F$14,$M20,AO$13)="",10^12,OFFSET(CRONOPLE!$F$14,$M20,AO$13))))</f>
        <v>1000000000000</v>
      </c>
      <c r="AP20" s="181">
        <f ca="1">IF($D20&lt;&gt;"Serviço",0,IF(AND(AUTOEVENTO="Manual",$M20=1),0,IF(OFFSET(CRONOPLE!$F$14,$M20,AP$13)="",10^12,OFFSET(CRONOPLE!$F$14,$M20,AP$13))))</f>
        <v>1000000000000</v>
      </c>
      <c r="AQ20" s="181">
        <f ca="1">IF($D20&lt;&gt;"Serviço",0,IF(AND(AUTOEVENTO="Manual",$M20=1),0,IF(OFFSET(CRONOPLE!$F$14,$M20,AQ$13)="",10^12,OFFSET(CRONOPLE!$F$14,$M20,AQ$13))))</f>
        <v>1000000000000</v>
      </c>
      <c r="AR20" s="181">
        <f ca="1">IF($D20&lt;&gt;"Serviço",0,IF(AND(AUTOEVENTO="Manual",$M20=1),0,IF(OFFSET(CRONOPLE!$F$14,$M20,AR$13)="",10^12,OFFSET(CRONOPLE!$F$14,$M20,AR$13))))</f>
        <v>1000000000000</v>
      </c>
      <c r="AS20" s="181">
        <f ca="1">IF($D20&lt;&gt;"Serviço",0,IF(AND(AUTOEVENTO="Manual",$M20=1),0,IF(OFFSET(CRONOPLE!$F$14,$M20,AS$13)="",10^12,OFFSET(CRONOPLE!$F$14,$M20,AS$13))))</f>
        <v>1000000000000</v>
      </c>
      <c r="AT20" s="181">
        <f ca="1">IF($D20&lt;&gt;"Serviço",0,IF(AND(AUTOEVENTO="Manual",$M20=1),0,IF(OFFSET(CRONOPLE!$F$14,$M20,AT$13)="",10^12,OFFSET(CRONOPLE!$F$14,$M20,AT$13))))</f>
        <v>1000000000000</v>
      </c>
      <c r="AU20" s="181">
        <f ca="1">IF($D20&lt;&gt;"Serviço",0,IF(AND(AUTOEVENTO="Manual",$M20=1),0,IF(OFFSET(CRONOPLE!$F$14,$M20,AU$13)="",10^12,OFFSET(CRONOPLE!$F$14,$M20,AU$13))))</f>
        <v>1000000000000</v>
      </c>
      <c r="AV20" s="181">
        <f ca="1">IF($D20&lt;&gt;"Serviço",0,IF(AND(AUTOEVENTO="Manual",$M20=1),0,IF(OFFSET(CRONOPLE!$F$14,$M20,AV$13)="",10^12,OFFSET(CRONOPLE!$F$14,$M20,AV$13))))</f>
        <v>1000000000000</v>
      </c>
      <c r="AX20" s="182">
        <f ca="1">IF($D20&lt;&gt;"Serviço",0,IF(OR(AND(AUTOEVENTO="Manual",$M20=1),$M20&gt;(ROW(PLE.lastrow)-ROW(PLE.firstrow))),0,IF(OFFSET(PLE!$G$14,$M20,AX$13)="",10^12,OFFSET(PLE!$G$14,$M20,AX$13))))</f>
        <v>1000000000000</v>
      </c>
      <c r="AY20" s="182">
        <f ca="1">IF($D20&lt;&gt;"Serviço",0,IF(OR(AND(AUTOEVENTO="Manual",$M20=1),$M20&gt;(ROW(PLE.lastrow)-ROW(PLE.firstrow))),0,IF(OFFSET(PLE!$G$14,$M20,AY$13)="",10^12,OFFSET(PLE!$G$14,$M20,AY$13))))</f>
        <v>1000000000000</v>
      </c>
      <c r="AZ20" s="182">
        <f ca="1">IF($D20&lt;&gt;"Serviço",0,IF(OR(AND(AUTOEVENTO="Manual",$M20=1),$M20&gt;(ROW(PLE.lastrow)-ROW(PLE.firstrow))),0,IF(OFFSET(PLE!$G$14,$M20,AZ$13)="",10^12,OFFSET(PLE!$G$14,$M20,AZ$13))))</f>
        <v>1000000000000</v>
      </c>
      <c r="BA20" s="182">
        <f ca="1">IF($D20&lt;&gt;"Serviço",0,IF(OR(AND(AUTOEVENTO="Manual",$M20=1),$M20&gt;(ROW(PLE.lastrow)-ROW(PLE.firstrow))),0,IF(OFFSET(PLE!$G$14,$M20,BA$13)="",10^12,OFFSET(PLE!$G$14,$M20,BA$13))))</f>
        <v>1000000000000</v>
      </c>
      <c r="BB20" s="182">
        <f ca="1">IF($D20&lt;&gt;"Serviço",0,IF(OR(AND(AUTOEVENTO="Manual",$M20=1),$M20&gt;(ROW(PLE.lastrow)-ROW(PLE.firstrow))),0,IF(OFFSET(PLE!$G$14,$M20,BB$13)="",10^12,OFFSET(PLE!$G$14,$M20,BB$13))))</f>
        <v>1000000000000</v>
      </c>
      <c r="BC20" s="182">
        <f ca="1">IF($D20&lt;&gt;"Serviço",0,IF(OR(AND(AUTOEVENTO="Manual",$M20=1),$M20&gt;(ROW(PLE.lastrow)-ROW(PLE.firstrow))),0,IF(OFFSET(PLE!$G$14,$M20,BC$13)="",10^12,OFFSET(PLE!$G$14,$M20,BC$13))))</f>
        <v>1000000000000</v>
      </c>
      <c r="BD20" s="182">
        <f ca="1">IF($D20&lt;&gt;"Serviço",0,IF(OR(AND(AUTOEVENTO="Manual",$M20=1),$M20&gt;(ROW(PLE.lastrow)-ROW(PLE.firstrow))),0,IF(OFFSET(PLE!$G$14,$M20,BD$13)="",10^12,OFFSET(PLE!$G$14,$M20,BD$13))))</f>
        <v>1000000000000</v>
      </c>
      <c r="BE20" s="182">
        <f ca="1">IF($D20&lt;&gt;"Serviço",0,IF(OR(AND(AUTOEVENTO="Manual",$M20=1),$M20&gt;(ROW(PLE.lastrow)-ROW(PLE.firstrow))),0,IF(OFFSET(PLE!$G$14,$M20,BE$13)="",10^12,OFFSET(PLE!$G$14,$M20,BE$13))))</f>
        <v>1000000000000</v>
      </c>
      <c r="BF20" s="182">
        <f ca="1">IF($D20&lt;&gt;"Serviço",0,IF(OR(AND(AUTOEVENTO="Manual",$M20=1),$M20&gt;(ROW(PLE.lastrow)-ROW(PLE.firstrow))),0,IF(OFFSET(PLE!$G$14,$M20,BF$13)="",10^12,OFFSET(PLE!$G$14,$M20,BF$13))))</f>
        <v>1000000000000</v>
      </c>
      <c r="BG20" s="18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25.5" x14ac:dyDescent="0.2">
      <c r="A21" s="7" t="str">
        <f ca="1">IF(AUTOEVENTO="Manual",IF(K21&lt;&gt;"",MIN(VALUE(LEFT(K21,FIND(".",K21)-1)),COUNTA(EVENTOS.Lista)),0),IF(OR($B21&gt;AUTOEVENTO,$B21="S",$B21=0),SUBSTITUTE(OFFSET($A21,-1,0),IF($D21="Serviço",".",""),""),ROW(A21)-ROW($A$15)&amp;"."))</f>
        <v>2</v>
      </c>
      <c r="B21" s="7" t="str">
        <f ca="1">OFFSET(ORÇAMENTO!C$15,ROW(B21)-ROW(B$15),0)</f>
        <v>S</v>
      </c>
      <c r="C21" s="7" t="str">
        <f ca="1">OFFSET(ORÇAMENTO!L$15,ROW(C21)-ROW(C$15),0)</f>
        <v>F</v>
      </c>
      <c r="D21" s="118" t="str">
        <f ca="1">OFFSET(ORÇAMENTO!N$15,ROW(D21)-ROW(D$15),0)</f>
        <v>Serviço</v>
      </c>
      <c r="E21" s="119" t="str">
        <f ca="1">OFFSET(ORÇAMENTO!O$15,ROW(E21)-ROW(E$15),0)</f>
        <v>1.1.0.4.</v>
      </c>
      <c r="F21" s="172" t="str">
        <f ca="1">OFFSET(ORÇAMENTO!R$15,ROW(F21)-ROW(F$15),0)</f>
        <v>(abra o arquivo 'Referência 03-2024.xlsm)</v>
      </c>
      <c r="G21" s="173" t="str">
        <f ca="1">IF($D21&lt;&gt;"Serviço","",OFFSET(ORÇAMENTO!S$15,ROW(G21)-ROW(G$15),0))</f>
        <v>-</v>
      </c>
      <c r="H21" s="124">
        <f ca="1">IF($D21&lt;&gt;"Serviço",0,IF(ACOMPANHAMENTO="BM",ROUND(OFFSET(ORÇAMENTO!AJ$15,ROW(H21)-ROW(H$15),0),15-13*ORÇAMENTO!$AF$7),SUMPRODUCT(($Q$12:$AA$12&lt;&gt;"")*ROUND($Q21:$AA21,15-13*ORÇAMENTO!$AF$7))))</f>
        <v>3</v>
      </c>
      <c r="I21" s="561"/>
      <c r="K21" s="174"/>
      <c r="L21" s="175" t="s">
        <v>255</v>
      </c>
      <c r="M21" s="176">
        <f ca="1">IF($D21&lt;&gt;"Serviço","",IF(AUTOEVENTO="manual",$A21,IF(ISERROR(MATCH($A21,$A$15:OFFSET($A21,-1,0),0)),MAX($M$15:OFFSET(M21,-1,0))+1,INDEX($M$15:OFFSET(M21,-1,0),MATCH($A21,$A$15:OFFSET($A21,-1,0),0)))))</f>
        <v>2</v>
      </c>
      <c r="N21" s="177" t="str">
        <f ca="1">IF($D21&lt;&gt;"Serviço","",IF(AUTOEVENTO="Manual",IF($A21=0,"&lt;-- defina o número do agrupador",OFFSET(EVENTOS!$D$14,$A21,0)),OFFSET($F$15,$A21,0)))</f>
        <v>SERVIÇOS INICIAIS E DRENO DE ÁGUAS PLUVIAIS</v>
      </c>
      <c r="O21" s="178"/>
      <c r="Q21" s="178"/>
      <c r="R21" s="179"/>
      <c r="S21" s="179"/>
      <c r="T21" s="179"/>
      <c r="U21" s="179"/>
      <c r="V21" s="179"/>
      <c r="W21" s="179"/>
      <c r="X21" s="179"/>
      <c r="Y21" s="179"/>
      <c r="Z21" s="180"/>
      <c r="AB21" s="544">
        <f ca="1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0</v>
      </c>
      <c r="AC21" s="545">
        <f ca="1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0</v>
      </c>
      <c r="AD21" s="545">
        <f ca="1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0</v>
      </c>
      <c r="AE21" s="545">
        <f ca="1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0</v>
      </c>
      <c r="AF21" s="545">
        <f ca="1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0</v>
      </c>
      <c r="AG21" s="545">
        <f ca="1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545">
        <f ca="1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545">
        <f ca="1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545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546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181">
        <f ca="1">IF($D21&lt;&gt;"Serviço",0,IF(AND(AUTOEVENTO="Manual",$M21=1),0,IF(OFFSET(CRONOPLE!$F$14,$M21,AM$13)="",10^12,OFFSET(CRONOPLE!$F$14,$M21,AM$13))))</f>
        <v>1000000000000</v>
      </c>
      <c r="AN21" s="181">
        <f ca="1">IF($D21&lt;&gt;"Serviço",0,IF(AND(AUTOEVENTO="Manual",$M21=1),0,IF(OFFSET(CRONOPLE!$F$14,$M21,AN$13)="",10^12,OFFSET(CRONOPLE!$F$14,$M21,AN$13))))</f>
        <v>1000000000000</v>
      </c>
      <c r="AO21" s="181">
        <f ca="1">IF($D21&lt;&gt;"Serviço",0,IF(AND(AUTOEVENTO="Manual",$M21=1),0,IF(OFFSET(CRONOPLE!$F$14,$M21,AO$13)="",10^12,OFFSET(CRONOPLE!$F$14,$M21,AO$13))))</f>
        <v>1000000000000</v>
      </c>
      <c r="AP21" s="181">
        <f ca="1">IF($D21&lt;&gt;"Serviço",0,IF(AND(AUTOEVENTO="Manual",$M21=1),0,IF(OFFSET(CRONOPLE!$F$14,$M21,AP$13)="",10^12,OFFSET(CRONOPLE!$F$14,$M21,AP$13))))</f>
        <v>1000000000000</v>
      </c>
      <c r="AQ21" s="181">
        <f ca="1">IF($D21&lt;&gt;"Serviço",0,IF(AND(AUTOEVENTO="Manual",$M21=1),0,IF(OFFSET(CRONOPLE!$F$14,$M21,AQ$13)="",10^12,OFFSET(CRONOPLE!$F$14,$M21,AQ$13))))</f>
        <v>1000000000000</v>
      </c>
      <c r="AR21" s="181">
        <f ca="1">IF($D21&lt;&gt;"Serviço",0,IF(AND(AUTOEVENTO="Manual",$M21=1),0,IF(OFFSET(CRONOPLE!$F$14,$M21,AR$13)="",10^12,OFFSET(CRONOPLE!$F$14,$M21,AR$13))))</f>
        <v>1000000000000</v>
      </c>
      <c r="AS21" s="181">
        <f ca="1">IF($D21&lt;&gt;"Serviço",0,IF(AND(AUTOEVENTO="Manual",$M21=1),0,IF(OFFSET(CRONOPLE!$F$14,$M21,AS$13)="",10^12,OFFSET(CRONOPLE!$F$14,$M21,AS$13))))</f>
        <v>1000000000000</v>
      </c>
      <c r="AT21" s="181">
        <f ca="1">IF($D21&lt;&gt;"Serviço",0,IF(AND(AUTOEVENTO="Manual",$M21=1),0,IF(OFFSET(CRONOPLE!$F$14,$M21,AT$13)="",10^12,OFFSET(CRONOPLE!$F$14,$M21,AT$13))))</f>
        <v>1000000000000</v>
      </c>
      <c r="AU21" s="181">
        <f ca="1">IF($D21&lt;&gt;"Serviço",0,IF(AND(AUTOEVENTO="Manual",$M21=1),0,IF(OFFSET(CRONOPLE!$F$14,$M21,AU$13)="",10^12,OFFSET(CRONOPLE!$F$14,$M21,AU$13))))</f>
        <v>1000000000000</v>
      </c>
      <c r="AV21" s="181">
        <f ca="1">IF($D21&lt;&gt;"Serviço",0,IF(AND(AUTOEVENTO="Manual",$M21=1),0,IF(OFFSET(CRONOPLE!$F$14,$M21,AV$13)="",10^12,OFFSET(CRONOPLE!$F$14,$M21,AV$13))))</f>
        <v>1000000000000</v>
      </c>
      <c r="AX21" s="182">
        <f ca="1">IF($D21&lt;&gt;"Serviço",0,IF(OR(AND(AUTOEVENTO="Manual",$M21=1),$M21&gt;(ROW(PLE.lastrow)-ROW(PLE.firstrow))),0,IF(OFFSET(PLE!$G$14,$M21,AX$13)="",10^12,OFFSET(PLE!$G$14,$M21,AX$13))))</f>
        <v>1000000000000</v>
      </c>
      <c r="AY21" s="182">
        <f ca="1">IF($D21&lt;&gt;"Serviço",0,IF(OR(AND(AUTOEVENTO="Manual",$M21=1),$M21&gt;(ROW(PLE.lastrow)-ROW(PLE.firstrow))),0,IF(OFFSET(PLE!$G$14,$M21,AY$13)="",10^12,OFFSET(PLE!$G$14,$M21,AY$13))))</f>
        <v>1000000000000</v>
      </c>
      <c r="AZ21" s="182">
        <f ca="1">IF($D21&lt;&gt;"Serviço",0,IF(OR(AND(AUTOEVENTO="Manual",$M21=1),$M21&gt;(ROW(PLE.lastrow)-ROW(PLE.firstrow))),0,IF(OFFSET(PLE!$G$14,$M21,AZ$13)="",10^12,OFFSET(PLE!$G$14,$M21,AZ$13))))</f>
        <v>1000000000000</v>
      </c>
      <c r="BA21" s="182">
        <f ca="1">IF($D21&lt;&gt;"Serviço",0,IF(OR(AND(AUTOEVENTO="Manual",$M21=1),$M21&gt;(ROW(PLE.lastrow)-ROW(PLE.firstrow))),0,IF(OFFSET(PLE!$G$14,$M21,BA$13)="",10^12,OFFSET(PLE!$G$14,$M21,BA$13))))</f>
        <v>1000000000000</v>
      </c>
      <c r="BB21" s="182">
        <f ca="1">IF($D21&lt;&gt;"Serviço",0,IF(OR(AND(AUTOEVENTO="Manual",$M21=1),$M21&gt;(ROW(PLE.lastrow)-ROW(PLE.firstrow))),0,IF(OFFSET(PLE!$G$14,$M21,BB$13)="",10^12,OFFSET(PLE!$G$14,$M21,BB$13))))</f>
        <v>1000000000000</v>
      </c>
      <c r="BC21" s="182">
        <f ca="1">IF($D21&lt;&gt;"Serviço",0,IF(OR(AND(AUTOEVENTO="Manual",$M21=1),$M21&gt;(ROW(PLE.lastrow)-ROW(PLE.firstrow))),0,IF(OFFSET(PLE!$G$14,$M21,BC$13)="",10^12,OFFSET(PLE!$G$14,$M21,BC$13))))</f>
        <v>1000000000000</v>
      </c>
      <c r="BD21" s="182">
        <f ca="1">IF($D21&lt;&gt;"Serviço",0,IF(OR(AND(AUTOEVENTO="Manual",$M21=1),$M21&gt;(ROW(PLE.lastrow)-ROW(PLE.firstrow))),0,IF(OFFSET(PLE!$G$14,$M21,BD$13)="",10^12,OFFSET(PLE!$G$14,$M21,BD$13))))</f>
        <v>1000000000000</v>
      </c>
      <c r="BE21" s="182">
        <f ca="1">IF($D21&lt;&gt;"Serviço",0,IF(OR(AND(AUTOEVENTO="Manual",$M21=1),$M21&gt;(ROW(PLE.lastrow)-ROW(PLE.firstrow))),0,IF(OFFSET(PLE!$G$14,$M21,BE$13)="",10^12,OFFSET(PLE!$G$14,$M21,BE$13))))</f>
        <v>1000000000000</v>
      </c>
      <c r="BF21" s="182">
        <f ca="1">IF($D21&lt;&gt;"Serviço",0,IF(OR(AND(AUTOEVENTO="Manual",$M21=1),$M21&gt;(ROW(PLE.lastrow)-ROW(PLE.firstrow))),0,IF(OFFSET(PLE!$G$14,$M21,BF$13)="",10^12,OFFSET(PLE!$G$14,$M21,BF$13))))</f>
        <v>1000000000000</v>
      </c>
      <c r="BG21" s="182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25.5" x14ac:dyDescent="0.2">
      <c r="A22" s="7" t="str">
        <f t="shared" ca="1" si="8"/>
        <v>2</v>
      </c>
      <c r="B22" s="7" t="str">
        <f ca="1">OFFSET(ORÇAMENTO!C$15,ROW(B22)-ROW(B$15),0)</f>
        <v>S</v>
      </c>
      <c r="C22" s="7" t="str">
        <f ca="1">OFFSET(ORÇAMENTO!L$15,ROW(C22)-ROW(C$15),0)</f>
        <v>F</v>
      </c>
      <c r="D22" s="118" t="str">
        <f ca="1">OFFSET(ORÇAMENTO!N$15,ROW(D22)-ROW(D$15),0)</f>
        <v>Serviço</v>
      </c>
      <c r="E22" s="119" t="str">
        <f ca="1">OFFSET(ORÇAMENTO!O$15,ROW(E22)-ROW(E$15),0)</f>
        <v>1.1.0.5.</v>
      </c>
      <c r="F22" s="172" t="str">
        <f ca="1">OFFSET(ORÇAMENTO!R$15,ROW(F22)-ROW(F$15),0)</f>
        <v>(abra o arquivo 'Referência 03-2024.xlsm)</v>
      </c>
      <c r="G22" s="173" t="str">
        <f ca="1">IF($D22&lt;&gt;"Serviço","",OFFSET(ORÇAMENTO!S$15,ROW(G22)-ROW(G$15),0))</f>
        <v>-</v>
      </c>
      <c r="H22" s="124">
        <f ca="1">IF($D22&lt;&gt;"Serviço",0,IF(ACOMPANHAMENTO="BM",ROUND(OFFSET(ORÇAMENTO!AJ$15,ROW(H22)-ROW(H$15),0),15-13*ORÇAMENTO!$AF$7),SUMPRODUCT(($Q$12:$AA$12&lt;&gt;"")*ROUND($Q22:$AA22,15-13*ORÇAMENTO!$AF$7))))</f>
        <v>1</v>
      </c>
      <c r="I22" s="561"/>
      <c r="K22" s="174"/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2</v>
      </c>
      <c r="N22" s="177" t="str">
        <f ca="1">IF($D22&lt;&gt;"Serviço","",IF(AUTOEVENTO="Manual",IF($A22=0,"&lt;-- defina o número do agrupador",OFFSET(EVENTOS!$D$14,$A22,0)),OFFSET($F$15,$A22,0)))</f>
        <v>SERVIÇOS INICIAIS E DRENO DE ÁGUAS PLUVIAIS</v>
      </c>
      <c r="O22" s="178"/>
      <c r="Q22" s="178"/>
      <c r="R22" s="179"/>
      <c r="S22" s="179"/>
      <c r="T22" s="179"/>
      <c r="U22" s="179"/>
      <c r="V22" s="179"/>
      <c r="W22" s="179"/>
      <c r="X22" s="179"/>
      <c r="Y22" s="179"/>
      <c r="Z22" s="180"/>
      <c r="AB22" s="544">
        <f ca="1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0</v>
      </c>
      <c r="AC22" s="545">
        <f ca="1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0</v>
      </c>
      <c r="AD22" s="545">
        <f ca="1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0</v>
      </c>
      <c r="AE22" s="545">
        <f ca="1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0</v>
      </c>
      <c r="AF22" s="545">
        <f ca="1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0</v>
      </c>
      <c r="AG22" s="545">
        <f ca="1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545">
        <f ca="1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545">
        <f ca="1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545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546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181">
        <f ca="1">IF($D22&lt;&gt;"Serviço",0,IF(AND(AUTOEVENTO="Manual",$M22=1),0,IF(OFFSET(CRONOPLE!$F$14,$M22,AM$13)="",10^12,OFFSET(CRONOPLE!$F$14,$M22,AM$13))))</f>
        <v>1000000000000</v>
      </c>
      <c r="AN22" s="181">
        <f ca="1">IF($D22&lt;&gt;"Serviço",0,IF(AND(AUTOEVENTO="Manual",$M22=1),0,IF(OFFSET(CRONOPLE!$F$14,$M22,AN$13)="",10^12,OFFSET(CRONOPLE!$F$14,$M22,AN$13))))</f>
        <v>1000000000000</v>
      </c>
      <c r="AO22" s="181">
        <f ca="1">IF($D22&lt;&gt;"Serviço",0,IF(AND(AUTOEVENTO="Manual",$M22=1),0,IF(OFFSET(CRONOPLE!$F$14,$M22,AO$13)="",10^12,OFFSET(CRONOPLE!$F$14,$M22,AO$13))))</f>
        <v>1000000000000</v>
      </c>
      <c r="AP22" s="181">
        <f ca="1">IF($D22&lt;&gt;"Serviço",0,IF(AND(AUTOEVENTO="Manual",$M22=1),0,IF(OFFSET(CRONOPLE!$F$14,$M22,AP$13)="",10^12,OFFSET(CRONOPLE!$F$14,$M22,AP$13))))</f>
        <v>1000000000000</v>
      </c>
      <c r="AQ22" s="181">
        <f ca="1">IF($D22&lt;&gt;"Serviço",0,IF(AND(AUTOEVENTO="Manual",$M22=1),0,IF(OFFSET(CRONOPLE!$F$14,$M22,AQ$13)="",10^12,OFFSET(CRONOPLE!$F$14,$M22,AQ$13))))</f>
        <v>1000000000000</v>
      </c>
      <c r="AR22" s="181">
        <f ca="1">IF($D22&lt;&gt;"Serviço",0,IF(AND(AUTOEVENTO="Manual",$M22=1),0,IF(OFFSET(CRONOPLE!$F$14,$M22,AR$13)="",10^12,OFFSET(CRONOPLE!$F$14,$M22,AR$13))))</f>
        <v>1000000000000</v>
      </c>
      <c r="AS22" s="181">
        <f ca="1">IF($D22&lt;&gt;"Serviço",0,IF(AND(AUTOEVENTO="Manual",$M22=1),0,IF(OFFSET(CRONOPLE!$F$14,$M22,AS$13)="",10^12,OFFSET(CRONOPLE!$F$14,$M22,AS$13))))</f>
        <v>1000000000000</v>
      </c>
      <c r="AT22" s="181">
        <f ca="1">IF($D22&lt;&gt;"Serviço",0,IF(AND(AUTOEVENTO="Manual",$M22=1),0,IF(OFFSET(CRONOPLE!$F$14,$M22,AT$13)="",10^12,OFFSET(CRONOPLE!$F$14,$M22,AT$13))))</f>
        <v>1000000000000</v>
      </c>
      <c r="AU22" s="181">
        <f ca="1">IF($D22&lt;&gt;"Serviço",0,IF(AND(AUTOEVENTO="Manual",$M22=1),0,IF(OFFSET(CRONOPLE!$F$14,$M22,AU$13)="",10^12,OFFSET(CRONOPLE!$F$14,$M22,AU$13))))</f>
        <v>1000000000000</v>
      </c>
      <c r="AV22" s="181">
        <f ca="1">IF($D22&lt;&gt;"Serviço",0,IF(AND(AUTOEVENTO="Manual",$M22=1),0,IF(OFFSET(CRONOPLE!$F$14,$M22,AV$13)="",10^12,OFFSET(CRONOPLE!$F$14,$M22,AV$13))))</f>
        <v>1000000000000</v>
      </c>
      <c r="AX22" s="182">
        <f ca="1">IF($D22&lt;&gt;"Serviço",0,IF(OR(AND(AUTOEVENTO="Manual",$M22=1),$M22&gt;(ROW(PLE.lastrow)-ROW(PLE.firstrow))),0,IF(OFFSET(PLE!$G$14,$M22,AX$13)="",10^12,OFFSET(PLE!$G$14,$M22,AX$13))))</f>
        <v>1000000000000</v>
      </c>
      <c r="AY22" s="182">
        <f ca="1">IF($D22&lt;&gt;"Serviço",0,IF(OR(AND(AUTOEVENTO="Manual",$M22=1),$M22&gt;(ROW(PLE.lastrow)-ROW(PLE.firstrow))),0,IF(OFFSET(PLE!$G$14,$M22,AY$13)="",10^12,OFFSET(PLE!$G$14,$M22,AY$13))))</f>
        <v>1000000000000</v>
      </c>
      <c r="AZ22" s="182">
        <f ca="1">IF($D22&lt;&gt;"Serviço",0,IF(OR(AND(AUTOEVENTO="Manual",$M22=1),$M22&gt;(ROW(PLE.lastrow)-ROW(PLE.firstrow))),0,IF(OFFSET(PLE!$G$14,$M22,AZ$13)="",10^12,OFFSET(PLE!$G$14,$M22,AZ$13))))</f>
        <v>1000000000000</v>
      </c>
      <c r="BA22" s="182">
        <f ca="1">IF($D22&lt;&gt;"Serviço",0,IF(OR(AND(AUTOEVENTO="Manual",$M22=1),$M22&gt;(ROW(PLE.lastrow)-ROW(PLE.firstrow))),0,IF(OFFSET(PLE!$G$14,$M22,BA$13)="",10^12,OFFSET(PLE!$G$14,$M22,BA$13))))</f>
        <v>1000000000000</v>
      </c>
      <c r="BB22" s="182">
        <f ca="1">IF($D22&lt;&gt;"Serviço",0,IF(OR(AND(AUTOEVENTO="Manual",$M22=1),$M22&gt;(ROW(PLE.lastrow)-ROW(PLE.firstrow))),0,IF(OFFSET(PLE!$G$14,$M22,BB$13)="",10^12,OFFSET(PLE!$G$14,$M22,BB$13))))</f>
        <v>1000000000000</v>
      </c>
      <c r="BC22" s="182">
        <f ca="1">IF($D22&lt;&gt;"Serviço",0,IF(OR(AND(AUTOEVENTO="Manual",$M22=1),$M22&gt;(ROW(PLE.lastrow)-ROW(PLE.firstrow))),0,IF(OFFSET(PLE!$G$14,$M22,BC$13)="",10^12,OFFSET(PLE!$G$14,$M22,BC$13))))</f>
        <v>1000000000000</v>
      </c>
      <c r="BD22" s="182">
        <f ca="1">IF($D22&lt;&gt;"Serviço",0,IF(OR(AND(AUTOEVENTO="Manual",$M22=1),$M22&gt;(ROW(PLE.lastrow)-ROW(PLE.firstrow))),0,IF(OFFSET(PLE!$G$14,$M22,BD$13)="",10^12,OFFSET(PLE!$G$14,$M22,BD$13))))</f>
        <v>1000000000000</v>
      </c>
      <c r="BE22" s="182">
        <f ca="1">IF($D22&lt;&gt;"Serviço",0,IF(OR(AND(AUTOEVENTO="Manual",$M22=1),$M22&gt;(ROW(PLE.lastrow)-ROW(PLE.firstrow))),0,IF(OFFSET(PLE!$G$14,$M22,BE$13)="",10^12,OFFSET(PLE!$G$14,$M22,BE$13))))</f>
        <v>1000000000000</v>
      </c>
      <c r="BF22" s="182">
        <f ca="1">IF($D22&lt;&gt;"Serviço",0,IF(OR(AND(AUTOEVENTO="Manual",$M22=1),$M22&gt;(ROW(PLE.lastrow)-ROW(PLE.firstrow))),0,IF(OFFSET(PLE!$G$14,$M22,BF$13)="",10^12,OFFSET(PLE!$G$14,$M22,BF$13))))</f>
        <v>1000000000000</v>
      </c>
      <c r="BG22" s="18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25.5" x14ac:dyDescent="0.2">
      <c r="A23" s="7" t="str">
        <f t="shared" ca="1" si="8"/>
        <v>2</v>
      </c>
      <c r="B23" s="7" t="str">
        <f ca="1">OFFSET(ORÇAMENTO!C$15,ROW(B23)-ROW(B$15),0)</f>
        <v>S</v>
      </c>
      <c r="C23" s="7" t="str">
        <f ca="1">OFFSET(ORÇAMENTO!L$15,ROW(C23)-ROW(C$15),0)</f>
        <v>F</v>
      </c>
      <c r="D23" s="118" t="str">
        <f ca="1">OFFSET(ORÇAMENTO!N$15,ROW(D23)-ROW(D$15),0)</f>
        <v>Serviço</v>
      </c>
      <c r="E23" s="119" t="str">
        <f ca="1">OFFSET(ORÇAMENTO!O$15,ROW(E23)-ROW(E$15),0)</f>
        <v>1.1.0.6.</v>
      </c>
      <c r="F23" s="172" t="str">
        <f ca="1">OFFSET(ORÇAMENTO!R$15,ROW(F23)-ROW(F$15),0)</f>
        <v>(abra o arquivo 'Referência 03-2024.xlsm)</v>
      </c>
      <c r="G23" s="173" t="str">
        <f ca="1">IF($D23&lt;&gt;"Serviço","",OFFSET(ORÇAMENTO!S$15,ROW(G23)-ROW(G$15),0))</f>
        <v>-</v>
      </c>
      <c r="H23" s="124">
        <f ca="1">IF($D23&lt;&gt;"Serviço",0,IF(ACOMPANHAMENTO="BM",ROUND(OFFSET(ORÇAMENTO!AJ$15,ROW(H23)-ROW(H$15),0),15-13*ORÇAMENTO!$AF$7),SUMPRODUCT(($Q$12:$AA$12&lt;&gt;"")*ROUND($Q23:$AA23,15-13*ORÇAMENTO!$AF$7))))</f>
        <v>1</v>
      </c>
      <c r="I23" s="561"/>
      <c r="K23" s="174"/>
      <c r="L23" s="175" t="s">
        <v>255</v>
      </c>
      <c r="M23" s="176">
        <f ca="1">IF($D23&lt;&gt;"Serviço","",IF(AUTOEVENTO="manual",$A23,IF(ISERROR(MATCH($A23,$A$15:OFFSET($A23,-1,0),0)),MAX($M$15:OFFSET(M23,-1,0))+1,INDEX($M$15:OFFSET(M23,-1,0),MATCH($A23,$A$15:OFFSET($A23,-1,0),0)))))</f>
        <v>2</v>
      </c>
      <c r="N23" s="177" t="str">
        <f ca="1">IF($D23&lt;&gt;"Serviço","",IF(AUTOEVENTO="Manual",IF($A23=0,"&lt;-- defina o número do agrupador",OFFSET(EVENTOS!$D$14,$A23,0)),OFFSET($F$15,$A23,0)))</f>
        <v>SERVIÇOS INICIAIS E DRENO DE ÁGUAS PLUVIAIS</v>
      </c>
      <c r="O23" s="178"/>
      <c r="Q23" s="178"/>
      <c r="R23" s="179"/>
      <c r="S23" s="179"/>
      <c r="T23" s="179"/>
      <c r="U23" s="179"/>
      <c r="V23" s="179"/>
      <c r="W23" s="179"/>
      <c r="X23" s="179"/>
      <c r="Y23" s="179"/>
      <c r="Z23" s="180"/>
      <c r="AB23" s="544">
        <f ca="1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0</v>
      </c>
      <c r="AC23" s="545">
        <f ca="1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0</v>
      </c>
      <c r="AD23" s="545">
        <f ca="1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0</v>
      </c>
      <c r="AE23" s="545">
        <f ca="1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0</v>
      </c>
      <c r="AF23" s="545">
        <f ca="1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0</v>
      </c>
      <c r="AG23" s="545">
        <f ca="1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545">
        <f ca="1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545">
        <f ca="1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545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546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181">
        <f ca="1">IF($D23&lt;&gt;"Serviço",0,IF(AND(AUTOEVENTO="Manual",$M23=1),0,IF(OFFSET(CRONOPLE!$F$14,$M23,AM$13)="",10^12,OFFSET(CRONOPLE!$F$14,$M23,AM$13))))</f>
        <v>1000000000000</v>
      </c>
      <c r="AN23" s="181">
        <f ca="1">IF($D23&lt;&gt;"Serviço",0,IF(AND(AUTOEVENTO="Manual",$M23=1),0,IF(OFFSET(CRONOPLE!$F$14,$M23,AN$13)="",10^12,OFFSET(CRONOPLE!$F$14,$M23,AN$13))))</f>
        <v>1000000000000</v>
      </c>
      <c r="AO23" s="181">
        <f ca="1">IF($D23&lt;&gt;"Serviço",0,IF(AND(AUTOEVENTO="Manual",$M23=1),0,IF(OFFSET(CRONOPLE!$F$14,$M23,AO$13)="",10^12,OFFSET(CRONOPLE!$F$14,$M23,AO$13))))</f>
        <v>1000000000000</v>
      </c>
      <c r="AP23" s="181">
        <f ca="1">IF($D23&lt;&gt;"Serviço",0,IF(AND(AUTOEVENTO="Manual",$M23=1),0,IF(OFFSET(CRONOPLE!$F$14,$M23,AP$13)="",10^12,OFFSET(CRONOPLE!$F$14,$M23,AP$13))))</f>
        <v>1000000000000</v>
      </c>
      <c r="AQ23" s="181">
        <f ca="1">IF($D23&lt;&gt;"Serviço",0,IF(AND(AUTOEVENTO="Manual",$M23=1),0,IF(OFFSET(CRONOPLE!$F$14,$M23,AQ$13)="",10^12,OFFSET(CRONOPLE!$F$14,$M23,AQ$13))))</f>
        <v>1000000000000</v>
      </c>
      <c r="AR23" s="181">
        <f ca="1">IF($D23&lt;&gt;"Serviço",0,IF(AND(AUTOEVENTO="Manual",$M23=1),0,IF(OFFSET(CRONOPLE!$F$14,$M23,AR$13)="",10^12,OFFSET(CRONOPLE!$F$14,$M23,AR$13))))</f>
        <v>1000000000000</v>
      </c>
      <c r="AS23" s="181">
        <f ca="1">IF($D23&lt;&gt;"Serviço",0,IF(AND(AUTOEVENTO="Manual",$M23=1),0,IF(OFFSET(CRONOPLE!$F$14,$M23,AS$13)="",10^12,OFFSET(CRONOPLE!$F$14,$M23,AS$13))))</f>
        <v>1000000000000</v>
      </c>
      <c r="AT23" s="181">
        <f ca="1">IF($D23&lt;&gt;"Serviço",0,IF(AND(AUTOEVENTO="Manual",$M23=1),0,IF(OFFSET(CRONOPLE!$F$14,$M23,AT$13)="",10^12,OFFSET(CRONOPLE!$F$14,$M23,AT$13))))</f>
        <v>1000000000000</v>
      </c>
      <c r="AU23" s="181">
        <f ca="1">IF($D23&lt;&gt;"Serviço",0,IF(AND(AUTOEVENTO="Manual",$M23=1),0,IF(OFFSET(CRONOPLE!$F$14,$M23,AU$13)="",10^12,OFFSET(CRONOPLE!$F$14,$M23,AU$13))))</f>
        <v>1000000000000</v>
      </c>
      <c r="AV23" s="181">
        <f ca="1">IF($D23&lt;&gt;"Serviço",0,IF(AND(AUTOEVENTO="Manual",$M23=1),0,IF(OFFSET(CRONOPLE!$F$14,$M23,AV$13)="",10^12,OFFSET(CRONOPLE!$F$14,$M23,AV$13))))</f>
        <v>1000000000000</v>
      </c>
      <c r="AX23" s="182">
        <f ca="1">IF($D23&lt;&gt;"Serviço",0,IF(OR(AND(AUTOEVENTO="Manual",$M23=1),$M23&gt;(ROW(PLE.lastrow)-ROW(PLE.firstrow))),0,IF(OFFSET(PLE!$G$14,$M23,AX$13)="",10^12,OFFSET(PLE!$G$14,$M23,AX$13))))</f>
        <v>1000000000000</v>
      </c>
      <c r="AY23" s="182">
        <f ca="1">IF($D23&lt;&gt;"Serviço",0,IF(OR(AND(AUTOEVENTO="Manual",$M23=1),$M23&gt;(ROW(PLE.lastrow)-ROW(PLE.firstrow))),0,IF(OFFSET(PLE!$G$14,$M23,AY$13)="",10^12,OFFSET(PLE!$G$14,$M23,AY$13))))</f>
        <v>1000000000000</v>
      </c>
      <c r="AZ23" s="182">
        <f ca="1">IF($D23&lt;&gt;"Serviço",0,IF(OR(AND(AUTOEVENTO="Manual",$M23=1),$M23&gt;(ROW(PLE.lastrow)-ROW(PLE.firstrow))),0,IF(OFFSET(PLE!$G$14,$M23,AZ$13)="",10^12,OFFSET(PLE!$G$14,$M23,AZ$13))))</f>
        <v>1000000000000</v>
      </c>
      <c r="BA23" s="182">
        <f ca="1">IF($D23&lt;&gt;"Serviço",0,IF(OR(AND(AUTOEVENTO="Manual",$M23=1),$M23&gt;(ROW(PLE.lastrow)-ROW(PLE.firstrow))),0,IF(OFFSET(PLE!$G$14,$M23,BA$13)="",10^12,OFFSET(PLE!$G$14,$M23,BA$13))))</f>
        <v>1000000000000</v>
      </c>
      <c r="BB23" s="182">
        <f ca="1">IF($D23&lt;&gt;"Serviço",0,IF(OR(AND(AUTOEVENTO="Manual",$M23=1),$M23&gt;(ROW(PLE.lastrow)-ROW(PLE.firstrow))),0,IF(OFFSET(PLE!$G$14,$M23,BB$13)="",10^12,OFFSET(PLE!$G$14,$M23,BB$13))))</f>
        <v>1000000000000</v>
      </c>
      <c r="BC23" s="182">
        <f ca="1">IF($D23&lt;&gt;"Serviço",0,IF(OR(AND(AUTOEVENTO="Manual",$M23=1),$M23&gt;(ROW(PLE.lastrow)-ROW(PLE.firstrow))),0,IF(OFFSET(PLE!$G$14,$M23,BC$13)="",10^12,OFFSET(PLE!$G$14,$M23,BC$13))))</f>
        <v>1000000000000</v>
      </c>
      <c r="BD23" s="182">
        <f ca="1">IF($D23&lt;&gt;"Serviço",0,IF(OR(AND(AUTOEVENTO="Manual",$M23=1),$M23&gt;(ROW(PLE.lastrow)-ROW(PLE.firstrow))),0,IF(OFFSET(PLE!$G$14,$M23,BD$13)="",10^12,OFFSET(PLE!$G$14,$M23,BD$13))))</f>
        <v>1000000000000</v>
      </c>
      <c r="BE23" s="182">
        <f ca="1">IF($D23&lt;&gt;"Serviço",0,IF(OR(AND(AUTOEVENTO="Manual",$M23=1),$M23&gt;(ROW(PLE.lastrow)-ROW(PLE.firstrow))),0,IF(OFFSET(PLE!$G$14,$M23,BE$13)="",10^12,OFFSET(PLE!$G$14,$M23,BE$13))))</f>
        <v>1000000000000</v>
      </c>
      <c r="BF23" s="182">
        <f ca="1">IF($D23&lt;&gt;"Serviço",0,IF(OR(AND(AUTOEVENTO="Manual",$M23=1),$M23&gt;(ROW(PLE.lastrow)-ROW(PLE.firstrow))),0,IF(OFFSET(PLE!$G$14,$M23,BF$13)="",10^12,OFFSET(PLE!$G$14,$M23,BF$13))))</f>
        <v>1000000000000</v>
      </c>
      <c r="BG23" s="182">
        <f ca="1">IF($D23&lt;&gt;"Serviço",0,IF(OR(AND(AUTOEVENTO="Manual",$M23=1),$M23&gt;(ROW(PLE.lastrow)-ROW(PLE.firstrow))),0,IF(OFFSET(PLE!$G$14,$M23,BG$13)="",10^12,OFFSET(PLE!$G$14,$M23,BG$13))))</f>
        <v>1000000000000</v>
      </c>
    </row>
    <row r="24" spans="1:59" ht="25.5" x14ac:dyDescent="0.2">
      <c r="A24" s="7" t="str">
        <f t="shared" ca="1" si="8"/>
        <v>2</v>
      </c>
      <c r="B24" s="7" t="str">
        <f ca="1">OFFSET(ORÇAMENTO!C$15,ROW(B24)-ROW(B$15),0)</f>
        <v>S</v>
      </c>
      <c r="C24" s="7" t="str">
        <f ca="1">OFFSET(ORÇAMENTO!L$15,ROW(C24)-ROW(C$15),0)</f>
        <v>F</v>
      </c>
      <c r="D24" s="118" t="str">
        <f ca="1">OFFSET(ORÇAMENTO!N$15,ROW(D24)-ROW(D$15),0)</f>
        <v>Serviço</v>
      </c>
      <c r="E24" s="119" t="str">
        <f ca="1">OFFSET(ORÇAMENTO!O$15,ROW(E24)-ROW(E$15),0)</f>
        <v>1.1.0.7.</v>
      </c>
      <c r="F24" s="172" t="str">
        <f ca="1">OFFSET(ORÇAMENTO!R$15,ROW(F24)-ROW(F$15),0)</f>
        <v>(abra o arquivo 'Referência 03-2024.xlsm)</v>
      </c>
      <c r="G24" s="173" t="str">
        <f ca="1">IF($D24&lt;&gt;"Serviço","",OFFSET(ORÇAMENTO!S$15,ROW(G24)-ROW(G$15),0))</f>
        <v>-</v>
      </c>
      <c r="H24" s="124">
        <f ca="1">IF($D24&lt;&gt;"Serviço",0,IF(ACOMPANHAMENTO="BM",ROUND(OFFSET(ORÇAMENTO!AJ$15,ROW(H24)-ROW(H$15),0),15-13*ORÇAMENTO!$AF$7),SUMPRODUCT(($Q$12:$AA$12&lt;&gt;"")*ROUND($Q24:$AA24,15-13*ORÇAMENTO!$AF$7))))</f>
        <v>1</v>
      </c>
      <c r="I24" s="561"/>
      <c r="K24" s="174"/>
      <c r="L24" s="175" t="s">
        <v>255</v>
      </c>
      <c r="M24" s="176">
        <f ca="1">IF($D24&lt;&gt;"Serviço","",IF(AUTOEVENTO="manual",$A24,IF(ISERROR(MATCH($A24,$A$15:OFFSET($A24,-1,0),0)),MAX($M$15:OFFSET(M24,-1,0))+1,INDEX($M$15:OFFSET(M24,-1,0),MATCH($A24,$A$15:OFFSET($A24,-1,0),0)))))</f>
        <v>2</v>
      </c>
      <c r="N24" s="177" t="str">
        <f ca="1">IF($D24&lt;&gt;"Serviço","",IF(AUTOEVENTO="Manual",IF($A24=0,"&lt;-- defina o número do agrupador",OFFSET(EVENTOS!$D$14,$A24,0)),OFFSET($F$15,$A24,0)))</f>
        <v>SERVIÇOS INICIAIS E DRENO DE ÁGUAS PLUVIAIS</v>
      </c>
      <c r="O24" s="178"/>
      <c r="Q24" s="178"/>
      <c r="R24" s="179"/>
      <c r="S24" s="179"/>
      <c r="T24" s="179"/>
      <c r="U24" s="179"/>
      <c r="V24" s="179"/>
      <c r="W24" s="179"/>
      <c r="X24" s="179"/>
      <c r="Y24" s="179"/>
      <c r="Z24" s="180"/>
      <c r="AB24" s="544">
        <f ca="1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0</v>
      </c>
      <c r="AC24" s="545">
        <f ca="1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0</v>
      </c>
      <c r="AD24" s="545">
        <f ca="1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0</v>
      </c>
      <c r="AE24" s="545">
        <f ca="1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545">
        <f ca="1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0</v>
      </c>
      <c r="AG24" s="545">
        <f ca="1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545">
        <f ca="1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545">
        <f ca="1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545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546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181">
        <f ca="1">IF($D24&lt;&gt;"Serviço",0,IF(AND(AUTOEVENTO="Manual",$M24=1),0,IF(OFFSET(CRONOPLE!$F$14,$M24,AM$13)="",10^12,OFFSET(CRONOPLE!$F$14,$M24,AM$13))))</f>
        <v>1000000000000</v>
      </c>
      <c r="AN24" s="181">
        <f ca="1">IF($D24&lt;&gt;"Serviço",0,IF(AND(AUTOEVENTO="Manual",$M24=1),0,IF(OFFSET(CRONOPLE!$F$14,$M24,AN$13)="",10^12,OFFSET(CRONOPLE!$F$14,$M24,AN$13))))</f>
        <v>1000000000000</v>
      </c>
      <c r="AO24" s="181">
        <f ca="1">IF($D24&lt;&gt;"Serviço",0,IF(AND(AUTOEVENTO="Manual",$M24=1),0,IF(OFFSET(CRONOPLE!$F$14,$M24,AO$13)="",10^12,OFFSET(CRONOPLE!$F$14,$M24,AO$13))))</f>
        <v>1000000000000</v>
      </c>
      <c r="AP24" s="181">
        <f ca="1">IF($D24&lt;&gt;"Serviço",0,IF(AND(AUTOEVENTO="Manual",$M24=1),0,IF(OFFSET(CRONOPLE!$F$14,$M24,AP$13)="",10^12,OFFSET(CRONOPLE!$F$14,$M24,AP$13))))</f>
        <v>1000000000000</v>
      </c>
      <c r="AQ24" s="181">
        <f ca="1">IF($D24&lt;&gt;"Serviço",0,IF(AND(AUTOEVENTO="Manual",$M24=1),0,IF(OFFSET(CRONOPLE!$F$14,$M24,AQ$13)="",10^12,OFFSET(CRONOPLE!$F$14,$M24,AQ$13))))</f>
        <v>1000000000000</v>
      </c>
      <c r="AR24" s="181">
        <f ca="1">IF($D24&lt;&gt;"Serviço",0,IF(AND(AUTOEVENTO="Manual",$M24=1),0,IF(OFFSET(CRONOPLE!$F$14,$M24,AR$13)="",10^12,OFFSET(CRONOPLE!$F$14,$M24,AR$13))))</f>
        <v>1000000000000</v>
      </c>
      <c r="AS24" s="181">
        <f ca="1">IF($D24&lt;&gt;"Serviço",0,IF(AND(AUTOEVENTO="Manual",$M24=1),0,IF(OFFSET(CRONOPLE!$F$14,$M24,AS$13)="",10^12,OFFSET(CRONOPLE!$F$14,$M24,AS$13))))</f>
        <v>1000000000000</v>
      </c>
      <c r="AT24" s="181">
        <f ca="1">IF($D24&lt;&gt;"Serviço",0,IF(AND(AUTOEVENTO="Manual",$M24=1),0,IF(OFFSET(CRONOPLE!$F$14,$M24,AT$13)="",10^12,OFFSET(CRONOPLE!$F$14,$M24,AT$13))))</f>
        <v>1000000000000</v>
      </c>
      <c r="AU24" s="181">
        <f ca="1">IF($D24&lt;&gt;"Serviço",0,IF(AND(AUTOEVENTO="Manual",$M24=1),0,IF(OFFSET(CRONOPLE!$F$14,$M24,AU$13)="",10^12,OFFSET(CRONOPLE!$F$14,$M24,AU$13))))</f>
        <v>1000000000000</v>
      </c>
      <c r="AV24" s="181">
        <f ca="1">IF($D24&lt;&gt;"Serviço",0,IF(AND(AUTOEVENTO="Manual",$M24=1),0,IF(OFFSET(CRONOPLE!$F$14,$M24,AV$13)="",10^12,OFFSET(CRONOPLE!$F$14,$M24,AV$13))))</f>
        <v>1000000000000</v>
      </c>
      <c r="AX24" s="182">
        <f ca="1">IF($D24&lt;&gt;"Serviço",0,IF(OR(AND(AUTOEVENTO="Manual",$M24=1),$M24&gt;(ROW(PLE.lastrow)-ROW(PLE.firstrow))),0,IF(OFFSET(PLE!$G$14,$M24,AX$13)="",10^12,OFFSET(PLE!$G$14,$M24,AX$13))))</f>
        <v>1000000000000</v>
      </c>
      <c r="AY24" s="182">
        <f ca="1">IF($D24&lt;&gt;"Serviço",0,IF(OR(AND(AUTOEVENTO="Manual",$M24=1),$M24&gt;(ROW(PLE.lastrow)-ROW(PLE.firstrow))),0,IF(OFFSET(PLE!$G$14,$M24,AY$13)="",10^12,OFFSET(PLE!$G$14,$M24,AY$13))))</f>
        <v>1000000000000</v>
      </c>
      <c r="AZ24" s="182">
        <f ca="1">IF($D24&lt;&gt;"Serviço",0,IF(OR(AND(AUTOEVENTO="Manual",$M24=1),$M24&gt;(ROW(PLE.lastrow)-ROW(PLE.firstrow))),0,IF(OFFSET(PLE!$G$14,$M24,AZ$13)="",10^12,OFFSET(PLE!$G$14,$M24,AZ$13))))</f>
        <v>1000000000000</v>
      </c>
      <c r="BA24" s="182">
        <f ca="1">IF($D24&lt;&gt;"Serviço",0,IF(OR(AND(AUTOEVENTO="Manual",$M24=1),$M24&gt;(ROW(PLE.lastrow)-ROW(PLE.firstrow))),0,IF(OFFSET(PLE!$G$14,$M24,BA$13)="",10^12,OFFSET(PLE!$G$14,$M24,BA$13))))</f>
        <v>1000000000000</v>
      </c>
      <c r="BB24" s="182">
        <f ca="1">IF($D24&lt;&gt;"Serviço",0,IF(OR(AND(AUTOEVENTO="Manual",$M24=1),$M24&gt;(ROW(PLE.lastrow)-ROW(PLE.firstrow))),0,IF(OFFSET(PLE!$G$14,$M24,BB$13)="",10^12,OFFSET(PLE!$G$14,$M24,BB$13))))</f>
        <v>1000000000000</v>
      </c>
      <c r="BC24" s="182">
        <f ca="1">IF($D24&lt;&gt;"Serviço",0,IF(OR(AND(AUTOEVENTO="Manual",$M24=1),$M24&gt;(ROW(PLE.lastrow)-ROW(PLE.firstrow))),0,IF(OFFSET(PLE!$G$14,$M24,BC$13)="",10^12,OFFSET(PLE!$G$14,$M24,BC$13))))</f>
        <v>1000000000000</v>
      </c>
      <c r="BD24" s="182">
        <f ca="1">IF($D24&lt;&gt;"Serviço",0,IF(OR(AND(AUTOEVENTO="Manual",$M24=1),$M24&gt;(ROW(PLE.lastrow)-ROW(PLE.firstrow))),0,IF(OFFSET(PLE!$G$14,$M24,BD$13)="",10^12,OFFSET(PLE!$G$14,$M24,BD$13))))</f>
        <v>1000000000000</v>
      </c>
      <c r="BE24" s="182">
        <f ca="1">IF($D24&lt;&gt;"Serviço",0,IF(OR(AND(AUTOEVENTO="Manual",$M24=1),$M24&gt;(ROW(PLE.lastrow)-ROW(PLE.firstrow))),0,IF(OFFSET(PLE!$G$14,$M24,BE$13)="",10^12,OFFSET(PLE!$G$14,$M24,BE$13))))</f>
        <v>1000000000000</v>
      </c>
      <c r="BF24" s="182">
        <f ca="1">IF($D24&lt;&gt;"Serviço",0,IF(OR(AND(AUTOEVENTO="Manual",$M24=1),$M24&gt;(ROW(PLE.lastrow)-ROW(PLE.firstrow))),0,IF(OFFSET(PLE!$G$14,$M24,BF$13)="",10^12,OFFSET(PLE!$G$14,$M24,BF$13))))</f>
        <v>1000000000000</v>
      </c>
      <c r="BG24" s="18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25.5" x14ac:dyDescent="0.2">
      <c r="A25" s="7" t="str">
        <f t="shared" ca="1" si="8"/>
        <v>10.</v>
      </c>
      <c r="B25" s="7">
        <f ca="1">OFFSET(ORÇAMENTO!C$15,ROW(B25)-ROW(B$15),0)</f>
        <v>2</v>
      </c>
      <c r="C25" s="7" t="str">
        <f ca="1">OFFSET(ORÇAMENTO!L$15,ROW(C25)-ROW(C$15),0)</f>
        <v>F</v>
      </c>
      <c r="D25" s="118" t="str">
        <f ca="1">OFFSET(ORÇAMENTO!N$15,ROW(D25)-ROW(D$15),0)</f>
        <v>Nível 2</v>
      </c>
      <c r="E25" s="119" t="str">
        <f ca="1">OFFSET(ORÇAMENTO!O$15,ROW(E25)-ROW(E$15),0)</f>
        <v>1.2.</v>
      </c>
      <c r="F25" s="172" t="str">
        <f ca="1">OFFSET(ORÇAMENTO!R$15,ROW(F25)-ROW(F$15),0)</f>
        <v>INSTALAÇÕES HIDRÁULICAS - ENTRADA INDIVIDUALIZADA DE ÁGUA POTÁVEL E REDE ENTERRADA</v>
      </c>
      <c r="G25" s="173" t="str">
        <f ca="1">IF($D25&lt;&gt;"Serviço","",OFFSET(ORÇAMENTO!S$15,ROW(G25)-ROW(G$15),0))</f>
        <v/>
      </c>
      <c r="H25" s="124">
        <f ca="1">IF($D25&lt;&gt;"Serviço",0,IF(ACOMPANHAMENTO="BM",ROUND(OFFSET(ORÇAMENTO!AJ$15,ROW(H25)-ROW(H$15),0),15-13*ORÇAMENTO!$AF$7),SUMPRODUCT(($Q$12:$AA$12&lt;&gt;"")*ROUND($Q25:$AA25,15-13*ORÇAMENTO!$AF$7))))</f>
        <v>0</v>
      </c>
      <c r="I25" s="561"/>
      <c r="K25" s="174"/>
      <c r="L25" s="175" t="s">
        <v>255</v>
      </c>
      <c r="M25" s="176" t="str">
        <f ca="1">IF($D25&lt;&gt;"Serviço","",IF(AUTOEVENTO="manual",$A25,IF(ISERROR(MATCH($A25,$A$15:OFFSET($A25,-1,0),0)),MAX($M$15:OFFSET(M25,-1,0))+1,INDEX($M$15:OFFSET(M25,-1,0),MATCH($A25,$A$15:OFFSET($A25,-1,0),0)))))</f>
        <v/>
      </c>
      <c r="N25" s="177" t="str">
        <f ca="1">IF($D25&lt;&gt;"Serviço","",IF(AUTOEVENTO="Manual",IF($A25=0,"&lt;-- defina o número do agrupador",OFFSET(EVENTOS!$D$14,$A25,0)),OFFSET($F$15,$A25,0)))</f>
        <v/>
      </c>
      <c r="O25" s="178"/>
      <c r="Q25" s="178"/>
      <c r="R25" s="179"/>
      <c r="S25" s="179"/>
      <c r="T25" s="179"/>
      <c r="U25" s="179"/>
      <c r="V25" s="179"/>
      <c r="W25" s="179"/>
      <c r="X25" s="179"/>
      <c r="Y25" s="179"/>
      <c r="Z25" s="180"/>
      <c r="AB25" s="544">
        <f ca="1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545">
        <f ca="1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545">
        <f ca="1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545">
        <f ca="1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545">
        <f ca="1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545">
        <f ca="1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545">
        <f ca="1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545">
        <f ca="1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545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546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181">
        <f ca="1">IF($D25&lt;&gt;"Serviço",0,IF(AND(AUTOEVENTO="Manual",$M25=1),0,IF(OFFSET(CRONOPLE!$F$14,$M25,AM$13)="",10^12,OFFSET(CRONOPLE!$F$14,$M25,AM$13))))</f>
        <v>0</v>
      </c>
      <c r="AN25" s="181">
        <f ca="1">IF($D25&lt;&gt;"Serviço",0,IF(AND(AUTOEVENTO="Manual",$M25=1),0,IF(OFFSET(CRONOPLE!$F$14,$M25,AN$13)="",10^12,OFFSET(CRONOPLE!$F$14,$M25,AN$13))))</f>
        <v>0</v>
      </c>
      <c r="AO25" s="181">
        <f ca="1">IF($D25&lt;&gt;"Serviço",0,IF(AND(AUTOEVENTO="Manual",$M25=1),0,IF(OFFSET(CRONOPLE!$F$14,$M25,AO$13)="",10^12,OFFSET(CRONOPLE!$F$14,$M25,AO$13))))</f>
        <v>0</v>
      </c>
      <c r="AP25" s="181">
        <f ca="1">IF($D25&lt;&gt;"Serviço",0,IF(AND(AUTOEVENTO="Manual",$M25=1),0,IF(OFFSET(CRONOPLE!$F$14,$M25,AP$13)="",10^12,OFFSET(CRONOPLE!$F$14,$M25,AP$13))))</f>
        <v>0</v>
      </c>
      <c r="AQ25" s="181">
        <f ca="1">IF($D25&lt;&gt;"Serviço",0,IF(AND(AUTOEVENTO="Manual",$M25=1),0,IF(OFFSET(CRONOPLE!$F$14,$M25,AQ$13)="",10^12,OFFSET(CRONOPLE!$F$14,$M25,AQ$13))))</f>
        <v>0</v>
      </c>
      <c r="AR25" s="181">
        <f ca="1">IF($D25&lt;&gt;"Serviço",0,IF(AND(AUTOEVENTO="Manual",$M25=1),0,IF(OFFSET(CRONOPLE!$F$14,$M25,AR$13)="",10^12,OFFSET(CRONOPLE!$F$14,$M25,AR$13))))</f>
        <v>0</v>
      </c>
      <c r="AS25" s="181">
        <f ca="1">IF($D25&lt;&gt;"Serviço",0,IF(AND(AUTOEVENTO="Manual",$M25=1),0,IF(OFFSET(CRONOPLE!$F$14,$M25,AS$13)="",10^12,OFFSET(CRONOPLE!$F$14,$M25,AS$13))))</f>
        <v>0</v>
      </c>
      <c r="AT25" s="181">
        <f ca="1">IF($D25&lt;&gt;"Serviço",0,IF(AND(AUTOEVENTO="Manual",$M25=1),0,IF(OFFSET(CRONOPLE!$F$14,$M25,AT$13)="",10^12,OFFSET(CRONOPLE!$F$14,$M25,AT$13))))</f>
        <v>0</v>
      </c>
      <c r="AU25" s="181">
        <f ca="1">IF($D25&lt;&gt;"Serviço",0,IF(AND(AUTOEVENTO="Manual",$M25=1),0,IF(OFFSET(CRONOPLE!$F$14,$M25,AU$13)="",10^12,OFFSET(CRONOPLE!$F$14,$M25,AU$13))))</f>
        <v>0</v>
      </c>
      <c r="AV25" s="181">
        <f ca="1">IF($D25&lt;&gt;"Serviço",0,IF(AND(AUTOEVENTO="Manual",$M25=1),0,IF(OFFSET(CRONOPLE!$F$14,$M25,AV$13)="",10^12,OFFSET(CRONOPLE!$F$14,$M25,AV$13))))</f>
        <v>0</v>
      </c>
      <c r="AX25" s="182">
        <f ca="1">IF($D25&lt;&gt;"Serviço",0,IF(OR(AND(AUTOEVENTO="Manual",$M25=1),$M25&gt;(ROW(PLE.lastrow)-ROW(PLE.firstrow))),0,IF(OFFSET(PLE!$G$14,$M25,AX$13)="",10^12,OFFSET(PLE!$G$14,$M25,AX$13))))</f>
        <v>0</v>
      </c>
      <c r="AY25" s="182">
        <f ca="1">IF($D25&lt;&gt;"Serviço",0,IF(OR(AND(AUTOEVENTO="Manual",$M25=1),$M25&gt;(ROW(PLE.lastrow)-ROW(PLE.firstrow))),0,IF(OFFSET(PLE!$G$14,$M25,AY$13)="",10^12,OFFSET(PLE!$G$14,$M25,AY$13))))</f>
        <v>0</v>
      </c>
      <c r="AZ25" s="182">
        <f ca="1">IF($D25&lt;&gt;"Serviço",0,IF(OR(AND(AUTOEVENTO="Manual",$M25=1),$M25&gt;(ROW(PLE.lastrow)-ROW(PLE.firstrow))),0,IF(OFFSET(PLE!$G$14,$M25,AZ$13)="",10^12,OFFSET(PLE!$G$14,$M25,AZ$13))))</f>
        <v>0</v>
      </c>
      <c r="BA25" s="182">
        <f ca="1">IF($D25&lt;&gt;"Serviço",0,IF(OR(AND(AUTOEVENTO="Manual",$M25=1),$M25&gt;(ROW(PLE.lastrow)-ROW(PLE.firstrow))),0,IF(OFFSET(PLE!$G$14,$M25,BA$13)="",10^12,OFFSET(PLE!$G$14,$M25,BA$13))))</f>
        <v>0</v>
      </c>
      <c r="BB25" s="182">
        <f ca="1">IF($D25&lt;&gt;"Serviço",0,IF(OR(AND(AUTOEVENTO="Manual",$M25=1),$M25&gt;(ROW(PLE.lastrow)-ROW(PLE.firstrow))),0,IF(OFFSET(PLE!$G$14,$M25,BB$13)="",10^12,OFFSET(PLE!$G$14,$M25,BB$13))))</f>
        <v>0</v>
      </c>
      <c r="BC25" s="182">
        <f ca="1">IF($D25&lt;&gt;"Serviço",0,IF(OR(AND(AUTOEVENTO="Manual",$M25=1),$M25&gt;(ROW(PLE.lastrow)-ROW(PLE.firstrow))),0,IF(OFFSET(PLE!$G$14,$M25,BC$13)="",10^12,OFFSET(PLE!$G$14,$M25,BC$13))))</f>
        <v>0</v>
      </c>
      <c r="BD25" s="182">
        <f ca="1">IF($D25&lt;&gt;"Serviço",0,IF(OR(AND(AUTOEVENTO="Manual",$M25=1),$M25&gt;(ROW(PLE.lastrow)-ROW(PLE.firstrow))),0,IF(OFFSET(PLE!$G$14,$M25,BD$13)="",10^12,OFFSET(PLE!$G$14,$M25,BD$13))))</f>
        <v>0</v>
      </c>
      <c r="BE25" s="182">
        <f ca="1">IF($D25&lt;&gt;"Serviço",0,IF(OR(AND(AUTOEVENTO="Manual",$M25=1),$M25&gt;(ROW(PLE.lastrow)-ROW(PLE.firstrow))),0,IF(OFFSET(PLE!$G$14,$M25,BE$13)="",10^12,OFFSET(PLE!$G$14,$M25,BE$13))))</f>
        <v>0</v>
      </c>
      <c r="BF25" s="182">
        <f ca="1">IF($D25&lt;&gt;"Serviço",0,IF(OR(AND(AUTOEVENTO="Manual",$M25=1),$M25&gt;(ROW(PLE.lastrow)-ROW(PLE.firstrow))),0,IF(OFFSET(PLE!$G$14,$M25,BF$13)="",10^12,OFFSET(PLE!$G$14,$M25,BF$13))))</f>
        <v>0</v>
      </c>
      <c r="BG25" s="182">
        <f ca="1">IF($D25&lt;&gt;"Serviço",0,IF(OR(AND(AUTOEVENTO="Manual",$M25=1),$M25&gt;(ROW(PLE.lastrow)-ROW(PLE.firstrow))),0,IF(OFFSET(PLE!$G$14,$M25,BG$13)="",10^12,OFFSET(PLE!$G$14,$M25,BG$13))))</f>
        <v>0</v>
      </c>
    </row>
    <row r="26" spans="1:59" ht="51" x14ac:dyDescent="0.2">
      <c r="A26" s="7" t="str">
        <f t="shared" ca="1" si="8"/>
        <v>10</v>
      </c>
      <c r="B26" s="7" t="str">
        <f ca="1">OFFSET(ORÇAMENTO!C$15,ROW(B26)-ROW(B$15),0)</f>
        <v>S</v>
      </c>
      <c r="C26" s="7" t="str">
        <f ca="1">OFFSET(ORÇAMENTO!L$15,ROW(C26)-ROW(C$15),0)</f>
        <v>F</v>
      </c>
      <c r="D26" s="118" t="str">
        <f ca="1">OFFSET(ORÇAMENTO!N$15,ROW(D26)-ROW(D$15),0)</f>
        <v>Serviço</v>
      </c>
      <c r="E26" s="119" t="str">
        <f ca="1">OFFSET(ORÇAMENTO!O$15,ROW(E26)-ROW(E$15),0)</f>
        <v>1.2.0.1.</v>
      </c>
      <c r="F26" s="172" t="str">
        <f ca="1">OFFSET(ORÇAMENTO!R$15,ROW(F26)-ROW(F$15),0)</f>
        <v>(abra o arquivo 'Referência 03-2024.xlsm)</v>
      </c>
      <c r="G26" s="173" t="str">
        <f ca="1">IF($D26&lt;&gt;"Serviço","",OFFSET(ORÇAMENTO!S$15,ROW(G26)-ROW(G$15),0))</f>
        <v>-</v>
      </c>
      <c r="H26" s="124">
        <f ca="1">IF($D26&lt;&gt;"Serviço",0,IF(ACOMPANHAMENTO="BM",ROUND(OFFSET(ORÇAMENTO!AJ$15,ROW(H26)-ROW(H$15),0),15-13*ORÇAMENTO!$AF$7),SUMPRODUCT(($Q$12:$AA$12&lt;&gt;"")*ROUND($Q26:$AA26,15-13*ORÇAMENTO!$AF$7))))</f>
        <v>0.15</v>
      </c>
      <c r="I26" s="561"/>
      <c r="K26" s="174"/>
      <c r="L26" s="175" t="s">
        <v>255</v>
      </c>
      <c r="M26" s="176">
        <f ca="1">IF($D26&lt;&gt;"Serviço","",IF(AUTOEVENTO="manual",$A26,IF(ISERROR(MATCH($A26,$A$15:OFFSET($A26,-1,0),0)),MAX($M$15:OFFSET(M26,-1,0))+1,INDEX($M$15:OFFSET(M26,-1,0),MATCH($A26,$A$15:OFFSET($A26,-1,0),0)))))</f>
        <v>3</v>
      </c>
      <c r="N26" s="177" t="str">
        <f ca="1">IF($D26&lt;&gt;"Serviço","",IF(AUTOEVENTO="Manual",IF($A26=0,"&lt;-- defina o número do agrupador",OFFSET(EVENTOS!$D$14,$A26,0)),OFFSET($F$15,$A26,0)))</f>
        <v>INSTALAÇÕES HIDRÁULICAS - ENTRADA INDIVIDUALIZADA DE ÁGUA POTÁVEL E REDE ENTERRADA</v>
      </c>
      <c r="O26" s="178"/>
      <c r="Q26" s="178"/>
      <c r="R26" s="179"/>
      <c r="S26" s="179"/>
      <c r="T26" s="179"/>
      <c r="U26" s="179"/>
      <c r="V26" s="179"/>
      <c r="W26" s="179"/>
      <c r="X26" s="179"/>
      <c r="Y26" s="179"/>
      <c r="Z26" s="180"/>
      <c r="AB26" s="544">
        <f ca="1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0</v>
      </c>
      <c r="AC26" s="545">
        <f ca="1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0</v>
      </c>
      <c r="AD26" s="545">
        <f ca="1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0</v>
      </c>
      <c r="AE26" s="545">
        <f ca="1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0</v>
      </c>
      <c r="AF26" s="545">
        <f ca="1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545">
        <f ca="1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545">
        <f ca="1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545">
        <f ca="1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545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546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181">
        <f ca="1">IF($D26&lt;&gt;"Serviço",0,IF(AND(AUTOEVENTO="Manual",$M26=1),0,IF(OFFSET(CRONOPLE!$F$14,$M26,AM$13)="",10^12,OFFSET(CRONOPLE!$F$14,$M26,AM$13))))</f>
        <v>1000000000000</v>
      </c>
      <c r="AN26" s="181">
        <f ca="1">IF($D26&lt;&gt;"Serviço",0,IF(AND(AUTOEVENTO="Manual",$M26=1),0,IF(OFFSET(CRONOPLE!$F$14,$M26,AN$13)="",10^12,OFFSET(CRONOPLE!$F$14,$M26,AN$13))))</f>
        <v>1000000000000</v>
      </c>
      <c r="AO26" s="181">
        <f ca="1">IF($D26&lt;&gt;"Serviço",0,IF(AND(AUTOEVENTO="Manual",$M26=1),0,IF(OFFSET(CRONOPLE!$F$14,$M26,AO$13)="",10^12,OFFSET(CRONOPLE!$F$14,$M26,AO$13))))</f>
        <v>1000000000000</v>
      </c>
      <c r="AP26" s="181">
        <f ca="1">IF($D26&lt;&gt;"Serviço",0,IF(AND(AUTOEVENTO="Manual",$M26=1),0,IF(OFFSET(CRONOPLE!$F$14,$M26,AP$13)="",10^12,OFFSET(CRONOPLE!$F$14,$M26,AP$13))))</f>
        <v>1000000000000</v>
      </c>
      <c r="AQ26" s="181">
        <f ca="1">IF($D26&lt;&gt;"Serviço",0,IF(AND(AUTOEVENTO="Manual",$M26=1),0,IF(OFFSET(CRONOPLE!$F$14,$M26,AQ$13)="",10^12,OFFSET(CRONOPLE!$F$14,$M26,AQ$13))))</f>
        <v>1000000000000</v>
      </c>
      <c r="AR26" s="181">
        <f ca="1">IF($D26&lt;&gt;"Serviço",0,IF(AND(AUTOEVENTO="Manual",$M26=1),0,IF(OFFSET(CRONOPLE!$F$14,$M26,AR$13)="",10^12,OFFSET(CRONOPLE!$F$14,$M26,AR$13))))</f>
        <v>1000000000000</v>
      </c>
      <c r="AS26" s="181">
        <f ca="1">IF($D26&lt;&gt;"Serviço",0,IF(AND(AUTOEVENTO="Manual",$M26=1),0,IF(OFFSET(CRONOPLE!$F$14,$M26,AS$13)="",10^12,OFFSET(CRONOPLE!$F$14,$M26,AS$13))))</f>
        <v>1000000000000</v>
      </c>
      <c r="AT26" s="181">
        <f ca="1">IF($D26&lt;&gt;"Serviço",0,IF(AND(AUTOEVENTO="Manual",$M26=1),0,IF(OFFSET(CRONOPLE!$F$14,$M26,AT$13)="",10^12,OFFSET(CRONOPLE!$F$14,$M26,AT$13))))</f>
        <v>1000000000000</v>
      </c>
      <c r="AU26" s="181">
        <f ca="1">IF($D26&lt;&gt;"Serviço",0,IF(AND(AUTOEVENTO="Manual",$M26=1),0,IF(OFFSET(CRONOPLE!$F$14,$M26,AU$13)="",10^12,OFFSET(CRONOPLE!$F$14,$M26,AU$13))))</f>
        <v>1000000000000</v>
      </c>
      <c r="AV26" s="181">
        <f ca="1">IF($D26&lt;&gt;"Serviço",0,IF(AND(AUTOEVENTO="Manual",$M26=1),0,IF(OFFSET(CRONOPLE!$F$14,$M26,AV$13)="",10^12,OFFSET(CRONOPLE!$F$14,$M26,AV$13))))</f>
        <v>1000000000000</v>
      </c>
      <c r="AX26" s="182">
        <f ca="1">IF($D26&lt;&gt;"Serviço",0,IF(OR(AND(AUTOEVENTO="Manual",$M26=1),$M26&gt;(ROW(PLE.lastrow)-ROW(PLE.firstrow))),0,IF(OFFSET(PLE!$G$14,$M26,AX$13)="",10^12,OFFSET(PLE!$G$14,$M26,AX$13))))</f>
        <v>1000000000000</v>
      </c>
      <c r="AY26" s="182">
        <f ca="1">IF($D26&lt;&gt;"Serviço",0,IF(OR(AND(AUTOEVENTO="Manual",$M26=1),$M26&gt;(ROW(PLE.lastrow)-ROW(PLE.firstrow))),0,IF(OFFSET(PLE!$G$14,$M26,AY$13)="",10^12,OFFSET(PLE!$G$14,$M26,AY$13))))</f>
        <v>1000000000000</v>
      </c>
      <c r="AZ26" s="182">
        <f ca="1">IF($D26&lt;&gt;"Serviço",0,IF(OR(AND(AUTOEVENTO="Manual",$M26=1),$M26&gt;(ROW(PLE.lastrow)-ROW(PLE.firstrow))),0,IF(OFFSET(PLE!$G$14,$M26,AZ$13)="",10^12,OFFSET(PLE!$G$14,$M26,AZ$13))))</f>
        <v>1000000000000</v>
      </c>
      <c r="BA26" s="182">
        <f ca="1">IF($D26&lt;&gt;"Serviço",0,IF(OR(AND(AUTOEVENTO="Manual",$M26=1),$M26&gt;(ROW(PLE.lastrow)-ROW(PLE.firstrow))),0,IF(OFFSET(PLE!$G$14,$M26,BA$13)="",10^12,OFFSET(PLE!$G$14,$M26,BA$13))))</f>
        <v>1000000000000</v>
      </c>
      <c r="BB26" s="182">
        <f ca="1">IF($D26&lt;&gt;"Serviço",0,IF(OR(AND(AUTOEVENTO="Manual",$M26=1),$M26&gt;(ROW(PLE.lastrow)-ROW(PLE.firstrow))),0,IF(OFFSET(PLE!$G$14,$M26,BB$13)="",10^12,OFFSET(PLE!$G$14,$M26,BB$13))))</f>
        <v>1000000000000</v>
      </c>
      <c r="BC26" s="182">
        <f ca="1">IF($D26&lt;&gt;"Serviço",0,IF(OR(AND(AUTOEVENTO="Manual",$M26=1),$M26&gt;(ROW(PLE.lastrow)-ROW(PLE.firstrow))),0,IF(OFFSET(PLE!$G$14,$M26,BC$13)="",10^12,OFFSET(PLE!$G$14,$M26,BC$13))))</f>
        <v>1000000000000</v>
      </c>
      <c r="BD26" s="182">
        <f ca="1">IF($D26&lt;&gt;"Serviço",0,IF(OR(AND(AUTOEVENTO="Manual",$M26=1),$M26&gt;(ROW(PLE.lastrow)-ROW(PLE.firstrow))),0,IF(OFFSET(PLE!$G$14,$M26,BD$13)="",10^12,OFFSET(PLE!$G$14,$M26,BD$13))))</f>
        <v>1000000000000</v>
      </c>
      <c r="BE26" s="182">
        <f ca="1">IF($D26&lt;&gt;"Serviço",0,IF(OR(AND(AUTOEVENTO="Manual",$M26=1),$M26&gt;(ROW(PLE.lastrow)-ROW(PLE.firstrow))),0,IF(OFFSET(PLE!$G$14,$M26,BE$13)="",10^12,OFFSET(PLE!$G$14,$M26,BE$13))))</f>
        <v>1000000000000</v>
      </c>
      <c r="BF26" s="182">
        <f ca="1">IF($D26&lt;&gt;"Serviço",0,IF(OR(AND(AUTOEVENTO="Manual",$M26=1),$M26&gt;(ROW(PLE.lastrow)-ROW(PLE.firstrow))),0,IF(OFFSET(PLE!$G$14,$M26,BF$13)="",10^12,OFFSET(PLE!$G$14,$M26,BF$13))))</f>
        <v>1000000000000</v>
      </c>
      <c r="BG26" s="182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51" x14ac:dyDescent="0.2">
      <c r="A27" s="7" t="str">
        <f t="shared" ca="1" si="8"/>
        <v>10</v>
      </c>
      <c r="B27" s="7" t="str">
        <f ca="1">OFFSET(ORÇAMENTO!C$15,ROW(B27)-ROW(B$15),0)</f>
        <v>S</v>
      </c>
      <c r="C27" s="7" t="str">
        <f ca="1">OFFSET(ORÇAMENTO!L$15,ROW(C27)-ROW(C$15),0)</f>
        <v>F</v>
      </c>
      <c r="D27" s="118" t="str">
        <f ca="1">OFFSET(ORÇAMENTO!N$15,ROW(D27)-ROW(D$15),0)</f>
        <v>Serviço</v>
      </c>
      <c r="E27" s="119" t="str">
        <f ca="1">OFFSET(ORÇAMENTO!O$15,ROW(E27)-ROW(E$15),0)</f>
        <v>1.2.0.2.</v>
      </c>
      <c r="F27" s="172" t="str">
        <f ca="1">OFFSET(ORÇAMENTO!R$15,ROW(F27)-ROW(F$15),0)</f>
        <v>(abra o arquivo 'Referência 03-2024.xlsm)</v>
      </c>
      <c r="G27" s="173" t="str">
        <f ca="1">IF($D27&lt;&gt;"Serviço","",OFFSET(ORÇAMENTO!S$15,ROW(G27)-ROW(G$15),0))</f>
        <v>-</v>
      </c>
      <c r="H27" s="124">
        <f ca="1">IF($D27&lt;&gt;"Serviço",0,IF(ACOMPANHAMENTO="BM",ROUND(OFFSET(ORÇAMENTO!AJ$15,ROW(H27)-ROW(H$15),0),15-13*ORÇAMENTO!$AF$7),SUMPRODUCT(($Q$12:$AA$12&lt;&gt;"")*ROUND($Q27:$AA27,15-13*ORÇAMENTO!$AF$7))))</f>
        <v>0.06</v>
      </c>
      <c r="I27" s="561"/>
      <c r="K27" s="174"/>
      <c r="L27" s="175" t="s">
        <v>255</v>
      </c>
      <c r="M27" s="176">
        <f ca="1">IF($D27&lt;&gt;"Serviço","",IF(AUTOEVENTO="manual",$A27,IF(ISERROR(MATCH($A27,$A$15:OFFSET($A27,-1,0),0)),MAX($M$15:OFFSET(M27,-1,0))+1,INDEX($M$15:OFFSET(M27,-1,0),MATCH($A27,$A$15:OFFSET($A27,-1,0),0)))))</f>
        <v>3</v>
      </c>
      <c r="N27" s="177" t="str">
        <f ca="1">IF($D27&lt;&gt;"Serviço","",IF(AUTOEVENTO="Manual",IF($A27=0,"&lt;-- defina o número do agrupador",OFFSET(EVENTOS!$D$14,$A27,0)),OFFSET($F$15,$A27,0)))</f>
        <v>INSTALAÇÕES HIDRÁULICAS - ENTRADA INDIVIDUALIZADA DE ÁGUA POTÁVEL E REDE ENTERRADA</v>
      </c>
      <c r="O27" s="178"/>
      <c r="Q27" s="178"/>
      <c r="R27" s="179"/>
      <c r="S27" s="179"/>
      <c r="T27" s="179"/>
      <c r="U27" s="179"/>
      <c r="V27" s="179"/>
      <c r="W27" s="179"/>
      <c r="X27" s="179"/>
      <c r="Y27" s="179"/>
      <c r="Z27" s="180"/>
      <c r="AB27" s="544">
        <f ca="1">IF(AND($D27="Serviço",AB$12&lt;&gt;0,$H27&gt;0,OR(AUTOEVENTO&lt;&gt;"manual",$M27&lt;&gt;1)),
IF(Import.TipoArredondamento&lt;&gt;"TransfereGOV",
ROUND(OFFSET($P27,0,AB$13),15-13*ORÇAMENTO!$AF$7)/$H27*OFFSET(ORÇAMENTO!$X$15,ROW(AB27)-ROW(AB$15),0),
ROUND(ROUND(OFFSET($P27,0,AB$13),15-13*ORÇAMENTO!$AF$7)*OFFSET(ORÇAMENTO!$W$15,ROW(AB27)-ROW(AB$15),0),15-13*ORÇAMENTO!$AF$11)),0)</f>
        <v>0</v>
      </c>
      <c r="AC27" s="545">
        <f ca="1">IF(AND($D27="Serviço",AC$12&lt;&gt;0,$H27&gt;0,OR(AUTOEVENTO&lt;&gt;"manual",$M27&lt;&gt;1)),
IF(Import.TipoArredondamento&lt;&gt;"TransfereGOV",
ROUND(OFFSET($P27,0,AC$13),15-13*ORÇAMENTO!$AF$7)/$H27*OFFSET(ORÇAMENTO!$X$15,ROW(AC27)-ROW(AC$15),0),
ROUND(ROUND(OFFSET($P27,0,AC$13),15-13*ORÇAMENTO!$AF$7)*OFFSET(ORÇAMENTO!$W$15,ROW(AC27)-ROW(AC$15),0),15-13*ORÇAMENTO!$AF$11)),0)</f>
        <v>0</v>
      </c>
      <c r="AD27" s="545">
        <f ca="1">IF(AND($D27="Serviço",AD$12&lt;&gt;0,$H27&gt;0,OR(AUTOEVENTO&lt;&gt;"manual",$M27&lt;&gt;1)),
IF(Import.TipoArredondamento&lt;&gt;"TransfereGOV",
ROUND(OFFSET($P27,0,AD$13),15-13*ORÇAMENTO!$AF$7)/$H27*OFFSET(ORÇAMENTO!$X$15,ROW(AD27)-ROW(AD$15),0),
ROUND(ROUND(OFFSET($P27,0,AD$13),15-13*ORÇAMENTO!$AF$7)*OFFSET(ORÇAMENTO!$W$15,ROW(AD27)-ROW(AD$15),0),15-13*ORÇAMENTO!$AF$11)),0)</f>
        <v>0</v>
      </c>
      <c r="AE27" s="545">
        <f ca="1">IF(AND($D27="Serviço",AE$12&lt;&gt;0,$H27&gt;0,OR(AUTOEVENTO&lt;&gt;"manual",$M27&lt;&gt;1)),
IF(Import.TipoArredondamento&lt;&gt;"TransfereGOV",
ROUND(OFFSET($P27,0,AE$13),15-13*ORÇAMENTO!$AF$7)/$H27*OFFSET(ORÇAMENTO!$X$15,ROW(AE27)-ROW(AE$15),0),
ROUND(ROUND(OFFSET($P27,0,AE$13),15-13*ORÇAMENTO!$AF$7)*OFFSET(ORÇAMENTO!$W$15,ROW(AE27)-ROW(AE$15),0),15-13*ORÇAMENTO!$AF$11)),0)</f>
        <v>0</v>
      </c>
      <c r="AF27" s="545">
        <f ca="1">IF(AND($D27="Serviço",AF$12&lt;&gt;0,$H27&gt;0,OR(AUTOEVENTO&lt;&gt;"manual",$M27&lt;&gt;1)),
IF(Import.TipoArredondamento&lt;&gt;"TransfereGOV",
ROUND(OFFSET($P27,0,AF$13),15-13*ORÇAMENTO!$AF$7)/$H27*OFFSET(ORÇAMENTO!$X$15,ROW(AF27)-ROW(AF$15),0),
ROUND(ROUND(OFFSET($P27,0,AF$13),15-13*ORÇAMENTO!$AF$7)*OFFSET(ORÇAMENTO!$W$15,ROW(AF27)-ROW(AF$15),0),15-13*ORÇAMENTO!$AF$11)),0)</f>
        <v>0</v>
      </c>
      <c r="AG27" s="545">
        <f ca="1">IF(AND($D27="Serviço",AG$12&lt;&gt;0,$H27&gt;0,OR(AUTOEVENTO&lt;&gt;"manual",$M27&lt;&gt;1)),
IF(Import.TipoArredondamento&lt;&gt;"TransfereGOV",
ROUND(OFFSET($P27,0,AG$13),15-13*ORÇAMENTO!$AF$7)/$H27*OFFSET(ORÇAMENTO!$X$15,ROW(AG27)-ROW(AG$15),0),
ROUND(ROUND(OFFSET($P27,0,AG$13),15-13*ORÇAMENTO!$AF$7)*OFFSET(ORÇAMENTO!$W$15,ROW(AG27)-ROW(AG$15),0),15-13*ORÇAMENTO!$AF$11)),0)</f>
        <v>0</v>
      </c>
      <c r="AH27" s="545">
        <f ca="1">IF(AND($D27="Serviço",AH$12&lt;&gt;0,$H27&gt;0,OR(AUTOEVENTO&lt;&gt;"manual",$M27&lt;&gt;1)),
IF(Import.TipoArredondamento&lt;&gt;"TransfereGOV",
ROUND(OFFSET($P27,0,AH$13),15-13*ORÇAMENTO!$AF$7)/$H27*OFFSET(ORÇAMENTO!$X$15,ROW(AH27)-ROW(AH$15),0),
ROUND(ROUND(OFFSET($P27,0,AH$13),15-13*ORÇAMENTO!$AF$7)*OFFSET(ORÇAMENTO!$W$15,ROW(AH27)-ROW(AH$15),0),15-13*ORÇAMENTO!$AF$11)),0)</f>
        <v>0</v>
      </c>
      <c r="AI27" s="545">
        <f ca="1">IF(AND($D27="Serviço",AI$12&lt;&gt;0,$H27&gt;0,OR(AUTOEVENTO&lt;&gt;"manual",$M27&lt;&gt;1)),
IF(Import.TipoArredondamento&lt;&gt;"TransfereGOV",
ROUND(OFFSET($P27,0,AI$13),15-13*ORÇAMENTO!$AF$7)/$H27*OFFSET(ORÇAMENTO!$X$15,ROW(AI27)-ROW(AI$15),0),
ROUND(ROUND(OFFSET($P27,0,AI$13),15-13*ORÇAMENTO!$AF$7)*OFFSET(ORÇAMENTO!$W$15,ROW(AI27)-ROW(AI$15),0),15-13*ORÇAMENTO!$AF$11)),0)</f>
        <v>0</v>
      </c>
      <c r="AJ27" s="545">
        <f ca="1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546">
        <f ca="1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M27" s="181">
        <f ca="1">IF($D27&lt;&gt;"Serviço",0,IF(AND(AUTOEVENTO="Manual",$M27=1),0,IF(OFFSET(CRONOPLE!$F$14,$M27,AM$13)="",10^12,OFFSET(CRONOPLE!$F$14,$M27,AM$13))))</f>
        <v>1000000000000</v>
      </c>
      <c r="AN27" s="181">
        <f ca="1">IF($D27&lt;&gt;"Serviço",0,IF(AND(AUTOEVENTO="Manual",$M27=1),0,IF(OFFSET(CRONOPLE!$F$14,$M27,AN$13)="",10^12,OFFSET(CRONOPLE!$F$14,$M27,AN$13))))</f>
        <v>1000000000000</v>
      </c>
      <c r="AO27" s="181">
        <f ca="1">IF($D27&lt;&gt;"Serviço",0,IF(AND(AUTOEVENTO="Manual",$M27=1),0,IF(OFFSET(CRONOPLE!$F$14,$M27,AO$13)="",10^12,OFFSET(CRONOPLE!$F$14,$M27,AO$13))))</f>
        <v>1000000000000</v>
      </c>
      <c r="AP27" s="181">
        <f ca="1">IF($D27&lt;&gt;"Serviço",0,IF(AND(AUTOEVENTO="Manual",$M27=1),0,IF(OFFSET(CRONOPLE!$F$14,$M27,AP$13)="",10^12,OFFSET(CRONOPLE!$F$14,$M27,AP$13))))</f>
        <v>1000000000000</v>
      </c>
      <c r="AQ27" s="181">
        <f ca="1">IF($D27&lt;&gt;"Serviço",0,IF(AND(AUTOEVENTO="Manual",$M27=1),0,IF(OFFSET(CRONOPLE!$F$14,$M27,AQ$13)="",10^12,OFFSET(CRONOPLE!$F$14,$M27,AQ$13))))</f>
        <v>1000000000000</v>
      </c>
      <c r="AR27" s="181">
        <f ca="1">IF($D27&lt;&gt;"Serviço",0,IF(AND(AUTOEVENTO="Manual",$M27=1),0,IF(OFFSET(CRONOPLE!$F$14,$M27,AR$13)="",10^12,OFFSET(CRONOPLE!$F$14,$M27,AR$13))))</f>
        <v>1000000000000</v>
      </c>
      <c r="AS27" s="181">
        <f ca="1">IF($D27&lt;&gt;"Serviço",0,IF(AND(AUTOEVENTO="Manual",$M27=1),0,IF(OFFSET(CRONOPLE!$F$14,$M27,AS$13)="",10^12,OFFSET(CRONOPLE!$F$14,$M27,AS$13))))</f>
        <v>1000000000000</v>
      </c>
      <c r="AT27" s="181">
        <f ca="1">IF($D27&lt;&gt;"Serviço",0,IF(AND(AUTOEVENTO="Manual",$M27=1),0,IF(OFFSET(CRONOPLE!$F$14,$M27,AT$13)="",10^12,OFFSET(CRONOPLE!$F$14,$M27,AT$13))))</f>
        <v>1000000000000</v>
      </c>
      <c r="AU27" s="181">
        <f ca="1">IF($D27&lt;&gt;"Serviço",0,IF(AND(AUTOEVENTO="Manual",$M27=1),0,IF(OFFSET(CRONOPLE!$F$14,$M27,AU$13)="",10^12,OFFSET(CRONOPLE!$F$14,$M27,AU$13))))</f>
        <v>1000000000000</v>
      </c>
      <c r="AV27" s="181">
        <f ca="1">IF($D27&lt;&gt;"Serviço",0,IF(AND(AUTOEVENTO="Manual",$M27=1),0,IF(OFFSET(CRONOPLE!$F$14,$M27,AV$13)="",10^12,OFFSET(CRONOPLE!$F$14,$M27,AV$13))))</f>
        <v>1000000000000</v>
      </c>
      <c r="AX27" s="182">
        <f ca="1">IF($D27&lt;&gt;"Serviço",0,IF(OR(AND(AUTOEVENTO="Manual",$M27=1),$M27&gt;(ROW(PLE.lastrow)-ROW(PLE.firstrow))),0,IF(OFFSET(PLE!$G$14,$M27,AX$13)="",10^12,OFFSET(PLE!$G$14,$M27,AX$13))))</f>
        <v>1000000000000</v>
      </c>
      <c r="AY27" s="182">
        <f ca="1">IF($D27&lt;&gt;"Serviço",0,IF(OR(AND(AUTOEVENTO="Manual",$M27=1),$M27&gt;(ROW(PLE.lastrow)-ROW(PLE.firstrow))),0,IF(OFFSET(PLE!$G$14,$M27,AY$13)="",10^12,OFFSET(PLE!$G$14,$M27,AY$13))))</f>
        <v>1000000000000</v>
      </c>
      <c r="AZ27" s="182">
        <f ca="1">IF($D27&lt;&gt;"Serviço",0,IF(OR(AND(AUTOEVENTO="Manual",$M27=1),$M27&gt;(ROW(PLE.lastrow)-ROW(PLE.firstrow))),0,IF(OFFSET(PLE!$G$14,$M27,AZ$13)="",10^12,OFFSET(PLE!$G$14,$M27,AZ$13))))</f>
        <v>1000000000000</v>
      </c>
      <c r="BA27" s="182">
        <f ca="1">IF($D27&lt;&gt;"Serviço",0,IF(OR(AND(AUTOEVENTO="Manual",$M27=1),$M27&gt;(ROW(PLE.lastrow)-ROW(PLE.firstrow))),0,IF(OFFSET(PLE!$G$14,$M27,BA$13)="",10^12,OFFSET(PLE!$G$14,$M27,BA$13))))</f>
        <v>1000000000000</v>
      </c>
      <c r="BB27" s="182">
        <f ca="1">IF($D27&lt;&gt;"Serviço",0,IF(OR(AND(AUTOEVENTO="Manual",$M27=1),$M27&gt;(ROW(PLE.lastrow)-ROW(PLE.firstrow))),0,IF(OFFSET(PLE!$G$14,$M27,BB$13)="",10^12,OFFSET(PLE!$G$14,$M27,BB$13))))</f>
        <v>1000000000000</v>
      </c>
      <c r="BC27" s="182">
        <f ca="1">IF($D27&lt;&gt;"Serviço",0,IF(OR(AND(AUTOEVENTO="Manual",$M27=1),$M27&gt;(ROW(PLE.lastrow)-ROW(PLE.firstrow))),0,IF(OFFSET(PLE!$G$14,$M27,BC$13)="",10^12,OFFSET(PLE!$G$14,$M27,BC$13))))</f>
        <v>1000000000000</v>
      </c>
      <c r="BD27" s="182">
        <f ca="1">IF($D27&lt;&gt;"Serviço",0,IF(OR(AND(AUTOEVENTO="Manual",$M27=1),$M27&gt;(ROW(PLE.lastrow)-ROW(PLE.firstrow))),0,IF(OFFSET(PLE!$G$14,$M27,BD$13)="",10^12,OFFSET(PLE!$G$14,$M27,BD$13))))</f>
        <v>1000000000000</v>
      </c>
      <c r="BE27" s="182">
        <f ca="1">IF($D27&lt;&gt;"Serviço",0,IF(OR(AND(AUTOEVENTO="Manual",$M27=1),$M27&gt;(ROW(PLE.lastrow)-ROW(PLE.firstrow))),0,IF(OFFSET(PLE!$G$14,$M27,BE$13)="",10^12,OFFSET(PLE!$G$14,$M27,BE$13))))</f>
        <v>1000000000000</v>
      </c>
      <c r="BF27" s="182">
        <f ca="1">IF($D27&lt;&gt;"Serviço",0,IF(OR(AND(AUTOEVENTO="Manual",$M27=1),$M27&gt;(ROW(PLE.lastrow)-ROW(PLE.firstrow))),0,IF(OFFSET(PLE!$G$14,$M27,BF$13)="",10^12,OFFSET(PLE!$G$14,$M27,BF$13))))</f>
        <v>1000000000000</v>
      </c>
      <c r="BG27" s="182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51" x14ac:dyDescent="0.2">
      <c r="A28" s="7" t="str">
        <f t="shared" ca="1" si="8"/>
        <v>10</v>
      </c>
      <c r="B28" s="7" t="str">
        <f ca="1">OFFSET(ORÇAMENTO!C$15,ROW(B28)-ROW(B$15),0)</f>
        <v>S</v>
      </c>
      <c r="C28" s="7" t="str">
        <f ca="1">OFFSET(ORÇAMENTO!L$15,ROW(C28)-ROW(C$15),0)</f>
        <v>F</v>
      </c>
      <c r="D28" s="118" t="str">
        <f ca="1">OFFSET(ORÇAMENTO!N$15,ROW(D28)-ROW(D$15),0)</f>
        <v>Serviço</v>
      </c>
      <c r="E28" s="119" t="str">
        <f ca="1">OFFSET(ORÇAMENTO!O$15,ROW(E28)-ROW(E$15),0)</f>
        <v>1.2.0.3.</v>
      </c>
      <c r="F28" s="172" t="str">
        <f ca="1">OFFSET(ORÇAMENTO!R$15,ROW(F28)-ROW(F$15),0)</f>
        <v>(abra o arquivo 'Referência 03-2024.xlsm)</v>
      </c>
      <c r="G28" s="173" t="str">
        <f ca="1">IF($D28&lt;&gt;"Serviço","",OFFSET(ORÇAMENTO!S$15,ROW(G28)-ROW(G$15),0))</f>
        <v>-</v>
      </c>
      <c r="H28" s="124">
        <f ca="1">IF($D28&lt;&gt;"Serviço",0,IF(ACOMPANHAMENTO="BM",ROUND(OFFSET(ORÇAMENTO!AJ$15,ROW(H28)-ROW(H$15),0),15-13*ORÇAMENTO!$AF$7),SUMPRODUCT(($Q$12:$AA$12&lt;&gt;"")*ROUND($Q28:$AA28,15-13*ORÇAMENTO!$AF$7))))</f>
        <v>0.3</v>
      </c>
      <c r="I28" s="561"/>
      <c r="K28" s="174"/>
      <c r="L28" s="175" t="s">
        <v>255</v>
      </c>
      <c r="M28" s="176">
        <f ca="1">IF($D28&lt;&gt;"Serviço","",IF(AUTOEVENTO="manual",$A28,IF(ISERROR(MATCH($A28,$A$15:OFFSET($A28,-1,0),0)),MAX($M$15:OFFSET(M28,-1,0))+1,INDEX($M$15:OFFSET(M28,-1,0),MATCH($A28,$A$15:OFFSET($A28,-1,0),0)))))</f>
        <v>3</v>
      </c>
      <c r="N28" s="177" t="str">
        <f ca="1">IF($D28&lt;&gt;"Serviço","",IF(AUTOEVENTO="Manual",IF($A28=0,"&lt;-- defina o número do agrupador",OFFSET(EVENTOS!$D$14,$A28,0)),OFFSET($F$15,$A28,0)))</f>
        <v>INSTALAÇÕES HIDRÁULICAS - ENTRADA INDIVIDUALIZADA DE ÁGUA POTÁVEL E REDE ENTERRADA</v>
      </c>
      <c r="O28" s="178"/>
      <c r="Q28" s="178"/>
      <c r="R28" s="179"/>
      <c r="S28" s="179"/>
      <c r="T28" s="179"/>
      <c r="U28" s="179"/>
      <c r="V28" s="179"/>
      <c r="W28" s="179"/>
      <c r="X28" s="179"/>
      <c r="Y28" s="179"/>
      <c r="Z28" s="180"/>
      <c r="AB28" s="544">
        <f ca="1">IF(AND($D28="Serviço",AB$12&lt;&gt;0,$H28&gt;0,OR(AUTOEVENTO&lt;&gt;"manual",$M28&lt;&gt;1)),
IF(Import.TipoArredondamento&lt;&gt;"TransfereGOV",
ROUND(OFFSET($P28,0,AB$13),15-13*ORÇAMENTO!$AF$7)/$H28*OFFSET(ORÇAMENTO!$X$15,ROW(AB28)-ROW(AB$15),0),
ROUND(ROUND(OFFSET($P28,0,AB$13),15-13*ORÇAMENTO!$AF$7)*OFFSET(ORÇAMENTO!$W$15,ROW(AB28)-ROW(AB$15),0),15-13*ORÇAMENTO!$AF$11)),0)</f>
        <v>0</v>
      </c>
      <c r="AC28" s="545">
        <f ca="1">IF(AND($D28="Serviço",AC$12&lt;&gt;0,$H28&gt;0,OR(AUTOEVENTO&lt;&gt;"manual",$M28&lt;&gt;1)),
IF(Import.TipoArredondamento&lt;&gt;"TransfereGOV",
ROUND(OFFSET($P28,0,AC$13),15-13*ORÇAMENTO!$AF$7)/$H28*OFFSET(ORÇAMENTO!$X$15,ROW(AC28)-ROW(AC$15),0),
ROUND(ROUND(OFFSET($P28,0,AC$13),15-13*ORÇAMENTO!$AF$7)*OFFSET(ORÇAMENTO!$W$15,ROW(AC28)-ROW(AC$15),0),15-13*ORÇAMENTO!$AF$11)),0)</f>
        <v>0</v>
      </c>
      <c r="AD28" s="545">
        <f ca="1">IF(AND($D28="Serviço",AD$12&lt;&gt;0,$H28&gt;0,OR(AUTOEVENTO&lt;&gt;"manual",$M28&lt;&gt;1)),
IF(Import.TipoArredondamento&lt;&gt;"TransfereGOV",
ROUND(OFFSET($P28,0,AD$13),15-13*ORÇAMENTO!$AF$7)/$H28*OFFSET(ORÇAMENTO!$X$15,ROW(AD28)-ROW(AD$15),0),
ROUND(ROUND(OFFSET($P28,0,AD$13),15-13*ORÇAMENTO!$AF$7)*OFFSET(ORÇAMENTO!$W$15,ROW(AD28)-ROW(AD$15),0),15-13*ORÇAMENTO!$AF$11)),0)</f>
        <v>0</v>
      </c>
      <c r="AE28" s="545">
        <f ca="1">IF(AND($D28="Serviço",AE$12&lt;&gt;0,$H28&gt;0,OR(AUTOEVENTO&lt;&gt;"manual",$M28&lt;&gt;1)),
IF(Import.TipoArredondamento&lt;&gt;"TransfereGOV",
ROUND(OFFSET($P28,0,AE$13),15-13*ORÇAMENTO!$AF$7)/$H28*OFFSET(ORÇAMENTO!$X$15,ROW(AE28)-ROW(AE$15),0),
ROUND(ROUND(OFFSET($P28,0,AE$13),15-13*ORÇAMENTO!$AF$7)*OFFSET(ORÇAMENTO!$W$15,ROW(AE28)-ROW(AE$15),0),15-13*ORÇAMENTO!$AF$11)),0)</f>
        <v>0</v>
      </c>
      <c r="AF28" s="545">
        <f ca="1">IF(AND($D28="Serviço",AF$12&lt;&gt;0,$H28&gt;0,OR(AUTOEVENTO&lt;&gt;"manual",$M28&lt;&gt;1)),
IF(Import.TipoArredondamento&lt;&gt;"TransfereGOV",
ROUND(OFFSET($P28,0,AF$13),15-13*ORÇAMENTO!$AF$7)/$H28*OFFSET(ORÇAMENTO!$X$15,ROW(AF28)-ROW(AF$15),0),
ROUND(ROUND(OFFSET($P28,0,AF$13),15-13*ORÇAMENTO!$AF$7)*OFFSET(ORÇAMENTO!$W$15,ROW(AF28)-ROW(AF$15),0),15-13*ORÇAMENTO!$AF$11)),0)</f>
        <v>0</v>
      </c>
      <c r="AG28" s="545">
        <f ca="1">IF(AND($D28="Serviço",AG$12&lt;&gt;0,$H28&gt;0,OR(AUTOEVENTO&lt;&gt;"manual",$M28&lt;&gt;1)),
IF(Import.TipoArredondamento&lt;&gt;"TransfereGOV",
ROUND(OFFSET($P28,0,AG$13),15-13*ORÇAMENTO!$AF$7)/$H28*OFFSET(ORÇAMENTO!$X$15,ROW(AG28)-ROW(AG$15),0),
ROUND(ROUND(OFFSET($P28,0,AG$13),15-13*ORÇAMENTO!$AF$7)*OFFSET(ORÇAMENTO!$W$15,ROW(AG28)-ROW(AG$15),0),15-13*ORÇAMENTO!$AF$11)),0)</f>
        <v>0</v>
      </c>
      <c r="AH28" s="545">
        <f ca="1">IF(AND($D28="Serviço",AH$12&lt;&gt;0,$H28&gt;0,OR(AUTOEVENTO&lt;&gt;"manual",$M28&lt;&gt;1)),
IF(Import.TipoArredondamento&lt;&gt;"TransfereGOV",
ROUND(OFFSET($P28,0,AH$13),15-13*ORÇAMENTO!$AF$7)/$H28*OFFSET(ORÇAMENTO!$X$15,ROW(AH28)-ROW(AH$15),0),
ROUND(ROUND(OFFSET($P28,0,AH$13),15-13*ORÇAMENTO!$AF$7)*OFFSET(ORÇAMENTO!$W$15,ROW(AH28)-ROW(AH$15),0),15-13*ORÇAMENTO!$AF$11)),0)</f>
        <v>0</v>
      </c>
      <c r="AI28" s="545">
        <f ca="1">IF(AND($D28="Serviço",AI$12&lt;&gt;0,$H28&gt;0,OR(AUTOEVENTO&lt;&gt;"manual",$M28&lt;&gt;1)),
IF(Import.TipoArredondamento&lt;&gt;"TransfereGOV",
ROUND(OFFSET($P28,0,AI$13),15-13*ORÇAMENTO!$AF$7)/$H28*OFFSET(ORÇAMENTO!$X$15,ROW(AI28)-ROW(AI$15),0),
ROUND(ROUND(OFFSET($P28,0,AI$13),15-13*ORÇAMENTO!$AF$7)*OFFSET(ORÇAMENTO!$W$15,ROW(AI28)-ROW(AI$15),0),15-13*ORÇAMENTO!$AF$11)),0)</f>
        <v>0</v>
      </c>
      <c r="AJ28" s="545">
        <f ca="1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546">
        <f ca="1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M28" s="181">
        <f ca="1">IF($D28&lt;&gt;"Serviço",0,IF(AND(AUTOEVENTO="Manual",$M28=1),0,IF(OFFSET(CRONOPLE!$F$14,$M28,AM$13)="",10^12,OFFSET(CRONOPLE!$F$14,$M28,AM$13))))</f>
        <v>1000000000000</v>
      </c>
      <c r="AN28" s="181">
        <f ca="1">IF($D28&lt;&gt;"Serviço",0,IF(AND(AUTOEVENTO="Manual",$M28=1),0,IF(OFFSET(CRONOPLE!$F$14,$M28,AN$13)="",10^12,OFFSET(CRONOPLE!$F$14,$M28,AN$13))))</f>
        <v>1000000000000</v>
      </c>
      <c r="AO28" s="181">
        <f ca="1">IF($D28&lt;&gt;"Serviço",0,IF(AND(AUTOEVENTO="Manual",$M28=1),0,IF(OFFSET(CRONOPLE!$F$14,$M28,AO$13)="",10^12,OFFSET(CRONOPLE!$F$14,$M28,AO$13))))</f>
        <v>1000000000000</v>
      </c>
      <c r="AP28" s="181">
        <f ca="1">IF($D28&lt;&gt;"Serviço",0,IF(AND(AUTOEVENTO="Manual",$M28=1),0,IF(OFFSET(CRONOPLE!$F$14,$M28,AP$13)="",10^12,OFFSET(CRONOPLE!$F$14,$M28,AP$13))))</f>
        <v>1000000000000</v>
      </c>
      <c r="AQ28" s="181">
        <f ca="1">IF($D28&lt;&gt;"Serviço",0,IF(AND(AUTOEVENTO="Manual",$M28=1),0,IF(OFFSET(CRONOPLE!$F$14,$M28,AQ$13)="",10^12,OFFSET(CRONOPLE!$F$14,$M28,AQ$13))))</f>
        <v>1000000000000</v>
      </c>
      <c r="AR28" s="181">
        <f ca="1">IF($D28&lt;&gt;"Serviço",0,IF(AND(AUTOEVENTO="Manual",$M28=1),0,IF(OFFSET(CRONOPLE!$F$14,$M28,AR$13)="",10^12,OFFSET(CRONOPLE!$F$14,$M28,AR$13))))</f>
        <v>1000000000000</v>
      </c>
      <c r="AS28" s="181">
        <f ca="1">IF($D28&lt;&gt;"Serviço",0,IF(AND(AUTOEVENTO="Manual",$M28=1),0,IF(OFFSET(CRONOPLE!$F$14,$M28,AS$13)="",10^12,OFFSET(CRONOPLE!$F$14,$M28,AS$13))))</f>
        <v>1000000000000</v>
      </c>
      <c r="AT28" s="181">
        <f ca="1">IF($D28&lt;&gt;"Serviço",0,IF(AND(AUTOEVENTO="Manual",$M28=1),0,IF(OFFSET(CRONOPLE!$F$14,$M28,AT$13)="",10^12,OFFSET(CRONOPLE!$F$14,$M28,AT$13))))</f>
        <v>1000000000000</v>
      </c>
      <c r="AU28" s="181">
        <f ca="1">IF($D28&lt;&gt;"Serviço",0,IF(AND(AUTOEVENTO="Manual",$M28=1),0,IF(OFFSET(CRONOPLE!$F$14,$M28,AU$13)="",10^12,OFFSET(CRONOPLE!$F$14,$M28,AU$13))))</f>
        <v>1000000000000</v>
      </c>
      <c r="AV28" s="181">
        <f ca="1">IF($D28&lt;&gt;"Serviço",0,IF(AND(AUTOEVENTO="Manual",$M28=1),0,IF(OFFSET(CRONOPLE!$F$14,$M28,AV$13)="",10^12,OFFSET(CRONOPLE!$F$14,$M28,AV$13))))</f>
        <v>1000000000000</v>
      </c>
      <c r="AX28" s="182">
        <f ca="1">IF($D28&lt;&gt;"Serviço",0,IF(OR(AND(AUTOEVENTO="Manual",$M28=1),$M28&gt;(ROW(PLE.lastrow)-ROW(PLE.firstrow))),0,IF(OFFSET(PLE!$G$14,$M28,AX$13)="",10^12,OFFSET(PLE!$G$14,$M28,AX$13))))</f>
        <v>1000000000000</v>
      </c>
      <c r="AY28" s="182">
        <f ca="1">IF($D28&lt;&gt;"Serviço",0,IF(OR(AND(AUTOEVENTO="Manual",$M28=1),$M28&gt;(ROW(PLE.lastrow)-ROW(PLE.firstrow))),0,IF(OFFSET(PLE!$G$14,$M28,AY$13)="",10^12,OFFSET(PLE!$G$14,$M28,AY$13))))</f>
        <v>1000000000000</v>
      </c>
      <c r="AZ28" s="182">
        <f ca="1">IF($D28&lt;&gt;"Serviço",0,IF(OR(AND(AUTOEVENTO="Manual",$M28=1),$M28&gt;(ROW(PLE.lastrow)-ROW(PLE.firstrow))),0,IF(OFFSET(PLE!$G$14,$M28,AZ$13)="",10^12,OFFSET(PLE!$G$14,$M28,AZ$13))))</f>
        <v>1000000000000</v>
      </c>
      <c r="BA28" s="182">
        <f ca="1">IF($D28&lt;&gt;"Serviço",0,IF(OR(AND(AUTOEVENTO="Manual",$M28=1),$M28&gt;(ROW(PLE.lastrow)-ROW(PLE.firstrow))),0,IF(OFFSET(PLE!$G$14,$M28,BA$13)="",10^12,OFFSET(PLE!$G$14,$M28,BA$13))))</f>
        <v>1000000000000</v>
      </c>
      <c r="BB28" s="182">
        <f ca="1">IF($D28&lt;&gt;"Serviço",0,IF(OR(AND(AUTOEVENTO="Manual",$M28=1),$M28&gt;(ROW(PLE.lastrow)-ROW(PLE.firstrow))),0,IF(OFFSET(PLE!$G$14,$M28,BB$13)="",10^12,OFFSET(PLE!$G$14,$M28,BB$13))))</f>
        <v>1000000000000</v>
      </c>
      <c r="BC28" s="182">
        <f ca="1">IF($D28&lt;&gt;"Serviço",0,IF(OR(AND(AUTOEVENTO="Manual",$M28=1),$M28&gt;(ROW(PLE.lastrow)-ROW(PLE.firstrow))),0,IF(OFFSET(PLE!$G$14,$M28,BC$13)="",10^12,OFFSET(PLE!$G$14,$M28,BC$13))))</f>
        <v>1000000000000</v>
      </c>
      <c r="BD28" s="182">
        <f ca="1">IF($D28&lt;&gt;"Serviço",0,IF(OR(AND(AUTOEVENTO="Manual",$M28=1),$M28&gt;(ROW(PLE.lastrow)-ROW(PLE.firstrow))),0,IF(OFFSET(PLE!$G$14,$M28,BD$13)="",10^12,OFFSET(PLE!$G$14,$M28,BD$13))))</f>
        <v>1000000000000</v>
      </c>
      <c r="BE28" s="182">
        <f ca="1">IF($D28&lt;&gt;"Serviço",0,IF(OR(AND(AUTOEVENTO="Manual",$M28=1),$M28&gt;(ROW(PLE.lastrow)-ROW(PLE.firstrow))),0,IF(OFFSET(PLE!$G$14,$M28,BE$13)="",10^12,OFFSET(PLE!$G$14,$M28,BE$13))))</f>
        <v>1000000000000</v>
      </c>
      <c r="BF28" s="182">
        <f ca="1">IF($D28&lt;&gt;"Serviço",0,IF(OR(AND(AUTOEVENTO="Manual",$M28=1),$M28&gt;(ROW(PLE.lastrow)-ROW(PLE.firstrow))),0,IF(OFFSET(PLE!$G$14,$M28,BF$13)="",10^12,OFFSET(PLE!$G$14,$M28,BF$13))))</f>
        <v>1000000000000</v>
      </c>
      <c r="BG28" s="182">
        <f ca="1">IF($D28&lt;&gt;"Serviço",0,IF(OR(AND(AUTOEVENTO="Manual",$M28=1),$M28&gt;(ROW(PLE.lastrow)-ROW(PLE.firstrow))),0,IF(OFFSET(PLE!$G$14,$M28,BG$13)="",10^12,OFFSET(PLE!$G$14,$M28,BG$13))))</f>
        <v>1000000000000</v>
      </c>
    </row>
    <row r="29" spans="1:59" ht="51" x14ac:dyDescent="0.2">
      <c r="A29" s="7" t="str">
        <f t="shared" ca="1" si="8"/>
        <v>10</v>
      </c>
      <c r="B29" s="7" t="str">
        <f ca="1">OFFSET(ORÇAMENTO!C$15,ROW(B29)-ROW(B$15),0)</f>
        <v>S</v>
      </c>
      <c r="C29" s="7" t="str">
        <f ca="1">OFFSET(ORÇAMENTO!L$15,ROW(C29)-ROW(C$15),0)</f>
        <v>F</v>
      </c>
      <c r="D29" s="118" t="str">
        <f ca="1">OFFSET(ORÇAMENTO!N$15,ROW(D29)-ROW(D$15),0)</f>
        <v>Serviço</v>
      </c>
      <c r="E29" s="119" t="str">
        <f ca="1">OFFSET(ORÇAMENTO!O$15,ROW(E29)-ROW(E$15),0)</f>
        <v>1.2.0.4.</v>
      </c>
      <c r="F29" s="172" t="str">
        <f ca="1">OFFSET(ORÇAMENTO!R$15,ROW(F29)-ROW(F$15),0)</f>
        <v>(abra o arquivo 'Referência 03-2024.xlsm)</v>
      </c>
      <c r="G29" s="173" t="str">
        <f ca="1">IF($D29&lt;&gt;"Serviço","",OFFSET(ORÇAMENTO!S$15,ROW(G29)-ROW(G$15),0))</f>
        <v>-</v>
      </c>
      <c r="H29" s="124">
        <f ca="1">IF($D29&lt;&gt;"Serviço",0,IF(ACOMPANHAMENTO="BM",ROUND(OFFSET(ORÇAMENTO!AJ$15,ROW(H29)-ROW(H$15),0),15-13*ORÇAMENTO!$AF$7),SUMPRODUCT(($Q$12:$AA$12&lt;&gt;"")*ROUND($Q29:$AA29,15-13*ORÇAMENTO!$AF$7))))</f>
        <v>1.35</v>
      </c>
      <c r="I29" s="561"/>
      <c r="K29" s="174"/>
      <c r="L29" s="175" t="s">
        <v>255</v>
      </c>
      <c r="M29" s="176">
        <f ca="1">IF($D29&lt;&gt;"Serviço","",IF(AUTOEVENTO="manual",$A29,IF(ISERROR(MATCH($A29,$A$15:OFFSET($A29,-1,0),0)),MAX($M$15:OFFSET(M29,-1,0))+1,INDEX($M$15:OFFSET(M29,-1,0),MATCH($A29,$A$15:OFFSET($A29,-1,0),0)))))</f>
        <v>3</v>
      </c>
      <c r="N29" s="177" t="str">
        <f ca="1">IF($D29&lt;&gt;"Serviço","",IF(AUTOEVENTO="Manual",IF($A29=0,"&lt;-- defina o número do agrupador",OFFSET(EVENTOS!$D$14,$A29,0)),OFFSET($F$15,$A29,0)))</f>
        <v>INSTALAÇÕES HIDRÁULICAS - ENTRADA INDIVIDUALIZADA DE ÁGUA POTÁVEL E REDE ENTERRADA</v>
      </c>
      <c r="O29" s="178"/>
      <c r="Q29" s="178"/>
      <c r="R29" s="179"/>
      <c r="S29" s="179"/>
      <c r="T29" s="179"/>
      <c r="U29" s="179"/>
      <c r="V29" s="179"/>
      <c r="W29" s="179"/>
      <c r="X29" s="179"/>
      <c r="Y29" s="179"/>
      <c r="Z29" s="180"/>
      <c r="AB29" s="544">
        <f ca="1">IF(AND($D29="Serviço",AB$12&lt;&gt;0,$H29&gt;0,OR(AUTOEVENTO&lt;&gt;"manual",$M29&lt;&gt;1)),
IF(Import.TipoArredondamento&lt;&gt;"TransfereGOV",
ROUND(OFFSET($P29,0,AB$13),15-13*ORÇAMENTO!$AF$7)/$H29*OFFSET(ORÇAMENTO!$X$15,ROW(AB29)-ROW(AB$15),0),
ROUND(ROUND(OFFSET($P29,0,AB$13),15-13*ORÇAMENTO!$AF$7)*OFFSET(ORÇAMENTO!$W$15,ROW(AB29)-ROW(AB$15),0),15-13*ORÇAMENTO!$AF$11)),0)</f>
        <v>0</v>
      </c>
      <c r="AC29" s="545">
        <f ca="1">IF(AND($D29="Serviço",AC$12&lt;&gt;0,$H29&gt;0,OR(AUTOEVENTO&lt;&gt;"manual",$M29&lt;&gt;1)),
IF(Import.TipoArredondamento&lt;&gt;"TransfereGOV",
ROUND(OFFSET($P29,0,AC$13),15-13*ORÇAMENTO!$AF$7)/$H29*OFFSET(ORÇAMENTO!$X$15,ROW(AC29)-ROW(AC$15),0),
ROUND(ROUND(OFFSET($P29,0,AC$13),15-13*ORÇAMENTO!$AF$7)*OFFSET(ORÇAMENTO!$W$15,ROW(AC29)-ROW(AC$15),0),15-13*ORÇAMENTO!$AF$11)),0)</f>
        <v>0</v>
      </c>
      <c r="AD29" s="545">
        <f ca="1">IF(AND($D29="Serviço",AD$12&lt;&gt;0,$H29&gt;0,OR(AUTOEVENTO&lt;&gt;"manual",$M29&lt;&gt;1)),
IF(Import.TipoArredondamento&lt;&gt;"TransfereGOV",
ROUND(OFFSET($P29,0,AD$13),15-13*ORÇAMENTO!$AF$7)/$H29*OFFSET(ORÇAMENTO!$X$15,ROW(AD29)-ROW(AD$15),0),
ROUND(ROUND(OFFSET($P29,0,AD$13),15-13*ORÇAMENTO!$AF$7)*OFFSET(ORÇAMENTO!$W$15,ROW(AD29)-ROW(AD$15),0),15-13*ORÇAMENTO!$AF$11)),0)</f>
        <v>0</v>
      </c>
      <c r="AE29" s="545">
        <f ca="1">IF(AND($D29="Serviço",AE$12&lt;&gt;0,$H29&gt;0,OR(AUTOEVENTO&lt;&gt;"manual",$M29&lt;&gt;1)),
IF(Import.TipoArredondamento&lt;&gt;"TransfereGOV",
ROUND(OFFSET($P29,0,AE$13),15-13*ORÇAMENTO!$AF$7)/$H29*OFFSET(ORÇAMENTO!$X$15,ROW(AE29)-ROW(AE$15),0),
ROUND(ROUND(OFFSET($P29,0,AE$13),15-13*ORÇAMENTO!$AF$7)*OFFSET(ORÇAMENTO!$W$15,ROW(AE29)-ROW(AE$15),0),15-13*ORÇAMENTO!$AF$11)),0)</f>
        <v>0</v>
      </c>
      <c r="AF29" s="545">
        <f ca="1">IF(AND($D29="Serviço",AF$12&lt;&gt;0,$H29&gt;0,OR(AUTOEVENTO&lt;&gt;"manual",$M29&lt;&gt;1)),
IF(Import.TipoArredondamento&lt;&gt;"TransfereGOV",
ROUND(OFFSET($P29,0,AF$13),15-13*ORÇAMENTO!$AF$7)/$H29*OFFSET(ORÇAMENTO!$X$15,ROW(AF29)-ROW(AF$15),0),
ROUND(ROUND(OFFSET($P29,0,AF$13),15-13*ORÇAMENTO!$AF$7)*OFFSET(ORÇAMENTO!$W$15,ROW(AF29)-ROW(AF$15),0),15-13*ORÇAMENTO!$AF$11)),0)</f>
        <v>0</v>
      </c>
      <c r="AG29" s="545">
        <f ca="1">IF(AND($D29="Serviço",AG$12&lt;&gt;0,$H29&gt;0,OR(AUTOEVENTO&lt;&gt;"manual",$M29&lt;&gt;1)),
IF(Import.TipoArredondamento&lt;&gt;"TransfereGOV",
ROUND(OFFSET($P29,0,AG$13),15-13*ORÇAMENTO!$AF$7)/$H29*OFFSET(ORÇAMENTO!$X$15,ROW(AG29)-ROW(AG$15),0),
ROUND(ROUND(OFFSET($P29,0,AG$13),15-13*ORÇAMENTO!$AF$7)*OFFSET(ORÇAMENTO!$W$15,ROW(AG29)-ROW(AG$15),0),15-13*ORÇAMENTO!$AF$11)),0)</f>
        <v>0</v>
      </c>
      <c r="AH29" s="545">
        <f ca="1">IF(AND($D29="Serviço",AH$12&lt;&gt;0,$H29&gt;0,OR(AUTOEVENTO&lt;&gt;"manual",$M29&lt;&gt;1)),
IF(Import.TipoArredondamento&lt;&gt;"TransfereGOV",
ROUND(OFFSET($P29,0,AH$13),15-13*ORÇAMENTO!$AF$7)/$H29*OFFSET(ORÇAMENTO!$X$15,ROW(AH29)-ROW(AH$15),0),
ROUND(ROUND(OFFSET($P29,0,AH$13),15-13*ORÇAMENTO!$AF$7)*OFFSET(ORÇAMENTO!$W$15,ROW(AH29)-ROW(AH$15),0),15-13*ORÇAMENTO!$AF$11)),0)</f>
        <v>0</v>
      </c>
      <c r="AI29" s="545">
        <f ca="1">IF(AND($D29="Serviço",AI$12&lt;&gt;0,$H29&gt;0,OR(AUTOEVENTO&lt;&gt;"manual",$M29&lt;&gt;1)),
IF(Import.TipoArredondamento&lt;&gt;"TransfereGOV",
ROUND(OFFSET($P29,0,AI$13),15-13*ORÇAMENTO!$AF$7)/$H29*OFFSET(ORÇAMENTO!$X$15,ROW(AI29)-ROW(AI$15),0),
ROUND(ROUND(OFFSET($P29,0,AI$13),15-13*ORÇAMENTO!$AF$7)*OFFSET(ORÇAMENTO!$W$15,ROW(AI29)-ROW(AI$15),0),15-13*ORÇAMENTO!$AF$11)),0)</f>
        <v>0</v>
      </c>
      <c r="AJ29" s="545">
        <f ca="1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546">
        <f ca="1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M29" s="181">
        <f ca="1">IF($D29&lt;&gt;"Serviço",0,IF(AND(AUTOEVENTO="Manual",$M29=1),0,IF(OFFSET(CRONOPLE!$F$14,$M29,AM$13)="",10^12,OFFSET(CRONOPLE!$F$14,$M29,AM$13))))</f>
        <v>1000000000000</v>
      </c>
      <c r="AN29" s="181">
        <f ca="1">IF($D29&lt;&gt;"Serviço",0,IF(AND(AUTOEVENTO="Manual",$M29=1),0,IF(OFFSET(CRONOPLE!$F$14,$M29,AN$13)="",10^12,OFFSET(CRONOPLE!$F$14,$M29,AN$13))))</f>
        <v>1000000000000</v>
      </c>
      <c r="AO29" s="181">
        <f ca="1">IF($D29&lt;&gt;"Serviço",0,IF(AND(AUTOEVENTO="Manual",$M29=1),0,IF(OFFSET(CRONOPLE!$F$14,$M29,AO$13)="",10^12,OFFSET(CRONOPLE!$F$14,$M29,AO$13))))</f>
        <v>1000000000000</v>
      </c>
      <c r="AP29" s="181">
        <f ca="1">IF($D29&lt;&gt;"Serviço",0,IF(AND(AUTOEVENTO="Manual",$M29=1),0,IF(OFFSET(CRONOPLE!$F$14,$M29,AP$13)="",10^12,OFFSET(CRONOPLE!$F$14,$M29,AP$13))))</f>
        <v>1000000000000</v>
      </c>
      <c r="AQ29" s="181">
        <f ca="1">IF($D29&lt;&gt;"Serviço",0,IF(AND(AUTOEVENTO="Manual",$M29=1),0,IF(OFFSET(CRONOPLE!$F$14,$M29,AQ$13)="",10^12,OFFSET(CRONOPLE!$F$14,$M29,AQ$13))))</f>
        <v>1000000000000</v>
      </c>
      <c r="AR29" s="181">
        <f ca="1">IF($D29&lt;&gt;"Serviço",0,IF(AND(AUTOEVENTO="Manual",$M29=1),0,IF(OFFSET(CRONOPLE!$F$14,$M29,AR$13)="",10^12,OFFSET(CRONOPLE!$F$14,$M29,AR$13))))</f>
        <v>1000000000000</v>
      </c>
      <c r="AS29" s="181">
        <f ca="1">IF($D29&lt;&gt;"Serviço",0,IF(AND(AUTOEVENTO="Manual",$M29=1),0,IF(OFFSET(CRONOPLE!$F$14,$M29,AS$13)="",10^12,OFFSET(CRONOPLE!$F$14,$M29,AS$13))))</f>
        <v>1000000000000</v>
      </c>
      <c r="AT29" s="181">
        <f ca="1">IF($D29&lt;&gt;"Serviço",0,IF(AND(AUTOEVENTO="Manual",$M29=1),0,IF(OFFSET(CRONOPLE!$F$14,$M29,AT$13)="",10^12,OFFSET(CRONOPLE!$F$14,$M29,AT$13))))</f>
        <v>1000000000000</v>
      </c>
      <c r="AU29" s="181">
        <f ca="1">IF($D29&lt;&gt;"Serviço",0,IF(AND(AUTOEVENTO="Manual",$M29=1),0,IF(OFFSET(CRONOPLE!$F$14,$M29,AU$13)="",10^12,OFFSET(CRONOPLE!$F$14,$M29,AU$13))))</f>
        <v>1000000000000</v>
      </c>
      <c r="AV29" s="181">
        <f ca="1">IF($D29&lt;&gt;"Serviço",0,IF(AND(AUTOEVENTO="Manual",$M29=1),0,IF(OFFSET(CRONOPLE!$F$14,$M29,AV$13)="",10^12,OFFSET(CRONOPLE!$F$14,$M29,AV$13))))</f>
        <v>1000000000000</v>
      </c>
      <c r="AX29" s="182">
        <f ca="1">IF($D29&lt;&gt;"Serviço",0,IF(OR(AND(AUTOEVENTO="Manual",$M29=1),$M29&gt;(ROW(PLE.lastrow)-ROW(PLE.firstrow))),0,IF(OFFSET(PLE!$G$14,$M29,AX$13)="",10^12,OFFSET(PLE!$G$14,$M29,AX$13))))</f>
        <v>1000000000000</v>
      </c>
      <c r="AY29" s="182">
        <f ca="1">IF($D29&lt;&gt;"Serviço",0,IF(OR(AND(AUTOEVENTO="Manual",$M29=1),$M29&gt;(ROW(PLE.lastrow)-ROW(PLE.firstrow))),0,IF(OFFSET(PLE!$G$14,$M29,AY$13)="",10^12,OFFSET(PLE!$G$14,$M29,AY$13))))</f>
        <v>1000000000000</v>
      </c>
      <c r="AZ29" s="182">
        <f ca="1">IF($D29&lt;&gt;"Serviço",0,IF(OR(AND(AUTOEVENTO="Manual",$M29=1),$M29&gt;(ROW(PLE.lastrow)-ROW(PLE.firstrow))),0,IF(OFFSET(PLE!$G$14,$M29,AZ$13)="",10^12,OFFSET(PLE!$G$14,$M29,AZ$13))))</f>
        <v>1000000000000</v>
      </c>
      <c r="BA29" s="182">
        <f ca="1">IF($D29&lt;&gt;"Serviço",0,IF(OR(AND(AUTOEVENTO="Manual",$M29=1),$M29&gt;(ROW(PLE.lastrow)-ROW(PLE.firstrow))),0,IF(OFFSET(PLE!$G$14,$M29,BA$13)="",10^12,OFFSET(PLE!$G$14,$M29,BA$13))))</f>
        <v>1000000000000</v>
      </c>
      <c r="BB29" s="182">
        <f ca="1">IF($D29&lt;&gt;"Serviço",0,IF(OR(AND(AUTOEVENTO="Manual",$M29=1),$M29&gt;(ROW(PLE.lastrow)-ROW(PLE.firstrow))),0,IF(OFFSET(PLE!$G$14,$M29,BB$13)="",10^12,OFFSET(PLE!$G$14,$M29,BB$13))))</f>
        <v>1000000000000</v>
      </c>
      <c r="BC29" s="182">
        <f ca="1">IF($D29&lt;&gt;"Serviço",0,IF(OR(AND(AUTOEVENTO="Manual",$M29=1),$M29&gt;(ROW(PLE.lastrow)-ROW(PLE.firstrow))),0,IF(OFFSET(PLE!$G$14,$M29,BC$13)="",10^12,OFFSET(PLE!$G$14,$M29,BC$13))))</f>
        <v>1000000000000</v>
      </c>
      <c r="BD29" s="182">
        <f ca="1">IF($D29&lt;&gt;"Serviço",0,IF(OR(AND(AUTOEVENTO="Manual",$M29=1),$M29&gt;(ROW(PLE.lastrow)-ROW(PLE.firstrow))),0,IF(OFFSET(PLE!$G$14,$M29,BD$13)="",10^12,OFFSET(PLE!$G$14,$M29,BD$13))))</f>
        <v>1000000000000</v>
      </c>
      <c r="BE29" s="182">
        <f ca="1">IF($D29&lt;&gt;"Serviço",0,IF(OR(AND(AUTOEVENTO="Manual",$M29=1),$M29&gt;(ROW(PLE.lastrow)-ROW(PLE.firstrow))),0,IF(OFFSET(PLE!$G$14,$M29,BE$13)="",10^12,OFFSET(PLE!$G$14,$M29,BE$13))))</f>
        <v>1000000000000</v>
      </c>
      <c r="BF29" s="182">
        <f ca="1">IF($D29&lt;&gt;"Serviço",0,IF(OR(AND(AUTOEVENTO="Manual",$M29=1),$M29&gt;(ROW(PLE.lastrow)-ROW(PLE.firstrow))),0,IF(OFFSET(PLE!$G$14,$M29,BF$13)="",10^12,OFFSET(PLE!$G$14,$M29,BF$13))))</f>
        <v>1000000000000</v>
      </c>
      <c r="BG29" s="18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51" x14ac:dyDescent="0.2">
      <c r="A30" s="7" t="str">
        <f t="shared" ca="1" si="8"/>
        <v>10</v>
      </c>
      <c r="B30" s="7" t="str">
        <f ca="1">OFFSET(ORÇAMENTO!C$15,ROW(B30)-ROW(B$15),0)</f>
        <v>S</v>
      </c>
      <c r="C30" s="7" t="str">
        <f ca="1">OFFSET(ORÇAMENTO!L$15,ROW(C30)-ROW(C$15),0)</f>
        <v>F</v>
      </c>
      <c r="D30" s="118" t="str">
        <f ca="1">OFFSET(ORÇAMENTO!N$15,ROW(D30)-ROW(D$15),0)</f>
        <v>Serviço</v>
      </c>
      <c r="E30" s="119" t="str">
        <f ca="1">OFFSET(ORÇAMENTO!O$15,ROW(E30)-ROW(E$15),0)</f>
        <v>1.2.0.5.</v>
      </c>
      <c r="F30" s="172" t="str">
        <f ca="1">OFFSET(ORÇAMENTO!R$15,ROW(F30)-ROW(F$15),0)</f>
        <v>(abra o arquivo 'Referência 03-2024.xlsm)</v>
      </c>
      <c r="G30" s="173" t="str">
        <f ca="1">IF($D30&lt;&gt;"Serviço","",OFFSET(ORÇAMENTO!S$15,ROW(G30)-ROW(G$15),0))</f>
        <v>-</v>
      </c>
      <c r="H30" s="124">
        <f ca="1">IF($D30&lt;&gt;"Serviço",0,IF(ACOMPANHAMENTO="BM",ROUND(OFFSET(ORÇAMENTO!AJ$15,ROW(H30)-ROW(H$15),0),15-13*ORÇAMENTO!$AF$7),SUMPRODUCT(($Q$12:$AA$12&lt;&gt;"")*ROUND($Q30:$AA30,15-13*ORÇAMENTO!$AF$7))))</f>
        <v>1</v>
      </c>
      <c r="I30" s="561"/>
      <c r="K30" s="174"/>
      <c r="L30" s="175" t="s">
        <v>255</v>
      </c>
      <c r="M30" s="176">
        <f ca="1">IF($D30&lt;&gt;"Serviço","",IF(AUTOEVENTO="manual",$A30,IF(ISERROR(MATCH($A30,$A$15:OFFSET($A30,-1,0),0)),MAX($M$15:OFFSET(M30,-1,0))+1,INDEX($M$15:OFFSET(M30,-1,0),MATCH($A30,$A$15:OFFSET($A30,-1,0),0)))))</f>
        <v>3</v>
      </c>
      <c r="N30" s="177" t="str">
        <f ca="1">IF($D30&lt;&gt;"Serviço","",IF(AUTOEVENTO="Manual",IF($A30=0,"&lt;-- defina o número do agrupador",OFFSET(EVENTOS!$D$14,$A30,0)),OFFSET($F$15,$A30,0)))</f>
        <v>INSTALAÇÕES HIDRÁULICAS - ENTRADA INDIVIDUALIZADA DE ÁGUA POTÁVEL E REDE ENTERRADA</v>
      </c>
      <c r="O30" s="178"/>
      <c r="Q30" s="178"/>
      <c r="R30" s="179"/>
      <c r="S30" s="179"/>
      <c r="T30" s="179"/>
      <c r="U30" s="179"/>
      <c r="V30" s="179"/>
      <c r="W30" s="179"/>
      <c r="X30" s="179"/>
      <c r="Y30" s="179"/>
      <c r="Z30" s="180"/>
      <c r="AB30" s="544">
        <f ca="1">IF(AND($D30="Serviço",AB$12&lt;&gt;0,$H30&gt;0,OR(AUTOEVENTO&lt;&gt;"manual",$M30&lt;&gt;1)),
IF(Import.TipoArredondamento&lt;&gt;"TransfereGOV",
ROUND(OFFSET($P30,0,AB$13),15-13*ORÇAMENTO!$AF$7)/$H30*OFFSET(ORÇAMENTO!$X$15,ROW(AB30)-ROW(AB$15),0),
ROUND(ROUND(OFFSET($P30,0,AB$13),15-13*ORÇAMENTO!$AF$7)*OFFSET(ORÇAMENTO!$W$15,ROW(AB30)-ROW(AB$15),0),15-13*ORÇAMENTO!$AF$11)),0)</f>
        <v>0</v>
      </c>
      <c r="AC30" s="545">
        <f ca="1">IF(AND($D30="Serviço",AC$12&lt;&gt;0,$H30&gt;0,OR(AUTOEVENTO&lt;&gt;"manual",$M30&lt;&gt;1)),
IF(Import.TipoArredondamento&lt;&gt;"TransfereGOV",
ROUND(OFFSET($P30,0,AC$13),15-13*ORÇAMENTO!$AF$7)/$H30*OFFSET(ORÇAMENTO!$X$15,ROW(AC30)-ROW(AC$15),0),
ROUND(ROUND(OFFSET($P30,0,AC$13),15-13*ORÇAMENTO!$AF$7)*OFFSET(ORÇAMENTO!$W$15,ROW(AC30)-ROW(AC$15),0),15-13*ORÇAMENTO!$AF$11)),0)</f>
        <v>0</v>
      </c>
      <c r="AD30" s="545">
        <f ca="1">IF(AND($D30="Serviço",AD$12&lt;&gt;0,$H30&gt;0,OR(AUTOEVENTO&lt;&gt;"manual",$M30&lt;&gt;1)),
IF(Import.TipoArredondamento&lt;&gt;"TransfereGOV",
ROUND(OFFSET($P30,0,AD$13),15-13*ORÇAMENTO!$AF$7)/$H30*OFFSET(ORÇAMENTO!$X$15,ROW(AD30)-ROW(AD$15),0),
ROUND(ROUND(OFFSET($P30,0,AD$13),15-13*ORÇAMENTO!$AF$7)*OFFSET(ORÇAMENTO!$W$15,ROW(AD30)-ROW(AD$15),0),15-13*ORÇAMENTO!$AF$11)),0)</f>
        <v>0</v>
      </c>
      <c r="AE30" s="545">
        <f ca="1">IF(AND($D30="Serviço",AE$12&lt;&gt;0,$H30&gt;0,OR(AUTOEVENTO&lt;&gt;"manual",$M30&lt;&gt;1)),
IF(Import.TipoArredondamento&lt;&gt;"TransfereGOV",
ROUND(OFFSET($P30,0,AE$13),15-13*ORÇAMENTO!$AF$7)/$H30*OFFSET(ORÇAMENTO!$X$15,ROW(AE30)-ROW(AE$15),0),
ROUND(ROUND(OFFSET($P30,0,AE$13),15-13*ORÇAMENTO!$AF$7)*OFFSET(ORÇAMENTO!$W$15,ROW(AE30)-ROW(AE$15),0),15-13*ORÇAMENTO!$AF$11)),0)</f>
        <v>0</v>
      </c>
      <c r="AF30" s="545">
        <f ca="1">IF(AND($D30="Serviço",AF$12&lt;&gt;0,$H30&gt;0,OR(AUTOEVENTO&lt;&gt;"manual",$M30&lt;&gt;1)),
IF(Import.TipoArredondamento&lt;&gt;"TransfereGOV",
ROUND(OFFSET($P30,0,AF$13),15-13*ORÇAMENTO!$AF$7)/$H30*OFFSET(ORÇAMENTO!$X$15,ROW(AF30)-ROW(AF$15),0),
ROUND(ROUND(OFFSET($P30,0,AF$13),15-13*ORÇAMENTO!$AF$7)*OFFSET(ORÇAMENTO!$W$15,ROW(AF30)-ROW(AF$15),0),15-13*ORÇAMENTO!$AF$11)),0)</f>
        <v>0</v>
      </c>
      <c r="AG30" s="545">
        <f ca="1">IF(AND($D30="Serviço",AG$12&lt;&gt;0,$H30&gt;0,OR(AUTOEVENTO&lt;&gt;"manual",$M30&lt;&gt;1)),
IF(Import.TipoArredondamento&lt;&gt;"TransfereGOV",
ROUND(OFFSET($P30,0,AG$13),15-13*ORÇAMENTO!$AF$7)/$H30*OFFSET(ORÇAMENTO!$X$15,ROW(AG30)-ROW(AG$15),0),
ROUND(ROUND(OFFSET($P30,0,AG$13),15-13*ORÇAMENTO!$AF$7)*OFFSET(ORÇAMENTO!$W$15,ROW(AG30)-ROW(AG$15),0),15-13*ORÇAMENTO!$AF$11)),0)</f>
        <v>0</v>
      </c>
      <c r="AH30" s="545">
        <f ca="1">IF(AND($D30="Serviço",AH$12&lt;&gt;0,$H30&gt;0,OR(AUTOEVENTO&lt;&gt;"manual",$M30&lt;&gt;1)),
IF(Import.TipoArredondamento&lt;&gt;"TransfereGOV",
ROUND(OFFSET($P30,0,AH$13),15-13*ORÇAMENTO!$AF$7)/$H30*OFFSET(ORÇAMENTO!$X$15,ROW(AH30)-ROW(AH$15),0),
ROUND(ROUND(OFFSET($P30,0,AH$13),15-13*ORÇAMENTO!$AF$7)*OFFSET(ORÇAMENTO!$W$15,ROW(AH30)-ROW(AH$15),0),15-13*ORÇAMENTO!$AF$11)),0)</f>
        <v>0</v>
      </c>
      <c r="AI30" s="545">
        <f ca="1">IF(AND($D30="Serviço",AI$12&lt;&gt;0,$H30&gt;0,OR(AUTOEVENTO&lt;&gt;"manual",$M30&lt;&gt;1)),
IF(Import.TipoArredondamento&lt;&gt;"TransfereGOV",
ROUND(OFFSET($P30,0,AI$13),15-13*ORÇAMENTO!$AF$7)/$H30*OFFSET(ORÇAMENTO!$X$15,ROW(AI30)-ROW(AI$15),0),
ROUND(ROUND(OFFSET($P30,0,AI$13),15-13*ORÇAMENTO!$AF$7)*OFFSET(ORÇAMENTO!$W$15,ROW(AI30)-ROW(AI$15),0),15-13*ORÇAMENTO!$AF$11)),0)</f>
        <v>0</v>
      </c>
      <c r="AJ30" s="545">
        <f ca="1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546">
        <f ca="1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M30" s="181">
        <f ca="1">IF($D30&lt;&gt;"Serviço",0,IF(AND(AUTOEVENTO="Manual",$M30=1),0,IF(OFFSET(CRONOPLE!$F$14,$M30,AM$13)="",10^12,OFFSET(CRONOPLE!$F$14,$M30,AM$13))))</f>
        <v>1000000000000</v>
      </c>
      <c r="AN30" s="181">
        <f ca="1">IF($D30&lt;&gt;"Serviço",0,IF(AND(AUTOEVENTO="Manual",$M30=1),0,IF(OFFSET(CRONOPLE!$F$14,$M30,AN$13)="",10^12,OFFSET(CRONOPLE!$F$14,$M30,AN$13))))</f>
        <v>1000000000000</v>
      </c>
      <c r="AO30" s="181">
        <f ca="1">IF($D30&lt;&gt;"Serviço",0,IF(AND(AUTOEVENTO="Manual",$M30=1),0,IF(OFFSET(CRONOPLE!$F$14,$M30,AO$13)="",10^12,OFFSET(CRONOPLE!$F$14,$M30,AO$13))))</f>
        <v>1000000000000</v>
      </c>
      <c r="AP30" s="181">
        <f ca="1">IF($D30&lt;&gt;"Serviço",0,IF(AND(AUTOEVENTO="Manual",$M30=1),0,IF(OFFSET(CRONOPLE!$F$14,$M30,AP$13)="",10^12,OFFSET(CRONOPLE!$F$14,$M30,AP$13))))</f>
        <v>1000000000000</v>
      </c>
      <c r="AQ30" s="181">
        <f ca="1">IF($D30&lt;&gt;"Serviço",0,IF(AND(AUTOEVENTO="Manual",$M30=1),0,IF(OFFSET(CRONOPLE!$F$14,$M30,AQ$13)="",10^12,OFFSET(CRONOPLE!$F$14,$M30,AQ$13))))</f>
        <v>1000000000000</v>
      </c>
      <c r="AR30" s="181">
        <f ca="1">IF($D30&lt;&gt;"Serviço",0,IF(AND(AUTOEVENTO="Manual",$M30=1),0,IF(OFFSET(CRONOPLE!$F$14,$M30,AR$13)="",10^12,OFFSET(CRONOPLE!$F$14,$M30,AR$13))))</f>
        <v>1000000000000</v>
      </c>
      <c r="AS30" s="181">
        <f ca="1">IF($D30&lt;&gt;"Serviço",0,IF(AND(AUTOEVENTO="Manual",$M30=1),0,IF(OFFSET(CRONOPLE!$F$14,$M30,AS$13)="",10^12,OFFSET(CRONOPLE!$F$14,$M30,AS$13))))</f>
        <v>1000000000000</v>
      </c>
      <c r="AT30" s="181">
        <f ca="1">IF($D30&lt;&gt;"Serviço",0,IF(AND(AUTOEVENTO="Manual",$M30=1),0,IF(OFFSET(CRONOPLE!$F$14,$M30,AT$13)="",10^12,OFFSET(CRONOPLE!$F$14,$M30,AT$13))))</f>
        <v>1000000000000</v>
      </c>
      <c r="AU30" s="181">
        <f ca="1">IF($D30&lt;&gt;"Serviço",0,IF(AND(AUTOEVENTO="Manual",$M30=1),0,IF(OFFSET(CRONOPLE!$F$14,$M30,AU$13)="",10^12,OFFSET(CRONOPLE!$F$14,$M30,AU$13))))</f>
        <v>1000000000000</v>
      </c>
      <c r="AV30" s="181">
        <f ca="1">IF($D30&lt;&gt;"Serviço",0,IF(AND(AUTOEVENTO="Manual",$M30=1),0,IF(OFFSET(CRONOPLE!$F$14,$M30,AV$13)="",10^12,OFFSET(CRONOPLE!$F$14,$M30,AV$13))))</f>
        <v>1000000000000</v>
      </c>
      <c r="AX30" s="182">
        <f ca="1">IF($D30&lt;&gt;"Serviço",0,IF(OR(AND(AUTOEVENTO="Manual",$M30=1),$M30&gt;(ROW(PLE.lastrow)-ROW(PLE.firstrow))),0,IF(OFFSET(PLE!$G$14,$M30,AX$13)="",10^12,OFFSET(PLE!$G$14,$M30,AX$13))))</f>
        <v>1000000000000</v>
      </c>
      <c r="AY30" s="182">
        <f ca="1">IF($D30&lt;&gt;"Serviço",0,IF(OR(AND(AUTOEVENTO="Manual",$M30=1),$M30&gt;(ROW(PLE.lastrow)-ROW(PLE.firstrow))),0,IF(OFFSET(PLE!$G$14,$M30,AY$13)="",10^12,OFFSET(PLE!$G$14,$M30,AY$13))))</f>
        <v>1000000000000</v>
      </c>
      <c r="AZ30" s="182">
        <f ca="1">IF($D30&lt;&gt;"Serviço",0,IF(OR(AND(AUTOEVENTO="Manual",$M30=1),$M30&gt;(ROW(PLE.lastrow)-ROW(PLE.firstrow))),0,IF(OFFSET(PLE!$G$14,$M30,AZ$13)="",10^12,OFFSET(PLE!$G$14,$M30,AZ$13))))</f>
        <v>1000000000000</v>
      </c>
      <c r="BA30" s="182">
        <f ca="1">IF($D30&lt;&gt;"Serviço",0,IF(OR(AND(AUTOEVENTO="Manual",$M30=1),$M30&gt;(ROW(PLE.lastrow)-ROW(PLE.firstrow))),0,IF(OFFSET(PLE!$G$14,$M30,BA$13)="",10^12,OFFSET(PLE!$G$14,$M30,BA$13))))</f>
        <v>1000000000000</v>
      </c>
      <c r="BB30" s="182">
        <f ca="1">IF($D30&lt;&gt;"Serviço",0,IF(OR(AND(AUTOEVENTO="Manual",$M30=1),$M30&gt;(ROW(PLE.lastrow)-ROW(PLE.firstrow))),0,IF(OFFSET(PLE!$G$14,$M30,BB$13)="",10^12,OFFSET(PLE!$G$14,$M30,BB$13))))</f>
        <v>1000000000000</v>
      </c>
      <c r="BC30" s="182">
        <f ca="1">IF($D30&lt;&gt;"Serviço",0,IF(OR(AND(AUTOEVENTO="Manual",$M30=1),$M30&gt;(ROW(PLE.lastrow)-ROW(PLE.firstrow))),0,IF(OFFSET(PLE!$G$14,$M30,BC$13)="",10^12,OFFSET(PLE!$G$14,$M30,BC$13))))</f>
        <v>1000000000000</v>
      </c>
      <c r="BD30" s="182">
        <f ca="1">IF($D30&lt;&gt;"Serviço",0,IF(OR(AND(AUTOEVENTO="Manual",$M30=1),$M30&gt;(ROW(PLE.lastrow)-ROW(PLE.firstrow))),0,IF(OFFSET(PLE!$G$14,$M30,BD$13)="",10^12,OFFSET(PLE!$G$14,$M30,BD$13))))</f>
        <v>1000000000000</v>
      </c>
      <c r="BE30" s="182">
        <f ca="1">IF($D30&lt;&gt;"Serviço",0,IF(OR(AND(AUTOEVENTO="Manual",$M30=1),$M30&gt;(ROW(PLE.lastrow)-ROW(PLE.firstrow))),0,IF(OFFSET(PLE!$G$14,$M30,BE$13)="",10^12,OFFSET(PLE!$G$14,$M30,BE$13))))</f>
        <v>1000000000000</v>
      </c>
      <c r="BF30" s="182">
        <f ca="1">IF($D30&lt;&gt;"Serviço",0,IF(OR(AND(AUTOEVENTO="Manual",$M30=1),$M30&gt;(ROW(PLE.lastrow)-ROW(PLE.firstrow))),0,IF(OFFSET(PLE!$G$14,$M30,BF$13)="",10^12,OFFSET(PLE!$G$14,$M30,BF$13))))</f>
        <v>1000000000000</v>
      </c>
      <c r="BG30" s="18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51" x14ac:dyDescent="0.2">
      <c r="A31" s="7" t="str">
        <f t="shared" ca="1" si="8"/>
        <v>10</v>
      </c>
      <c r="B31" s="7" t="str">
        <f ca="1">OFFSET(ORÇAMENTO!C$15,ROW(B31)-ROW(B$15),0)</f>
        <v>S</v>
      </c>
      <c r="C31" s="7" t="str">
        <f ca="1">OFFSET(ORÇAMENTO!L$15,ROW(C31)-ROW(C$15),0)</f>
        <v>F</v>
      </c>
      <c r="D31" s="118" t="str">
        <f ca="1">OFFSET(ORÇAMENTO!N$15,ROW(D31)-ROW(D$15),0)</f>
        <v>Serviço</v>
      </c>
      <c r="E31" s="119" t="str">
        <f ca="1">OFFSET(ORÇAMENTO!O$15,ROW(E31)-ROW(E$15),0)</f>
        <v>1.2.0.6.</v>
      </c>
      <c r="F31" s="172" t="str">
        <f ca="1">OFFSET(ORÇAMENTO!R$15,ROW(F31)-ROW(F$15),0)</f>
        <v>(abra o arquivo 'Referência 03-2024.xlsm)</v>
      </c>
      <c r="G31" s="173" t="str">
        <f ca="1">IF($D31&lt;&gt;"Serviço","",OFFSET(ORÇAMENTO!S$15,ROW(G31)-ROW(G$15),0))</f>
        <v>-</v>
      </c>
      <c r="H31" s="124">
        <f ca="1">IF($D31&lt;&gt;"Serviço",0,IF(ACOMPANHAMENTO="BM",ROUND(OFFSET(ORÇAMENTO!AJ$15,ROW(H31)-ROW(H$15),0),15-13*ORÇAMENTO!$AF$7),SUMPRODUCT(($Q$12:$AA$12&lt;&gt;"")*ROUND($Q31:$AA31,15-13*ORÇAMENTO!$AF$7))))</f>
        <v>1.61</v>
      </c>
      <c r="I31" s="561"/>
      <c r="K31" s="174"/>
      <c r="L31" s="175" t="s">
        <v>255</v>
      </c>
      <c r="M31" s="176">
        <f ca="1">IF($D31&lt;&gt;"Serviço","",IF(AUTOEVENTO="manual",$A31,IF(ISERROR(MATCH($A31,$A$15:OFFSET($A31,-1,0),0)),MAX($M$15:OFFSET(M31,-1,0))+1,INDEX($M$15:OFFSET(M31,-1,0),MATCH($A31,$A$15:OFFSET($A31,-1,0),0)))))</f>
        <v>3</v>
      </c>
      <c r="N31" s="177" t="str">
        <f ca="1">IF($D31&lt;&gt;"Serviço","",IF(AUTOEVENTO="Manual",IF($A31=0,"&lt;-- defina o número do agrupador",OFFSET(EVENTOS!$D$14,$A31,0)),OFFSET($F$15,$A31,0)))</f>
        <v>INSTALAÇÕES HIDRÁULICAS - ENTRADA INDIVIDUALIZADA DE ÁGUA POTÁVEL E REDE ENTERRADA</v>
      </c>
      <c r="O31" s="178"/>
      <c r="Q31" s="178"/>
      <c r="R31" s="179"/>
      <c r="S31" s="179"/>
      <c r="T31" s="179"/>
      <c r="U31" s="179"/>
      <c r="V31" s="179"/>
      <c r="W31" s="179"/>
      <c r="X31" s="179"/>
      <c r="Y31" s="179"/>
      <c r="Z31" s="180"/>
      <c r="AB31" s="544">
        <f ca="1">IF(AND($D31="Serviço",AB$12&lt;&gt;0,$H31&gt;0,OR(AUTOEVENTO&lt;&gt;"manual",$M31&lt;&gt;1)),
IF(Import.TipoArredondamento&lt;&gt;"TransfereGOV",
ROUND(OFFSET($P31,0,AB$13),15-13*ORÇAMENTO!$AF$7)/$H31*OFFSET(ORÇAMENTO!$X$15,ROW(AB31)-ROW(AB$15),0),
ROUND(ROUND(OFFSET($P31,0,AB$13),15-13*ORÇAMENTO!$AF$7)*OFFSET(ORÇAMENTO!$W$15,ROW(AB31)-ROW(AB$15),0),15-13*ORÇAMENTO!$AF$11)),0)</f>
        <v>0</v>
      </c>
      <c r="AC31" s="545">
        <f ca="1">IF(AND($D31="Serviço",AC$12&lt;&gt;0,$H31&gt;0,OR(AUTOEVENTO&lt;&gt;"manual",$M31&lt;&gt;1)),
IF(Import.TipoArredondamento&lt;&gt;"TransfereGOV",
ROUND(OFFSET($P31,0,AC$13),15-13*ORÇAMENTO!$AF$7)/$H31*OFFSET(ORÇAMENTO!$X$15,ROW(AC31)-ROW(AC$15),0),
ROUND(ROUND(OFFSET($P31,0,AC$13),15-13*ORÇAMENTO!$AF$7)*OFFSET(ORÇAMENTO!$W$15,ROW(AC31)-ROW(AC$15),0),15-13*ORÇAMENTO!$AF$11)),0)</f>
        <v>0</v>
      </c>
      <c r="AD31" s="545">
        <f ca="1">IF(AND($D31="Serviço",AD$12&lt;&gt;0,$H31&gt;0,OR(AUTOEVENTO&lt;&gt;"manual",$M31&lt;&gt;1)),
IF(Import.TipoArredondamento&lt;&gt;"TransfereGOV",
ROUND(OFFSET($P31,0,AD$13),15-13*ORÇAMENTO!$AF$7)/$H31*OFFSET(ORÇAMENTO!$X$15,ROW(AD31)-ROW(AD$15),0),
ROUND(ROUND(OFFSET($P31,0,AD$13),15-13*ORÇAMENTO!$AF$7)*OFFSET(ORÇAMENTO!$W$15,ROW(AD31)-ROW(AD$15),0),15-13*ORÇAMENTO!$AF$11)),0)</f>
        <v>0</v>
      </c>
      <c r="AE31" s="545">
        <f ca="1">IF(AND($D31="Serviço",AE$12&lt;&gt;0,$H31&gt;0,OR(AUTOEVENTO&lt;&gt;"manual",$M31&lt;&gt;1)),
IF(Import.TipoArredondamento&lt;&gt;"TransfereGOV",
ROUND(OFFSET($P31,0,AE$13),15-13*ORÇAMENTO!$AF$7)/$H31*OFFSET(ORÇAMENTO!$X$15,ROW(AE31)-ROW(AE$15),0),
ROUND(ROUND(OFFSET($P31,0,AE$13),15-13*ORÇAMENTO!$AF$7)*OFFSET(ORÇAMENTO!$W$15,ROW(AE31)-ROW(AE$15),0),15-13*ORÇAMENTO!$AF$11)),0)</f>
        <v>0</v>
      </c>
      <c r="AF31" s="545">
        <f ca="1">IF(AND($D31="Serviço",AF$12&lt;&gt;0,$H31&gt;0,OR(AUTOEVENTO&lt;&gt;"manual",$M31&lt;&gt;1)),
IF(Import.TipoArredondamento&lt;&gt;"TransfereGOV",
ROUND(OFFSET($P31,0,AF$13),15-13*ORÇAMENTO!$AF$7)/$H31*OFFSET(ORÇAMENTO!$X$15,ROW(AF31)-ROW(AF$15),0),
ROUND(ROUND(OFFSET($P31,0,AF$13),15-13*ORÇAMENTO!$AF$7)*OFFSET(ORÇAMENTO!$W$15,ROW(AF31)-ROW(AF$15),0),15-13*ORÇAMENTO!$AF$11)),0)</f>
        <v>0</v>
      </c>
      <c r="AG31" s="545">
        <f ca="1">IF(AND($D31="Serviço",AG$12&lt;&gt;0,$H31&gt;0,OR(AUTOEVENTO&lt;&gt;"manual",$M31&lt;&gt;1)),
IF(Import.TipoArredondamento&lt;&gt;"TransfereGOV",
ROUND(OFFSET($P31,0,AG$13),15-13*ORÇAMENTO!$AF$7)/$H31*OFFSET(ORÇAMENTO!$X$15,ROW(AG31)-ROW(AG$15),0),
ROUND(ROUND(OFFSET($P31,0,AG$13),15-13*ORÇAMENTO!$AF$7)*OFFSET(ORÇAMENTO!$W$15,ROW(AG31)-ROW(AG$15),0),15-13*ORÇAMENTO!$AF$11)),0)</f>
        <v>0</v>
      </c>
      <c r="AH31" s="545">
        <f ca="1">IF(AND($D31="Serviço",AH$12&lt;&gt;0,$H31&gt;0,OR(AUTOEVENTO&lt;&gt;"manual",$M31&lt;&gt;1)),
IF(Import.TipoArredondamento&lt;&gt;"TransfereGOV",
ROUND(OFFSET($P31,0,AH$13),15-13*ORÇAMENTO!$AF$7)/$H31*OFFSET(ORÇAMENTO!$X$15,ROW(AH31)-ROW(AH$15),0),
ROUND(ROUND(OFFSET($P31,0,AH$13),15-13*ORÇAMENTO!$AF$7)*OFFSET(ORÇAMENTO!$W$15,ROW(AH31)-ROW(AH$15),0),15-13*ORÇAMENTO!$AF$11)),0)</f>
        <v>0</v>
      </c>
      <c r="AI31" s="545">
        <f ca="1">IF(AND($D31="Serviço",AI$12&lt;&gt;0,$H31&gt;0,OR(AUTOEVENTO&lt;&gt;"manual",$M31&lt;&gt;1)),
IF(Import.TipoArredondamento&lt;&gt;"TransfereGOV",
ROUND(OFFSET($P31,0,AI$13),15-13*ORÇAMENTO!$AF$7)/$H31*OFFSET(ORÇAMENTO!$X$15,ROW(AI31)-ROW(AI$15),0),
ROUND(ROUND(OFFSET($P31,0,AI$13),15-13*ORÇAMENTO!$AF$7)*OFFSET(ORÇAMENTO!$W$15,ROW(AI31)-ROW(AI$15),0),15-13*ORÇAMENTO!$AF$11)),0)</f>
        <v>0</v>
      </c>
      <c r="AJ31" s="545">
        <f ca="1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0</v>
      </c>
      <c r="AK31" s="546">
        <f ca="1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0</v>
      </c>
      <c r="AM31" s="181">
        <f ca="1">IF($D31&lt;&gt;"Serviço",0,IF(AND(AUTOEVENTO="Manual",$M31=1),0,IF(OFFSET(CRONOPLE!$F$14,$M31,AM$13)="",10^12,OFFSET(CRONOPLE!$F$14,$M31,AM$13))))</f>
        <v>1000000000000</v>
      </c>
      <c r="AN31" s="181">
        <f ca="1">IF($D31&lt;&gt;"Serviço",0,IF(AND(AUTOEVENTO="Manual",$M31=1),0,IF(OFFSET(CRONOPLE!$F$14,$M31,AN$13)="",10^12,OFFSET(CRONOPLE!$F$14,$M31,AN$13))))</f>
        <v>1000000000000</v>
      </c>
      <c r="AO31" s="181">
        <f ca="1">IF($D31&lt;&gt;"Serviço",0,IF(AND(AUTOEVENTO="Manual",$M31=1),0,IF(OFFSET(CRONOPLE!$F$14,$M31,AO$13)="",10^12,OFFSET(CRONOPLE!$F$14,$M31,AO$13))))</f>
        <v>1000000000000</v>
      </c>
      <c r="AP31" s="181">
        <f ca="1">IF($D31&lt;&gt;"Serviço",0,IF(AND(AUTOEVENTO="Manual",$M31=1),0,IF(OFFSET(CRONOPLE!$F$14,$M31,AP$13)="",10^12,OFFSET(CRONOPLE!$F$14,$M31,AP$13))))</f>
        <v>1000000000000</v>
      </c>
      <c r="AQ31" s="181">
        <f ca="1">IF($D31&lt;&gt;"Serviço",0,IF(AND(AUTOEVENTO="Manual",$M31=1),0,IF(OFFSET(CRONOPLE!$F$14,$M31,AQ$13)="",10^12,OFFSET(CRONOPLE!$F$14,$M31,AQ$13))))</f>
        <v>1000000000000</v>
      </c>
      <c r="AR31" s="181">
        <f ca="1">IF($D31&lt;&gt;"Serviço",0,IF(AND(AUTOEVENTO="Manual",$M31=1),0,IF(OFFSET(CRONOPLE!$F$14,$M31,AR$13)="",10^12,OFFSET(CRONOPLE!$F$14,$M31,AR$13))))</f>
        <v>1000000000000</v>
      </c>
      <c r="AS31" s="181">
        <f ca="1">IF($D31&lt;&gt;"Serviço",0,IF(AND(AUTOEVENTO="Manual",$M31=1),0,IF(OFFSET(CRONOPLE!$F$14,$M31,AS$13)="",10^12,OFFSET(CRONOPLE!$F$14,$M31,AS$13))))</f>
        <v>1000000000000</v>
      </c>
      <c r="AT31" s="181">
        <f ca="1">IF($D31&lt;&gt;"Serviço",0,IF(AND(AUTOEVENTO="Manual",$M31=1),0,IF(OFFSET(CRONOPLE!$F$14,$M31,AT$13)="",10^12,OFFSET(CRONOPLE!$F$14,$M31,AT$13))))</f>
        <v>1000000000000</v>
      </c>
      <c r="AU31" s="181">
        <f ca="1">IF($D31&lt;&gt;"Serviço",0,IF(AND(AUTOEVENTO="Manual",$M31=1),0,IF(OFFSET(CRONOPLE!$F$14,$M31,AU$13)="",10^12,OFFSET(CRONOPLE!$F$14,$M31,AU$13))))</f>
        <v>1000000000000</v>
      </c>
      <c r="AV31" s="181">
        <f ca="1">IF($D31&lt;&gt;"Serviço",0,IF(AND(AUTOEVENTO="Manual",$M31=1),0,IF(OFFSET(CRONOPLE!$F$14,$M31,AV$13)="",10^12,OFFSET(CRONOPLE!$F$14,$M31,AV$13))))</f>
        <v>1000000000000</v>
      </c>
      <c r="AX31" s="182">
        <f ca="1">IF($D31&lt;&gt;"Serviço",0,IF(OR(AND(AUTOEVENTO="Manual",$M31=1),$M31&gt;(ROW(PLE.lastrow)-ROW(PLE.firstrow))),0,IF(OFFSET(PLE!$G$14,$M31,AX$13)="",10^12,OFFSET(PLE!$G$14,$M31,AX$13))))</f>
        <v>1000000000000</v>
      </c>
      <c r="AY31" s="182">
        <f ca="1">IF($D31&lt;&gt;"Serviço",0,IF(OR(AND(AUTOEVENTO="Manual",$M31=1),$M31&gt;(ROW(PLE.lastrow)-ROW(PLE.firstrow))),0,IF(OFFSET(PLE!$G$14,$M31,AY$13)="",10^12,OFFSET(PLE!$G$14,$M31,AY$13))))</f>
        <v>1000000000000</v>
      </c>
      <c r="AZ31" s="182">
        <f ca="1">IF($D31&lt;&gt;"Serviço",0,IF(OR(AND(AUTOEVENTO="Manual",$M31=1),$M31&gt;(ROW(PLE.lastrow)-ROW(PLE.firstrow))),0,IF(OFFSET(PLE!$G$14,$M31,AZ$13)="",10^12,OFFSET(PLE!$G$14,$M31,AZ$13))))</f>
        <v>1000000000000</v>
      </c>
      <c r="BA31" s="182">
        <f ca="1">IF($D31&lt;&gt;"Serviço",0,IF(OR(AND(AUTOEVENTO="Manual",$M31=1),$M31&gt;(ROW(PLE.lastrow)-ROW(PLE.firstrow))),0,IF(OFFSET(PLE!$G$14,$M31,BA$13)="",10^12,OFFSET(PLE!$G$14,$M31,BA$13))))</f>
        <v>1000000000000</v>
      </c>
      <c r="BB31" s="182">
        <f ca="1">IF($D31&lt;&gt;"Serviço",0,IF(OR(AND(AUTOEVENTO="Manual",$M31=1),$M31&gt;(ROW(PLE.lastrow)-ROW(PLE.firstrow))),0,IF(OFFSET(PLE!$G$14,$M31,BB$13)="",10^12,OFFSET(PLE!$G$14,$M31,BB$13))))</f>
        <v>1000000000000</v>
      </c>
      <c r="BC31" s="182">
        <f ca="1">IF($D31&lt;&gt;"Serviço",0,IF(OR(AND(AUTOEVENTO="Manual",$M31=1),$M31&gt;(ROW(PLE.lastrow)-ROW(PLE.firstrow))),0,IF(OFFSET(PLE!$G$14,$M31,BC$13)="",10^12,OFFSET(PLE!$G$14,$M31,BC$13))))</f>
        <v>1000000000000</v>
      </c>
      <c r="BD31" s="182">
        <f ca="1">IF($D31&lt;&gt;"Serviço",0,IF(OR(AND(AUTOEVENTO="Manual",$M31=1),$M31&gt;(ROW(PLE.lastrow)-ROW(PLE.firstrow))),0,IF(OFFSET(PLE!$G$14,$M31,BD$13)="",10^12,OFFSET(PLE!$G$14,$M31,BD$13))))</f>
        <v>1000000000000</v>
      </c>
      <c r="BE31" s="182">
        <f ca="1">IF($D31&lt;&gt;"Serviço",0,IF(OR(AND(AUTOEVENTO="Manual",$M31=1),$M31&gt;(ROW(PLE.lastrow)-ROW(PLE.firstrow))),0,IF(OFFSET(PLE!$G$14,$M31,BE$13)="",10^12,OFFSET(PLE!$G$14,$M31,BE$13))))</f>
        <v>1000000000000</v>
      </c>
      <c r="BF31" s="182">
        <f ca="1">IF($D31&lt;&gt;"Serviço",0,IF(OR(AND(AUTOEVENTO="Manual",$M31=1),$M31&gt;(ROW(PLE.lastrow)-ROW(PLE.firstrow))),0,IF(OFFSET(PLE!$G$14,$M31,BF$13)="",10^12,OFFSET(PLE!$G$14,$M31,BF$13))))</f>
        <v>1000000000000</v>
      </c>
      <c r="BG31" s="182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51" x14ac:dyDescent="0.2">
      <c r="A32" s="7" t="str">
        <f t="shared" ca="1" si="8"/>
        <v>10</v>
      </c>
      <c r="B32" s="7" t="str">
        <f ca="1">OFFSET(ORÇAMENTO!C$15,ROW(B32)-ROW(B$15),0)</f>
        <v>S</v>
      </c>
      <c r="C32" s="7" t="str">
        <f ca="1">OFFSET(ORÇAMENTO!L$15,ROW(C32)-ROW(C$15),0)</f>
        <v>F</v>
      </c>
      <c r="D32" s="118" t="str">
        <f ca="1">OFFSET(ORÇAMENTO!N$15,ROW(D32)-ROW(D$15),0)</f>
        <v>Serviço</v>
      </c>
      <c r="E32" s="119" t="str">
        <f ca="1">OFFSET(ORÇAMENTO!O$15,ROW(E32)-ROW(E$15),0)</f>
        <v>1.2.0.7.</v>
      </c>
      <c r="F32" s="172" t="str">
        <f ca="1">OFFSET(ORÇAMENTO!R$15,ROW(F32)-ROW(F$15),0)</f>
        <v>(abra o arquivo 'Referência 03-2024.xlsm)</v>
      </c>
      <c r="G32" s="173" t="str">
        <f ca="1">IF($D32&lt;&gt;"Serviço","",OFFSET(ORÇAMENTO!S$15,ROW(G32)-ROW(G$15),0))</f>
        <v>-</v>
      </c>
      <c r="H32" s="124">
        <f ca="1">IF($D32&lt;&gt;"Serviço",0,IF(ACOMPANHAMENTO="BM",ROUND(OFFSET(ORÇAMENTO!AJ$15,ROW(H32)-ROW(H$15),0),15-13*ORÇAMENTO!$AF$7),SUMPRODUCT(($Q$12:$AA$12&lt;&gt;"")*ROUND($Q32:$AA32,15-13*ORÇAMENTO!$AF$7))))</f>
        <v>1.61</v>
      </c>
      <c r="I32" s="561"/>
      <c r="K32" s="174"/>
      <c r="L32" s="175" t="s">
        <v>255</v>
      </c>
      <c r="M32" s="176">
        <f ca="1">IF($D32&lt;&gt;"Serviço","",IF(AUTOEVENTO="manual",$A32,IF(ISERROR(MATCH($A32,$A$15:OFFSET($A32,-1,0),0)),MAX($M$15:OFFSET(M32,-1,0))+1,INDEX($M$15:OFFSET(M32,-1,0),MATCH($A32,$A$15:OFFSET($A32,-1,0),0)))))</f>
        <v>3</v>
      </c>
      <c r="N32" s="177" t="str">
        <f ca="1">IF($D32&lt;&gt;"Serviço","",IF(AUTOEVENTO="Manual",IF($A32=0,"&lt;-- defina o número do agrupador",OFFSET(EVENTOS!$D$14,$A32,0)),OFFSET($F$15,$A32,0)))</f>
        <v>INSTALAÇÕES HIDRÁULICAS - ENTRADA INDIVIDUALIZADA DE ÁGUA POTÁVEL E REDE ENTERRADA</v>
      </c>
      <c r="O32" s="178"/>
      <c r="Q32" s="178"/>
      <c r="R32" s="179"/>
      <c r="S32" s="179"/>
      <c r="T32" s="179"/>
      <c r="U32" s="179"/>
      <c r="V32" s="179"/>
      <c r="W32" s="179"/>
      <c r="X32" s="179"/>
      <c r="Y32" s="179"/>
      <c r="Z32" s="180"/>
      <c r="AB32" s="544">
        <f ca="1">IF(AND($D32="Serviço",AB$12&lt;&gt;0,$H32&gt;0,OR(AUTOEVENTO&lt;&gt;"manual",$M32&lt;&gt;1)),
IF(Import.TipoArredondamento&lt;&gt;"TransfereGOV",
ROUND(OFFSET($P32,0,AB$13),15-13*ORÇAMENTO!$AF$7)/$H32*OFFSET(ORÇAMENTO!$X$15,ROW(AB32)-ROW(AB$15),0),
ROUND(ROUND(OFFSET($P32,0,AB$13),15-13*ORÇAMENTO!$AF$7)*OFFSET(ORÇAMENTO!$W$15,ROW(AB32)-ROW(AB$15),0),15-13*ORÇAMENTO!$AF$11)),0)</f>
        <v>0</v>
      </c>
      <c r="AC32" s="545">
        <f ca="1">IF(AND($D32="Serviço",AC$12&lt;&gt;0,$H32&gt;0,OR(AUTOEVENTO&lt;&gt;"manual",$M32&lt;&gt;1)),
IF(Import.TipoArredondamento&lt;&gt;"TransfereGOV",
ROUND(OFFSET($P32,0,AC$13),15-13*ORÇAMENTO!$AF$7)/$H32*OFFSET(ORÇAMENTO!$X$15,ROW(AC32)-ROW(AC$15),0),
ROUND(ROUND(OFFSET($P32,0,AC$13),15-13*ORÇAMENTO!$AF$7)*OFFSET(ORÇAMENTO!$W$15,ROW(AC32)-ROW(AC$15),0),15-13*ORÇAMENTO!$AF$11)),0)</f>
        <v>0</v>
      </c>
      <c r="AD32" s="545">
        <f ca="1">IF(AND($D32="Serviço",AD$12&lt;&gt;0,$H32&gt;0,OR(AUTOEVENTO&lt;&gt;"manual",$M32&lt;&gt;1)),
IF(Import.TipoArredondamento&lt;&gt;"TransfereGOV",
ROUND(OFFSET($P32,0,AD$13),15-13*ORÇAMENTO!$AF$7)/$H32*OFFSET(ORÇAMENTO!$X$15,ROW(AD32)-ROW(AD$15),0),
ROUND(ROUND(OFFSET($P32,0,AD$13),15-13*ORÇAMENTO!$AF$7)*OFFSET(ORÇAMENTO!$W$15,ROW(AD32)-ROW(AD$15),0),15-13*ORÇAMENTO!$AF$11)),0)</f>
        <v>0</v>
      </c>
      <c r="AE32" s="545">
        <f ca="1">IF(AND($D32="Serviço",AE$12&lt;&gt;0,$H32&gt;0,OR(AUTOEVENTO&lt;&gt;"manual",$M32&lt;&gt;1)),
IF(Import.TipoArredondamento&lt;&gt;"TransfereGOV",
ROUND(OFFSET($P32,0,AE$13),15-13*ORÇAMENTO!$AF$7)/$H32*OFFSET(ORÇAMENTO!$X$15,ROW(AE32)-ROW(AE$15),0),
ROUND(ROUND(OFFSET($P32,0,AE$13),15-13*ORÇAMENTO!$AF$7)*OFFSET(ORÇAMENTO!$W$15,ROW(AE32)-ROW(AE$15),0),15-13*ORÇAMENTO!$AF$11)),0)</f>
        <v>0</v>
      </c>
      <c r="AF32" s="545">
        <f ca="1">IF(AND($D32="Serviço",AF$12&lt;&gt;0,$H32&gt;0,OR(AUTOEVENTO&lt;&gt;"manual",$M32&lt;&gt;1)),
IF(Import.TipoArredondamento&lt;&gt;"TransfereGOV",
ROUND(OFFSET($P32,0,AF$13),15-13*ORÇAMENTO!$AF$7)/$H32*OFFSET(ORÇAMENTO!$X$15,ROW(AF32)-ROW(AF$15),0),
ROUND(ROUND(OFFSET($P32,0,AF$13),15-13*ORÇAMENTO!$AF$7)*OFFSET(ORÇAMENTO!$W$15,ROW(AF32)-ROW(AF$15),0),15-13*ORÇAMENTO!$AF$11)),0)</f>
        <v>0</v>
      </c>
      <c r="AG32" s="545">
        <f ca="1">IF(AND($D32="Serviço",AG$12&lt;&gt;0,$H32&gt;0,OR(AUTOEVENTO&lt;&gt;"manual",$M32&lt;&gt;1)),
IF(Import.TipoArredondamento&lt;&gt;"TransfereGOV",
ROUND(OFFSET($P32,0,AG$13),15-13*ORÇAMENTO!$AF$7)/$H32*OFFSET(ORÇAMENTO!$X$15,ROW(AG32)-ROW(AG$15),0),
ROUND(ROUND(OFFSET($P32,0,AG$13),15-13*ORÇAMENTO!$AF$7)*OFFSET(ORÇAMENTO!$W$15,ROW(AG32)-ROW(AG$15),0),15-13*ORÇAMENTO!$AF$11)),0)</f>
        <v>0</v>
      </c>
      <c r="AH32" s="545">
        <f ca="1">IF(AND($D32="Serviço",AH$12&lt;&gt;0,$H32&gt;0,OR(AUTOEVENTO&lt;&gt;"manual",$M32&lt;&gt;1)),
IF(Import.TipoArredondamento&lt;&gt;"TransfereGOV",
ROUND(OFFSET($P32,0,AH$13),15-13*ORÇAMENTO!$AF$7)/$H32*OFFSET(ORÇAMENTO!$X$15,ROW(AH32)-ROW(AH$15),0),
ROUND(ROUND(OFFSET($P32,0,AH$13),15-13*ORÇAMENTO!$AF$7)*OFFSET(ORÇAMENTO!$W$15,ROW(AH32)-ROW(AH$15),0),15-13*ORÇAMENTO!$AF$11)),0)</f>
        <v>0</v>
      </c>
      <c r="AI32" s="545">
        <f ca="1">IF(AND($D32="Serviço",AI$12&lt;&gt;0,$H32&gt;0,OR(AUTOEVENTO&lt;&gt;"manual",$M32&lt;&gt;1)),
IF(Import.TipoArredondamento&lt;&gt;"TransfereGOV",
ROUND(OFFSET($P32,0,AI$13),15-13*ORÇAMENTO!$AF$7)/$H32*OFFSET(ORÇAMENTO!$X$15,ROW(AI32)-ROW(AI$15),0),
ROUND(ROUND(OFFSET($P32,0,AI$13),15-13*ORÇAMENTO!$AF$7)*OFFSET(ORÇAMENTO!$W$15,ROW(AI32)-ROW(AI$15),0),15-13*ORÇAMENTO!$AF$11)),0)</f>
        <v>0</v>
      </c>
      <c r="AJ32" s="545">
        <f ca="1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0</v>
      </c>
      <c r="AK32" s="546">
        <f ca="1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0</v>
      </c>
      <c r="AM32" s="181">
        <f ca="1">IF($D32&lt;&gt;"Serviço",0,IF(AND(AUTOEVENTO="Manual",$M32=1),0,IF(OFFSET(CRONOPLE!$F$14,$M32,AM$13)="",10^12,OFFSET(CRONOPLE!$F$14,$M32,AM$13))))</f>
        <v>1000000000000</v>
      </c>
      <c r="AN32" s="181">
        <f ca="1">IF($D32&lt;&gt;"Serviço",0,IF(AND(AUTOEVENTO="Manual",$M32=1),0,IF(OFFSET(CRONOPLE!$F$14,$M32,AN$13)="",10^12,OFFSET(CRONOPLE!$F$14,$M32,AN$13))))</f>
        <v>1000000000000</v>
      </c>
      <c r="AO32" s="181">
        <f ca="1">IF($D32&lt;&gt;"Serviço",0,IF(AND(AUTOEVENTO="Manual",$M32=1),0,IF(OFFSET(CRONOPLE!$F$14,$M32,AO$13)="",10^12,OFFSET(CRONOPLE!$F$14,$M32,AO$13))))</f>
        <v>1000000000000</v>
      </c>
      <c r="AP32" s="181">
        <f ca="1">IF($D32&lt;&gt;"Serviço",0,IF(AND(AUTOEVENTO="Manual",$M32=1),0,IF(OFFSET(CRONOPLE!$F$14,$M32,AP$13)="",10^12,OFFSET(CRONOPLE!$F$14,$M32,AP$13))))</f>
        <v>1000000000000</v>
      </c>
      <c r="AQ32" s="181">
        <f ca="1">IF($D32&lt;&gt;"Serviço",0,IF(AND(AUTOEVENTO="Manual",$M32=1),0,IF(OFFSET(CRONOPLE!$F$14,$M32,AQ$13)="",10^12,OFFSET(CRONOPLE!$F$14,$M32,AQ$13))))</f>
        <v>1000000000000</v>
      </c>
      <c r="AR32" s="181">
        <f ca="1">IF($D32&lt;&gt;"Serviço",0,IF(AND(AUTOEVENTO="Manual",$M32=1),0,IF(OFFSET(CRONOPLE!$F$14,$M32,AR$13)="",10^12,OFFSET(CRONOPLE!$F$14,$M32,AR$13))))</f>
        <v>1000000000000</v>
      </c>
      <c r="AS32" s="181">
        <f ca="1">IF($D32&lt;&gt;"Serviço",0,IF(AND(AUTOEVENTO="Manual",$M32=1),0,IF(OFFSET(CRONOPLE!$F$14,$M32,AS$13)="",10^12,OFFSET(CRONOPLE!$F$14,$M32,AS$13))))</f>
        <v>1000000000000</v>
      </c>
      <c r="AT32" s="181">
        <f ca="1">IF($D32&lt;&gt;"Serviço",0,IF(AND(AUTOEVENTO="Manual",$M32=1),0,IF(OFFSET(CRONOPLE!$F$14,$M32,AT$13)="",10^12,OFFSET(CRONOPLE!$F$14,$M32,AT$13))))</f>
        <v>1000000000000</v>
      </c>
      <c r="AU32" s="181">
        <f ca="1">IF($D32&lt;&gt;"Serviço",0,IF(AND(AUTOEVENTO="Manual",$M32=1),0,IF(OFFSET(CRONOPLE!$F$14,$M32,AU$13)="",10^12,OFFSET(CRONOPLE!$F$14,$M32,AU$13))))</f>
        <v>1000000000000</v>
      </c>
      <c r="AV32" s="181">
        <f ca="1">IF($D32&lt;&gt;"Serviço",0,IF(AND(AUTOEVENTO="Manual",$M32=1),0,IF(OFFSET(CRONOPLE!$F$14,$M32,AV$13)="",10^12,OFFSET(CRONOPLE!$F$14,$M32,AV$13))))</f>
        <v>1000000000000</v>
      </c>
      <c r="AX32" s="182">
        <f ca="1">IF($D32&lt;&gt;"Serviço",0,IF(OR(AND(AUTOEVENTO="Manual",$M32=1),$M32&gt;(ROW(PLE.lastrow)-ROW(PLE.firstrow))),0,IF(OFFSET(PLE!$G$14,$M32,AX$13)="",10^12,OFFSET(PLE!$G$14,$M32,AX$13))))</f>
        <v>1000000000000</v>
      </c>
      <c r="AY32" s="182">
        <f ca="1">IF($D32&lt;&gt;"Serviço",0,IF(OR(AND(AUTOEVENTO="Manual",$M32=1),$M32&gt;(ROW(PLE.lastrow)-ROW(PLE.firstrow))),0,IF(OFFSET(PLE!$G$14,$M32,AY$13)="",10^12,OFFSET(PLE!$G$14,$M32,AY$13))))</f>
        <v>1000000000000</v>
      </c>
      <c r="AZ32" s="182">
        <f ca="1">IF($D32&lt;&gt;"Serviço",0,IF(OR(AND(AUTOEVENTO="Manual",$M32=1),$M32&gt;(ROW(PLE.lastrow)-ROW(PLE.firstrow))),0,IF(OFFSET(PLE!$G$14,$M32,AZ$13)="",10^12,OFFSET(PLE!$G$14,$M32,AZ$13))))</f>
        <v>1000000000000</v>
      </c>
      <c r="BA32" s="182">
        <f ca="1">IF($D32&lt;&gt;"Serviço",0,IF(OR(AND(AUTOEVENTO="Manual",$M32=1),$M32&gt;(ROW(PLE.lastrow)-ROW(PLE.firstrow))),0,IF(OFFSET(PLE!$G$14,$M32,BA$13)="",10^12,OFFSET(PLE!$G$14,$M32,BA$13))))</f>
        <v>1000000000000</v>
      </c>
      <c r="BB32" s="182">
        <f ca="1">IF($D32&lt;&gt;"Serviço",0,IF(OR(AND(AUTOEVENTO="Manual",$M32=1),$M32&gt;(ROW(PLE.lastrow)-ROW(PLE.firstrow))),0,IF(OFFSET(PLE!$G$14,$M32,BB$13)="",10^12,OFFSET(PLE!$G$14,$M32,BB$13))))</f>
        <v>1000000000000</v>
      </c>
      <c r="BC32" s="182">
        <f ca="1">IF($D32&lt;&gt;"Serviço",0,IF(OR(AND(AUTOEVENTO="Manual",$M32=1),$M32&gt;(ROW(PLE.lastrow)-ROW(PLE.firstrow))),0,IF(OFFSET(PLE!$G$14,$M32,BC$13)="",10^12,OFFSET(PLE!$G$14,$M32,BC$13))))</f>
        <v>1000000000000</v>
      </c>
      <c r="BD32" s="182">
        <f ca="1">IF($D32&lt;&gt;"Serviço",0,IF(OR(AND(AUTOEVENTO="Manual",$M32=1),$M32&gt;(ROW(PLE.lastrow)-ROW(PLE.firstrow))),0,IF(OFFSET(PLE!$G$14,$M32,BD$13)="",10^12,OFFSET(PLE!$G$14,$M32,BD$13))))</f>
        <v>1000000000000</v>
      </c>
      <c r="BE32" s="182">
        <f ca="1">IF($D32&lt;&gt;"Serviço",0,IF(OR(AND(AUTOEVENTO="Manual",$M32=1),$M32&gt;(ROW(PLE.lastrow)-ROW(PLE.firstrow))),0,IF(OFFSET(PLE!$G$14,$M32,BE$13)="",10^12,OFFSET(PLE!$G$14,$M32,BE$13))))</f>
        <v>1000000000000</v>
      </c>
      <c r="BF32" s="182">
        <f ca="1">IF($D32&lt;&gt;"Serviço",0,IF(OR(AND(AUTOEVENTO="Manual",$M32=1),$M32&gt;(ROW(PLE.lastrow)-ROW(PLE.firstrow))),0,IF(OFFSET(PLE!$G$14,$M32,BF$13)="",10^12,OFFSET(PLE!$G$14,$M32,BF$13))))</f>
        <v>1000000000000</v>
      </c>
      <c r="BG32" s="182">
        <f ca="1">IF($D32&lt;&gt;"Serviço",0,IF(OR(AND(AUTOEVENTO="Manual",$M32=1),$M32&gt;(ROW(PLE.lastrow)-ROW(PLE.firstrow))),0,IF(OFFSET(PLE!$G$14,$M32,BG$13)="",10^12,OFFSET(PLE!$G$14,$M32,BG$13))))</f>
        <v>1000000000000</v>
      </c>
    </row>
    <row r="33" spans="1:59" ht="51" x14ac:dyDescent="0.2">
      <c r="A33" s="7" t="str">
        <f t="shared" ca="1" si="8"/>
        <v>10</v>
      </c>
      <c r="B33" s="7" t="str">
        <f ca="1">OFFSET(ORÇAMENTO!C$15,ROW(B33)-ROW(B$15),0)</f>
        <v>S</v>
      </c>
      <c r="C33" s="7" t="str">
        <f ca="1">OFFSET(ORÇAMENTO!L$15,ROW(C33)-ROW(C$15),0)</f>
        <v>F</v>
      </c>
      <c r="D33" s="118" t="str">
        <f ca="1">OFFSET(ORÇAMENTO!N$15,ROW(D33)-ROW(D$15),0)</f>
        <v>Serviço</v>
      </c>
      <c r="E33" s="119" t="str">
        <f ca="1">OFFSET(ORÇAMENTO!O$15,ROW(E33)-ROW(E$15),0)</f>
        <v>1.2.0.8.</v>
      </c>
      <c r="F33" s="172" t="str">
        <f ca="1">OFFSET(ORÇAMENTO!R$15,ROW(F33)-ROW(F$15),0)</f>
        <v>(abra o arquivo 'Referência 03-2024.xlsm)</v>
      </c>
      <c r="G33" s="173" t="str">
        <f ca="1">IF($D33&lt;&gt;"Serviço","",OFFSET(ORÇAMENTO!S$15,ROW(G33)-ROW(G$15),0))</f>
        <v>-</v>
      </c>
      <c r="H33" s="124">
        <f ca="1">IF($D33&lt;&gt;"Serviço",0,IF(ACOMPANHAMENTO="BM",ROUND(OFFSET(ORÇAMENTO!AJ$15,ROW(H33)-ROW(H$15),0),15-13*ORÇAMENTO!$AF$7),SUMPRODUCT(($Q$12:$AA$12&lt;&gt;"")*ROUND($Q33:$AA33,15-13*ORÇAMENTO!$AF$7))))</f>
        <v>1.61</v>
      </c>
      <c r="I33" s="561"/>
      <c r="K33" s="174"/>
      <c r="L33" s="175" t="s">
        <v>255</v>
      </c>
      <c r="M33" s="176">
        <f ca="1">IF($D33&lt;&gt;"Serviço","",IF(AUTOEVENTO="manual",$A33,IF(ISERROR(MATCH($A33,$A$15:OFFSET($A33,-1,0),0)),MAX($M$15:OFFSET(M33,-1,0))+1,INDEX($M$15:OFFSET(M33,-1,0),MATCH($A33,$A$15:OFFSET($A33,-1,0),0)))))</f>
        <v>3</v>
      </c>
      <c r="N33" s="177" t="str">
        <f ca="1">IF($D33&lt;&gt;"Serviço","",IF(AUTOEVENTO="Manual",IF($A33=0,"&lt;-- defina o número do agrupador",OFFSET(EVENTOS!$D$14,$A33,0)),OFFSET($F$15,$A33,0)))</f>
        <v>INSTALAÇÕES HIDRÁULICAS - ENTRADA INDIVIDUALIZADA DE ÁGUA POTÁVEL E REDE ENTERRADA</v>
      </c>
      <c r="O33" s="178"/>
      <c r="Q33" s="178"/>
      <c r="R33" s="179"/>
      <c r="S33" s="179"/>
      <c r="T33" s="179"/>
      <c r="U33" s="179"/>
      <c r="V33" s="179"/>
      <c r="W33" s="179"/>
      <c r="X33" s="179"/>
      <c r="Y33" s="179"/>
      <c r="Z33" s="180"/>
      <c r="AB33" s="544">
        <f ca="1">IF(AND($D33="Serviço",AB$12&lt;&gt;0,$H33&gt;0,OR(AUTOEVENTO&lt;&gt;"manual",$M33&lt;&gt;1)),
IF(Import.TipoArredondamento&lt;&gt;"TransfereGOV",
ROUND(OFFSET($P33,0,AB$13),15-13*ORÇAMENTO!$AF$7)/$H33*OFFSET(ORÇAMENTO!$X$15,ROW(AB33)-ROW(AB$15),0),
ROUND(ROUND(OFFSET($P33,0,AB$13),15-13*ORÇAMENTO!$AF$7)*OFFSET(ORÇAMENTO!$W$15,ROW(AB33)-ROW(AB$15),0),15-13*ORÇAMENTO!$AF$11)),0)</f>
        <v>0</v>
      </c>
      <c r="AC33" s="545">
        <f ca="1">IF(AND($D33="Serviço",AC$12&lt;&gt;0,$H33&gt;0,OR(AUTOEVENTO&lt;&gt;"manual",$M33&lt;&gt;1)),
IF(Import.TipoArredondamento&lt;&gt;"TransfereGOV",
ROUND(OFFSET($P33,0,AC$13),15-13*ORÇAMENTO!$AF$7)/$H33*OFFSET(ORÇAMENTO!$X$15,ROW(AC33)-ROW(AC$15),0),
ROUND(ROUND(OFFSET($P33,0,AC$13),15-13*ORÇAMENTO!$AF$7)*OFFSET(ORÇAMENTO!$W$15,ROW(AC33)-ROW(AC$15),0),15-13*ORÇAMENTO!$AF$11)),0)</f>
        <v>0</v>
      </c>
      <c r="AD33" s="545">
        <f ca="1">IF(AND($D33="Serviço",AD$12&lt;&gt;0,$H33&gt;0,OR(AUTOEVENTO&lt;&gt;"manual",$M33&lt;&gt;1)),
IF(Import.TipoArredondamento&lt;&gt;"TransfereGOV",
ROUND(OFFSET($P33,0,AD$13),15-13*ORÇAMENTO!$AF$7)/$H33*OFFSET(ORÇAMENTO!$X$15,ROW(AD33)-ROW(AD$15),0),
ROUND(ROUND(OFFSET($P33,0,AD$13),15-13*ORÇAMENTO!$AF$7)*OFFSET(ORÇAMENTO!$W$15,ROW(AD33)-ROW(AD$15),0),15-13*ORÇAMENTO!$AF$11)),0)</f>
        <v>0</v>
      </c>
      <c r="AE33" s="545">
        <f ca="1">IF(AND($D33="Serviço",AE$12&lt;&gt;0,$H33&gt;0,OR(AUTOEVENTO&lt;&gt;"manual",$M33&lt;&gt;1)),
IF(Import.TipoArredondamento&lt;&gt;"TransfereGOV",
ROUND(OFFSET($P33,0,AE$13),15-13*ORÇAMENTO!$AF$7)/$H33*OFFSET(ORÇAMENTO!$X$15,ROW(AE33)-ROW(AE$15),0),
ROUND(ROUND(OFFSET($P33,0,AE$13),15-13*ORÇAMENTO!$AF$7)*OFFSET(ORÇAMENTO!$W$15,ROW(AE33)-ROW(AE$15),0),15-13*ORÇAMENTO!$AF$11)),0)</f>
        <v>0</v>
      </c>
      <c r="AF33" s="545">
        <f ca="1">IF(AND($D33="Serviço",AF$12&lt;&gt;0,$H33&gt;0,OR(AUTOEVENTO&lt;&gt;"manual",$M33&lt;&gt;1)),
IF(Import.TipoArredondamento&lt;&gt;"TransfereGOV",
ROUND(OFFSET($P33,0,AF$13),15-13*ORÇAMENTO!$AF$7)/$H33*OFFSET(ORÇAMENTO!$X$15,ROW(AF33)-ROW(AF$15),0),
ROUND(ROUND(OFFSET($P33,0,AF$13),15-13*ORÇAMENTO!$AF$7)*OFFSET(ORÇAMENTO!$W$15,ROW(AF33)-ROW(AF$15),0),15-13*ORÇAMENTO!$AF$11)),0)</f>
        <v>0</v>
      </c>
      <c r="AG33" s="545">
        <f ca="1">IF(AND($D33="Serviço",AG$12&lt;&gt;0,$H33&gt;0,OR(AUTOEVENTO&lt;&gt;"manual",$M33&lt;&gt;1)),
IF(Import.TipoArredondamento&lt;&gt;"TransfereGOV",
ROUND(OFFSET($P33,0,AG$13),15-13*ORÇAMENTO!$AF$7)/$H33*OFFSET(ORÇAMENTO!$X$15,ROW(AG33)-ROW(AG$15),0),
ROUND(ROUND(OFFSET($P33,0,AG$13),15-13*ORÇAMENTO!$AF$7)*OFFSET(ORÇAMENTO!$W$15,ROW(AG33)-ROW(AG$15),0),15-13*ORÇAMENTO!$AF$11)),0)</f>
        <v>0</v>
      </c>
      <c r="AH33" s="545">
        <f ca="1">IF(AND($D33="Serviço",AH$12&lt;&gt;0,$H33&gt;0,OR(AUTOEVENTO&lt;&gt;"manual",$M33&lt;&gt;1)),
IF(Import.TipoArredondamento&lt;&gt;"TransfereGOV",
ROUND(OFFSET($P33,0,AH$13),15-13*ORÇAMENTO!$AF$7)/$H33*OFFSET(ORÇAMENTO!$X$15,ROW(AH33)-ROW(AH$15),0),
ROUND(ROUND(OFFSET($P33,0,AH$13),15-13*ORÇAMENTO!$AF$7)*OFFSET(ORÇAMENTO!$W$15,ROW(AH33)-ROW(AH$15),0),15-13*ORÇAMENTO!$AF$11)),0)</f>
        <v>0</v>
      </c>
      <c r="AI33" s="545">
        <f ca="1">IF(AND($D33="Serviço",AI$12&lt;&gt;0,$H33&gt;0,OR(AUTOEVENTO&lt;&gt;"manual",$M33&lt;&gt;1)),
IF(Import.TipoArredondamento&lt;&gt;"TransfereGOV",
ROUND(OFFSET($P33,0,AI$13),15-13*ORÇAMENTO!$AF$7)/$H33*OFFSET(ORÇAMENTO!$X$15,ROW(AI33)-ROW(AI$15),0),
ROUND(ROUND(OFFSET($P33,0,AI$13),15-13*ORÇAMENTO!$AF$7)*OFFSET(ORÇAMENTO!$W$15,ROW(AI33)-ROW(AI$15),0),15-13*ORÇAMENTO!$AF$11)),0)</f>
        <v>0</v>
      </c>
      <c r="AJ33" s="545">
        <f ca="1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0</v>
      </c>
      <c r="AK33" s="546">
        <f ca="1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0</v>
      </c>
      <c r="AM33" s="181">
        <f ca="1">IF($D33&lt;&gt;"Serviço",0,IF(AND(AUTOEVENTO="Manual",$M33=1),0,IF(OFFSET(CRONOPLE!$F$14,$M33,AM$13)="",10^12,OFFSET(CRONOPLE!$F$14,$M33,AM$13))))</f>
        <v>1000000000000</v>
      </c>
      <c r="AN33" s="181">
        <f ca="1">IF($D33&lt;&gt;"Serviço",0,IF(AND(AUTOEVENTO="Manual",$M33=1),0,IF(OFFSET(CRONOPLE!$F$14,$M33,AN$13)="",10^12,OFFSET(CRONOPLE!$F$14,$M33,AN$13))))</f>
        <v>1000000000000</v>
      </c>
      <c r="AO33" s="181">
        <f ca="1">IF($D33&lt;&gt;"Serviço",0,IF(AND(AUTOEVENTO="Manual",$M33=1),0,IF(OFFSET(CRONOPLE!$F$14,$M33,AO$13)="",10^12,OFFSET(CRONOPLE!$F$14,$M33,AO$13))))</f>
        <v>1000000000000</v>
      </c>
      <c r="AP33" s="181">
        <f ca="1">IF($D33&lt;&gt;"Serviço",0,IF(AND(AUTOEVENTO="Manual",$M33=1),0,IF(OFFSET(CRONOPLE!$F$14,$M33,AP$13)="",10^12,OFFSET(CRONOPLE!$F$14,$M33,AP$13))))</f>
        <v>1000000000000</v>
      </c>
      <c r="AQ33" s="181">
        <f ca="1">IF($D33&lt;&gt;"Serviço",0,IF(AND(AUTOEVENTO="Manual",$M33=1),0,IF(OFFSET(CRONOPLE!$F$14,$M33,AQ$13)="",10^12,OFFSET(CRONOPLE!$F$14,$M33,AQ$13))))</f>
        <v>1000000000000</v>
      </c>
      <c r="AR33" s="181">
        <f ca="1">IF($D33&lt;&gt;"Serviço",0,IF(AND(AUTOEVENTO="Manual",$M33=1),0,IF(OFFSET(CRONOPLE!$F$14,$M33,AR$13)="",10^12,OFFSET(CRONOPLE!$F$14,$M33,AR$13))))</f>
        <v>1000000000000</v>
      </c>
      <c r="AS33" s="181">
        <f ca="1">IF($D33&lt;&gt;"Serviço",0,IF(AND(AUTOEVENTO="Manual",$M33=1),0,IF(OFFSET(CRONOPLE!$F$14,$M33,AS$13)="",10^12,OFFSET(CRONOPLE!$F$14,$M33,AS$13))))</f>
        <v>1000000000000</v>
      </c>
      <c r="AT33" s="181">
        <f ca="1">IF($D33&lt;&gt;"Serviço",0,IF(AND(AUTOEVENTO="Manual",$M33=1),0,IF(OFFSET(CRONOPLE!$F$14,$M33,AT$13)="",10^12,OFFSET(CRONOPLE!$F$14,$M33,AT$13))))</f>
        <v>1000000000000</v>
      </c>
      <c r="AU33" s="181">
        <f ca="1">IF($D33&lt;&gt;"Serviço",0,IF(AND(AUTOEVENTO="Manual",$M33=1),0,IF(OFFSET(CRONOPLE!$F$14,$M33,AU$13)="",10^12,OFFSET(CRONOPLE!$F$14,$M33,AU$13))))</f>
        <v>1000000000000</v>
      </c>
      <c r="AV33" s="181">
        <f ca="1">IF($D33&lt;&gt;"Serviço",0,IF(AND(AUTOEVENTO="Manual",$M33=1),0,IF(OFFSET(CRONOPLE!$F$14,$M33,AV$13)="",10^12,OFFSET(CRONOPLE!$F$14,$M33,AV$13))))</f>
        <v>1000000000000</v>
      </c>
      <c r="AX33" s="182">
        <f ca="1">IF($D33&lt;&gt;"Serviço",0,IF(OR(AND(AUTOEVENTO="Manual",$M33=1),$M33&gt;(ROW(PLE.lastrow)-ROW(PLE.firstrow))),0,IF(OFFSET(PLE!$G$14,$M33,AX$13)="",10^12,OFFSET(PLE!$G$14,$M33,AX$13))))</f>
        <v>1000000000000</v>
      </c>
      <c r="AY33" s="182">
        <f ca="1">IF($D33&lt;&gt;"Serviço",0,IF(OR(AND(AUTOEVENTO="Manual",$M33=1),$M33&gt;(ROW(PLE.lastrow)-ROW(PLE.firstrow))),0,IF(OFFSET(PLE!$G$14,$M33,AY$13)="",10^12,OFFSET(PLE!$G$14,$M33,AY$13))))</f>
        <v>1000000000000</v>
      </c>
      <c r="AZ33" s="182">
        <f ca="1">IF($D33&lt;&gt;"Serviço",0,IF(OR(AND(AUTOEVENTO="Manual",$M33=1),$M33&gt;(ROW(PLE.lastrow)-ROW(PLE.firstrow))),0,IF(OFFSET(PLE!$G$14,$M33,AZ$13)="",10^12,OFFSET(PLE!$G$14,$M33,AZ$13))))</f>
        <v>1000000000000</v>
      </c>
      <c r="BA33" s="182">
        <f ca="1">IF($D33&lt;&gt;"Serviço",0,IF(OR(AND(AUTOEVENTO="Manual",$M33=1),$M33&gt;(ROW(PLE.lastrow)-ROW(PLE.firstrow))),0,IF(OFFSET(PLE!$G$14,$M33,BA$13)="",10^12,OFFSET(PLE!$G$14,$M33,BA$13))))</f>
        <v>1000000000000</v>
      </c>
      <c r="BB33" s="182">
        <f ca="1">IF($D33&lt;&gt;"Serviço",0,IF(OR(AND(AUTOEVENTO="Manual",$M33=1),$M33&gt;(ROW(PLE.lastrow)-ROW(PLE.firstrow))),0,IF(OFFSET(PLE!$G$14,$M33,BB$13)="",10^12,OFFSET(PLE!$G$14,$M33,BB$13))))</f>
        <v>1000000000000</v>
      </c>
      <c r="BC33" s="182">
        <f ca="1">IF($D33&lt;&gt;"Serviço",0,IF(OR(AND(AUTOEVENTO="Manual",$M33=1),$M33&gt;(ROW(PLE.lastrow)-ROW(PLE.firstrow))),0,IF(OFFSET(PLE!$G$14,$M33,BC$13)="",10^12,OFFSET(PLE!$G$14,$M33,BC$13))))</f>
        <v>1000000000000</v>
      </c>
      <c r="BD33" s="182">
        <f ca="1">IF($D33&lt;&gt;"Serviço",0,IF(OR(AND(AUTOEVENTO="Manual",$M33=1),$M33&gt;(ROW(PLE.lastrow)-ROW(PLE.firstrow))),0,IF(OFFSET(PLE!$G$14,$M33,BD$13)="",10^12,OFFSET(PLE!$G$14,$M33,BD$13))))</f>
        <v>1000000000000</v>
      </c>
      <c r="BE33" s="182">
        <f ca="1">IF($D33&lt;&gt;"Serviço",0,IF(OR(AND(AUTOEVENTO="Manual",$M33=1),$M33&gt;(ROW(PLE.lastrow)-ROW(PLE.firstrow))),0,IF(OFFSET(PLE!$G$14,$M33,BE$13)="",10^12,OFFSET(PLE!$G$14,$M33,BE$13))))</f>
        <v>1000000000000</v>
      </c>
      <c r="BF33" s="182">
        <f ca="1">IF($D33&lt;&gt;"Serviço",0,IF(OR(AND(AUTOEVENTO="Manual",$M33=1),$M33&gt;(ROW(PLE.lastrow)-ROW(PLE.firstrow))),0,IF(OFFSET(PLE!$G$14,$M33,BF$13)="",10^12,OFFSET(PLE!$G$14,$M33,BF$13))))</f>
        <v>1000000000000</v>
      </c>
      <c r="BG33" s="182">
        <f ca="1">IF($D33&lt;&gt;"Serviço",0,IF(OR(AND(AUTOEVENTO="Manual",$M33=1),$M33&gt;(ROW(PLE.lastrow)-ROW(PLE.firstrow))),0,IF(OFFSET(PLE!$G$14,$M33,BG$13)="",10^12,OFFSET(PLE!$G$14,$M33,BG$13))))</f>
        <v>1000000000000</v>
      </c>
    </row>
    <row r="34" spans="1:59" ht="51" x14ac:dyDescent="0.2">
      <c r="A34" s="7" t="str">
        <f t="shared" ca="1" si="8"/>
        <v>10</v>
      </c>
      <c r="B34" s="7" t="str">
        <f ca="1">OFFSET(ORÇAMENTO!C$15,ROW(B34)-ROW(B$15),0)</f>
        <v>S</v>
      </c>
      <c r="C34" s="7" t="str">
        <f ca="1">OFFSET(ORÇAMENTO!L$15,ROW(C34)-ROW(C$15),0)</f>
        <v>F</v>
      </c>
      <c r="D34" s="118" t="str">
        <f ca="1">OFFSET(ORÇAMENTO!N$15,ROW(D34)-ROW(D$15),0)</f>
        <v>Serviço</v>
      </c>
      <c r="E34" s="119" t="str">
        <f ca="1">OFFSET(ORÇAMENTO!O$15,ROW(E34)-ROW(E$15),0)</f>
        <v>1.2.0.9.</v>
      </c>
      <c r="F34" s="172" t="str">
        <f ca="1">OFFSET(ORÇAMENTO!R$15,ROW(F34)-ROW(F$15),0)</f>
        <v>(abra o arquivo 'Referência 03-2024.xlsm)</v>
      </c>
      <c r="G34" s="173" t="str">
        <f ca="1">IF($D34&lt;&gt;"Serviço","",OFFSET(ORÇAMENTO!S$15,ROW(G34)-ROW(G$15),0))</f>
        <v>-</v>
      </c>
      <c r="H34" s="124">
        <f ca="1">IF($D34&lt;&gt;"Serviço",0,IF(ACOMPANHAMENTO="BM",ROUND(OFFSET(ORÇAMENTO!AJ$15,ROW(H34)-ROW(H$15),0),15-13*ORÇAMENTO!$AF$7),SUMPRODUCT(($Q$12:$AA$12&lt;&gt;"")*ROUND($Q34:$AA34,15-13*ORÇAMENTO!$AF$7))))</f>
        <v>1.61</v>
      </c>
      <c r="I34" s="561"/>
      <c r="K34" s="174"/>
      <c r="L34" s="175" t="s">
        <v>255</v>
      </c>
      <c r="M34" s="176">
        <f ca="1">IF($D34&lt;&gt;"Serviço","",IF(AUTOEVENTO="manual",$A34,IF(ISERROR(MATCH($A34,$A$15:OFFSET($A34,-1,0),0)),MAX($M$15:OFFSET(M34,-1,0))+1,INDEX($M$15:OFFSET(M34,-1,0),MATCH($A34,$A$15:OFFSET($A34,-1,0),0)))))</f>
        <v>3</v>
      </c>
      <c r="N34" s="177" t="str">
        <f ca="1">IF($D34&lt;&gt;"Serviço","",IF(AUTOEVENTO="Manual",IF($A34=0,"&lt;-- defina o número do agrupador",OFFSET(EVENTOS!$D$14,$A34,0)),OFFSET($F$15,$A34,0)))</f>
        <v>INSTALAÇÕES HIDRÁULICAS - ENTRADA INDIVIDUALIZADA DE ÁGUA POTÁVEL E REDE ENTERRADA</v>
      </c>
      <c r="O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B34" s="544">
        <f ca="1">IF(AND($D34="Serviço",AB$12&lt;&gt;0,$H34&gt;0,OR(AUTOEVENTO&lt;&gt;"manual",$M34&lt;&gt;1)),
IF(Import.TipoArredondamento&lt;&gt;"TransfereGOV",
ROUND(OFFSET($P34,0,AB$13),15-13*ORÇAMENTO!$AF$7)/$H34*OFFSET(ORÇAMENTO!$X$15,ROW(AB34)-ROW(AB$15),0),
ROUND(ROUND(OFFSET($P34,0,AB$13),15-13*ORÇAMENTO!$AF$7)*OFFSET(ORÇAMENTO!$W$15,ROW(AB34)-ROW(AB$15),0),15-13*ORÇAMENTO!$AF$11)),0)</f>
        <v>0</v>
      </c>
      <c r="AC34" s="545">
        <f ca="1">IF(AND($D34="Serviço",AC$12&lt;&gt;0,$H34&gt;0,OR(AUTOEVENTO&lt;&gt;"manual",$M34&lt;&gt;1)),
IF(Import.TipoArredondamento&lt;&gt;"TransfereGOV",
ROUND(OFFSET($P34,0,AC$13),15-13*ORÇAMENTO!$AF$7)/$H34*OFFSET(ORÇAMENTO!$X$15,ROW(AC34)-ROW(AC$15),0),
ROUND(ROUND(OFFSET($P34,0,AC$13),15-13*ORÇAMENTO!$AF$7)*OFFSET(ORÇAMENTO!$W$15,ROW(AC34)-ROW(AC$15),0),15-13*ORÇAMENTO!$AF$11)),0)</f>
        <v>0</v>
      </c>
      <c r="AD34" s="545">
        <f ca="1">IF(AND($D34="Serviço",AD$12&lt;&gt;0,$H34&gt;0,OR(AUTOEVENTO&lt;&gt;"manual",$M34&lt;&gt;1)),
IF(Import.TipoArredondamento&lt;&gt;"TransfereGOV",
ROUND(OFFSET($P34,0,AD$13),15-13*ORÇAMENTO!$AF$7)/$H34*OFFSET(ORÇAMENTO!$X$15,ROW(AD34)-ROW(AD$15),0),
ROUND(ROUND(OFFSET($P34,0,AD$13),15-13*ORÇAMENTO!$AF$7)*OFFSET(ORÇAMENTO!$W$15,ROW(AD34)-ROW(AD$15),0),15-13*ORÇAMENTO!$AF$11)),0)</f>
        <v>0</v>
      </c>
      <c r="AE34" s="545">
        <f ca="1">IF(AND($D34="Serviço",AE$12&lt;&gt;0,$H34&gt;0,OR(AUTOEVENTO&lt;&gt;"manual",$M34&lt;&gt;1)),
IF(Import.TipoArredondamento&lt;&gt;"TransfereGOV",
ROUND(OFFSET($P34,0,AE$13),15-13*ORÇAMENTO!$AF$7)/$H34*OFFSET(ORÇAMENTO!$X$15,ROW(AE34)-ROW(AE$15),0),
ROUND(ROUND(OFFSET($P34,0,AE$13),15-13*ORÇAMENTO!$AF$7)*OFFSET(ORÇAMENTO!$W$15,ROW(AE34)-ROW(AE$15),0),15-13*ORÇAMENTO!$AF$11)),0)</f>
        <v>0</v>
      </c>
      <c r="AF34" s="545">
        <f ca="1">IF(AND($D34="Serviço",AF$12&lt;&gt;0,$H34&gt;0,OR(AUTOEVENTO&lt;&gt;"manual",$M34&lt;&gt;1)),
IF(Import.TipoArredondamento&lt;&gt;"TransfereGOV",
ROUND(OFFSET($P34,0,AF$13),15-13*ORÇAMENTO!$AF$7)/$H34*OFFSET(ORÇAMENTO!$X$15,ROW(AF34)-ROW(AF$15),0),
ROUND(ROUND(OFFSET($P34,0,AF$13),15-13*ORÇAMENTO!$AF$7)*OFFSET(ORÇAMENTO!$W$15,ROW(AF34)-ROW(AF$15),0),15-13*ORÇAMENTO!$AF$11)),0)</f>
        <v>0</v>
      </c>
      <c r="AG34" s="545">
        <f ca="1">IF(AND($D34="Serviço",AG$12&lt;&gt;0,$H34&gt;0,OR(AUTOEVENTO&lt;&gt;"manual",$M34&lt;&gt;1)),
IF(Import.TipoArredondamento&lt;&gt;"TransfereGOV",
ROUND(OFFSET($P34,0,AG$13),15-13*ORÇAMENTO!$AF$7)/$H34*OFFSET(ORÇAMENTO!$X$15,ROW(AG34)-ROW(AG$15),0),
ROUND(ROUND(OFFSET($P34,0,AG$13),15-13*ORÇAMENTO!$AF$7)*OFFSET(ORÇAMENTO!$W$15,ROW(AG34)-ROW(AG$15),0),15-13*ORÇAMENTO!$AF$11)),0)</f>
        <v>0</v>
      </c>
      <c r="AH34" s="545">
        <f ca="1">IF(AND($D34="Serviço",AH$12&lt;&gt;0,$H34&gt;0,OR(AUTOEVENTO&lt;&gt;"manual",$M34&lt;&gt;1)),
IF(Import.TipoArredondamento&lt;&gt;"TransfereGOV",
ROUND(OFFSET($P34,0,AH$13),15-13*ORÇAMENTO!$AF$7)/$H34*OFFSET(ORÇAMENTO!$X$15,ROW(AH34)-ROW(AH$15),0),
ROUND(ROUND(OFFSET($P34,0,AH$13),15-13*ORÇAMENTO!$AF$7)*OFFSET(ORÇAMENTO!$W$15,ROW(AH34)-ROW(AH$15),0),15-13*ORÇAMENTO!$AF$11)),0)</f>
        <v>0</v>
      </c>
      <c r="AI34" s="545">
        <f ca="1">IF(AND($D34="Serviço",AI$12&lt;&gt;0,$H34&gt;0,OR(AUTOEVENTO&lt;&gt;"manual",$M34&lt;&gt;1)),
IF(Import.TipoArredondamento&lt;&gt;"TransfereGOV",
ROUND(OFFSET($P34,0,AI$13),15-13*ORÇAMENTO!$AF$7)/$H34*OFFSET(ORÇAMENTO!$X$15,ROW(AI34)-ROW(AI$15),0),
ROUND(ROUND(OFFSET($P34,0,AI$13),15-13*ORÇAMENTO!$AF$7)*OFFSET(ORÇAMENTO!$W$15,ROW(AI34)-ROW(AI$15),0),15-13*ORÇAMENTO!$AF$11)),0)</f>
        <v>0</v>
      </c>
      <c r="AJ34" s="545">
        <f ca="1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0</v>
      </c>
      <c r="AK34" s="546">
        <f ca="1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0</v>
      </c>
      <c r="AM34" s="181">
        <f ca="1">IF($D34&lt;&gt;"Serviço",0,IF(AND(AUTOEVENTO="Manual",$M34=1),0,IF(OFFSET(CRONOPLE!$F$14,$M34,AM$13)="",10^12,OFFSET(CRONOPLE!$F$14,$M34,AM$13))))</f>
        <v>1000000000000</v>
      </c>
      <c r="AN34" s="181">
        <f ca="1">IF($D34&lt;&gt;"Serviço",0,IF(AND(AUTOEVENTO="Manual",$M34=1),0,IF(OFFSET(CRONOPLE!$F$14,$M34,AN$13)="",10^12,OFFSET(CRONOPLE!$F$14,$M34,AN$13))))</f>
        <v>1000000000000</v>
      </c>
      <c r="AO34" s="181">
        <f ca="1">IF($D34&lt;&gt;"Serviço",0,IF(AND(AUTOEVENTO="Manual",$M34=1),0,IF(OFFSET(CRONOPLE!$F$14,$M34,AO$13)="",10^12,OFFSET(CRONOPLE!$F$14,$M34,AO$13))))</f>
        <v>1000000000000</v>
      </c>
      <c r="AP34" s="181">
        <f ca="1">IF($D34&lt;&gt;"Serviço",0,IF(AND(AUTOEVENTO="Manual",$M34=1),0,IF(OFFSET(CRONOPLE!$F$14,$M34,AP$13)="",10^12,OFFSET(CRONOPLE!$F$14,$M34,AP$13))))</f>
        <v>1000000000000</v>
      </c>
      <c r="AQ34" s="181">
        <f ca="1">IF($D34&lt;&gt;"Serviço",0,IF(AND(AUTOEVENTO="Manual",$M34=1),0,IF(OFFSET(CRONOPLE!$F$14,$M34,AQ$13)="",10^12,OFFSET(CRONOPLE!$F$14,$M34,AQ$13))))</f>
        <v>1000000000000</v>
      </c>
      <c r="AR34" s="181">
        <f ca="1">IF($D34&lt;&gt;"Serviço",0,IF(AND(AUTOEVENTO="Manual",$M34=1),0,IF(OFFSET(CRONOPLE!$F$14,$M34,AR$13)="",10^12,OFFSET(CRONOPLE!$F$14,$M34,AR$13))))</f>
        <v>1000000000000</v>
      </c>
      <c r="AS34" s="181">
        <f ca="1">IF($D34&lt;&gt;"Serviço",0,IF(AND(AUTOEVENTO="Manual",$M34=1),0,IF(OFFSET(CRONOPLE!$F$14,$M34,AS$13)="",10^12,OFFSET(CRONOPLE!$F$14,$M34,AS$13))))</f>
        <v>1000000000000</v>
      </c>
      <c r="AT34" s="181">
        <f ca="1">IF($D34&lt;&gt;"Serviço",0,IF(AND(AUTOEVENTO="Manual",$M34=1),0,IF(OFFSET(CRONOPLE!$F$14,$M34,AT$13)="",10^12,OFFSET(CRONOPLE!$F$14,$M34,AT$13))))</f>
        <v>1000000000000</v>
      </c>
      <c r="AU34" s="181">
        <f ca="1">IF($D34&lt;&gt;"Serviço",0,IF(AND(AUTOEVENTO="Manual",$M34=1),0,IF(OFFSET(CRONOPLE!$F$14,$M34,AU$13)="",10^12,OFFSET(CRONOPLE!$F$14,$M34,AU$13))))</f>
        <v>1000000000000</v>
      </c>
      <c r="AV34" s="181">
        <f ca="1">IF($D34&lt;&gt;"Serviço",0,IF(AND(AUTOEVENTO="Manual",$M34=1),0,IF(OFFSET(CRONOPLE!$F$14,$M34,AV$13)="",10^12,OFFSET(CRONOPLE!$F$14,$M34,AV$13))))</f>
        <v>1000000000000</v>
      </c>
      <c r="AX34" s="182">
        <f ca="1">IF($D34&lt;&gt;"Serviço",0,IF(OR(AND(AUTOEVENTO="Manual",$M34=1),$M34&gt;(ROW(PLE.lastrow)-ROW(PLE.firstrow))),0,IF(OFFSET(PLE!$G$14,$M34,AX$13)="",10^12,OFFSET(PLE!$G$14,$M34,AX$13))))</f>
        <v>1000000000000</v>
      </c>
      <c r="AY34" s="182">
        <f ca="1">IF($D34&lt;&gt;"Serviço",0,IF(OR(AND(AUTOEVENTO="Manual",$M34=1),$M34&gt;(ROW(PLE.lastrow)-ROW(PLE.firstrow))),0,IF(OFFSET(PLE!$G$14,$M34,AY$13)="",10^12,OFFSET(PLE!$G$14,$M34,AY$13))))</f>
        <v>1000000000000</v>
      </c>
      <c r="AZ34" s="182">
        <f ca="1">IF($D34&lt;&gt;"Serviço",0,IF(OR(AND(AUTOEVENTO="Manual",$M34=1),$M34&gt;(ROW(PLE.lastrow)-ROW(PLE.firstrow))),0,IF(OFFSET(PLE!$G$14,$M34,AZ$13)="",10^12,OFFSET(PLE!$G$14,$M34,AZ$13))))</f>
        <v>1000000000000</v>
      </c>
      <c r="BA34" s="182">
        <f ca="1">IF($D34&lt;&gt;"Serviço",0,IF(OR(AND(AUTOEVENTO="Manual",$M34=1),$M34&gt;(ROW(PLE.lastrow)-ROW(PLE.firstrow))),0,IF(OFFSET(PLE!$G$14,$M34,BA$13)="",10^12,OFFSET(PLE!$G$14,$M34,BA$13))))</f>
        <v>1000000000000</v>
      </c>
      <c r="BB34" s="182">
        <f ca="1">IF($D34&lt;&gt;"Serviço",0,IF(OR(AND(AUTOEVENTO="Manual",$M34=1),$M34&gt;(ROW(PLE.lastrow)-ROW(PLE.firstrow))),0,IF(OFFSET(PLE!$G$14,$M34,BB$13)="",10^12,OFFSET(PLE!$G$14,$M34,BB$13))))</f>
        <v>1000000000000</v>
      </c>
      <c r="BC34" s="182">
        <f ca="1">IF($D34&lt;&gt;"Serviço",0,IF(OR(AND(AUTOEVENTO="Manual",$M34=1),$M34&gt;(ROW(PLE.lastrow)-ROW(PLE.firstrow))),0,IF(OFFSET(PLE!$G$14,$M34,BC$13)="",10^12,OFFSET(PLE!$G$14,$M34,BC$13))))</f>
        <v>1000000000000</v>
      </c>
      <c r="BD34" s="182">
        <f ca="1">IF($D34&lt;&gt;"Serviço",0,IF(OR(AND(AUTOEVENTO="Manual",$M34=1),$M34&gt;(ROW(PLE.lastrow)-ROW(PLE.firstrow))),0,IF(OFFSET(PLE!$G$14,$M34,BD$13)="",10^12,OFFSET(PLE!$G$14,$M34,BD$13))))</f>
        <v>1000000000000</v>
      </c>
      <c r="BE34" s="182">
        <f ca="1">IF($D34&lt;&gt;"Serviço",0,IF(OR(AND(AUTOEVENTO="Manual",$M34=1),$M34&gt;(ROW(PLE.lastrow)-ROW(PLE.firstrow))),0,IF(OFFSET(PLE!$G$14,$M34,BE$13)="",10^12,OFFSET(PLE!$G$14,$M34,BE$13))))</f>
        <v>1000000000000</v>
      </c>
      <c r="BF34" s="182">
        <f ca="1">IF($D34&lt;&gt;"Serviço",0,IF(OR(AND(AUTOEVENTO="Manual",$M34=1),$M34&gt;(ROW(PLE.lastrow)-ROW(PLE.firstrow))),0,IF(OFFSET(PLE!$G$14,$M34,BF$13)="",10^12,OFFSET(PLE!$G$14,$M34,BF$13))))</f>
        <v>1000000000000</v>
      </c>
      <c r="BG34" s="182">
        <f ca="1">IF($D34&lt;&gt;"Serviço",0,IF(OR(AND(AUTOEVENTO="Manual",$M34=1),$M34&gt;(ROW(PLE.lastrow)-ROW(PLE.firstrow))),0,IF(OFFSET(PLE!$G$14,$M34,BG$13)="",10^12,OFFSET(PLE!$G$14,$M34,BG$13))))</f>
        <v>1000000000000</v>
      </c>
    </row>
    <row r="35" spans="1:59" ht="63.75" x14ac:dyDescent="0.2">
      <c r="A35" s="7" t="str">
        <f ca="1">IF(AUTOEVENTO="Manual",IF(K35&lt;&gt;"",MIN(VALUE(LEFT(K35,FIND(".",K35)-1)),COUNTA(EVENTOS.Lista)),0),IF(OR($B35&gt;AUTOEVENTO,$B35="S",$B35=0),SUBSTITUTE(OFFSET($A35,-1,0),IF($D35="Serviço",".",""),""),ROW(A35)-ROW($A$15)&amp;"."))</f>
        <v>10</v>
      </c>
      <c r="B35" s="7" t="str">
        <f ca="1">OFFSET(ORÇAMENTO!C$15,ROW(B35)-ROW(B$15),0)</f>
        <v>S</v>
      </c>
      <c r="C35" s="7" t="str">
        <f ca="1">OFFSET(ORÇAMENTO!L$15,ROW(C35)-ROW(C$15),0)</f>
        <v>F</v>
      </c>
      <c r="D35" s="118" t="str">
        <f ca="1">OFFSET(ORÇAMENTO!N$15,ROW(D35)-ROW(D$15),0)</f>
        <v>Serviço</v>
      </c>
      <c r="E35" s="119" t="str">
        <f ca="1">OFFSET(ORÇAMENTO!O$15,ROW(E35)-ROW(E$15),0)</f>
        <v>1.2.0.10.</v>
      </c>
      <c r="F35" s="172" t="str">
        <f ca="1">OFFSET(ORÇAMENTO!R$15,ROW(F35)-ROW(F$15),0)</f>
        <v>(abra o arquivo 'Referência 03-2024.xlsm)</v>
      </c>
      <c r="G35" s="173" t="str">
        <f ca="1">IF($D35&lt;&gt;"Serviço","",OFFSET(ORÇAMENTO!S$15,ROW(G35)-ROW(G$15),0))</f>
        <v>-</v>
      </c>
      <c r="H35" s="124">
        <f ca="1">IF($D35&lt;&gt;"Serviço",0,IF(ACOMPANHAMENTO="BM",ROUND(OFFSET(ORÇAMENTO!AJ$15,ROW(H35)-ROW(H$15),0),15-13*ORÇAMENTO!$AF$7),SUMPRODUCT(($Q$12:$AA$12&lt;&gt;"")*ROUND($Q35:$AA35,15-13*ORÇAMENTO!$AF$7))))</f>
        <v>6.4</v>
      </c>
      <c r="I35" s="561"/>
      <c r="K35" s="174"/>
      <c r="L35" s="175" t="s">
        <v>255</v>
      </c>
      <c r="M35" s="176">
        <f ca="1">IF($D35&lt;&gt;"Serviço","",IF(AUTOEVENTO="manual",$A35,IF(ISERROR(MATCH($A35,$A$15:OFFSET($A35,-1,0),0)),MAX($M$15:OFFSET(M35,-1,0))+1,INDEX($M$15:OFFSET(M35,-1,0),MATCH($A35,$A$15:OFFSET($A35,-1,0),0)))))</f>
        <v>3</v>
      </c>
      <c r="N35" s="177" t="str">
        <f ca="1">IF($D35&lt;&gt;"Serviço","",IF(AUTOEVENTO="Manual",IF($A35=0,"&lt;-- defina o número do agrupador",OFFSET(EVENTOS!$D$14,$A35,0)),OFFSET($F$15,$A35,0)))</f>
        <v>INSTALAÇÕES HIDRÁULICAS - ENTRADA INDIVIDUALIZADA DE ÁGUA POTÁVEL E REDE ENTERRADA</v>
      </c>
      <c r="O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B35" s="544">
        <f ca="1">IF(AND($D35="Serviço",AB$12&lt;&gt;0,$H35&gt;0,OR(AUTOEVENTO&lt;&gt;"manual",$M35&lt;&gt;1)),
IF(Import.TipoArredondamento&lt;&gt;"TransfereGOV",
ROUND(OFFSET($P35,0,AB$13),15-13*ORÇAMENTO!$AF$7)/$H35*OFFSET(ORÇAMENTO!$X$15,ROW(AB35)-ROW(AB$15),0),
ROUND(ROUND(OFFSET($P35,0,AB$13),15-13*ORÇAMENTO!$AF$7)*OFFSET(ORÇAMENTO!$W$15,ROW(AB35)-ROW(AB$15),0),15-13*ORÇAMENTO!$AF$11)),0)</f>
        <v>0</v>
      </c>
      <c r="AC35" s="545">
        <f ca="1">IF(AND($D35="Serviço",AC$12&lt;&gt;0,$H35&gt;0,OR(AUTOEVENTO&lt;&gt;"manual",$M35&lt;&gt;1)),
IF(Import.TipoArredondamento&lt;&gt;"TransfereGOV",
ROUND(OFFSET($P35,0,AC$13),15-13*ORÇAMENTO!$AF$7)/$H35*OFFSET(ORÇAMENTO!$X$15,ROW(AC35)-ROW(AC$15),0),
ROUND(ROUND(OFFSET($P35,0,AC$13),15-13*ORÇAMENTO!$AF$7)*OFFSET(ORÇAMENTO!$W$15,ROW(AC35)-ROW(AC$15),0),15-13*ORÇAMENTO!$AF$11)),0)</f>
        <v>0</v>
      </c>
      <c r="AD35" s="545">
        <f ca="1">IF(AND($D35="Serviço",AD$12&lt;&gt;0,$H35&gt;0,OR(AUTOEVENTO&lt;&gt;"manual",$M35&lt;&gt;1)),
IF(Import.TipoArredondamento&lt;&gt;"TransfereGOV",
ROUND(OFFSET($P35,0,AD$13),15-13*ORÇAMENTO!$AF$7)/$H35*OFFSET(ORÇAMENTO!$X$15,ROW(AD35)-ROW(AD$15),0),
ROUND(ROUND(OFFSET($P35,0,AD$13),15-13*ORÇAMENTO!$AF$7)*OFFSET(ORÇAMENTO!$W$15,ROW(AD35)-ROW(AD$15),0),15-13*ORÇAMENTO!$AF$11)),0)</f>
        <v>0</v>
      </c>
      <c r="AE35" s="545">
        <f ca="1">IF(AND($D35="Serviço",AE$12&lt;&gt;0,$H35&gt;0,OR(AUTOEVENTO&lt;&gt;"manual",$M35&lt;&gt;1)),
IF(Import.TipoArredondamento&lt;&gt;"TransfereGOV",
ROUND(OFFSET($P35,0,AE$13),15-13*ORÇAMENTO!$AF$7)/$H35*OFFSET(ORÇAMENTO!$X$15,ROW(AE35)-ROW(AE$15),0),
ROUND(ROUND(OFFSET($P35,0,AE$13),15-13*ORÇAMENTO!$AF$7)*OFFSET(ORÇAMENTO!$W$15,ROW(AE35)-ROW(AE$15),0),15-13*ORÇAMENTO!$AF$11)),0)</f>
        <v>0</v>
      </c>
      <c r="AF35" s="545">
        <f ca="1">IF(AND($D35="Serviço",AF$12&lt;&gt;0,$H35&gt;0,OR(AUTOEVENTO&lt;&gt;"manual",$M35&lt;&gt;1)),
IF(Import.TipoArredondamento&lt;&gt;"TransfereGOV",
ROUND(OFFSET($P35,0,AF$13),15-13*ORÇAMENTO!$AF$7)/$H35*OFFSET(ORÇAMENTO!$X$15,ROW(AF35)-ROW(AF$15),0),
ROUND(ROUND(OFFSET($P35,0,AF$13),15-13*ORÇAMENTO!$AF$7)*OFFSET(ORÇAMENTO!$W$15,ROW(AF35)-ROW(AF$15),0),15-13*ORÇAMENTO!$AF$11)),0)</f>
        <v>0</v>
      </c>
      <c r="AG35" s="545">
        <f ca="1">IF(AND($D35="Serviço",AG$12&lt;&gt;0,$H35&gt;0,OR(AUTOEVENTO&lt;&gt;"manual",$M35&lt;&gt;1)),
IF(Import.TipoArredondamento&lt;&gt;"TransfereGOV",
ROUND(OFFSET($P35,0,AG$13),15-13*ORÇAMENTO!$AF$7)/$H35*OFFSET(ORÇAMENTO!$X$15,ROW(AG35)-ROW(AG$15),0),
ROUND(ROUND(OFFSET($P35,0,AG$13),15-13*ORÇAMENTO!$AF$7)*OFFSET(ORÇAMENTO!$W$15,ROW(AG35)-ROW(AG$15),0),15-13*ORÇAMENTO!$AF$11)),0)</f>
        <v>0</v>
      </c>
      <c r="AH35" s="545">
        <f ca="1">IF(AND($D35="Serviço",AH$12&lt;&gt;0,$H35&gt;0,OR(AUTOEVENTO&lt;&gt;"manual",$M35&lt;&gt;1)),
IF(Import.TipoArredondamento&lt;&gt;"TransfereGOV",
ROUND(OFFSET($P35,0,AH$13),15-13*ORÇAMENTO!$AF$7)/$H35*OFFSET(ORÇAMENTO!$X$15,ROW(AH35)-ROW(AH$15),0),
ROUND(ROUND(OFFSET($P35,0,AH$13),15-13*ORÇAMENTO!$AF$7)*OFFSET(ORÇAMENTO!$W$15,ROW(AH35)-ROW(AH$15),0),15-13*ORÇAMENTO!$AF$11)),0)</f>
        <v>0</v>
      </c>
      <c r="AI35" s="545">
        <f ca="1">IF(AND($D35="Serviço",AI$12&lt;&gt;0,$H35&gt;0,OR(AUTOEVENTO&lt;&gt;"manual",$M35&lt;&gt;1)),
IF(Import.TipoArredondamento&lt;&gt;"TransfereGOV",
ROUND(OFFSET($P35,0,AI$13),15-13*ORÇAMENTO!$AF$7)/$H35*OFFSET(ORÇAMENTO!$X$15,ROW(AI35)-ROW(AI$15),0),
ROUND(ROUND(OFFSET($P35,0,AI$13),15-13*ORÇAMENTO!$AF$7)*OFFSET(ORÇAMENTO!$W$15,ROW(AI35)-ROW(AI$15),0),15-13*ORÇAMENTO!$AF$11)),0)</f>
        <v>0</v>
      </c>
      <c r="AJ35" s="545">
        <f ca="1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0</v>
      </c>
      <c r="AK35" s="546">
        <f ca="1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0</v>
      </c>
      <c r="AM35" s="181">
        <f ca="1">IF($D35&lt;&gt;"Serviço",0,IF(AND(AUTOEVENTO="Manual",$M35=1),0,IF(OFFSET(CRONOPLE!$F$14,$M35,AM$13)="",10^12,OFFSET(CRONOPLE!$F$14,$M35,AM$13))))</f>
        <v>1000000000000</v>
      </c>
      <c r="AN35" s="181">
        <f ca="1">IF($D35&lt;&gt;"Serviço",0,IF(AND(AUTOEVENTO="Manual",$M35=1),0,IF(OFFSET(CRONOPLE!$F$14,$M35,AN$13)="",10^12,OFFSET(CRONOPLE!$F$14,$M35,AN$13))))</f>
        <v>1000000000000</v>
      </c>
      <c r="AO35" s="181">
        <f ca="1">IF($D35&lt;&gt;"Serviço",0,IF(AND(AUTOEVENTO="Manual",$M35=1),0,IF(OFFSET(CRONOPLE!$F$14,$M35,AO$13)="",10^12,OFFSET(CRONOPLE!$F$14,$M35,AO$13))))</f>
        <v>1000000000000</v>
      </c>
      <c r="AP35" s="181">
        <f ca="1">IF($D35&lt;&gt;"Serviço",0,IF(AND(AUTOEVENTO="Manual",$M35=1),0,IF(OFFSET(CRONOPLE!$F$14,$M35,AP$13)="",10^12,OFFSET(CRONOPLE!$F$14,$M35,AP$13))))</f>
        <v>1000000000000</v>
      </c>
      <c r="AQ35" s="181">
        <f ca="1">IF($D35&lt;&gt;"Serviço",0,IF(AND(AUTOEVENTO="Manual",$M35=1),0,IF(OFFSET(CRONOPLE!$F$14,$M35,AQ$13)="",10^12,OFFSET(CRONOPLE!$F$14,$M35,AQ$13))))</f>
        <v>1000000000000</v>
      </c>
      <c r="AR35" s="181">
        <f ca="1">IF($D35&lt;&gt;"Serviço",0,IF(AND(AUTOEVENTO="Manual",$M35=1),0,IF(OFFSET(CRONOPLE!$F$14,$M35,AR$13)="",10^12,OFFSET(CRONOPLE!$F$14,$M35,AR$13))))</f>
        <v>1000000000000</v>
      </c>
      <c r="AS35" s="181">
        <f ca="1">IF($D35&lt;&gt;"Serviço",0,IF(AND(AUTOEVENTO="Manual",$M35=1),0,IF(OFFSET(CRONOPLE!$F$14,$M35,AS$13)="",10^12,OFFSET(CRONOPLE!$F$14,$M35,AS$13))))</f>
        <v>1000000000000</v>
      </c>
      <c r="AT35" s="181">
        <f ca="1">IF($D35&lt;&gt;"Serviço",0,IF(AND(AUTOEVENTO="Manual",$M35=1),0,IF(OFFSET(CRONOPLE!$F$14,$M35,AT$13)="",10^12,OFFSET(CRONOPLE!$F$14,$M35,AT$13))))</f>
        <v>1000000000000</v>
      </c>
      <c r="AU35" s="181">
        <f ca="1">IF($D35&lt;&gt;"Serviço",0,IF(AND(AUTOEVENTO="Manual",$M35=1),0,IF(OFFSET(CRONOPLE!$F$14,$M35,AU$13)="",10^12,OFFSET(CRONOPLE!$F$14,$M35,AU$13))))</f>
        <v>1000000000000</v>
      </c>
      <c r="AV35" s="181">
        <f ca="1">IF($D35&lt;&gt;"Serviço",0,IF(AND(AUTOEVENTO="Manual",$M35=1),0,IF(OFFSET(CRONOPLE!$F$14,$M35,AV$13)="",10^12,OFFSET(CRONOPLE!$F$14,$M35,AV$13))))</f>
        <v>1000000000000</v>
      </c>
      <c r="AX35" s="182">
        <f ca="1">IF($D35&lt;&gt;"Serviço",0,IF(OR(AND(AUTOEVENTO="Manual",$M35=1),$M35&gt;(ROW(PLE.lastrow)-ROW(PLE.firstrow))),0,IF(OFFSET(PLE!$G$14,$M35,AX$13)="",10^12,OFFSET(PLE!$G$14,$M35,AX$13))))</f>
        <v>1000000000000</v>
      </c>
      <c r="AY35" s="182">
        <f ca="1">IF($D35&lt;&gt;"Serviço",0,IF(OR(AND(AUTOEVENTO="Manual",$M35=1),$M35&gt;(ROW(PLE.lastrow)-ROW(PLE.firstrow))),0,IF(OFFSET(PLE!$G$14,$M35,AY$13)="",10^12,OFFSET(PLE!$G$14,$M35,AY$13))))</f>
        <v>1000000000000</v>
      </c>
      <c r="AZ35" s="182">
        <f ca="1">IF($D35&lt;&gt;"Serviço",0,IF(OR(AND(AUTOEVENTO="Manual",$M35=1),$M35&gt;(ROW(PLE.lastrow)-ROW(PLE.firstrow))),0,IF(OFFSET(PLE!$G$14,$M35,AZ$13)="",10^12,OFFSET(PLE!$G$14,$M35,AZ$13))))</f>
        <v>1000000000000</v>
      </c>
      <c r="BA35" s="182">
        <f ca="1">IF($D35&lt;&gt;"Serviço",0,IF(OR(AND(AUTOEVENTO="Manual",$M35=1),$M35&gt;(ROW(PLE.lastrow)-ROW(PLE.firstrow))),0,IF(OFFSET(PLE!$G$14,$M35,BA$13)="",10^12,OFFSET(PLE!$G$14,$M35,BA$13))))</f>
        <v>1000000000000</v>
      </c>
      <c r="BB35" s="182">
        <f ca="1">IF($D35&lt;&gt;"Serviço",0,IF(OR(AND(AUTOEVENTO="Manual",$M35=1),$M35&gt;(ROW(PLE.lastrow)-ROW(PLE.firstrow))),0,IF(OFFSET(PLE!$G$14,$M35,BB$13)="",10^12,OFFSET(PLE!$G$14,$M35,BB$13))))</f>
        <v>1000000000000</v>
      </c>
      <c r="BC35" s="182">
        <f ca="1">IF($D35&lt;&gt;"Serviço",0,IF(OR(AND(AUTOEVENTO="Manual",$M35=1),$M35&gt;(ROW(PLE.lastrow)-ROW(PLE.firstrow))),0,IF(OFFSET(PLE!$G$14,$M35,BC$13)="",10^12,OFFSET(PLE!$G$14,$M35,BC$13))))</f>
        <v>1000000000000</v>
      </c>
      <c r="BD35" s="182">
        <f ca="1">IF($D35&lt;&gt;"Serviço",0,IF(OR(AND(AUTOEVENTO="Manual",$M35=1),$M35&gt;(ROW(PLE.lastrow)-ROW(PLE.firstrow))),0,IF(OFFSET(PLE!$G$14,$M35,BD$13)="",10^12,OFFSET(PLE!$G$14,$M35,BD$13))))</f>
        <v>1000000000000</v>
      </c>
      <c r="BE35" s="182">
        <f ca="1">IF($D35&lt;&gt;"Serviço",0,IF(OR(AND(AUTOEVENTO="Manual",$M35=1),$M35&gt;(ROW(PLE.lastrow)-ROW(PLE.firstrow))),0,IF(OFFSET(PLE!$G$14,$M35,BE$13)="",10^12,OFFSET(PLE!$G$14,$M35,BE$13))))</f>
        <v>1000000000000</v>
      </c>
      <c r="BF35" s="182">
        <f ca="1">IF($D35&lt;&gt;"Serviço",0,IF(OR(AND(AUTOEVENTO="Manual",$M35=1),$M35&gt;(ROW(PLE.lastrow)-ROW(PLE.firstrow))),0,IF(OFFSET(PLE!$G$14,$M35,BF$13)="",10^12,OFFSET(PLE!$G$14,$M35,BF$13))))</f>
        <v>1000000000000</v>
      </c>
      <c r="BG35" s="182">
        <f ca="1">IF($D35&lt;&gt;"Serviço",0,IF(OR(AND(AUTOEVENTO="Manual",$M35=1),$M35&gt;(ROW(PLE.lastrow)-ROW(PLE.firstrow))),0,IF(OFFSET(PLE!$G$14,$M35,BG$13)="",10^12,OFFSET(PLE!$G$14,$M35,BG$13))))</f>
        <v>1000000000000</v>
      </c>
    </row>
    <row r="36" spans="1:59" ht="51" x14ac:dyDescent="0.2">
      <c r="A36" s="7" t="str">
        <f ca="1">IF(AUTOEVENTO="Manual",IF(K36&lt;&gt;"",MIN(VALUE(LEFT(K36,FIND(".",K36)-1)),COUNTA(EVENTOS.Lista)),0),IF(OR($B36&gt;AUTOEVENTO,$B36="S",$B36=0),SUBSTITUTE(OFFSET($A36,-1,0),IF($D36="Serviço",".",""),""),ROW(A36)-ROW($A$15)&amp;"."))</f>
        <v>10</v>
      </c>
      <c r="B36" s="7" t="str">
        <f ca="1">OFFSET(ORÇAMENTO!C$15,ROW(B36)-ROW(B$15),0)</f>
        <v>S</v>
      </c>
      <c r="C36" s="7" t="str">
        <f ca="1">OFFSET(ORÇAMENTO!L$15,ROW(C36)-ROW(C$15),0)</f>
        <v>F</v>
      </c>
      <c r="D36" s="118" t="str">
        <f ca="1">OFFSET(ORÇAMENTO!N$15,ROW(D36)-ROW(D$15),0)</f>
        <v>Serviço</v>
      </c>
      <c r="E36" s="119" t="str">
        <f ca="1">OFFSET(ORÇAMENTO!O$15,ROW(E36)-ROW(E$15),0)</f>
        <v>1.2.0.11.</v>
      </c>
      <c r="F36" s="172" t="str">
        <f ca="1">OFFSET(ORÇAMENTO!R$15,ROW(F36)-ROW(F$15),0)</f>
        <v>(abra o arquivo 'Referência 03-2024.xlsm)</v>
      </c>
      <c r="G36" s="173" t="str">
        <f ca="1">IF($D36&lt;&gt;"Serviço","",OFFSET(ORÇAMENTO!S$15,ROW(G36)-ROW(G$15),0))</f>
        <v>-</v>
      </c>
      <c r="H36" s="124">
        <f ca="1">IF($D36&lt;&gt;"Serviço",0,IF(ACOMPANHAMENTO="BM",ROUND(OFFSET(ORÇAMENTO!AJ$15,ROW(H36)-ROW(H$15),0),15-13*ORÇAMENTO!$AF$7),SUMPRODUCT(($Q$12:$AA$12&lt;&gt;"")*ROUND($Q36:$AA36,15-13*ORÇAMENTO!$AF$7))))</f>
        <v>6.4</v>
      </c>
      <c r="I36" s="561"/>
      <c r="K36" s="174"/>
      <c r="L36" s="175" t="s">
        <v>255</v>
      </c>
      <c r="M36" s="176">
        <f ca="1">IF($D36&lt;&gt;"Serviço","",IF(AUTOEVENTO="manual",$A36,IF(ISERROR(MATCH($A36,$A$15:OFFSET($A36,-1,0),0)),MAX($M$15:OFFSET(M36,-1,0))+1,INDEX($M$15:OFFSET(M36,-1,0),MATCH($A36,$A$15:OFFSET($A36,-1,0),0)))))</f>
        <v>3</v>
      </c>
      <c r="N36" s="177" t="str">
        <f ca="1">IF($D36&lt;&gt;"Serviço","",IF(AUTOEVENTO="Manual",IF($A36=0,"&lt;-- defina o número do agrupador",OFFSET(EVENTOS!$D$14,$A36,0)),OFFSET($F$15,$A36,0)))</f>
        <v>INSTALAÇÕES HIDRÁULICAS - ENTRADA INDIVIDUALIZADA DE ÁGUA POTÁVEL E REDE ENTERRADA</v>
      </c>
      <c r="O36" s="178"/>
      <c r="Q36" s="178"/>
      <c r="R36" s="179"/>
      <c r="S36" s="179"/>
      <c r="T36" s="179"/>
      <c r="U36" s="179"/>
      <c r="V36" s="179"/>
      <c r="W36" s="179"/>
      <c r="X36" s="179"/>
      <c r="Y36" s="179"/>
      <c r="Z36" s="180"/>
      <c r="AB36" s="544">
        <f ca="1">IF(AND($D36="Serviço",AB$12&lt;&gt;0,$H36&gt;0,OR(AUTOEVENTO&lt;&gt;"manual",$M36&lt;&gt;1)),
IF(Import.TipoArredondamento&lt;&gt;"TransfereGOV",
ROUND(OFFSET($P36,0,AB$13),15-13*ORÇAMENTO!$AF$7)/$H36*OFFSET(ORÇAMENTO!$X$15,ROW(AB36)-ROW(AB$15),0),
ROUND(ROUND(OFFSET($P36,0,AB$13),15-13*ORÇAMENTO!$AF$7)*OFFSET(ORÇAMENTO!$W$15,ROW(AB36)-ROW(AB$15),0),15-13*ORÇAMENTO!$AF$11)),0)</f>
        <v>0</v>
      </c>
      <c r="AC36" s="545">
        <f ca="1">IF(AND($D36="Serviço",AC$12&lt;&gt;0,$H36&gt;0,OR(AUTOEVENTO&lt;&gt;"manual",$M36&lt;&gt;1)),
IF(Import.TipoArredondamento&lt;&gt;"TransfereGOV",
ROUND(OFFSET($P36,0,AC$13),15-13*ORÇAMENTO!$AF$7)/$H36*OFFSET(ORÇAMENTO!$X$15,ROW(AC36)-ROW(AC$15),0),
ROUND(ROUND(OFFSET($P36,0,AC$13),15-13*ORÇAMENTO!$AF$7)*OFFSET(ORÇAMENTO!$W$15,ROW(AC36)-ROW(AC$15),0),15-13*ORÇAMENTO!$AF$11)),0)</f>
        <v>0</v>
      </c>
      <c r="AD36" s="545">
        <f ca="1">IF(AND($D36="Serviço",AD$12&lt;&gt;0,$H36&gt;0,OR(AUTOEVENTO&lt;&gt;"manual",$M36&lt;&gt;1)),
IF(Import.TipoArredondamento&lt;&gt;"TransfereGOV",
ROUND(OFFSET($P36,0,AD$13),15-13*ORÇAMENTO!$AF$7)/$H36*OFFSET(ORÇAMENTO!$X$15,ROW(AD36)-ROW(AD$15),0),
ROUND(ROUND(OFFSET($P36,0,AD$13),15-13*ORÇAMENTO!$AF$7)*OFFSET(ORÇAMENTO!$W$15,ROW(AD36)-ROW(AD$15),0),15-13*ORÇAMENTO!$AF$11)),0)</f>
        <v>0</v>
      </c>
      <c r="AE36" s="545">
        <f ca="1">IF(AND($D36="Serviço",AE$12&lt;&gt;0,$H36&gt;0,OR(AUTOEVENTO&lt;&gt;"manual",$M36&lt;&gt;1)),
IF(Import.TipoArredondamento&lt;&gt;"TransfereGOV",
ROUND(OFFSET($P36,0,AE$13),15-13*ORÇAMENTO!$AF$7)/$H36*OFFSET(ORÇAMENTO!$X$15,ROW(AE36)-ROW(AE$15),0),
ROUND(ROUND(OFFSET($P36,0,AE$13),15-13*ORÇAMENTO!$AF$7)*OFFSET(ORÇAMENTO!$W$15,ROW(AE36)-ROW(AE$15),0),15-13*ORÇAMENTO!$AF$11)),0)</f>
        <v>0</v>
      </c>
      <c r="AF36" s="545">
        <f ca="1">IF(AND($D36="Serviço",AF$12&lt;&gt;0,$H36&gt;0,OR(AUTOEVENTO&lt;&gt;"manual",$M36&lt;&gt;1)),
IF(Import.TipoArredondamento&lt;&gt;"TransfereGOV",
ROUND(OFFSET($P36,0,AF$13),15-13*ORÇAMENTO!$AF$7)/$H36*OFFSET(ORÇAMENTO!$X$15,ROW(AF36)-ROW(AF$15),0),
ROUND(ROUND(OFFSET($P36,0,AF$13),15-13*ORÇAMENTO!$AF$7)*OFFSET(ORÇAMENTO!$W$15,ROW(AF36)-ROW(AF$15),0),15-13*ORÇAMENTO!$AF$11)),0)</f>
        <v>0</v>
      </c>
      <c r="AG36" s="545">
        <f ca="1">IF(AND($D36="Serviço",AG$12&lt;&gt;0,$H36&gt;0,OR(AUTOEVENTO&lt;&gt;"manual",$M36&lt;&gt;1)),
IF(Import.TipoArredondamento&lt;&gt;"TransfereGOV",
ROUND(OFFSET($P36,0,AG$13),15-13*ORÇAMENTO!$AF$7)/$H36*OFFSET(ORÇAMENTO!$X$15,ROW(AG36)-ROW(AG$15),0),
ROUND(ROUND(OFFSET($P36,0,AG$13),15-13*ORÇAMENTO!$AF$7)*OFFSET(ORÇAMENTO!$W$15,ROW(AG36)-ROW(AG$15),0),15-13*ORÇAMENTO!$AF$11)),0)</f>
        <v>0</v>
      </c>
      <c r="AH36" s="545">
        <f ca="1">IF(AND($D36="Serviço",AH$12&lt;&gt;0,$H36&gt;0,OR(AUTOEVENTO&lt;&gt;"manual",$M36&lt;&gt;1)),
IF(Import.TipoArredondamento&lt;&gt;"TransfereGOV",
ROUND(OFFSET($P36,0,AH$13),15-13*ORÇAMENTO!$AF$7)/$H36*OFFSET(ORÇAMENTO!$X$15,ROW(AH36)-ROW(AH$15),0),
ROUND(ROUND(OFFSET($P36,0,AH$13),15-13*ORÇAMENTO!$AF$7)*OFFSET(ORÇAMENTO!$W$15,ROW(AH36)-ROW(AH$15),0),15-13*ORÇAMENTO!$AF$11)),0)</f>
        <v>0</v>
      </c>
      <c r="AI36" s="545">
        <f ca="1">IF(AND($D36="Serviço",AI$12&lt;&gt;0,$H36&gt;0,OR(AUTOEVENTO&lt;&gt;"manual",$M36&lt;&gt;1)),
IF(Import.TipoArredondamento&lt;&gt;"TransfereGOV",
ROUND(OFFSET($P36,0,AI$13),15-13*ORÇAMENTO!$AF$7)/$H36*OFFSET(ORÇAMENTO!$X$15,ROW(AI36)-ROW(AI$15),0),
ROUND(ROUND(OFFSET($P36,0,AI$13),15-13*ORÇAMENTO!$AF$7)*OFFSET(ORÇAMENTO!$W$15,ROW(AI36)-ROW(AI$15),0),15-13*ORÇAMENTO!$AF$11)),0)</f>
        <v>0</v>
      </c>
      <c r="AJ36" s="545">
        <f ca="1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0</v>
      </c>
      <c r="AK36" s="546">
        <f ca="1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0</v>
      </c>
      <c r="AM36" s="181">
        <f ca="1">IF($D36&lt;&gt;"Serviço",0,IF(AND(AUTOEVENTO="Manual",$M36=1),0,IF(OFFSET(CRONOPLE!$F$14,$M36,AM$13)="",10^12,OFFSET(CRONOPLE!$F$14,$M36,AM$13))))</f>
        <v>1000000000000</v>
      </c>
      <c r="AN36" s="181">
        <f ca="1">IF($D36&lt;&gt;"Serviço",0,IF(AND(AUTOEVENTO="Manual",$M36=1),0,IF(OFFSET(CRONOPLE!$F$14,$M36,AN$13)="",10^12,OFFSET(CRONOPLE!$F$14,$M36,AN$13))))</f>
        <v>1000000000000</v>
      </c>
      <c r="AO36" s="181">
        <f ca="1">IF($D36&lt;&gt;"Serviço",0,IF(AND(AUTOEVENTO="Manual",$M36=1),0,IF(OFFSET(CRONOPLE!$F$14,$M36,AO$13)="",10^12,OFFSET(CRONOPLE!$F$14,$M36,AO$13))))</f>
        <v>1000000000000</v>
      </c>
      <c r="AP36" s="181">
        <f ca="1">IF($D36&lt;&gt;"Serviço",0,IF(AND(AUTOEVENTO="Manual",$M36=1),0,IF(OFFSET(CRONOPLE!$F$14,$M36,AP$13)="",10^12,OFFSET(CRONOPLE!$F$14,$M36,AP$13))))</f>
        <v>1000000000000</v>
      </c>
      <c r="AQ36" s="181">
        <f ca="1">IF($D36&lt;&gt;"Serviço",0,IF(AND(AUTOEVENTO="Manual",$M36=1),0,IF(OFFSET(CRONOPLE!$F$14,$M36,AQ$13)="",10^12,OFFSET(CRONOPLE!$F$14,$M36,AQ$13))))</f>
        <v>1000000000000</v>
      </c>
      <c r="AR36" s="181">
        <f ca="1">IF($D36&lt;&gt;"Serviço",0,IF(AND(AUTOEVENTO="Manual",$M36=1),0,IF(OFFSET(CRONOPLE!$F$14,$M36,AR$13)="",10^12,OFFSET(CRONOPLE!$F$14,$M36,AR$13))))</f>
        <v>1000000000000</v>
      </c>
      <c r="AS36" s="181">
        <f ca="1">IF($D36&lt;&gt;"Serviço",0,IF(AND(AUTOEVENTO="Manual",$M36=1),0,IF(OFFSET(CRONOPLE!$F$14,$M36,AS$13)="",10^12,OFFSET(CRONOPLE!$F$14,$M36,AS$13))))</f>
        <v>1000000000000</v>
      </c>
      <c r="AT36" s="181">
        <f ca="1">IF($D36&lt;&gt;"Serviço",0,IF(AND(AUTOEVENTO="Manual",$M36=1),0,IF(OFFSET(CRONOPLE!$F$14,$M36,AT$13)="",10^12,OFFSET(CRONOPLE!$F$14,$M36,AT$13))))</f>
        <v>1000000000000</v>
      </c>
      <c r="AU36" s="181">
        <f ca="1">IF($D36&lt;&gt;"Serviço",0,IF(AND(AUTOEVENTO="Manual",$M36=1),0,IF(OFFSET(CRONOPLE!$F$14,$M36,AU$13)="",10^12,OFFSET(CRONOPLE!$F$14,$M36,AU$13))))</f>
        <v>1000000000000</v>
      </c>
      <c r="AV36" s="181">
        <f ca="1">IF($D36&lt;&gt;"Serviço",0,IF(AND(AUTOEVENTO="Manual",$M36=1),0,IF(OFFSET(CRONOPLE!$F$14,$M36,AV$13)="",10^12,OFFSET(CRONOPLE!$F$14,$M36,AV$13))))</f>
        <v>1000000000000</v>
      </c>
      <c r="AX36" s="182">
        <f ca="1">IF($D36&lt;&gt;"Serviço",0,IF(OR(AND(AUTOEVENTO="Manual",$M36=1),$M36&gt;(ROW(PLE.lastrow)-ROW(PLE.firstrow))),0,IF(OFFSET(PLE!$G$14,$M36,AX$13)="",10^12,OFFSET(PLE!$G$14,$M36,AX$13))))</f>
        <v>1000000000000</v>
      </c>
      <c r="AY36" s="182">
        <f ca="1">IF($D36&lt;&gt;"Serviço",0,IF(OR(AND(AUTOEVENTO="Manual",$M36=1),$M36&gt;(ROW(PLE.lastrow)-ROW(PLE.firstrow))),0,IF(OFFSET(PLE!$G$14,$M36,AY$13)="",10^12,OFFSET(PLE!$G$14,$M36,AY$13))))</f>
        <v>1000000000000</v>
      </c>
      <c r="AZ36" s="182">
        <f ca="1">IF($D36&lt;&gt;"Serviço",0,IF(OR(AND(AUTOEVENTO="Manual",$M36=1),$M36&gt;(ROW(PLE.lastrow)-ROW(PLE.firstrow))),0,IF(OFFSET(PLE!$G$14,$M36,AZ$13)="",10^12,OFFSET(PLE!$G$14,$M36,AZ$13))))</f>
        <v>1000000000000</v>
      </c>
      <c r="BA36" s="182">
        <f ca="1">IF($D36&lt;&gt;"Serviço",0,IF(OR(AND(AUTOEVENTO="Manual",$M36=1),$M36&gt;(ROW(PLE.lastrow)-ROW(PLE.firstrow))),0,IF(OFFSET(PLE!$G$14,$M36,BA$13)="",10^12,OFFSET(PLE!$G$14,$M36,BA$13))))</f>
        <v>1000000000000</v>
      </c>
      <c r="BB36" s="182">
        <f ca="1">IF($D36&lt;&gt;"Serviço",0,IF(OR(AND(AUTOEVENTO="Manual",$M36=1),$M36&gt;(ROW(PLE.lastrow)-ROW(PLE.firstrow))),0,IF(OFFSET(PLE!$G$14,$M36,BB$13)="",10^12,OFFSET(PLE!$G$14,$M36,BB$13))))</f>
        <v>1000000000000</v>
      </c>
      <c r="BC36" s="182">
        <f ca="1">IF($D36&lt;&gt;"Serviço",0,IF(OR(AND(AUTOEVENTO="Manual",$M36=1),$M36&gt;(ROW(PLE.lastrow)-ROW(PLE.firstrow))),0,IF(OFFSET(PLE!$G$14,$M36,BC$13)="",10^12,OFFSET(PLE!$G$14,$M36,BC$13))))</f>
        <v>1000000000000</v>
      </c>
      <c r="BD36" s="182">
        <f ca="1">IF($D36&lt;&gt;"Serviço",0,IF(OR(AND(AUTOEVENTO="Manual",$M36=1),$M36&gt;(ROW(PLE.lastrow)-ROW(PLE.firstrow))),0,IF(OFFSET(PLE!$G$14,$M36,BD$13)="",10^12,OFFSET(PLE!$G$14,$M36,BD$13))))</f>
        <v>1000000000000</v>
      </c>
      <c r="BE36" s="182">
        <f ca="1">IF($D36&lt;&gt;"Serviço",0,IF(OR(AND(AUTOEVENTO="Manual",$M36=1),$M36&gt;(ROW(PLE.lastrow)-ROW(PLE.firstrow))),0,IF(OFFSET(PLE!$G$14,$M36,BE$13)="",10^12,OFFSET(PLE!$G$14,$M36,BE$13))))</f>
        <v>1000000000000</v>
      </c>
      <c r="BF36" s="182">
        <f ca="1">IF($D36&lt;&gt;"Serviço",0,IF(OR(AND(AUTOEVENTO="Manual",$M36=1),$M36&gt;(ROW(PLE.lastrow)-ROW(PLE.firstrow))),0,IF(OFFSET(PLE!$G$14,$M36,BF$13)="",10^12,OFFSET(PLE!$G$14,$M36,BF$13))))</f>
        <v>1000000000000</v>
      </c>
      <c r="BG36" s="182">
        <f ca="1">IF($D36&lt;&gt;"Serviço",0,IF(OR(AND(AUTOEVENTO="Manual",$M36=1),$M36&gt;(ROW(PLE.lastrow)-ROW(PLE.firstrow))),0,IF(OFFSET(PLE!$G$14,$M36,BG$13)="",10^12,OFFSET(PLE!$G$14,$M36,BG$13))))</f>
        <v>1000000000000</v>
      </c>
    </row>
    <row r="37" spans="1:59" ht="51" x14ac:dyDescent="0.2">
      <c r="A37" s="7" t="str">
        <f t="shared" ca="1" si="8"/>
        <v>10</v>
      </c>
      <c r="B37" s="7" t="str">
        <f ca="1">OFFSET(ORÇAMENTO!C$15,ROW(B37)-ROW(B$15),0)</f>
        <v>S</v>
      </c>
      <c r="C37" s="7" t="str">
        <f ca="1">OFFSET(ORÇAMENTO!L$15,ROW(C37)-ROW(C$15),0)</f>
        <v>F</v>
      </c>
      <c r="D37" s="118" t="str">
        <f ca="1">OFFSET(ORÇAMENTO!N$15,ROW(D37)-ROW(D$15),0)</f>
        <v>Serviço</v>
      </c>
      <c r="E37" s="119" t="str">
        <f ca="1">OFFSET(ORÇAMENTO!O$15,ROW(E37)-ROW(E$15),0)</f>
        <v>1.2.0.12.</v>
      </c>
      <c r="F37" s="172" t="str">
        <f ca="1">OFFSET(ORÇAMENTO!R$15,ROW(F37)-ROW(F$15),0)</f>
        <v>(abra o arquivo 'Referência 03-2024.xlsm)</v>
      </c>
      <c r="G37" s="173" t="str">
        <f ca="1">IF($D37&lt;&gt;"Serviço","",OFFSET(ORÇAMENTO!S$15,ROW(G37)-ROW(G$15),0))</f>
        <v>-</v>
      </c>
      <c r="H37" s="124">
        <f ca="1">IF($D37&lt;&gt;"Serviço",0,IF(ACOMPANHAMENTO="BM",ROUND(OFFSET(ORÇAMENTO!AJ$15,ROW(H37)-ROW(H$15),0),15-13*ORÇAMENTO!$AF$7),SUMPRODUCT(($Q$12:$AA$12&lt;&gt;"")*ROUND($Q37:$AA37,15-13*ORÇAMENTO!$AF$7))))</f>
        <v>45</v>
      </c>
      <c r="I37" s="561"/>
      <c r="K37" s="174"/>
      <c r="L37" s="175" t="s">
        <v>255</v>
      </c>
      <c r="M37" s="176">
        <f ca="1">IF($D37&lt;&gt;"Serviço","",IF(AUTOEVENTO="manual",$A37,IF(ISERROR(MATCH($A37,$A$15:OFFSET($A37,-1,0),0)),MAX($M$15:OFFSET(M37,-1,0))+1,INDEX($M$15:OFFSET(M37,-1,0),MATCH($A37,$A$15:OFFSET($A37,-1,0),0)))))</f>
        <v>3</v>
      </c>
      <c r="N37" s="177" t="str">
        <f ca="1">IF($D37&lt;&gt;"Serviço","",IF(AUTOEVENTO="Manual",IF($A37=0,"&lt;-- defina o número do agrupador",OFFSET(EVENTOS!$D$14,$A37,0)),OFFSET($F$15,$A37,0)))</f>
        <v>INSTALAÇÕES HIDRÁULICAS - ENTRADA INDIVIDUALIZADA DE ÁGUA POTÁVEL E REDE ENTERRADA</v>
      </c>
      <c r="O37" s="178"/>
      <c r="Q37" s="178"/>
      <c r="R37" s="179"/>
      <c r="S37" s="179"/>
      <c r="T37" s="179"/>
      <c r="U37" s="179"/>
      <c r="V37" s="179"/>
      <c r="W37" s="179"/>
      <c r="X37" s="179"/>
      <c r="Y37" s="179"/>
      <c r="Z37" s="180"/>
      <c r="AB37" s="544">
        <f ca="1">IF(AND($D37="Serviço",AB$12&lt;&gt;0,$H37&gt;0,OR(AUTOEVENTO&lt;&gt;"manual",$M37&lt;&gt;1)),
IF(Import.TipoArredondamento&lt;&gt;"TransfereGOV",
ROUND(OFFSET($P37,0,AB$13),15-13*ORÇAMENTO!$AF$7)/$H37*OFFSET(ORÇAMENTO!$X$15,ROW(AB37)-ROW(AB$15),0),
ROUND(ROUND(OFFSET($P37,0,AB$13),15-13*ORÇAMENTO!$AF$7)*OFFSET(ORÇAMENTO!$W$15,ROW(AB37)-ROW(AB$15),0),15-13*ORÇAMENTO!$AF$11)),0)</f>
        <v>0</v>
      </c>
      <c r="AC37" s="545">
        <f ca="1">IF(AND($D37="Serviço",AC$12&lt;&gt;0,$H37&gt;0,OR(AUTOEVENTO&lt;&gt;"manual",$M37&lt;&gt;1)),
IF(Import.TipoArredondamento&lt;&gt;"TransfereGOV",
ROUND(OFFSET($P37,0,AC$13),15-13*ORÇAMENTO!$AF$7)/$H37*OFFSET(ORÇAMENTO!$X$15,ROW(AC37)-ROW(AC$15),0),
ROUND(ROUND(OFFSET($P37,0,AC$13),15-13*ORÇAMENTO!$AF$7)*OFFSET(ORÇAMENTO!$W$15,ROW(AC37)-ROW(AC$15),0),15-13*ORÇAMENTO!$AF$11)),0)</f>
        <v>0</v>
      </c>
      <c r="AD37" s="545">
        <f ca="1">IF(AND($D37="Serviço",AD$12&lt;&gt;0,$H37&gt;0,OR(AUTOEVENTO&lt;&gt;"manual",$M37&lt;&gt;1)),
IF(Import.TipoArredondamento&lt;&gt;"TransfereGOV",
ROUND(OFFSET($P37,0,AD$13),15-13*ORÇAMENTO!$AF$7)/$H37*OFFSET(ORÇAMENTO!$X$15,ROW(AD37)-ROW(AD$15),0),
ROUND(ROUND(OFFSET($P37,0,AD$13),15-13*ORÇAMENTO!$AF$7)*OFFSET(ORÇAMENTO!$W$15,ROW(AD37)-ROW(AD$15),0),15-13*ORÇAMENTO!$AF$11)),0)</f>
        <v>0</v>
      </c>
      <c r="AE37" s="545">
        <f ca="1">IF(AND($D37="Serviço",AE$12&lt;&gt;0,$H37&gt;0,OR(AUTOEVENTO&lt;&gt;"manual",$M37&lt;&gt;1)),
IF(Import.TipoArredondamento&lt;&gt;"TransfereGOV",
ROUND(OFFSET($P37,0,AE$13),15-13*ORÇAMENTO!$AF$7)/$H37*OFFSET(ORÇAMENTO!$X$15,ROW(AE37)-ROW(AE$15),0),
ROUND(ROUND(OFFSET($P37,0,AE$13),15-13*ORÇAMENTO!$AF$7)*OFFSET(ORÇAMENTO!$W$15,ROW(AE37)-ROW(AE$15),0),15-13*ORÇAMENTO!$AF$11)),0)</f>
        <v>0</v>
      </c>
      <c r="AF37" s="545">
        <f ca="1">IF(AND($D37="Serviço",AF$12&lt;&gt;0,$H37&gt;0,OR(AUTOEVENTO&lt;&gt;"manual",$M37&lt;&gt;1)),
IF(Import.TipoArredondamento&lt;&gt;"TransfereGOV",
ROUND(OFFSET($P37,0,AF$13),15-13*ORÇAMENTO!$AF$7)/$H37*OFFSET(ORÇAMENTO!$X$15,ROW(AF37)-ROW(AF$15),0),
ROUND(ROUND(OFFSET($P37,0,AF$13),15-13*ORÇAMENTO!$AF$7)*OFFSET(ORÇAMENTO!$W$15,ROW(AF37)-ROW(AF$15),0),15-13*ORÇAMENTO!$AF$11)),0)</f>
        <v>0</v>
      </c>
      <c r="AG37" s="545">
        <f ca="1">IF(AND($D37="Serviço",AG$12&lt;&gt;0,$H37&gt;0,OR(AUTOEVENTO&lt;&gt;"manual",$M37&lt;&gt;1)),
IF(Import.TipoArredondamento&lt;&gt;"TransfereGOV",
ROUND(OFFSET($P37,0,AG$13),15-13*ORÇAMENTO!$AF$7)/$H37*OFFSET(ORÇAMENTO!$X$15,ROW(AG37)-ROW(AG$15),0),
ROUND(ROUND(OFFSET($P37,0,AG$13),15-13*ORÇAMENTO!$AF$7)*OFFSET(ORÇAMENTO!$W$15,ROW(AG37)-ROW(AG$15),0),15-13*ORÇAMENTO!$AF$11)),0)</f>
        <v>0</v>
      </c>
      <c r="AH37" s="545">
        <f ca="1">IF(AND($D37="Serviço",AH$12&lt;&gt;0,$H37&gt;0,OR(AUTOEVENTO&lt;&gt;"manual",$M37&lt;&gt;1)),
IF(Import.TipoArredondamento&lt;&gt;"TransfereGOV",
ROUND(OFFSET($P37,0,AH$13),15-13*ORÇAMENTO!$AF$7)/$H37*OFFSET(ORÇAMENTO!$X$15,ROW(AH37)-ROW(AH$15),0),
ROUND(ROUND(OFFSET($P37,0,AH$13),15-13*ORÇAMENTO!$AF$7)*OFFSET(ORÇAMENTO!$W$15,ROW(AH37)-ROW(AH$15),0),15-13*ORÇAMENTO!$AF$11)),0)</f>
        <v>0</v>
      </c>
      <c r="AI37" s="545">
        <f ca="1">IF(AND($D37="Serviço",AI$12&lt;&gt;0,$H37&gt;0,OR(AUTOEVENTO&lt;&gt;"manual",$M37&lt;&gt;1)),
IF(Import.TipoArredondamento&lt;&gt;"TransfereGOV",
ROUND(OFFSET($P37,0,AI$13),15-13*ORÇAMENTO!$AF$7)/$H37*OFFSET(ORÇAMENTO!$X$15,ROW(AI37)-ROW(AI$15),0),
ROUND(ROUND(OFFSET($P37,0,AI$13),15-13*ORÇAMENTO!$AF$7)*OFFSET(ORÇAMENTO!$W$15,ROW(AI37)-ROW(AI$15),0),15-13*ORÇAMENTO!$AF$11)),0)</f>
        <v>0</v>
      </c>
      <c r="AJ37" s="545">
        <f ca="1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0</v>
      </c>
      <c r="AK37" s="546">
        <f ca="1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0</v>
      </c>
      <c r="AM37" s="181">
        <f ca="1">IF($D37&lt;&gt;"Serviço",0,IF(AND(AUTOEVENTO="Manual",$M37=1),0,IF(OFFSET(CRONOPLE!$F$14,$M37,AM$13)="",10^12,OFFSET(CRONOPLE!$F$14,$M37,AM$13))))</f>
        <v>1000000000000</v>
      </c>
      <c r="AN37" s="181">
        <f ca="1">IF($D37&lt;&gt;"Serviço",0,IF(AND(AUTOEVENTO="Manual",$M37=1),0,IF(OFFSET(CRONOPLE!$F$14,$M37,AN$13)="",10^12,OFFSET(CRONOPLE!$F$14,$M37,AN$13))))</f>
        <v>1000000000000</v>
      </c>
      <c r="AO37" s="181">
        <f ca="1">IF($D37&lt;&gt;"Serviço",0,IF(AND(AUTOEVENTO="Manual",$M37=1),0,IF(OFFSET(CRONOPLE!$F$14,$M37,AO$13)="",10^12,OFFSET(CRONOPLE!$F$14,$M37,AO$13))))</f>
        <v>1000000000000</v>
      </c>
      <c r="AP37" s="181">
        <f ca="1">IF($D37&lt;&gt;"Serviço",0,IF(AND(AUTOEVENTO="Manual",$M37=1),0,IF(OFFSET(CRONOPLE!$F$14,$M37,AP$13)="",10^12,OFFSET(CRONOPLE!$F$14,$M37,AP$13))))</f>
        <v>1000000000000</v>
      </c>
      <c r="AQ37" s="181">
        <f ca="1">IF($D37&lt;&gt;"Serviço",0,IF(AND(AUTOEVENTO="Manual",$M37=1),0,IF(OFFSET(CRONOPLE!$F$14,$M37,AQ$13)="",10^12,OFFSET(CRONOPLE!$F$14,$M37,AQ$13))))</f>
        <v>1000000000000</v>
      </c>
      <c r="AR37" s="181">
        <f ca="1">IF($D37&lt;&gt;"Serviço",0,IF(AND(AUTOEVENTO="Manual",$M37=1),0,IF(OFFSET(CRONOPLE!$F$14,$M37,AR$13)="",10^12,OFFSET(CRONOPLE!$F$14,$M37,AR$13))))</f>
        <v>1000000000000</v>
      </c>
      <c r="AS37" s="181">
        <f ca="1">IF($D37&lt;&gt;"Serviço",0,IF(AND(AUTOEVENTO="Manual",$M37=1),0,IF(OFFSET(CRONOPLE!$F$14,$M37,AS$13)="",10^12,OFFSET(CRONOPLE!$F$14,$M37,AS$13))))</f>
        <v>1000000000000</v>
      </c>
      <c r="AT37" s="181">
        <f ca="1">IF($D37&lt;&gt;"Serviço",0,IF(AND(AUTOEVENTO="Manual",$M37=1),0,IF(OFFSET(CRONOPLE!$F$14,$M37,AT$13)="",10^12,OFFSET(CRONOPLE!$F$14,$M37,AT$13))))</f>
        <v>1000000000000</v>
      </c>
      <c r="AU37" s="181">
        <f ca="1">IF($D37&lt;&gt;"Serviço",0,IF(AND(AUTOEVENTO="Manual",$M37=1),0,IF(OFFSET(CRONOPLE!$F$14,$M37,AU$13)="",10^12,OFFSET(CRONOPLE!$F$14,$M37,AU$13))))</f>
        <v>1000000000000</v>
      </c>
      <c r="AV37" s="181">
        <f ca="1">IF($D37&lt;&gt;"Serviço",0,IF(AND(AUTOEVENTO="Manual",$M37=1),0,IF(OFFSET(CRONOPLE!$F$14,$M37,AV$13)="",10^12,OFFSET(CRONOPLE!$F$14,$M37,AV$13))))</f>
        <v>1000000000000</v>
      </c>
      <c r="AX37" s="182">
        <f ca="1">IF($D37&lt;&gt;"Serviço",0,IF(OR(AND(AUTOEVENTO="Manual",$M37=1),$M37&gt;(ROW(PLE.lastrow)-ROW(PLE.firstrow))),0,IF(OFFSET(PLE!$G$14,$M37,AX$13)="",10^12,OFFSET(PLE!$G$14,$M37,AX$13))))</f>
        <v>1000000000000</v>
      </c>
      <c r="AY37" s="182">
        <f ca="1">IF($D37&lt;&gt;"Serviço",0,IF(OR(AND(AUTOEVENTO="Manual",$M37=1),$M37&gt;(ROW(PLE.lastrow)-ROW(PLE.firstrow))),0,IF(OFFSET(PLE!$G$14,$M37,AY$13)="",10^12,OFFSET(PLE!$G$14,$M37,AY$13))))</f>
        <v>1000000000000</v>
      </c>
      <c r="AZ37" s="182">
        <f ca="1">IF($D37&lt;&gt;"Serviço",0,IF(OR(AND(AUTOEVENTO="Manual",$M37=1),$M37&gt;(ROW(PLE.lastrow)-ROW(PLE.firstrow))),0,IF(OFFSET(PLE!$G$14,$M37,AZ$13)="",10^12,OFFSET(PLE!$G$14,$M37,AZ$13))))</f>
        <v>1000000000000</v>
      </c>
      <c r="BA37" s="182">
        <f ca="1">IF($D37&lt;&gt;"Serviço",0,IF(OR(AND(AUTOEVENTO="Manual",$M37=1),$M37&gt;(ROW(PLE.lastrow)-ROW(PLE.firstrow))),0,IF(OFFSET(PLE!$G$14,$M37,BA$13)="",10^12,OFFSET(PLE!$G$14,$M37,BA$13))))</f>
        <v>1000000000000</v>
      </c>
      <c r="BB37" s="182">
        <f ca="1">IF($D37&lt;&gt;"Serviço",0,IF(OR(AND(AUTOEVENTO="Manual",$M37=1),$M37&gt;(ROW(PLE.lastrow)-ROW(PLE.firstrow))),0,IF(OFFSET(PLE!$G$14,$M37,BB$13)="",10^12,OFFSET(PLE!$G$14,$M37,BB$13))))</f>
        <v>1000000000000</v>
      </c>
      <c r="BC37" s="182">
        <f ca="1">IF($D37&lt;&gt;"Serviço",0,IF(OR(AND(AUTOEVENTO="Manual",$M37=1),$M37&gt;(ROW(PLE.lastrow)-ROW(PLE.firstrow))),0,IF(OFFSET(PLE!$G$14,$M37,BC$13)="",10^12,OFFSET(PLE!$G$14,$M37,BC$13))))</f>
        <v>1000000000000</v>
      </c>
      <c r="BD37" s="182">
        <f ca="1">IF($D37&lt;&gt;"Serviço",0,IF(OR(AND(AUTOEVENTO="Manual",$M37=1),$M37&gt;(ROW(PLE.lastrow)-ROW(PLE.firstrow))),0,IF(OFFSET(PLE!$G$14,$M37,BD$13)="",10^12,OFFSET(PLE!$G$14,$M37,BD$13))))</f>
        <v>1000000000000</v>
      </c>
      <c r="BE37" s="182">
        <f ca="1">IF($D37&lt;&gt;"Serviço",0,IF(OR(AND(AUTOEVENTO="Manual",$M37=1),$M37&gt;(ROW(PLE.lastrow)-ROW(PLE.firstrow))),0,IF(OFFSET(PLE!$G$14,$M37,BE$13)="",10^12,OFFSET(PLE!$G$14,$M37,BE$13))))</f>
        <v>1000000000000</v>
      </c>
      <c r="BF37" s="182">
        <f ca="1">IF($D37&lt;&gt;"Serviço",0,IF(OR(AND(AUTOEVENTO="Manual",$M37=1),$M37&gt;(ROW(PLE.lastrow)-ROW(PLE.firstrow))),0,IF(OFFSET(PLE!$G$14,$M37,BF$13)="",10^12,OFFSET(PLE!$G$14,$M37,BF$13))))</f>
        <v>1000000000000</v>
      </c>
      <c r="BG37" s="182">
        <f ca="1">IF($D37&lt;&gt;"Serviço",0,IF(OR(AND(AUTOEVENTO="Manual",$M37=1),$M37&gt;(ROW(PLE.lastrow)-ROW(PLE.firstrow))),0,IF(OFFSET(PLE!$G$14,$M37,BG$13)="",10^12,OFFSET(PLE!$G$14,$M37,BG$13))))</f>
        <v>1000000000000</v>
      </c>
    </row>
    <row r="38" spans="1:59" ht="51" x14ac:dyDescent="0.2">
      <c r="A38" s="7" t="str">
        <f t="shared" ca="1" si="8"/>
        <v>10</v>
      </c>
      <c r="B38" s="7" t="str">
        <f ca="1">OFFSET(ORÇAMENTO!C$15,ROW(B38)-ROW(B$15),0)</f>
        <v>S</v>
      </c>
      <c r="C38" s="7" t="str">
        <f ca="1">OFFSET(ORÇAMENTO!L$15,ROW(C38)-ROW(C$15),0)</f>
        <v>F</v>
      </c>
      <c r="D38" s="118" t="str">
        <f ca="1">OFFSET(ORÇAMENTO!N$15,ROW(D38)-ROW(D$15),0)</f>
        <v>Serviço</v>
      </c>
      <c r="E38" s="119" t="str">
        <f ca="1">OFFSET(ORÇAMENTO!O$15,ROW(E38)-ROW(E$15),0)</f>
        <v>1.2.0.13.</v>
      </c>
      <c r="F38" s="172" t="str">
        <f ca="1">OFFSET(ORÇAMENTO!R$15,ROW(F38)-ROW(F$15),0)</f>
        <v>(abra o arquivo 'Referência 03-2024.xlsm)</v>
      </c>
      <c r="G38" s="173" t="str">
        <f ca="1">IF($D38&lt;&gt;"Serviço","",OFFSET(ORÇAMENTO!S$15,ROW(G38)-ROW(G$15),0))</f>
        <v>-</v>
      </c>
      <c r="H38" s="124">
        <f ca="1">IF($D38&lt;&gt;"Serviço",0,IF(ACOMPANHAMENTO="BM",ROUND(OFFSET(ORÇAMENTO!AJ$15,ROW(H38)-ROW(H$15),0),15-13*ORÇAMENTO!$AF$7),SUMPRODUCT(($Q$12:$AA$12&lt;&gt;"")*ROUND($Q38:$AA38,15-13*ORÇAMENTO!$AF$7))))</f>
        <v>5</v>
      </c>
      <c r="I38" s="561"/>
      <c r="K38" s="174"/>
      <c r="L38" s="175" t="s">
        <v>255</v>
      </c>
      <c r="M38" s="176">
        <f ca="1">IF($D38&lt;&gt;"Serviço","",IF(AUTOEVENTO="manual",$A38,IF(ISERROR(MATCH($A38,$A$15:OFFSET($A38,-1,0),0)),MAX($M$15:OFFSET(M38,-1,0))+1,INDEX($M$15:OFFSET(M38,-1,0),MATCH($A38,$A$15:OFFSET($A38,-1,0),0)))))</f>
        <v>3</v>
      </c>
      <c r="N38" s="177" t="str">
        <f ca="1">IF($D38&lt;&gt;"Serviço","",IF(AUTOEVENTO="Manual",IF($A38=0,"&lt;-- defina o número do agrupador",OFFSET(EVENTOS!$D$14,$A38,0)),OFFSET($F$15,$A38,0)))</f>
        <v>INSTALAÇÕES HIDRÁULICAS - ENTRADA INDIVIDUALIZADA DE ÁGUA POTÁVEL E REDE ENTERRADA</v>
      </c>
      <c r="O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B38" s="544">
        <f ca="1">IF(AND($D38="Serviço",AB$12&lt;&gt;0,$H38&gt;0,OR(AUTOEVENTO&lt;&gt;"manual",$M38&lt;&gt;1)),
IF(Import.TipoArredondamento&lt;&gt;"TransfereGOV",
ROUND(OFFSET($P38,0,AB$13),15-13*ORÇAMENTO!$AF$7)/$H38*OFFSET(ORÇAMENTO!$X$15,ROW(AB38)-ROW(AB$15),0),
ROUND(ROUND(OFFSET($P38,0,AB$13),15-13*ORÇAMENTO!$AF$7)*OFFSET(ORÇAMENTO!$W$15,ROW(AB38)-ROW(AB$15),0),15-13*ORÇAMENTO!$AF$11)),0)</f>
        <v>0</v>
      </c>
      <c r="AC38" s="545">
        <f ca="1">IF(AND($D38="Serviço",AC$12&lt;&gt;0,$H38&gt;0,OR(AUTOEVENTO&lt;&gt;"manual",$M38&lt;&gt;1)),
IF(Import.TipoArredondamento&lt;&gt;"TransfereGOV",
ROUND(OFFSET($P38,0,AC$13),15-13*ORÇAMENTO!$AF$7)/$H38*OFFSET(ORÇAMENTO!$X$15,ROW(AC38)-ROW(AC$15),0),
ROUND(ROUND(OFFSET($P38,0,AC$13),15-13*ORÇAMENTO!$AF$7)*OFFSET(ORÇAMENTO!$W$15,ROW(AC38)-ROW(AC$15),0),15-13*ORÇAMENTO!$AF$11)),0)</f>
        <v>0</v>
      </c>
      <c r="AD38" s="545">
        <f ca="1">IF(AND($D38="Serviço",AD$12&lt;&gt;0,$H38&gt;0,OR(AUTOEVENTO&lt;&gt;"manual",$M38&lt;&gt;1)),
IF(Import.TipoArredondamento&lt;&gt;"TransfereGOV",
ROUND(OFFSET($P38,0,AD$13),15-13*ORÇAMENTO!$AF$7)/$H38*OFFSET(ORÇAMENTO!$X$15,ROW(AD38)-ROW(AD$15),0),
ROUND(ROUND(OFFSET($P38,0,AD$13),15-13*ORÇAMENTO!$AF$7)*OFFSET(ORÇAMENTO!$W$15,ROW(AD38)-ROW(AD$15),0),15-13*ORÇAMENTO!$AF$11)),0)</f>
        <v>0</v>
      </c>
      <c r="AE38" s="545">
        <f ca="1">IF(AND($D38="Serviço",AE$12&lt;&gt;0,$H38&gt;0,OR(AUTOEVENTO&lt;&gt;"manual",$M38&lt;&gt;1)),
IF(Import.TipoArredondamento&lt;&gt;"TransfereGOV",
ROUND(OFFSET($P38,0,AE$13),15-13*ORÇAMENTO!$AF$7)/$H38*OFFSET(ORÇAMENTO!$X$15,ROW(AE38)-ROW(AE$15),0),
ROUND(ROUND(OFFSET($P38,0,AE$13),15-13*ORÇAMENTO!$AF$7)*OFFSET(ORÇAMENTO!$W$15,ROW(AE38)-ROW(AE$15),0),15-13*ORÇAMENTO!$AF$11)),0)</f>
        <v>0</v>
      </c>
      <c r="AF38" s="545">
        <f ca="1">IF(AND($D38="Serviço",AF$12&lt;&gt;0,$H38&gt;0,OR(AUTOEVENTO&lt;&gt;"manual",$M38&lt;&gt;1)),
IF(Import.TipoArredondamento&lt;&gt;"TransfereGOV",
ROUND(OFFSET($P38,0,AF$13),15-13*ORÇAMENTO!$AF$7)/$H38*OFFSET(ORÇAMENTO!$X$15,ROW(AF38)-ROW(AF$15),0),
ROUND(ROUND(OFFSET($P38,0,AF$13),15-13*ORÇAMENTO!$AF$7)*OFFSET(ORÇAMENTO!$W$15,ROW(AF38)-ROW(AF$15),0),15-13*ORÇAMENTO!$AF$11)),0)</f>
        <v>0</v>
      </c>
      <c r="AG38" s="545">
        <f ca="1">IF(AND($D38="Serviço",AG$12&lt;&gt;0,$H38&gt;0,OR(AUTOEVENTO&lt;&gt;"manual",$M38&lt;&gt;1)),
IF(Import.TipoArredondamento&lt;&gt;"TransfereGOV",
ROUND(OFFSET($P38,0,AG$13),15-13*ORÇAMENTO!$AF$7)/$H38*OFFSET(ORÇAMENTO!$X$15,ROW(AG38)-ROW(AG$15),0),
ROUND(ROUND(OFFSET($P38,0,AG$13),15-13*ORÇAMENTO!$AF$7)*OFFSET(ORÇAMENTO!$W$15,ROW(AG38)-ROW(AG$15),0),15-13*ORÇAMENTO!$AF$11)),0)</f>
        <v>0</v>
      </c>
      <c r="AH38" s="545">
        <f ca="1">IF(AND($D38="Serviço",AH$12&lt;&gt;0,$H38&gt;0,OR(AUTOEVENTO&lt;&gt;"manual",$M38&lt;&gt;1)),
IF(Import.TipoArredondamento&lt;&gt;"TransfereGOV",
ROUND(OFFSET($P38,0,AH$13),15-13*ORÇAMENTO!$AF$7)/$H38*OFFSET(ORÇAMENTO!$X$15,ROW(AH38)-ROW(AH$15),0),
ROUND(ROUND(OFFSET($P38,0,AH$13),15-13*ORÇAMENTO!$AF$7)*OFFSET(ORÇAMENTO!$W$15,ROW(AH38)-ROW(AH$15),0),15-13*ORÇAMENTO!$AF$11)),0)</f>
        <v>0</v>
      </c>
      <c r="AI38" s="545">
        <f ca="1">IF(AND($D38="Serviço",AI$12&lt;&gt;0,$H38&gt;0,OR(AUTOEVENTO&lt;&gt;"manual",$M38&lt;&gt;1)),
IF(Import.TipoArredondamento&lt;&gt;"TransfereGOV",
ROUND(OFFSET($P38,0,AI$13),15-13*ORÇAMENTO!$AF$7)/$H38*OFFSET(ORÇAMENTO!$X$15,ROW(AI38)-ROW(AI$15),0),
ROUND(ROUND(OFFSET($P38,0,AI$13),15-13*ORÇAMENTO!$AF$7)*OFFSET(ORÇAMENTO!$W$15,ROW(AI38)-ROW(AI$15),0),15-13*ORÇAMENTO!$AF$11)),0)</f>
        <v>0</v>
      </c>
      <c r="AJ38" s="545">
        <f ca="1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0</v>
      </c>
      <c r="AK38" s="546">
        <f ca="1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0</v>
      </c>
      <c r="AM38" s="181">
        <f ca="1">IF($D38&lt;&gt;"Serviço",0,IF(AND(AUTOEVENTO="Manual",$M38=1),0,IF(OFFSET(CRONOPLE!$F$14,$M38,AM$13)="",10^12,OFFSET(CRONOPLE!$F$14,$M38,AM$13))))</f>
        <v>1000000000000</v>
      </c>
      <c r="AN38" s="181">
        <f ca="1">IF($D38&lt;&gt;"Serviço",0,IF(AND(AUTOEVENTO="Manual",$M38=1),0,IF(OFFSET(CRONOPLE!$F$14,$M38,AN$13)="",10^12,OFFSET(CRONOPLE!$F$14,$M38,AN$13))))</f>
        <v>1000000000000</v>
      </c>
      <c r="AO38" s="181">
        <f ca="1">IF($D38&lt;&gt;"Serviço",0,IF(AND(AUTOEVENTO="Manual",$M38=1),0,IF(OFFSET(CRONOPLE!$F$14,$M38,AO$13)="",10^12,OFFSET(CRONOPLE!$F$14,$M38,AO$13))))</f>
        <v>1000000000000</v>
      </c>
      <c r="AP38" s="181">
        <f ca="1">IF($D38&lt;&gt;"Serviço",0,IF(AND(AUTOEVENTO="Manual",$M38=1),0,IF(OFFSET(CRONOPLE!$F$14,$M38,AP$13)="",10^12,OFFSET(CRONOPLE!$F$14,$M38,AP$13))))</f>
        <v>1000000000000</v>
      </c>
      <c r="AQ38" s="181">
        <f ca="1">IF($D38&lt;&gt;"Serviço",0,IF(AND(AUTOEVENTO="Manual",$M38=1),0,IF(OFFSET(CRONOPLE!$F$14,$M38,AQ$13)="",10^12,OFFSET(CRONOPLE!$F$14,$M38,AQ$13))))</f>
        <v>1000000000000</v>
      </c>
      <c r="AR38" s="181">
        <f ca="1">IF($D38&lt;&gt;"Serviço",0,IF(AND(AUTOEVENTO="Manual",$M38=1),0,IF(OFFSET(CRONOPLE!$F$14,$M38,AR$13)="",10^12,OFFSET(CRONOPLE!$F$14,$M38,AR$13))))</f>
        <v>1000000000000</v>
      </c>
      <c r="AS38" s="181">
        <f ca="1">IF($D38&lt;&gt;"Serviço",0,IF(AND(AUTOEVENTO="Manual",$M38=1),0,IF(OFFSET(CRONOPLE!$F$14,$M38,AS$13)="",10^12,OFFSET(CRONOPLE!$F$14,$M38,AS$13))))</f>
        <v>1000000000000</v>
      </c>
      <c r="AT38" s="181">
        <f ca="1">IF($D38&lt;&gt;"Serviço",0,IF(AND(AUTOEVENTO="Manual",$M38=1),0,IF(OFFSET(CRONOPLE!$F$14,$M38,AT$13)="",10^12,OFFSET(CRONOPLE!$F$14,$M38,AT$13))))</f>
        <v>1000000000000</v>
      </c>
      <c r="AU38" s="181">
        <f ca="1">IF($D38&lt;&gt;"Serviço",0,IF(AND(AUTOEVENTO="Manual",$M38=1),0,IF(OFFSET(CRONOPLE!$F$14,$M38,AU$13)="",10^12,OFFSET(CRONOPLE!$F$14,$M38,AU$13))))</f>
        <v>1000000000000</v>
      </c>
      <c r="AV38" s="181">
        <f ca="1">IF($D38&lt;&gt;"Serviço",0,IF(AND(AUTOEVENTO="Manual",$M38=1),0,IF(OFFSET(CRONOPLE!$F$14,$M38,AV$13)="",10^12,OFFSET(CRONOPLE!$F$14,$M38,AV$13))))</f>
        <v>1000000000000</v>
      </c>
      <c r="AX38" s="182">
        <f ca="1">IF($D38&lt;&gt;"Serviço",0,IF(OR(AND(AUTOEVENTO="Manual",$M38=1),$M38&gt;(ROW(PLE.lastrow)-ROW(PLE.firstrow))),0,IF(OFFSET(PLE!$G$14,$M38,AX$13)="",10^12,OFFSET(PLE!$G$14,$M38,AX$13))))</f>
        <v>1000000000000</v>
      </c>
      <c r="AY38" s="182">
        <f ca="1">IF($D38&lt;&gt;"Serviço",0,IF(OR(AND(AUTOEVENTO="Manual",$M38=1),$M38&gt;(ROW(PLE.lastrow)-ROW(PLE.firstrow))),0,IF(OFFSET(PLE!$G$14,$M38,AY$13)="",10^12,OFFSET(PLE!$G$14,$M38,AY$13))))</f>
        <v>1000000000000</v>
      </c>
      <c r="AZ38" s="182">
        <f ca="1">IF($D38&lt;&gt;"Serviço",0,IF(OR(AND(AUTOEVENTO="Manual",$M38=1),$M38&gt;(ROW(PLE.lastrow)-ROW(PLE.firstrow))),0,IF(OFFSET(PLE!$G$14,$M38,AZ$13)="",10^12,OFFSET(PLE!$G$14,$M38,AZ$13))))</f>
        <v>1000000000000</v>
      </c>
      <c r="BA38" s="182">
        <f ca="1">IF($D38&lt;&gt;"Serviço",0,IF(OR(AND(AUTOEVENTO="Manual",$M38=1),$M38&gt;(ROW(PLE.lastrow)-ROW(PLE.firstrow))),0,IF(OFFSET(PLE!$G$14,$M38,BA$13)="",10^12,OFFSET(PLE!$G$14,$M38,BA$13))))</f>
        <v>1000000000000</v>
      </c>
      <c r="BB38" s="182">
        <f ca="1">IF($D38&lt;&gt;"Serviço",0,IF(OR(AND(AUTOEVENTO="Manual",$M38=1),$M38&gt;(ROW(PLE.lastrow)-ROW(PLE.firstrow))),0,IF(OFFSET(PLE!$G$14,$M38,BB$13)="",10^12,OFFSET(PLE!$G$14,$M38,BB$13))))</f>
        <v>1000000000000</v>
      </c>
      <c r="BC38" s="182">
        <f ca="1">IF($D38&lt;&gt;"Serviço",0,IF(OR(AND(AUTOEVENTO="Manual",$M38=1),$M38&gt;(ROW(PLE.lastrow)-ROW(PLE.firstrow))),0,IF(OFFSET(PLE!$G$14,$M38,BC$13)="",10^12,OFFSET(PLE!$G$14,$M38,BC$13))))</f>
        <v>1000000000000</v>
      </c>
      <c r="BD38" s="182">
        <f ca="1">IF($D38&lt;&gt;"Serviço",0,IF(OR(AND(AUTOEVENTO="Manual",$M38=1),$M38&gt;(ROW(PLE.lastrow)-ROW(PLE.firstrow))),0,IF(OFFSET(PLE!$G$14,$M38,BD$13)="",10^12,OFFSET(PLE!$G$14,$M38,BD$13))))</f>
        <v>1000000000000</v>
      </c>
      <c r="BE38" s="182">
        <f ca="1">IF($D38&lt;&gt;"Serviço",0,IF(OR(AND(AUTOEVENTO="Manual",$M38=1),$M38&gt;(ROW(PLE.lastrow)-ROW(PLE.firstrow))),0,IF(OFFSET(PLE!$G$14,$M38,BE$13)="",10^12,OFFSET(PLE!$G$14,$M38,BE$13))))</f>
        <v>1000000000000</v>
      </c>
      <c r="BF38" s="182">
        <f ca="1">IF($D38&lt;&gt;"Serviço",0,IF(OR(AND(AUTOEVENTO="Manual",$M38=1),$M38&gt;(ROW(PLE.lastrow)-ROW(PLE.firstrow))),0,IF(OFFSET(PLE!$G$14,$M38,BF$13)="",10^12,OFFSET(PLE!$G$14,$M38,BF$13))))</f>
        <v>1000000000000</v>
      </c>
      <c r="BG38" s="182">
        <f ca="1">IF($D38&lt;&gt;"Serviço",0,IF(OR(AND(AUTOEVENTO="Manual",$M38=1),$M38&gt;(ROW(PLE.lastrow)-ROW(PLE.firstrow))),0,IF(OFFSET(PLE!$G$14,$M38,BG$13)="",10^12,OFFSET(PLE!$G$14,$M38,BG$13))))</f>
        <v>1000000000000</v>
      </c>
    </row>
    <row r="39" spans="1:59" ht="51" x14ac:dyDescent="0.2">
      <c r="A39" s="7" t="str">
        <f t="shared" ca="1" si="8"/>
        <v>10</v>
      </c>
      <c r="B39" s="7" t="str">
        <f ca="1">OFFSET(ORÇAMENTO!C$15,ROW(B39)-ROW(B$15),0)</f>
        <v>S</v>
      </c>
      <c r="C39" s="7" t="str">
        <f ca="1">OFFSET(ORÇAMENTO!L$15,ROW(C39)-ROW(C$15),0)</f>
        <v>F</v>
      </c>
      <c r="D39" s="118" t="str">
        <f ca="1">OFFSET(ORÇAMENTO!N$15,ROW(D39)-ROW(D$15),0)</f>
        <v>Serviço</v>
      </c>
      <c r="E39" s="119" t="str">
        <f ca="1">OFFSET(ORÇAMENTO!O$15,ROW(E39)-ROW(E$15),0)</f>
        <v>1.2.0.14.</v>
      </c>
      <c r="F39" s="172" t="str">
        <f ca="1">OFFSET(ORÇAMENTO!R$15,ROW(F39)-ROW(F$15),0)</f>
        <v>(abra o arquivo 'Referência 03-2024.xlsm)</v>
      </c>
      <c r="G39" s="173" t="str">
        <f ca="1">IF($D39&lt;&gt;"Serviço","",OFFSET(ORÇAMENTO!S$15,ROW(G39)-ROW(G$15),0))</f>
        <v>-</v>
      </c>
      <c r="H39" s="124">
        <f ca="1">IF($D39&lt;&gt;"Serviço",0,IF(ACOMPANHAMENTO="BM",ROUND(OFFSET(ORÇAMENTO!AJ$15,ROW(H39)-ROW(H$15),0),15-13*ORÇAMENTO!$AF$7),SUMPRODUCT(($Q$12:$AA$12&lt;&gt;"")*ROUND($Q39:$AA39,15-13*ORÇAMENTO!$AF$7))))</f>
        <v>1</v>
      </c>
      <c r="I39" s="561"/>
      <c r="K39" s="174"/>
      <c r="L39" s="175" t="s">
        <v>255</v>
      </c>
      <c r="M39" s="176">
        <f ca="1">IF($D39&lt;&gt;"Serviço","",IF(AUTOEVENTO="manual",$A39,IF(ISERROR(MATCH($A39,$A$15:OFFSET($A39,-1,0),0)),MAX($M$15:OFFSET(M39,-1,0))+1,INDEX($M$15:OFFSET(M39,-1,0),MATCH($A39,$A$15:OFFSET($A39,-1,0),0)))))</f>
        <v>3</v>
      </c>
      <c r="N39" s="177" t="str">
        <f ca="1">IF($D39&lt;&gt;"Serviço","",IF(AUTOEVENTO="Manual",IF($A39=0,"&lt;-- defina o número do agrupador",OFFSET(EVENTOS!$D$14,$A39,0)),OFFSET($F$15,$A39,0)))</f>
        <v>INSTALAÇÕES HIDRÁULICAS - ENTRADA INDIVIDUALIZADA DE ÁGUA POTÁVEL E REDE ENTERRADA</v>
      </c>
      <c r="O39" s="178"/>
      <c r="Q39" s="178"/>
      <c r="R39" s="179"/>
      <c r="S39" s="179"/>
      <c r="T39" s="179"/>
      <c r="U39" s="179"/>
      <c r="V39" s="179"/>
      <c r="W39" s="179"/>
      <c r="X39" s="179"/>
      <c r="Y39" s="179"/>
      <c r="Z39" s="180"/>
      <c r="AB39" s="544">
        <f ca="1">IF(AND($D39="Serviço",AB$12&lt;&gt;0,$H39&gt;0,OR(AUTOEVENTO&lt;&gt;"manual",$M39&lt;&gt;1)),
IF(Import.TipoArredondamento&lt;&gt;"TransfereGOV",
ROUND(OFFSET($P39,0,AB$13),15-13*ORÇAMENTO!$AF$7)/$H39*OFFSET(ORÇAMENTO!$X$15,ROW(AB39)-ROW(AB$15),0),
ROUND(ROUND(OFFSET($P39,0,AB$13),15-13*ORÇAMENTO!$AF$7)*OFFSET(ORÇAMENTO!$W$15,ROW(AB39)-ROW(AB$15),0),15-13*ORÇAMENTO!$AF$11)),0)</f>
        <v>0</v>
      </c>
      <c r="AC39" s="545">
        <f ca="1">IF(AND($D39="Serviço",AC$12&lt;&gt;0,$H39&gt;0,OR(AUTOEVENTO&lt;&gt;"manual",$M39&lt;&gt;1)),
IF(Import.TipoArredondamento&lt;&gt;"TransfereGOV",
ROUND(OFFSET($P39,0,AC$13),15-13*ORÇAMENTO!$AF$7)/$H39*OFFSET(ORÇAMENTO!$X$15,ROW(AC39)-ROW(AC$15),0),
ROUND(ROUND(OFFSET($P39,0,AC$13),15-13*ORÇAMENTO!$AF$7)*OFFSET(ORÇAMENTO!$W$15,ROW(AC39)-ROW(AC$15),0),15-13*ORÇAMENTO!$AF$11)),0)</f>
        <v>0</v>
      </c>
      <c r="AD39" s="545">
        <f ca="1">IF(AND($D39="Serviço",AD$12&lt;&gt;0,$H39&gt;0,OR(AUTOEVENTO&lt;&gt;"manual",$M39&lt;&gt;1)),
IF(Import.TipoArredondamento&lt;&gt;"TransfereGOV",
ROUND(OFFSET($P39,0,AD$13),15-13*ORÇAMENTO!$AF$7)/$H39*OFFSET(ORÇAMENTO!$X$15,ROW(AD39)-ROW(AD$15),0),
ROUND(ROUND(OFFSET($P39,0,AD$13),15-13*ORÇAMENTO!$AF$7)*OFFSET(ORÇAMENTO!$W$15,ROW(AD39)-ROW(AD$15),0),15-13*ORÇAMENTO!$AF$11)),0)</f>
        <v>0</v>
      </c>
      <c r="AE39" s="545">
        <f ca="1">IF(AND($D39="Serviço",AE$12&lt;&gt;0,$H39&gt;0,OR(AUTOEVENTO&lt;&gt;"manual",$M39&lt;&gt;1)),
IF(Import.TipoArredondamento&lt;&gt;"TransfereGOV",
ROUND(OFFSET($P39,0,AE$13),15-13*ORÇAMENTO!$AF$7)/$H39*OFFSET(ORÇAMENTO!$X$15,ROW(AE39)-ROW(AE$15),0),
ROUND(ROUND(OFFSET($P39,0,AE$13),15-13*ORÇAMENTO!$AF$7)*OFFSET(ORÇAMENTO!$W$15,ROW(AE39)-ROW(AE$15),0),15-13*ORÇAMENTO!$AF$11)),0)</f>
        <v>0</v>
      </c>
      <c r="AF39" s="545">
        <f ca="1">IF(AND($D39="Serviço",AF$12&lt;&gt;0,$H39&gt;0,OR(AUTOEVENTO&lt;&gt;"manual",$M39&lt;&gt;1)),
IF(Import.TipoArredondamento&lt;&gt;"TransfereGOV",
ROUND(OFFSET($P39,0,AF$13),15-13*ORÇAMENTO!$AF$7)/$H39*OFFSET(ORÇAMENTO!$X$15,ROW(AF39)-ROW(AF$15),0),
ROUND(ROUND(OFFSET($P39,0,AF$13),15-13*ORÇAMENTO!$AF$7)*OFFSET(ORÇAMENTO!$W$15,ROW(AF39)-ROW(AF$15),0),15-13*ORÇAMENTO!$AF$11)),0)</f>
        <v>0</v>
      </c>
      <c r="AG39" s="545">
        <f ca="1">IF(AND($D39="Serviço",AG$12&lt;&gt;0,$H39&gt;0,OR(AUTOEVENTO&lt;&gt;"manual",$M39&lt;&gt;1)),
IF(Import.TipoArredondamento&lt;&gt;"TransfereGOV",
ROUND(OFFSET($P39,0,AG$13),15-13*ORÇAMENTO!$AF$7)/$H39*OFFSET(ORÇAMENTO!$X$15,ROW(AG39)-ROW(AG$15),0),
ROUND(ROUND(OFFSET($P39,0,AG$13),15-13*ORÇAMENTO!$AF$7)*OFFSET(ORÇAMENTO!$W$15,ROW(AG39)-ROW(AG$15),0),15-13*ORÇAMENTO!$AF$11)),0)</f>
        <v>0</v>
      </c>
      <c r="AH39" s="545">
        <f ca="1">IF(AND($D39="Serviço",AH$12&lt;&gt;0,$H39&gt;0,OR(AUTOEVENTO&lt;&gt;"manual",$M39&lt;&gt;1)),
IF(Import.TipoArredondamento&lt;&gt;"TransfereGOV",
ROUND(OFFSET($P39,0,AH$13),15-13*ORÇAMENTO!$AF$7)/$H39*OFFSET(ORÇAMENTO!$X$15,ROW(AH39)-ROW(AH$15),0),
ROUND(ROUND(OFFSET($P39,0,AH$13),15-13*ORÇAMENTO!$AF$7)*OFFSET(ORÇAMENTO!$W$15,ROW(AH39)-ROW(AH$15),0),15-13*ORÇAMENTO!$AF$11)),0)</f>
        <v>0</v>
      </c>
      <c r="AI39" s="545">
        <f ca="1">IF(AND($D39="Serviço",AI$12&lt;&gt;0,$H39&gt;0,OR(AUTOEVENTO&lt;&gt;"manual",$M39&lt;&gt;1)),
IF(Import.TipoArredondamento&lt;&gt;"TransfereGOV",
ROUND(OFFSET($P39,0,AI$13),15-13*ORÇAMENTO!$AF$7)/$H39*OFFSET(ORÇAMENTO!$X$15,ROW(AI39)-ROW(AI$15),0),
ROUND(ROUND(OFFSET($P39,0,AI$13),15-13*ORÇAMENTO!$AF$7)*OFFSET(ORÇAMENTO!$W$15,ROW(AI39)-ROW(AI$15),0),15-13*ORÇAMENTO!$AF$11)),0)</f>
        <v>0</v>
      </c>
      <c r="AJ39" s="545">
        <f ca="1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0</v>
      </c>
      <c r="AK39" s="546">
        <f ca="1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0</v>
      </c>
      <c r="AM39" s="181">
        <f ca="1">IF($D39&lt;&gt;"Serviço",0,IF(AND(AUTOEVENTO="Manual",$M39=1),0,IF(OFFSET(CRONOPLE!$F$14,$M39,AM$13)="",10^12,OFFSET(CRONOPLE!$F$14,$M39,AM$13))))</f>
        <v>1000000000000</v>
      </c>
      <c r="AN39" s="181">
        <f ca="1">IF($D39&lt;&gt;"Serviço",0,IF(AND(AUTOEVENTO="Manual",$M39=1),0,IF(OFFSET(CRONOPLE!$F$14,$M39,AN$13)="",10^12,OFFSET(CRONOPLE!$F$14,$M39,AN$13))))</f>
        <v>1000000000000</v>
      </c>
      <c r="AO39" s="181">
        <f ca="1">IF($D39&lt;&gt;"Serviço",0,IF(AND(AUTOEVENTO="Manual",$M39=1),0,IF(OFFSET(CRONOPLE!$F$14,$M39,AO$13)="",10^12,OFFSET(CRONOPLE!$F$14,$M39,AO$13))))</f>
        <v>1000000000000</v>
      </c>
      <c r="AP39" s="181">
        <f ca="1">IF($D39&lt;&gt;"Serviço",0,IF(AND(AUTOEVENTO="Manual",$M39=1),0,IF(OFFSET(CRONOPLE!$F$14,$M39,AP$13)="",10^12,OFFSET(CRONOPLE!$F$14,$M39,AP$13))))</f>
        <v>1000000000000</v>
      </c>
      <c r="AQ39" s="181">
        <f ca="1">IF($D39&lt;&gt;"Serviço",0,IF(AND(AUTOEVENTO="Manual",$M39=1),0,IF(OFFSET(CRONOPLE!$F$14,$M39,AQ$13)="",10^12,OFFSET(CRONOPLE!$F$14,$M39,AQ$13))))</f>
        <v>1000000000000</v>
      </c>
      <c r="AR39" s="181">
        <f ca="1">IF($D39&lt;&gt;"Serviço",0,IF(AND(AUTOEVENTO="Manual",$M39=1),0,IF(OFFSET(CRONOPLE!$F$14,$M39,AR$13)="",10^12,OFFSET(CRONOPLE!$F$14,$M39,AR$13))))</f>
        <v>1000000000000</v>
      </c>
      <c r="AS39" s="181">
        <f ca="1">IF($D39&lt;&gt;"Serviço",0,IF(AND(AUTOEVENTO="Manual",$M39=1),0,IF(OFFSET(CRONOPLE!$F$14,$M39,AS$13)="",10^12,OFFSET(CRONOPLE!$F$14,$M39,AS$13))))</f>
        <v>1000000000000</v>
      </c>
      <c r="AT39" s="181">
        <f ca="1">IF($D39&lt;&gt;"Serviço",0,IF(AND(AUTOEVENTO="Manual",$M39=1),0,IF(OFFSET(CRONOPLE!$F$14,$M39,AT$13)="",10^12,OFFSET(CRONOPLE!$F$14,$M39,AT$13))))</f>
        <v>1000000000000</v>
      </c>
      <c r="AU39" s="181">
        <f ca="1">IF($D39&lt;&gt;"Serviço",0,IF(AND(AUTOEVENTO="Manual",$M39=1),0,IF(OFFSET(CRONOPLE!$F$14,$M39,AU$13)="",10^12,OFFSET(CRONOPLE!$F$14,$M39,AU$13))))</f>
        <v>1000000000000</v>
      </c>
      <c r="AV39" s="181">
        <f ca="1">IF($D39&lt;&gt;"Serviço",0,IF(AND(AUTOEVENTO="Manual",$M39=1),0,IF(OFFSET(CRONOPLE!$F$14,$M39,AV$13)="",10^12,OFFSET(CRONOPLE!$F$14,$M39,AV$13))))</f>
        <v>1000000000000</v>
      </c>
      <c r="AX39" s="182">
        <f ca="1">IF($D39&lt;&gt;"Serviço",0,IF(OR(AND(AUTOEVENTO="Manual",$M39=1),$M39&gt;(ROW(PLE.lastrow)-ROW(PLE.firstrow))),0,IF(OFFSET(PLE!$G$14,$M39,AX$13)="",10^12,OFFSET(PLE!$G$14,$M39,AX$13))))</f>
        <v>1000000000000</v>
      </c>
      <c r="AY39" s="182">
        <f ca="1">IF($D39&lt;&gt;"Serviço",0,IF(OR(AND(AUTOEVENTO="Manual",$M39=1),$M39&gt;(ROW(PLE.lastrow)-ROW(PLE.firstrow))),0,IF(OFFSET(PLE!$G$14,$M39,AY$13)="",10^12,OFFSET(PLE!$G$14,$M39,AY$13))))</f>
        <v>1000000000000</v>
      </c>
      <c r="AZ39" s="182">
        <f ca="1">IF($D39&lt;&gt;"Serviço",0,IF(OR(AND(AUTOEVENTO="Manual",$M39=1),$M39&gt;(ROW(PLE.lastrow)-ROW(PLE.firstrow))),0,IF(OFFSET(PLE!$G$14,$M39,AZ$13)="",10^12,OFFSET(PLE!$G$14,$M39,AZ$13))))</f>
        <v>1000000000000</v>
      </c>
      <c r="BA39" s="182">
        <f ca="1">IF($D39&lt;&gt;"Serviço",0,IF(OR(AND(AUTOEVENTO="Manual",$M39=1),$M39&gt;(ROW(PLE.lastrow)-ROW(PLE.firstrow))),0,IF(OFFSET(PLE!$G$14,$M39,BA$13)="",10^12,OFFSET(PLE!$G$14,$M39,BA$13))))</f>
        <v>1000000000000</v>
      </c>
      <c r="BB39" s="182">
        <f ca="1">IF($D39&lt;&gt;"Serviço",0,IF(OR(AND(AUTOEVENTO="Manual",$M39=1),$M39&gt;(ROW(PLE.lastrow)-ROW(PLE.firstrow))),0,IF(OFFSET(PLE!$G$14,$M39,BB$13)="",10^12,OFFSET(PLE!$G$14,$M39,BB$13))))</f>
        <v>1000000000000</v>
      </c>
      <c r="BC39" s="182">
        <f ca="1">IF($D39&lt;&gt;"Serviço",0,IF(OR(AND(AUTOEVENTO="Manual",$M39=1),$M39&gt;(ROW(PLE.lastrow)-ROW(PLE.firstrow))),0,IF(OFFSET(PLE!$G$14,$M39,BC$13)="",10^12,OFFSET(PLE!$G$14,$M39,BC$13))))</f>
        <v>1000000000000</v>
      </c>
      <c r="BD39" s="182">
        <f ca="1">IF($D39&lt;&gt;"Serviço",0,IF(OR(AND(AUTOEVENTO="Manual",$M39=1),$M39&gt;(ROW(PLE.lastrow)-ROW(PLE.firstrow))),0,IF(OFFSET(PLE!$G$14,$M39,BD$13)="",10^12,OFFSET(PLE!$G$14,$M39,BD$13))))</f>
        <v>1000000000000</v>
      </c>
      <c r="BE39" s="182">
        <f ca="1">IF($D39&lt;&gt;"Serviço",0,IF(OR(AND(AUTOEVENTO="Manual",$M39=1),$M39&gt;(ROW(PLE.lastrow)-ROW(PLE.firstrow))),0,IF(OFFSET(PLE!$G$14,$M39,BE$13)="",10^12,OFFSET(PLE!$G$14,$M39,BE$13))))</f>
        <v>1000000000000</v>
      </c>
      <c r="BF39" s="182">
        <f ca="1">IF($D39&lt;&gt;"Serviço",0,IF(OR(AND(AUTOEVENTO="Manual",$M39=1),$M39&gt;(ROW(PLE.lastrow)-ROW(PLE.firstrow))),0,IF(OFFSET(PLE!$G$14,$M39,BF$13)="",10^12,OFFSET(PLE!$G$14,$M39,BF$13))))</f>
        <v>1000000000000</v>
      </c>
      <c r="BG39" s="182">
        <f ca="1">IF($D39&lt;&gt;"Serviço",0,IF(OR(AND(AUTOEVENTO="Manual",$M39=1),$M39&gt;(ROW(PLE.lastrow)-ROW(PLE.firstrow))),0,IF(OFFSET(PLE!$G$14,$M39,BG$13)="",10^12,OFFSET(PLE!$G$14,$M39,BG$13))))</f>
        <v>1000000000000</v>
      </c>
    </row>
    <row r="40" spans="1:59" ht="51" x14ac:dyDescent="0.2">
      <c r="A40" s="7" t="str">
        <f t="shared" ca="1" si="8"/>
        <v>10</v>
      </c>
      <c r="B40" s="7" t="str">
        <f ca="1">OFFSET(ORÇAMENTO!C$15,ROW(B40)-ROW(B$15),0)</f>
        <v>S</v>
      </c>
      <c r="C40" s="7" t="str">
        <f ca="1">OFFSET(ORÇAMENTO!L$15,ROW(C40)-ROW(C$15),0)</f>
        <v>F</v>
      </c>
      <c r="D40" s="118" t="str">
        <f ca="1">OFFSET(ORÇAMENTO!N$15,ROW(D40)-ROW(D$15),0)</f>
        <v>Serviço</v>
      </c>
      <c r="E40" s="119" t="str">
        <f ca="1">OFFSET(ORÇAMENTO!O$15,ROW(E40)-ROW(E$15),0)</f>
        <v>1.2.0.15.</v>
      </c>
      <c r="F40" s="172" t="str">
        <f ca="1">OFFSET(ORÇAMENTO!R$15,ROW(F40)-ROW(F$15),0)</f>
        <v>(abra o arquivo 'Referência 03-2024.xlsm)</v>
      </c>
      <c r="G40" s="173" t="str">
        <f ca="1">IF($D40&lt;&gt;"Serviço","",OFFSET(ORÇAMENTO!S$15,ROW(G40)-ROW(G$15),0))</f>
        <v>-</v>
      </c>
      <c r="H40" s="124">
        <f ca="1">IF($D40&lt;&gt;"Serviço",0,IF(ACOMPANHAMENTO="BM",ROUND(OFFSET(ORÇAMENTO!AJ$15,ROW(H40)-ROW(H$15),0),15-13*ORÇAMENTO!$AF$7),SUMPRODUCT(($Q$12:$AA$12&lt;&gt;"")*ROUND($Q40:$AA40,15-13*ORÇAMENTO!$AF$7))))</f>
        <v>7</v>
      </c>
      <c r="I40" s="561"/>
      <c r="K40" s="174"/>
      <c r="L40" s="175" t="s">
        <v>255</v>
      </c>
      <c r="M40" s="176">
        <f ca="1">IF($D40&lt;&gt;"Serviço","",IF(AUTOEVENTO="manual",$A40,IF(ISERROR(MATCH($A40,$A$15:OFFSET($A40,-1,0),0)),MAX($M$15:OFFSET(M40,-1,0))+1,INDEX($M$15:OFFSET(M40,-1,0),MATCH($A40,$A$15:OFFSET($A40,-1,0),0)))))</f>
        <v>3</v>
      </c>
      <c r="N40" s="177" t="str">
        <f ca="1">IF($D40&lt;&gt;"Serviço","",IF(AUTOEVENTO="Manual",IF($A40=0,"&lt;-- defina o número do agrupador",OFFSET(EVENTOS!$D$14,$A40,0)),OFFSET($F$15,$A40,0)))</f>
        <v>INSTALAÇÕES HIDRÁULICAS - ENTRADA INDIVIDUALIZADA DE ÁGUA POTÁVEL E REDE ENTERRADA</v>
      </c>
      <c r="O40" s="178"/>
      <c r="Q40" s="178"/>
      <c r="R40" s="179"/>
      <c r="S40" s="179"/>
      <c r="T40" s="179"/>
      <c r="U40" s="179"/>
      <c r="V40" s="179"/>
      <c r="W40" s="179"/>
      <c r="X40" s="179"/>
      <c r="Y40" s="179"/>
      <c r="Z40" s="180"/>
      <c r="AB40" s="544">
        <f ca="1">IF(AND($D40="Serviço",AB$12&lt;&gt;0,$H40&gt;0,OR(AUTOEVENTO&lt;&gt;"manual",$M40&lt;&gt;1)),
IF(Import.TipoArredondamento&lt;&gt;"TransfereGOV",
ROUND(OFFSET($P40,0,AB$13),15-13*ORÇAMENTO!$AF$7)/$H40*OFFSET(ORÇAMENTO!$X$15,ROW(AB40)-ROW(AB$15),0),
ROUND(ROUND(OFFSET($P40,0,AB$13),15-13*ORÇAMENTO!$AF$7)*OFFSET(ORÇAMENTO!$W$15,ROW(AB40)-ROW(AB$15),0),15-13*ORÇAMENTO!$AF$11)),0)</f>
        <v>0</v>
      </c>
      <c r="AC40" s="545">
        <f ca="1">IF(AND($D40="Serviço",AC$12&lt;&gt;0,$H40&gt;0,OR(AUTOEVENTO&lt;&gt;"manual",$M40&lt;&gt;1)),
IF(Import.TipoArredondamento&lt;&gt;"TransfereGOV",
ROUND(OFFSET($P40,0,AC$13),15-13*ORÇAMENTO!$AF$7)/$H40*OFFSET(ORÇAMENTO!$X$15,ROW(AC40)-ROW(AC$15),0),
ROUND(ROUND(OFFSET($P40,0,AC$13),15-13*ORÇAMENTO!$AF$7)*OFFSET(ORÇAMENTO!$W$15,ROW(AC40)-ROW(AC$15),0),15-13*ORÇAMENTO!$AF$11)),0)</f>
        <v>0</v>
      </c>
      <c r="AD40" s="545">
        <f ca="1">IF(AND($D40="Serviço",AD$12&lt;&gt;0,$H40&gt;0,OR(AUTOEVENTO&lt;&gt;"manual",$M40&lt;&gt;1)),
IF(Import.TipoArredondamento&lt;&gt;"TransfereGOV",
ROUND(OFFSET($P40,0,AD$13),15-13*ORÇAMENTO!$AF$7)/$H40*OFFSET(ORÇAMENTO!$X$15,ROW(AD40)-ROW(AD$15),0),
ROUND(ROUND(OFFSET($P40,0,AD$13),15-13*ORÇAMENTO!$AF$7)*OFFSET(ORÇAMENTO!$W$15,ROW(AD40)-ROW(AD$15),0),15-13*ORÇAMENTO!$AF$11)),0)</f>
        <v>0</v>
      </c>
      <c r="AE40" s="545">
        <f ca="1">IF(AND($D40="Serviço",AE$12&lt;&gt;0,$H40&gt;0,OR(AUTOEVENTO&lt;&gt;"manual",$M40&lt;&gt;1)),
IF(Import.TipoArredondamento&lt;&gt;"TransfereGOV",
ROUND(OFFSET($P40,0,AE$13),15-13*ORÇAMENTO!$AF$7)/$H40*OFFSET(ORÇAMENTO!$X$15,ROW(AE40)-ROW(AE$15),0),
ROUND(ROUND(OFFSET($P40,0,AE$13),15-13*ORÇAMENTO!$AF$7)*OFFSET(ORÇAMENTO!$W$15,ROW(AE40)-ROW(AE$15),0),15-13*ORÇAMENTO!$AF$11)),0)</f>
        <v>0</v>
      </c>
      <c r="AF40" s="545">
        <f ca="1">IF(AND($D40="Serviço",AF$12&lt;&gt;0,$H40&gt;0,OR(AUTOEVENTO&lt;&gt;"manual",$M40&lt;&gt;1)),
IF(Import.TipoArredondamento&lt;&gt;"TransfereGOV",
ROUND(OFFSET($P40,0,AF$13),15-13*ORÇAMENTO!$AF$7)/$H40*OFFSET(ORÇAMENTO!$X$15,ROW(AF40)-ROW(AF$15),0),
ROUND(ROUND(OFFSET($P40,0,AF$13),15-13*ORÇAMENTO!$AF$7)*OFFSET(ORÇAMENTO!$W$15,ROW(AF40)-ROW(AF$15),0),15-13*ORÇAMENTO!$AF$11)),0)</f>
        <v>0</v>
      </c>
      <c r="AG40" s="545">
        <f ca="1">IF(AND($D40="Serviço",AG$12&lt;&gt;0,$H40&gt;0,OR(AUTOEVENTO&lt;&gt;"manual",$M40&lt;&gt;1)),
IF(Import.TipoArredondamento&lt;&gt;"TransfereGOV",
ROUND(OFFSET($P40,0,AG$13),15-13*ORÇAMENTO!$AF$7)/$H40*OFFSET(ORÇAMENTO!$X$15,ROW(AG40)-ROW(AG$15),0),
ROUND(ROUND(OFFSET($P40,0,AG$13),15-13*ORÇAMENTO!$AF$7)*OFFSET(ORÇAMENTO!$W$15,ROW(AG40)-ROW(AG$15),0),15-13*ORÇAMENTO!$AF$11)),0)</f>
        <v>0</v>
      </c>
      <c r="AH40" s="545">
        <f ca="1">IF(AND($D40="Serviço",AH$12&lt;&gt;0,$H40&gt;0,OR(AUTOEVENTO&lt;&gt;"manual",$M40&lt;&gt;1)),
IF(Import.TipoArredondamento&lt;&gt;"TransfereGOV",
ROUND(OFFSET($P40,0,AH$13),15-13*ORÇAMENTO!$AF$7)/$H40*OFFSET(ORÇAMENTO!$X$15,ROW(AH40)-ROW(AH$15),0),
ROUND(ROUND(OFFSET($P40,0,AH$13),15-13*ORÇAMENTO!$AF$7)*OFFSET(ORÇAMENTO!$W$15,ROW(AH40)-ROW(AH$15),0),15-13*ORÇAMENTO!$AF$11)),0)</f>
        <v>0</v>
      </c>
      <c r="AI40" s="545">
        <f ca="1">IF(AND($D40="Serviço",AI$12&lt;&gt;0,$H40&gt;0,OR(AUTOEVENTO&lt;&gt;"manual",$M40&lt;&gt;1)),
IF(Import.TipoArredondamento&lt;&gt;"TransfereGOV",
ROUND(OFFSET($P40,0,AI$13),15-13*ORÇAMENTO!$AF$7)/$H40*OFFSET(ORÇAMENTO!$X$15,ROW(AI40)-ROW(AI$15),0),
ROUND(ROUND(OFFSET($P40,0,AI$13),15-13*ORÇAMENTO!$AF$7)*OFFSET(ORÇAMENTO!$W$15,ROW(AI40)-ROW(AI$15),0),15-13*ORÇAMENTO!$AF$11)),0)</f>
        <v>0</v>
      </c>
      <c r="AJ40" s="545">
        <f ca="1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0</v>
      </c>
      <c r="AK40" s="546">
        <f ca="1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0</v>
      </c>
      <c r="AM40" s="181">
        <f ca="1">IF($D40&lt;&gt;"Serviço",0,IF(AND(AUTOEVENTO="Manual",$M40=1),0,IF(OFFSET(CRONOPLE!$F$14,$M40,AM$13)="",10^12,OFFSET(CRONOPLE!$F$14,$M40,AM$13))))</f>
        <v>1000000000000</v>
      </c>
      <c r="AN40" s="181">
        <f ca="1">IF($D40&lt;&gt;"Serviço",0,IF(AND(AUTOEVENTO="Manual",$M40=1),0,IF(OFFSET(CRONOPLE!$F$14,$M40,AN$13)="",10^12,OFFSET(CRONOPLE!$F$14,$M40,AN$13))))</f>
        <v>1000000000000</v>
      </c>
      <c r="AO40" s="181">
        <f ca="1">IF($D40&lt;&gt;"Serviço",0,IF(AND(AUTOEVENTO="Manual",$M40=1),0,IF(OFFSET(CRONOPLE!$F$14,$M40,AO$13)="",10^12,OFFSET(CRONOPLE!$F$14,$M40,AO$13))))</f>
        <v>1000000000000</v>
      </c>
      <c r="AP40" s="181">
        <f ca="1">IF($D40&lt;&gt;"Serviço",0,IF(AND(AUTOEVENTO="Manual",$M40=1),0,IF(OFFSET(CRONOPLE!$F$14,$M40,AP$13)="",10^12,OFFSET(CRONOPLE!$F$14,$M40,AP$13))))</f>
        <v>1000000000000</v>
      </c>
      <c r="AQ40" s="181">
        <f ca="1">IF($D40&lt;&gt;"Serviço",0,IF(AND(AUTOEVENTO="Manual",$M40=1),0,IF(OFFSET(CRONOPLE!$F$14,$M40,AQ$13)="",10^12,OFFSET(CRONOPLE!$F$14,$M40,AQ$13))))</f>
        <v>1000000000000</v>
      </c>
      <c r="AR40" s="181">
        <f ca="1">IF($D40&lt;&gt;"Serviço",0,IF(AND(AUTOEVENTO="Manual",$M40=1),0,IF(OFFSET(CRONOPLE!$F$14,$M40,AR$13)="",10^12,OFFSET(CRONOPLE!$F$14,$M40,AR$13))))</f>
        <v>1000000000000</v>
      </c>
      <c r="AS40" s="181">
        <f ca="1">IF($D40&lt;&gt;"Serviço",0,IF(AND(AUTOEVENTO="Manual",$M40=1),0,IF(OFFSET(CRONOPLE!$F$14,$M40,AS$13)="",10^12,OFFSET(CRONOPLE!$F$14,$M40,AS$13))))</f>
        <v>1000000000000</v>
      </c>
      <c r="AT40" s="181">
        <f ca="1">IF($D40&lt;&gt;"Serviço",0,IF(AND(AUTOEVENTO="Manual",$M40=1),0,IF(OFFSET(CRONOPLE!$F$14,$M40,AT$13)="",10^12,OFFSET(CRONOPLE!$F$14,$M40,AT$13))))</f>
        <v>1000000000000</v>
      </c>
      <c r="AU40" s="181">
        <f ca="1">IF($D40&lt;&gt;"Serviço",0,IF(AND(AUTOEVENTO="Manual",$M40=1),0,IF(OFFSET(CRONOPLE!$F$14,$M40,AU$13)="",10^12,OFFSET(CRONOPLE!$F$14,$M40,AU$13))))</f>
        <v>1000000000000</v>
      </c>
      <c r="AV40" s="181">
        <f ca="1">IF($D40&lt;&gt;"Serviço",0,IF(AND(AUTOEVENTO="Manual",$M40=1),0,IF(OFFSET(CRONOPLE!$F$14,$M40,AV$13)="",10^12,OFFSET(CRONOPLE!$F$14,$M40,AV$13))))</f>
        <v>1000000000000</v>
      </c>
      <c r="AX40" s="182">
        <f ca="1">IF($D40&lt;&gt;"Serviço",0,IF(OR(AND(AUTOEVENTO="Manual",$M40=1),$M40&gt;(ROW(PLE.lastrow)-ROW(PLE.firstrow))),0,IF(OFFSET(PLE!$G$14,$M40,AX$13)="",10^12,OFFSET(PLE!$G$14,$M40,AX$13))))</f>
        <v>1000000000000</v>
      </c>
      <c r="AY40" s="182">
        <f ca="1">IF($D40&lt;&gt;"Serviço",0,IF(OR(AND(AUTOEVENTO="Manual",$M40=1),$M40&gt;(ROW(PLE.lastrow)-ROW(PLE.firstrow))),0,IF(OFFSET(PLE!$G$14,$M40,AY$13)="",10^12,OFFSET(PLE!$G$14,$M40,AY$13))))</f>
        <v>1000000000000</v>
      </c>
      <c r="AZ40" s="182">
        <f ca="1">IF($D40&lt;&gt;"Serviço",0,IF(OR(AND(AUTOEVENTO="Manual",$M40=1),$M40&gt;(ROW(PLE.lastrow)-ROW(PLE.firstrow))),0,IF(OFFSET(PLE!$G$14,$M40,AZ$13)="",10^12,OFFSET(PLE!$G$14,$M40,AZ$13))))</f>
        <v>1000000000000</v>
      </c>
      <c r="BA40" s="182">
        <f ca="1">IF($D40&lt;&gt;"Serviço",0,IF(OR(AND(AUTOEVENTO="Manual",$M40=1),$M40&gt;(ROW(PLE.lastrow)-ROW(PLE.firstrow))),0,IF(OFFSET(PLE!$G$14,$M40,BA$13)="",10^12,OFFSET(PLE!$G$14,$M40,BA$13))))</f>
        <v>1000000000000</v>
      </c>
      <c r="BB40" s="182">
        <f ca="1">IF($D40&lt;&gt;"Serviço",0,IF(OR(AND(AUTOEVENTO="Manual",$M40=1),$M40&gt;(ROW(PLE.lastrow)-ROW(PLE.firstrow))),0,IF(OFFSET(PLE!$G$14,$M40,BB$13)="",10^12,OFFSET(PLE!$G$14,$M40,BB$13))))</f>
        <v>1000000000000</v>
      </c>
      <c r="BC40" s="182">
        <f ca="1">IF($D40&lt;&gt;"Serviço",0,IF(OR(AND(AUTOEVENTO="Manual",$M40=1),$M40&gt;(ROW(PLE.lastrow)-ROW(PLE.firstrow))),0,IF(OFFSET(PLE!$G$14,$M40,BC$13)="",10^12,OFFSET(PLE!$G$14,$M40,BC$13))))</f>
        <v>1000000000000</v>
      </c>
      <c r="BD40" s="182">
        <f ca="1">IF($D40&lt;&gt;"Serviço",0,IF(OR(AND(AUTOEVENTO="Manual",$M40=1),$M40&gt;(ROW(PLE.lastrow)-ROW(PLE.firstrow))),0,IF(OFFSET(PLE!$G$14,$M40,BD$13)="",10^12,OFFSET(PLE!$G$14,$M40,BD$13))))</f>
        <v>1000000000000</v>
      </c>
      <c r="BE40" s="182">
        <f ca="1">IF($D40&lt;&gt;"Serviço",0,IF(OR(AND(AUTOEVENTO="Manual",$M40=1),$M40&gt;(ROW(PLE.lastrow)-ROW(PLE.firstrow))),0,IF(OFFSET(PLE!$G$14,$M40,BE$13)="",10^12,OFFSET(PLE!$G$14,$M40,BE$13))))</f>
        <v>1000000000000</v>
      </c>
      <c r="BF40" s="182">
        <f ca="1">IF($D40&lt;&gt;"Serviço",0,IF(OR(AND(AUTOEVENTO="Manual",$M40=1),$M40&gt;(ROW(PLE.lastrow)-ROW(PLE.firstrow))),0,IF(OFFSET(PLE!$G$14,$M40,BF$13)="",10^12,OFFSET(PLE!$G$14,$M40,BF$13))))</f>
        <v>1000000000000</v>
      </c>
      <c r="BG40" s="182">
        <f ca="1">IF($D40&lt;&gt;"Serviço",0,IF(OR(AND(AUTOEVENTO="Manual",$M40=1),$M40&gt;(ROW(PLE.lastrow)-ROW(PLE.firstrow))),0,IF(OFFSET(PLE!$G$14,$M40,BG$13)="",10^12,OFFSET(PLE!$G$14,$M40,BG$13))))</f>
        <v>1000000000000</v>
      </c>
    </row>
    <row r="41" spans="1:59" ht="12.75" x14ac:dyDescent="0.2">
      <c r="A41" s="7" t="str">
        <f t="shared" ca="1" si="8"/>
        <v>26.</v>
      </c>
      <c r="B41" s="7">
        <f ca="1">OFFSET(ORÇAMENTO!C$15,ROW(B41)-ROW(B$15),0)</f>
        <v>2</v>
      </c>
      <c r="C41" s="7" t="str">
        <f ca="1">OFFSET(ORÇAMENTO!L$15,ROW(C41)-ROW(C$15),0)</f>
        <v>F</v>
      </c>
      <c r="D41" s="118" t="str">
        <f ca="1">OFFSET(ORÇAMENTO!N$15,ROW(D41)-ROW(D$15),0)</f>
        <v>Nível 2</v>
      </c>
      <c r="E41" s="119" t="str">
        <f ca="1">OFFSET(ORÇAMENTO!O$15,ROW(E41)-ROW(E$15),0)</f>
        <v>1.3.</v>
      </c>
      <c r="F41" s="172" t="str">
        <f ca="1">OFFSET(ORÇAMENTO!R$15,ROW(F41)-ROW(F$15),0)</f>
        <v>ENTRADA DE ENERGIA PADRÃO, MURETA E QGBT</v>
      </c>
      <c r="G41" s="173" t="str">
        <f ca="1">IF($D41&lt;&gt;"Serviço","",OFFSET(ORÇAMENTO!S$15,ROW(G41)-ROW(G$15),0))</f>
        <v/>
      </c>
      <c r="H41" s="124">
        <f ca="1">IF($D41&lt;&gt;"Serviço",0,IF(ACOMPANHAMENTO="BM",ROUND(OFFSET(ORÇAMENTO!AJ$15,ROW(H41)-ROW(H$15),0),15-13*ORÇAMENTO!$AF$7),SUMPRODUCT(($Q$12:$AA$12&lt;&gt;"")*ROUND($Q41:$AA41,15-13*ORÇAMENTO!$AF$7))))</f>
        <v>0</v>
      </c>
      <c r="I41" s="561"/>
      <c r="K41" s="174"/>
      <c r="L41" s="175" t="s">
        <v>255</v>
      </c>
      <c r="M41" s="176" t="str">
        <f ca="1">IF($D41&lt;&gt;"Serviço","",IF(AUTOEVENTO="manual",$A41,IF(ISERROR(MATCH($A41,$A$15:OFFSET($A41,-1,0),0)),MAX($M$15:OFFSET(M41,-1,0))+1,INDEX($M$15:OFFSET(M41,-1,0),MATCH($A41,$A$15:OFFSET($A41,-1,0),0)))))</f>
        <v/>
      </c>
      <c r="N41" s="177" t="str">
        <f ca="1">IF($D41&lt;&gt;"Serviço","",IF(AUTOEVENTO="Manual",IF($A41=0,"&lt;-- defina o número do agrupador",OFFSET(EVENTOS!$D$14,$A41,0)),OFFSET($F$15,$A41,0)))</f>
        <v/>
      </c>
      <c r="O41" s="178"/>
      <c r="Q41" s="178"/>
      <c r="R41" s="179"/>
      <c r="S41" s="179"/>
      <c r="T41" s="179"/>
      <c r="U41" s="179"/>
      <c r="V41" s="179"/>
      <c r="W41" s="179"/>
      <c r="X41" s="179"/>
      <c r="Y41" s="179"/>
      <c r="Z41" s="180"/>
      <c r="AB41" s="544">
        <f ca="1">IF(AND($D41="Serviço",AB$12&lt;&gt;0,$H41&gt;0,OR(AUTOEVENTO&lt;&gt;"manual",$M41&lt;&gt;1)),
IF(Import.TipoArredondamento&lt;&gt;"TransfereGOV",
ROUND(OFFSET($P41,0,AB$13),15-13*ORÇAMENTO!$AF$7)/$H41*OFFSET(ORÇAMENTO!$X$15,ROW(AB41)-ROW(AB$15),0),
ROUND(ROUND(OFFSET($P41,0,AB$13),15-13*ORÇAMENTO!$AF$7)*OFFSET(ORÇAMENTO!$W$15,ROW(AB41)-ROW(AB$15),0),15-13*ORÇAMENTO!$AF$11)),0)</f>
        <v>0</v>
      </c>
      <c r="AC41" s="545">
        <f ca="1">IF(AND($D41="Serviço",AC$12&lt;&gt;0,$H41&gt;0,OR(AUTOEVENTO&lt;&gt;"manual",$M41&lt;&gt;1)),
IF(Import.TipoArredondamento&lt;&gt;"TransfereGOV",
ROUND(OFFSET($P41,0,AC$13),15-13*ORÇAMENTO!$AF$7)/$H41*OFFSET(ORÇAMENTO!$X$15,ROW(AC41)-ROW(AC$15),0),
ROUND(ROUND(OFFSET($P41,0,AC$13),15-13*ORÇAMENTO!$AF$7)*OFFSET(ORÇAMENTO!$W$15,ROW(AC41)-ROW(AC$15),0),15-13*ORÇAMENTO!$AF$11)),0)</f>
        <v>0</v>
      </c>
      <c r="AD41" s="545">
        <f ca="1">IF(AND($D41="Serviço",AD$12&lt;&gt;0,$H41&gt;0,OR(AUTOEVENTO&lt;&gt;"manual",$M41&lt;&gt;1)),
IF(Import.TipoArredondamento&lt;&gt;"TransfereGOV",
ROUND(OFFSET($P41,0,AD$13),15-13*ORÇAMENTO!$AF$7)/$H41*OFFSET(ORÇAMENTO!$X$15,ROW(AD41)-ROW(AD$15),0),
ROUND(ROUND(OFFSET($P41,0,AD$13),15-13*ORÇAMENTO!$AF$7)*OFFSET(ORÇAMENTO!$W$15,ROW(AD41)-ROW(AD$15),0),15-13*ORÇAMENTO!$AF$11)),0)</f>
        <v>0</v>
      </c>
      <c r="AE41" s="545">
        <f ca="1">IF(AND($D41="Serviço",AE$12&lt;&gt;0,$H41&gt;0,OR(AUTOEVENTO&lt;&gt;"manual",$M41&lt;&gt;1)),
IF(Import.TipoArredondamento&lt;&gt;"TransfereGOV",
ROUND(OFFSET($P41,0,AE$13),15-13*ORÇAMENTO!$AF$7)/$H41*OFFSET(ORÇAMENTO!$X$15,ROW(AE41)-ROW(AE$15),0),
ROUND(ROUND(OFFSET($P41,0,AE$13),15-13*ORÇAMENTO!$AF$7)*OFFSET(ORÇAMENTO!$W$15,ROW(AE41)-ROW(AE$15),0),15-13*ORÇAMENTO!$AF$11)),0)</f>
        <v>0</v>
      </c>
      <c r="AF41" s="545">
        <f ca="1">IF(AND($D41="Serviço",AF$12&lt;&gt;0,$H41&gt;0,OR(AUTOEVENTO&lt;&gt;"manual",$M41&lt;&gt;1)),
IF(Import.TipoArredondamento&lt;&gt;"TransfereGOV",
ROUND(OFFSET($P41,0,AF$13),15-13*ORÇAMENTO!$AF$7)/$H41*OFFSET(ORÇAMENTO!$X$15,ROW(AF41)-ROW(AF$15),0),
ROUND(ROUND(OFFSET($P41,0,AF$13),15-13*ORÇAMENTO!$AF$7)*OFFSET(ORÇAMENTO!$W$15,ROW(AF41)-ROW(AF$15),0),15-13*ORÇAMENTO!$AF$11)),0)</f>
        <v>0</v>
      </c>
      <c r="AG41" s="545">
        <f ca="1">IF(AND($D41="Serviço",AG$12&lt;&gt;0,$H41&gt;0,OR(AUTOEVENTO&lt;&gt;"manual",$M41&lt;&gt;1)),
IF(Import.TipoArredondamento&lt;&gt;"TransfereGOV",
ROUND(OFFSET($P41,0,AG$13),15-13*ORÇAMENTO!$AF$7)/$H41*OFFSET(ORÇAMENTO!$X$15,ROW(AG41)-ROW(AG$15),0),
ROUND(ROUND(OFFSET($P41,0,AG$13),15-13*ORÇAMENTO!$AF$7)*OFFSET(ORÇAMENTO!$W$15,ROW(AG41)-ROW(AG$15),0),15-13*ORÇAMENTO!$AF$11)),0)</f>
        <v>0</v>
      </c>
      <c r="AH41" s="545">
        <f ca="1">IF(AND($D41="Serviço",AH$12&lt;&gt;0,$H41&gt;0,OR(AUTOEVENTO&lt;&gt;"manual",$M41&lt;&gt;1)),
IF(Import.TipoArredondamento&lt;&gt;"TransfereGOV",
ROUND(OFFSET($P41,0,AH$13),15-13*ORÇAMENTO!$AF$7)/$H41*OFFSET(ORÇAMENTO!$X$15,ROW(AH41)-ROW(AH$15),0),
ROUND(ROUND(OFFSET($P41,0,AH$13),15-13*ORÇAMENTO!$AF$7)*OFFSET(ORÇAMENTO!$W$15,ROW(AH41)-ROW(AH$15),0),15-13*ORÇAMENTO!$AF$11)),0)</f>
        <v>0</v>
      </c>
      <c r="AI41" s="545">
        <f ca="1">IF(AND($D41="Serviço",AI$12&lt;&gt;0,$H41&gt;0,OR(AUTOEVENTO&lt;&gt;"manual",$M41&lt;&gt;1)),
IF(Import.TipoArredondamento&lt;&gt;"TransfereGOV",
ROUND(OFFSET($P41,0,AI$13),15-13*ORÇAMENTO!$AF$7)/$H41*OFFSET(ORÇAMENTO!$X$15,ROW(AI41)-ROW(AI$15),0),
ROUND(ROUND(OFFSET($P41,0,AI$13),15-13*ORÇAMENTO!$AF$7)*OFFSET(ORÇAMENTO!$W$15,ROW(AI41)-ROW(AI$15),0),15-13*ORÇAMENTO!$AF$11)),0)</f>
        <v>0</v>
      </c>
      <c r="AJ41" s="545">
        <f ca="1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0</v>
      </c>
      <c r="AK41" s="546">
        <f ca="1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0</v>
      </c>
      <c r="AM41" s="181">
        <f ca="1">IF($D41&lt;&gt;"Serviço",0,IF(AND(AUTOEVENTO="Manual",$M41=1),0,IF(OFFSET(CRONOPLE!$F$14,$M41,AM$13)="",10^12,OFFSET(CRONOPLE!$F$14,$M41,AM$13))))</f>
        <v>0</v>
      </c>
      <c r="AN41" s="181">
        <f ca="1">IF($D41&lt;&gt;"Serviço",0,IF(AND(AUTOEVENTO="Manual",$M41=1),0,IF(OFFSET(CRONOPLE!$F$14,$M41,AN$13)="",10^12,OFFSET(CRONOPLE!$F$14,$M41,AN$13))))</f>
        <v>0</v>
      </c>
      <c r="AO41" s="181">
        <f ca="1">IF($D41&lt;&gt;"Serviço",0,IF(AND(AUTOEVENTO="Manual",$M41=1),0,IF(OFFSET(CRONOPLE!$F$14,$M41,AO$13)="",10^12,OFFSET(CRONOPLE!$F$14,$M41,AO$13))))</f>
        <v>0</v>
      </c>
      <c r="AP41" s="181">
        <f ca="1">IF($D41&lt;&gt;"Serviço",0,IF(AND(AUTOEVENTO="Manual",$M41=1),0,IF(OFFSET(CRONOPLE!$F$14,$M41,AP$13)="",10^12,OFFSET(CRONOPLE!$F$14,$M41,AP$13))))</f>
        <v>0</v>
      </c>
      <c r="AQ41" s="181">
        <f ca="1">IF($D41&lt;&gt;"Serviço",0,IF(AND(AUTOEVENTO="Manual",$M41=1),0,IF(OFFSET(CRONOPLE!$F$14,$M41,AQ$13)="",10^12,OFFSET(CRONOPLE!$F$14,$M41,AQ$13))))</f>
        <v>0</v>
      </c>
      <c r="AR41" s="181">
        <f ca="1">IF($D41&lt;&gt;"Serviço",0,IF(AND(AUTOEVENTO="Manual",$M41=1),0,IF(OFFSET(CRONOPLE!$F$14,$M41,AR$13)="",10^12,OFFSET(CRONOPLE!$F$14,$M41,AR$13))))</f>
        <v>0</v>
      </c>
      <c r="AS41" s="181">
        <f ca="1">IF($D41&lt;&gt;"Serviço",0,IF(AND(AUTOEVENTO="Manual",$M41=1),0,IF(OFFSET(CRONOPLE!$F$14,$M41,AS$13)="",10^12,OFFSET(CRONOPLE!$F$14,$M41,AS$13))))</f>
        <v>0</v>
      </c>
      <c r="AT41" s="181">
        <f ca="1">IF($D41&lt;&gt;"Serviço",0,IF(AND(AUTOEVENTO="Manual",$M41=1),0,IF(OFFSET(CRONOPLE!$F$14,$M41,AT$13)="",10^12,OFFSET(CRONOPLE!$F$14,$M41,AT$13))))</f>
        <v>0</v>
      </c>
      <c r="AU41" s="181">
        <f ca="1">IF($D41&lt;&gt;"Serviço",0,IF(AND(AUTOEVENTO="Manual",$M41=1),0,IF(OFFSET(CRONOPLE!$F$14,$M41,AU$13)="",10^12,OFFSET(CRONOPLE!$F$14,$M41,AU$13))))</f>
        <v>0</v>
      </c>
      <c r="AV41" s="181">
        <f ca="1">IF($D41&lt;&gt;"Serviço",0,IF(AND(AUTOEVENTO="Manual",$M41=1),0,IF(OFFSET(CRONOPLE!$F$14,$M41,AV$13)="",10^12,OFFSET(CRONOPLE!$F$14,$M41,AV$13))))</f>
        <v>0</v>
      </c>
      <c r="AX41" s="182">
        <f ca="1">IF($D41&lt;&gt;"Serviço",0,IF(OR(AND(AUTOEVENTO="Manual",$M41=1),$M41&gt;(ROW(PLE.lastrow)-ROW(PLE.firstrow))),0,IF(OFFSET(PLE!$G$14,$M41,AX$13)="",10^12,OFFSET(PLE!$G$14,$M41,AX$13))))</f>
        <v>0</v>
      </c>
      <c r="AY41" s="182">
        <f ca="1">IF($D41&lt;&gt;"Serviço",0,IF(OR(AND(AUTOEVENTO="Manual",$M41=1),$M41&gt;(ROW(PLE.lastrow)-ROW(PLE.firstrow))),0,IF(OFFSET(PLE!$G$14,$M41,AY$13)="",10^12,OFFSET(PLE!$G$14,$M41,AY$13))))</f>
        <v>0</v>
      </c>
      <c r="AZ41" s="182">
        <f ca="1">IF($D41&lt;&gt;"Serviço",0,IF(OR(AND(AUTOEVENTO="Manual",$M41=1),$M41&gt;(ROW(PLE.lastrow)-ROW(PLE.firstrow))),0,IF(OFFSET(PLE!$G$14,$M41,AZ$13)="",10^12,OFFSET(PLE!$G$14,$M41,AZ$13))))</f>
        <v>0</v>
      </c>
      <c r="BA41" s="182">
        <f ca="1">IF($D41&lt;&gt;"Serviço",0,IF(OR(AND(AUTOEVENTO="Manual",$M41=1),$M41&gt;(ROW(PLE.lastrow)-ROW(PLE.firstrow))),0,IF(OFFSET(PLE!$G$14,$M41,BA$13)="",10^12,OFFSET(PLE!$G$14,$M41,BA$13))))</f>
        <v>0</v>
      </c>
      <c r="BB41" s="182">
        <f ca="1">IF($D41&lt;&gt;"Serviço",0,IF(OR(AND(AUTOEVENTO="Manual",$M41=1),$M41&gt;(ROW(PLE.lastrow)-ROW(PLE.firstrow))),0,IF(OFFSET(PLE!$G$14,$M41,BB$13)="",10^12,OFFSET(PLE!$G$14,$M41,BB$13))))</f>
        <v>0</v>
      </c>
      <c r="BC41" s="182">
        <f ca="1">IF($D41&lt;&gt;"Serviço",0,IF(OR(AND(AUTOEVENTO="Manual",$M41=1),$M41&gt;(ROW(PLE.lastrow)-ROW(PLE.firstrow))),0,IF(OFFSET(PLE!$G$14,$M41,BC$13)="",10^12,OFFSET(PLE!$G$14,$M41,BC$13))))</f>
        <v>0</v>
      </c>
      <c r="BD41" s="182">
        <f ca="1">IF($D41&lt;&gt;"Serviço",0,IF(OR(AND(AUTOEVENTO="Manual",$M41=1),$M41&gt;(ROW(PLE.lastrow)-ROW(PLE.firstrow))),0,IF(OFFSET(PLE!$G$14,$M41,BD$13)="",10^12,OFFSET(PLE!$G$14,$M41,BD$13))))</f>
        <v>0</v>
      </c>
      <c r="BE41" s="182">
        <f ca="1">IF($D41&lt;&gt;"Serviço",0,IF(OR(AND(AUTOEVENTO="Manual",$M41=1),$M41&gt;(ROW(PLE.lastrow)-ROW(PLE.firstrow))),0,IF(OFFSET(PLE!$G$14,$M41,BE$13)="",10^12,OFFSET(PLE!$G$14,$M41,BE$13))))</f>
        <v>0</v>
      </c>
      <c r="BF41" s="182">
        <f ca="1">IF($D41&lt;&gt;"Serviço",0,IF(OR(AND(AUTOEVENTO="Manual",$M41=1),$M41&gt;(ROW(PLE.lastrow)-ROW(PLE.firstrow))),0,IF(OFFSET(PLE!$G$14,$M41,BF$13)="",10^12,OFFSET(PLE!$G$14,$M41,BF$13))))</f>
        <v>0</v>
      </c>
      <c r="BG41" s="182">
        <f ca="1">IF($D41&lt;&gt;"Serviço",0,IF(OR(AND(AUTOEVENTO="Manual",$M41=1),$M41&gt;(ROW(PLE.lastrow)-ROW(PLE.firstrow))),0,IF(OFFSET(PLE!$G$14,$M41,BG$13)="",10^12,OFFSET(PLE!$G$14,$M41,BG$13))))</f>
        <v>0</v>
      </c>
    </row>
    <row r="42" spans="1:59" ht="12.75" x14ac:dyDescent="0.2">
      <c r="A42" s="7" t="str">
        <f ca="1">IF(AUTOEVENTO="Manual",IF(K42&lt;&gt;"",MIN(VALUE(LEFT(K42,FIND(".",K42)-1)),COUNTA(EVENTOS.Lista)),0),IF(OR($B42&gt;AUTOEVENTO,$B42="S",$B42=0),SUBSTITUTE(OFFSET($A42,-1,0),IF($D42="Serviço",".",""),""),ROW(A42)-ROW($A$15)&amp;"."))</f>
        <v>26.</v>
      </c>
      <c r="B42" s="7">
        <f ca="1">OFFSET(ORÇAMENTO!C$15,ROW(B42)-ROW(B$15),0)</f>
        <v>3</v>
      </c>
      <c r="C42" s="7" t="str">
        <f ca="1">OFFSET(ORÇAMENTO!L$15,ROW(C42)-ROW(C$15),0)</f>
        <v>F</v>
      </c>
      <c r="D42" s="118" t="str">
        <f ca="1">OFFSET(ORÇAMENTO!N$15,ROW(D42)-ROW(D$15),0)</f>
        <v>Nível 3</v>
      </c>
      <c r="E42" s="119" t="str">
        <f ca="1">OFFSET(ORÇAMENTO!O$15,ROW(E42)-ROW(E$15),0)</f>
        <v>1.3.1.</v>
      </c>
      <c r="F42" s="172" t="str">
        <f ca="1">OFFSET(ORÇAMENTO!R$15,ROW(F42)-ROW(F$15),0)</f>
        <v>PADRÃO E MURETA</v>
      </c>
      <c r="G42" s="173" t="str">
        <f ca="1">IF($D42&lt;&gt;"Serviço","",OFFSET(ORÇAMENTO!S$15,ROW(G42)-ROW(G$15),0))</f>
        <v/>
      </c>
      <c r="H42" s="124">
        <f ca="1">IF($D42&lt;&gt;"Serviço",0,IF(ACOMPANHAMENTO="BM",ROUND(OFFSET(ORÇAMENTO!AJ$15,ROW(H42)-ROW(H$15),0),15-13*ORÇAMENTO!$AF$7),SUMPRODUCT(($Q$12:$AA$12&lt;&gt;"")*ROUND($Q42:$AA42,15-13*ORÇAMENTO!$AF$7))))</f>
        <v>0</v>
      </c>
      <c r="I42" s="561"/>
      <c r="K42" s="174"/>
      <c r="L42" s="175" t="s">
        <v>255</v>
      </c>
      <c r="M42" s="176" t="str">
        <f ca="1">IF($D42&lt;&gt;"Serviço","",IF(AUTOEVENTO="manual",$A42,IF(ISERROR(MATCH($A42,$A$15:OFFSET($A42,-1,0),0)),MAX($M$15:OFFSET(M42,-1,0))+1,INDEX($M$15:OFFSET(M42,-1,0),MATCH($A42,$A$15:OFFSET($A42,-1,0),0)))))</f>
        <v/>
      </c>
      <c r="N42" s="177" t="str">
        <f ca="1">IF($D42&lt;&gt;"Serviço","",IF(AUTOEVENTO="Manual",IF($A42=0,"&lt;-- defina o número do agrupador",OFFSET(EVENTOS!$D$14,$A42,0)),OFFSET($F$15,$A42,0)))</f>
        <v/>
      </c>
      <c r="O42" s="178"/>
      <c r="Q42" s="178"/>
      <c r="R42" s="179"/>
      <c r="S42" s="179"/>
      <c r="T42" s="179"/>
      <c r="U42" s="179"/>
      <c r="V42" s="179"/>
      <c r="W42" s="179"/>
      <c r="X42" s="179"/>
      <c r="Y42" s="179"/>
      <c r="Z42" s="180"/>
      <c r="AB42" s="544">
        <f ca="1">IF(AND($D42="Serviço",AB$12&lt;&gt;0,$H42&gt;0,OR(AUTOEVENTO&lt;&gt;"manual",$M42&lt;&gt;1)),
IF(Import.TipoArredondamento&lt;&gt;"TransfereGOV",
ROUND(OFFSET($P42,0,AB$13),15-13*ORÇAMENTO!$AF$7)/$H42*OFFSET(ORÇAMENTO!$X$15,ROW(AB42)-ROW(AB$15),0),
ROUND(ROUND(OFFSET($P42,0,AB$13),15-13*ORÇAMENTO!$AF$7)*OFFSET(ORÇAMENTO!$W$15,ROW(AB42)-ROW(AB$15),0),15-13*ORÇAMENTO!$AF$11)),0)</f>
        <v>0</v>
      </c>
      <c r="AC42" s="545">
        <f ca="1">IF(AND($D42="Serviço",AC$12&lt;&gt;0,$H42&gt;0,OR(AUTOEVENTO&lt;&gt;"manual",$M42&lt;&gt;1)),
IF(Import.TipoArredondamento&lt;&gt;"TransfereGOV",
ROUND(OFFSET($P42,0,AC$13),15-13*ORÇAMENTO!$AF$7)/$H42*OFFSET(ORÇAMENTO!$X$15,ROW(AC42)-ROW(AC$15),0),
ROUND(ROUND(OFFSET($P42,0,AC$13),15-13*ORÇAMENTO!$AF$7)*OFFSET(ORÇAMENTO!$W$15,ROW(AC42)-ROW(AC$15),0),15-13*ORÇAMENTO!$AF$11)),0)</f>
        <v>0</v>
      </c>
      <c r="AD42" s="545">
        <f ca="1">IF(AND($D42="Serviço",AD$12&lt;&gt;0,$H42&gt;0,OR(AUTOEVENTO&lt;&gt;"manual",$M42&lt;&gt;1)),
IF(Import.TipoArredondamento&lt;&gt;"TransfereGOV",
ROUND(OFFSET($P42,0,AD$13),15-13*ORÇAMENTO!$AF$7)/$H42*OFFSET(ORÇAMENTO!$X$15,ROW(AD42)-ROW(AD$15),0),
ROUND(ROUND(OFFSET($P42,0,AD$13),15-13*ORÇAMENTO!$AF$7)*OFFSET(ORÇAMENTO!$W$15,ROW(AD42)-ROW(AD$15),0),15-13*ORÇAMENTO!$AF$11)),0)</f>
        <v>0</v>
      </c>
      <c r="AE42" s="545">
        <f ca="1">IF(AND($D42="Serviço",AE$12&lt;&gt;0,$H42&gt;0,OR(AUTOEVENTO&lt;&gt;"manual",$M42&lt;&gt;1)),
IF(Import.TipoArredondamento&lt;&gt;"TransfereGOV",
ROUND(OFFSET($P42,0,AE$13),15-13*ORÇAMENTO!$AF$7)/$H42*OFFSET(ORÇAMENTO!$X$15,ROW(AE42)-ROW(AE$15),0),
ROUND(ROUND(OFFSET($P42,0,AE$13),15-13*ORÇAMENTO!$AF$7)*OFFSET(ORÇAMENTO!$W$15,ROW(AE42)-ROW(AE$15),0),15-13*ORÇAMENTO!$AF$11)),0)</f>
        <v>0</v>
      </c>
      <c r="AF42" s="545">
        <f ca="1">IF(AND($D42="Serviço",AF$12&lt;&gt;0,$H42&gt;0,OR(AUTOEVENTO&lt;&gt;"manual",$M42&lt;&gt;1)),
IF(Import.TipoArredondamento&lt;&gt;"TransfereGOV",
ROUND(OFFSET($P42,0,AF$13),15-13*ORÇAMENTO!$AF$7)/$H42*OFFSET(ORÇAMENTO!$X$15,ROW(AF42)-ROW(AF$15),0),
ROUND(ROUND(OFFSET($P42,0,AF$13),15-13*ORÇAMENTO!$AF$7)*OFFSET(ORÇAMENTO!$W$15,ROW(AF42)-ROW(AF$15),0),15-13*ORÇAMENTO!$AF$11)),0)</f>
        <v>0</v>
      </c>
      <c r="AG42" s="545">
        <f ca="1">IF(AND($D42="Serviço",AG$12&lt;&gt;0,$H42&gt;0,OR(AUTOEVENTO&lt;&gt;"manual",$M42&lt;&gt;1)),
IF(Import.TipoArredondamento&lt;&gt;"TransfereGOV",
ROUND(OFFSET($P42,0,AG$13),15-13*ORÇAMENTO!$AF$7)/$H42*OFFSET(ORÇAMENTO!$X$15,ROW(AG42)-ROW(AG$15),0),
ROUND(ROUND(OFFSET($P42,0,AG$13),15-13*ORÇAMENTO!$AF$7)*OFFSET(ORÇAMENTO!$W$15,ROW(AG42)-ROW(AG$15),0),15-13*ORÇAMENTO!$AF$11)),0)</f>
        <v>0</v>
      </c>
      <c r="AH42" s="545">
        <f ca="1">IF(AND($D42="Serviço",AH$12&lt;&gt;0,$H42&gt;0,OR(AUTOEVENTO&lt;&gt;"manual",$M42&lt;&gt;1)),
IF(Import.TipoArredondamento&lt;&gt;"TransfereGOV",
ROUND(OFFSET($P42,0,AH$13),15-13*ORÇAMENTO!$AF$7)/$H42*OFFSET(ORÇAMENTO!$X$15,ROW(AH42)-ROW(AH$15),0),
ROUND(ROUND(OFFSET($P42,0,AH$13),15-13*ORÇAMENTO!$AF$7)*OFFSET(ORÇAMENTO!$W$15,ROW(AH42)-ROW(AH$15),0),15-13*ORÇAMENTO!$AF$11)),0)</f>
        <v>0</v>
      </c>
      <c r="AI42" s="545">
        <f ca="1">IF(AND($D42="Serviço",AI$12&lt;&gt;0,$H42&gt;0,OR(AUTOEVENTO&lt;&gt;"manual",$M42&lt;&gt;1)),
IF(Import.TipoArredondamento&lt;&gt;"TransfereGOV",
ROUND(OFFSET($P42,0,AI$13),15-13*ORÇAMENTO!$AF$7)/$H42*OFFSET(ORÇAMENTO!$X$15,ROW(AI42)-ROW(AI$15),0),
ROUND(ROUND(OFFSET($P42,0,AI$13),15-13*ORÇAMENTO!$AF$7)*OFFSET(ORÇAMENTO!$W$15,ROW(AI42)-ROW(AI$15),0),15-13*ORÇAMENTO!$AF$11)),0)</f>
        <v>0</v>
      </c>
      <c r="AJ42" s="545">
        <f ca="1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0</v>
      </c>
      <c r="AK42" s="546">
        <f ca="1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0</v>
      </c>
      <c r="AM42" s="181">
        <f ca="1">IF($D42&lt;&gt;"Serviço",0,IF(AND(AUTOEVENTO="Manual",$M42=1),0,IF(OFFSET(CRONOPLE!$F$14,$M42,AM$13)="",10^12,OFFSET(CRONOPLE!$F$14,$M42,AM$13))))</f>
        <v>0</v>
      </c>
      <c r="AN42" s="181">
        <f ca="1">IF($D42&lt;&gt;"Serviço",0,IF(AND(AUTOEVENTO="Manual",$M42=1),0,IF(OFFSET(CRONOPLE!$F$14,$M42,AN$13)="",10^12,OFFSET(CRONOPLE!$F$14,$M42,AN$13))))</f>
        <v>0</v>
      </c>
      <c r="AO42" s="181">
        <f ca="1">IF($D42&lt;&gt;"Serviço",0,IF(AND(AUTOEVENTO="Manual",$M42=1),0,IF(OFFSET(CRONOPLE!$F$14,$M42,AO$13)="",10^12,OFFSET(CRONOPLE!$F$14,$M42,AO$13))))</f>
        <v>0</v>
      </c>
      <c r="AP42" s="181">
        <f ca="1">IF($D42&lt;&gt;"Serviço",0,IF(AND(AUTOEVENTO="Manual",$M42=1),0,IF(OFFSET(CRONOPLE!$F$14,$M42,AP$13)="",10^12,OFFSET(CRONOPLE!$F$14,$M42,AP$13))))</f>
        <v>0</v>
      </c>
      <c r="AQ42" s="181">
        <f ca="1">IF($D42&lt;&gt;"Serviço",0,IF(AND(AUTOEVENTO="Manual",$M42=1),0,IF(OFFSET(CRONOPLE!$F$14,$M42,AQ$13)="",10^12,OFFSET(CRONOPLE!$F$14,$M42,AQ$13))))</f>
        <v>0</v>
      </c>
      <c r="AR42" s="181">
        <f ca="1">IF($D42&lt;&gt;"Serviço",0,IF(AND(AUTOEVENTO="Manual",$M42=1),0,IF(OFFSET(CRONOPLE!$F$14,$M42,AR$13)="",10^12,OFFSET(CRONOPLE!$F$14,$M42,AR$13))))</f>
        <v>0</v>
      </c>
      <c r="AS42" s="181">
        <f ca="1">IF($D42&lt;&gt;"Serviço",0,IF(AND(AUTOEVENTO="Manual",$M42=1),0,IF(OFFSET(CRONOPLE!$F$14,$M42,AS$13)="",10^12,OFFSET(CRONOPLE!$F$14,$M42,AS$13))))</f>
        <v>0</v>
      </c>
      <c r="AT42" s="181">
        <f ca="1">IF($D42&lt;&gt;"Serviço",0,IF(AND(AUTOEVENTO="Manual",$M42=1),0,IF(OFFSET(CRONOPLE!$F$14,$M42,AT$13)="",10^12,OFFSET(CRONOPLE!$F$14,$M42,AT$13))))</f>
        <v>0</v>
      </c>
      <c r="AU42" s="181">
        <f ca="1">IF($D42&lt;&gt;"Serviço",0,IF(AND(AUTOEVENTO="Manual",$M42=1),0,IF(OFFSET(CRONOPLE!$F$14,$M42,AU$13)="",10^12,OFFSET(CRONOPLE!$F$14,$M42,AU$13))))</f>
        <v>0</v>
      </c>
      <c r="AV42" s="181">
        <f ca="1">IF($D42&lt;&gt;"Serviço",0,IF(AND(AUTOEVENTO="Manual",$M42=1),0,IF(OFFSET(CRONOPLE!$F$14,$M42,AV$13)="",10^12,OFFSET(CRONOPLE!$F$14,$M42,AV$13))))</f>
        <v>0</v>
      </c>
      <c r="AX42" s="182">
        <f ca="1">IF($D42&lt;&gt;"Serviço",0,IF(OR(AND(AUTOEVENTO="Manual",$M42=1),$M42&gt;(ROW(PLE.lastrow)-ROW(PLE.firstrow))),0,IF(OFFSET(PLE!$G$14,$M42,AX$13)="",10^12,OFFSET(PLE!$G$14,$M42,AX$13))))</f>
        <v>0</v>
      </c>
      <c r="AY42" s="182">
        <f ca="1">IF($D42&lt;&gt;"Serviço",0,IF(OR(AND(AUTOEVENTO="Manual",$M42=1),$M42&gt;(ROW(PLE.lastrow)-ROW(PLE.firstrow))),0,IF(OFFSET(PLE!$G$14,$M42,AY$13)="",10^12,OFFSET(PLE!$G$14,$M42,AY$13))))</f>
        <v>0</v>
      </c>
      <c r="AZ42" s="182">
        <f ca="1">IF($D42&lt;&gt;"Serviço",0,IF(OR(AND(AUTOEVENTO="Manual",$M42=1),$M42&gt;(ROW(PLE.lastrow)-ROW(PLE.firstrow))),0,IF(OFFSET(PLE!$G$14,$M42,AZ$13)="",10^12,OFFSET(PLE!$G$14,$M42,AZ$13))))</f>
        <v>0</v>
      </c>
      <c r="BA42" s="182">
        <f ca="1">IF($D42&lt;&gt;"Serviço",0,IF(OR(AND(AUTOEVENTO="Manual",$M42=1),$M42&gt;(ROW(PLE.lastrow)-ROW(PLE.firstrow))),0,IF(OFFSET(PLE!$G$14,$M42,BA$13)="",10^12,OFFSET(PLE!$G$14,$M42,BA$13))))</f>
        <v>0</v>
      </c>
      <c r="BB42" s="182">
        <f ca="1">IF($D42&lt;&gt;"Serviço",0,IF(OR(AND(AUTOEVENTO="Manual",$M42=1),$M42&gt;(ROW(PLE.lastrow)-ROW(PLE.firstrow))),0,IF(OFFSET(PLE!$G$14,$M42,BB$13)="",10^12,OFFSET(PLE!$G$14,$M42,BB$13))))</f>
        <v>0</v>
      </c>
      <c r="BC42" s="182">
        <f ca="1">IF($D42&lt;&gt;"Serviço",0,IF(OR(AND(AUTOEVENTO="Manual",$M42=1),$M42&gt;(ROW(PLE.lastrow)-ROW(PLE.firstrow))),0,IF(OFFSET(PLE!$G$14,$M42,BC$13)="",10^12,OFFSET(PLE!$G$14,$M42,BC$13))))</f>
        <v>0</v>
      </c>
      <c r="BD42" s="182">
        <f ca="1">IF($D42&lt;&gt;"Serviço",0,IF(OR(AND(AUTOEVENTO="Manual",$M42=1),$M42&gt;(ROW(PLE.lastrow)-ROW(PLE.firstrow))),0,IF(OFFSET(PLE!$G$14,$M42,BD$13)="",10^12,OFFSET(PLE!$G$14,$M42,BD$13))))</f>
        <v>0</v>
      </c>
      <c r="BE42" s="182">
        <f ca="1">IF($D42&lt;&gt;"Serviço",0,IF(OR(AND(AUTOEVENTO="Manual",$M42=1),$M42&gt;(ROW(PLE.lastrow)-ROW(PLE.firstrow))),0,IF(OFFSET(PLE!$G$14,$M42,BE$13)="",10^12,OFFSET(PLE!$G$14,$M42,BE$13))))</f>
        <v>0</v>
      </c>
      <c r="BF42" s="182">
        <f ca="1">IF($D42&lt;&gt;"Serviço",0,IF(OR(AND(AUTOEVENTO="Manual",$M42=1),$M42&gt;(ROW(PLE.lastrow)-ROW(PLE.firstrow))),0,IF(OFFSET(PLE!$G$14,$M42,BF$13)="",10^12,OFFSET(PLE!$G$14,$M42,BF$13))))</f>
        <v>0</v>
      </c>
      <c r="BG42" s="182">
        <f ca="1">IF($D42&lt;&gt;"Serviço",0,IF(OR(AND(AUTOEVENTO="Manual",$M42=1),$M42&gt;(ROW(PLE.lastrow)-ROW(PLE.firstrow))),0,IF(OFFSET(PLE!$G$14,$M42,BG$13)="",10^12,OFFSET(PLE!$G$14,$M42,BG$13))))</f>
        <v>0</v>
      </c>
    </row>
    <row r="43" spans="1:59" ht="25.5" x14ac:dyDescent="0.2">
      <c r="A43" s="7" t="str">
        <f t="shared" ca="1" si="8"/>
        <v>26</v>
      </c>
      <c r="B43" s="7" t="str">
        <f ca="1">OFFSET(ORÇAMENTO!C$15,ROW(B43)-ROW(B$15),0)</f>
        <v>S</v>
      </c>
      <c r="C43" s="7" t="str">
        <f ca="1">OFFSET(ORÇAMENTO!L$15,ROW(C43)-ROW(C$15),0)</f>
        <v>F</v>
      </c>
      <c r="D43" s="118" t="str">
        <f ca="1">OFFSET(ORÇAMENTO!N$15,ROW(D43)-ROW(D$15),0)</f>
        <v>Serviço</v>
      </c>
      <c r="E43" s="119" t="str">
        <f ca="1">OFFSET(ORÇAMENTO!O$15,ROW(E43)-ROW(E$15),0)</f>
        <v>1.3.1.1.</v>
      </c>
      <c r="F43" s="172" t="str">
        <f ca="1">OFFSET(ORÇAMENTO!R$15,ROW(F43)-ROW(F$15),0)</f>
        <v>(abra o arquivo 'Referência 03-2024.xlsm)</v>
      </c>
      <c r="G43" s="173" t="str">
        <f ca="1">IF($D43&lt;&gt;"Serviço","",OFFSET(ORÇAMENTO!S$15,ROW(G43)-ROW(G$15),0))</f>
        <v>-</v>
      </c>
      <c r="H43" s="124">
        <f ca="1">IF($D43&lt;&gt;"Serviço",0,IF(ACOMPANHAMENTO="BM",ROUND(OFFSET(ORÇAMENTO!AJ$15,ROW(H43)-ROW(H$15),0),15-13*ORÇAMENTO!$AF$7),SUMPRODUCT(($Q$12:$AA$12&lt;&gt;"")*ROUND($Q43:$AA43,15-13*ORÇAMENTO!$AF$7))))</f>
        <v>0.09</v>
      </c>
      <c r="I43" s="561"/>
      <c r="K43" s="174"/>
      <c r="L43" s="175" t="s">
        <v>255</v>
      </c>
      <c r="M43" s="176">
        <f ca="1">IF($D43&lt;&gt;"Serviço","",IF(AUTOEVENTO="manual",$A43,IF(ISERROR(MATCH($A43,$A$15:OFFSET($A43,-1,0),0)),MAX($M$15:OFFSET(M43,-1,0))+1,INDEX($M$15:OFFSET(M43,-1,0),MATCH($A43,$A$15:OFFSET($A43,-1,0),0)))))</f>
        <v>4</v>
      </c>
      <c r="N43" s="177" t="str">
        <f ca="1">IF($D43&lt;&gt;"Serviço","",IF(AUTOEVENTO="Manual",IF($A43=0,"&lt;-- defina o número do agrupador",OFFSET(EVENTOS!$D$14,$A43,0)),OFFSET($F$15,$A43,0)))</f>
        <v>ENTRADA DE ENERGIA PADRÃO, MURETA E QGBT</v>
      </c>
      <c r="O43" s="178"/>
      <c r="Q43" s="178"/>
      <c r="R43" s="179"/>
      <c r="S43" s="179"/>
      <c r="T43" s="179"/>
      <c r="U43" s="179"/>
      <c r="V43" s="179"/>
      <c r="W43" s="179"/>
      <c r="X43" s="179"/>
      <c r="Y43" s="179"/>
      <c r="Z43" s="180"/>
      <c r="AB43" s="544">
        <f ca="1">IF(AND($D43="Serviço",AB$12&lt;&gt;0,$H43&gt;0,OR(AUTOEVENTO&lt;&gt;"manual",$M43&lt;&gt;1)),
IF(Import.TipoArredondamento&lt;&gt;"TransfereGOV",
ROUND(OFFSET($P43,0,AB$13),15-13*ORÇAMENTO!$AF$7)/$H43*OFFSET(ORÇAMENTO!$X$15,ROW(AB43)-ROW(AB$15),0),
ROUND(ROUND(OFFSET($P43,0,AB$13),15-13*ORÇAMENTO!$AF$7)*OFFSET(ORÇAMENTO!$W$15,ROW(AB43)-ROW(AB$15),0),15-13*ORÇAMENTO!$AF$11)),0)</f>
        <v>0</v>
      </c>
      <c r="AC43" s="545">
        <f ca="1">IF(AND($D43="Serviço",AC$12&lt;&gt;0,$H43&gt;0,OR(AUTOEVENTO&lt;&gt;"manual",$M43&lt;&gt;1)),
IF(Import.TipoArredondamento&lt;&gt;"TransfereGOV",
ROUND(OFFSET($P43,0,AC$13),15-13*ORÇAMENTO!$AF$7)/$H43*OFFSET(ORÇAMENTO!$X$15,ROW(AC43)-ROW(AC$15),0),
ROUND(ROUND(OFFSET($P43,0,AC$13),15-13*ORÇAMENTO!$AF$7)*OFFSET(ORÇAMENTO!$W$15,ROW(AC43)-ROW(AC$15),0),15-13*ORÇAMENTO!$AF$11)),0)</f>
        <v>0</v>
      </c>
      <c r="AD43" s="545">
        <f ca="1">IF(AND($D43="Serviço",AD$12&lt;&gt;0,$H43&gt;0,OR(AUTOEVENTO&lt;&gt;"manual",$M43&lt;&gt;1)),
IF(Import.TipoArredondamento&lt;&gt;"TransfereGOV",
ROUND(OFFSET($P43,0,AD$13),15-13*ORÇAMENTO!$AF$7)/$H43*OFFSET(ORÇAMENTO!$X$15,ROW(AD43)-ROW(AD$15),0),
ROUND(ROUND(OFFSET($P43,0,AD$13),15-13*ORÇAMENTO!$AF$7)*OFFSET(ORÇAMENTO!$W$15,ROW(AD43)-ROW(AD$15),0),15-13*ORÇAMENTO!$AF$11)),0)</f>
        <v>0</v>
      </c>
      <c r="AE43" s="545">
        <f ca="1">IF(AND($D43="Serviço",AE$12&lt;&gt;0,$H43&gt;0,OR(AUTOEVENTO&lt;&gt;"manual",$M43&lt;&gt;1)),
IF(Import.TipoArredondamento&lt;&gt;"TransfereGOV",
ROUND(OFFSET($P43,0,AE$13),15-13*ORÇAMENTO!$AF$7)/$H43*OFFSET(ORÇAMENTO!$X$15,ROW(AE43)-ROW(AE$15),0),
ROUND(ROUND(OFFSET($P43,0,AE$13),15-13*ORÇAMENTO!$AF$7)*OFFSET(ORÇAMENTO!$W$15,ROW(AE43)-ROW(AE$15),0),15-13*ORÇAMENTO!$AF$11)),0)</f>
        <v>0</v>
      </c>
      <c r="AF43" s="545">
        <f ca="1">IF(AND($D43="Serviço",AF$12&lt;&gt;0,$H43&gt;0,OR(AUTOEVENTO&lt;&gt;"manual",$M43&lt;&gt;1)),
IF(Import.TipoArredondamento&lt;&gt;"TransfereGOV",
ROUND(OFFSET($P43,0,AF$13),15-13*ORÇAMENTO!$AF$7)/$H43*OFFSET(ORÇAMENTO!$X$15,ROW(AF43)-ROW(AF$15),0),
ROUND(ROUND(OFFSET($P43,0,AF$13),15-13*ORÇAMENTO!$AF$7)*OFFSET(ORÇAMENTO!$W$15,ROW(AF43)-ROW(AF$15),0),15-13*ORÇAMENTO!$AF$11)),0)</f>
        <v>0</v>
      </c>
      <c r="AG43" s="545">
        <f ca="1">IF(AND($D43="Serviço",AG$12&lt;&gt;0,$H43&gt;0,OR(AUTOEVENTO&lt;&gt;"manual",$M43&lt;&gt;1)),
IF(Import.TipoArredondamento&lt;&gt;"TransfereGOV",
ROUND(OFFSET($P43,0,AG$13),15-13*ORÇAMENTO!$AF$7)/$H43*OFFSET(ORÇAMENTO!$X$15,ROW(AG43)-ROW(AG$15),0),
ROUND(ROUND(OFFSET($P43,0,AG$13),15-13*ORÇAMENTO!$AF$7)*OFFSET(ORÇAMENTO!$W$15,ROW(AG43)-ROW(AG$15),0),15-13*ORÇAMENTO!$AF$11)),0)</f>
        <v>0</v>
      </c>
      <c r="AH43" s="545">
        <f ca="1">IF(AND($D43="Serviço",AH$12&lt;&gt;0,$H43&gt;0,OR(AUTOEVENTO&lt;&gt;"manual",$M43&lt;&gt;1)),
IF(Import.TipoArredondamento&lt;&gt;"TransfereGOV",
ROUND(OFFSET($P43,0,AH$13),15-13*ORÇAMENTO!$AF$7)/$H43*OFFSET(ORÇAMENTO!$X$15,ROW(AH43)-ROW(AH$15),0),
ROUND(ROUND(OFFSET($P43,0,AH$13),15-13*ORÇAMENTO!$AF$7)*OFFSET(ORÇAMENTO!$W$15,ROW(AH43)-ROW(AH$15),0),15-13*ORÇAMENTO!$AF$11)),0)</f>
        <v>0</v>
      </c>
      <c r="AI43" s="545">
        <f ca="1">IF(AND($D43="Serviço",AI$12&lt;&gt;0,$H43&gt;0,OR(AUTOEVENTO&lt;&gt;"manual",$M43&lt;&gt;1)),
IF(Import.TipoArredondamento&lt;&gt;"TransfereGOV",
ROUND(OFFSET($P43,0,AI$13),15-13*ORÇAMENTO!$AF$7)/$H43*OFFSET(ORÇAMENTO!$X$15,ROW(AI43)-ROW(AI$15),0),
ROUND(ROUND(OFFSET($P43,0,AI$13),15-13*ORÇAMENTO!$AF$7)*OFFSET(ORÇAMENTO!$W$15,ROW(AI43)-ROW(AI$15),0),15-13*ORÇAMENTO!$AF$11)),0)</f>
        <v>0</v>
      </c>
      <c r="AJ43" s="545">
        <f ca="1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0</v>
      </c>
      <c r="AK43" s="546">
        <f ca="1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0</v>
      </c>
      <c r="AM43" s="181">
        <f ca="1">IF($D43&lt;&gt;"Serviço",0,IF(AND(AUTOEVENTO="Manual",$M43=1),0,IF(OFFSET(CRONOPLE!$F$14,$M43,AM$13)="",10^12,OFFSET(CRONOPLE!$F$14,$M43,AM$13))))</f>
        <v>1000000000000</v>
      </c>
      <c r="AN43" s="181">
        <f ca="1">IF($D43&lt;&gt;"Serviço",0,IF(AND(AUTOEVENTO="Manual",$M43=1),0,IF(OFFSET(CRONOPLE!$F$14,$M43,AN$13)="",10^12,OFFSET(CRONOPLE!$F$14,$M43,AN$13))))</f>
        <v>1000000000000</v>
      </c>
      <c r="AO43" s="181">
        <f ca="1">IF($D43&lt;&gt;"Serviço",0,IF(AND(AUTOEVENTO="Manual",$M43=1),0,IF(OFFSET(CRONOPLE!$F$14,$M43,AO$13)="",10^12,OFFSET(CRONOPLE!$F$14,$M43,AO$13))))</f>
        <v>1000000000000</v>
      </c>
      <c r="AP43" s="181">
        <f ca="1">IF($D43&lt;&gt;"Serviço",0,IF(AND(AUTOEVENTO="Manual",$M43=1),0,IF(OFFSET(CRONOPLE!$F$14,$M43,AP$13)="",10^12,OFFSET(CRONOPLE!$F$14,$M43,AP$13))))</f>
        <v>1000000000000</v>
      </c>
      <c r="AQ43" s="181">
        <f ca="1">IF($D43&lt;&gt;"Serviço",0,IF(AND(AUTOEVENTO="Manual",$M43=1),0,IF(OFFSET(CRONOPLE!$F$14,$M43,AQ$13)="",10^12,OFFSET(CRONOPLE!$F$14,$M43,AQ$13))))</f>
        <v>1000000000000</v>
      </c>
      <c r="AR43" s="181">
        <f ca="1">IF($D43&lt;&gt;"Serviço",0,IF(AND(AUTOEVENTO="Manual",$M43=1),0,IF(OFFSET(CRONOPLE!$F$14,$M43,AR$13)="",10^12,OFFSET(CRONOPLE!$F$14,$M43,AR$13))))</f>
        <v>1000000000000</v>
      </c>
      <c r="AS43" s="181">
        <f ca="1">IF($D43&lt;&gt;"Serviço",0,IF(AND(AUTOEVENTO="Manual",$M43=1),0,IF(OFFSET(CRONOPLE!$F$14,$M43,AS$13)="",10^12,OFFSET(CRONOPLE!$F$14,$M43,AS$13))))</f>
        <v>1000000000000</v>
      </c>
      <c r="AT43" s="181">
        <f ca="1">IF($D43&lt;&gt;"Serviço",0,IF(AND(AUTOEVENTO="Manual",$M43=1),0,IF(OFFSET(CRONOPLE!$F$14,$M43,AT$13)="",10^12,OFFSET(CRONOPLE!$F$14,$M43,AT$13))))</f>
        <v>1000000000000</v>
      </c>
      <c r="AU43" s="181">
        <f ca="1">IF($D43&lt;&gt;"Serviço",0,IF(AND(AUTOEVENTO="Manual",$M43=1),0,IF(OFFSET(CRONOPLE!$F$14,$M43,AU$13)="",10^12,OFFSET(CRONOPLE!$F$14,$M43,AU$13))))</f>
        <v>1000000000000</v>
      </c>
      <c r="AV43" s="181">
        <f ca="1">IF($D43&lt;&gt;"Serviço",0,IF(AND(AUTOEVENTO="Manual",$M43=1),0,IF(OFFSET(CRONOPLE!$F$14,$M43,AV$13)="",10^12,OFFSET(CRONOPLE!$F$14,$M43,AV$13))))</f>
        <v>1000000000000</v>
      </c>
      <c r="AX43" s="182">
        <f ca="1">IF($D43&lt;&gt;"Serviço",0,IF(OR(AND(AUTOEVENTO="Manual",$M43=1),$M43&gt;(ROW(PLE.lastrow)-ROW(PLE.firstrow))),0,IF(OFFSET(PLE!$G$14,$M43,AX$13)="",10^12,OFFSET(PLE!$G$14,$M43,AX$13))))</f>
        <v>1000000000000</v>
      </c>
      <c r="AY43" s="182">
        <f ca="1">IF($D43&lt;&gt;"Serviço",0,IF(OR(AND(AUTOEVENTO="Manual",$M43=1),$M43&gt;(ROW(PLE.lastrow)-ROW(PLE.firstrow))),0,IF(OFFSET(PLE!$G$14,$M43,AY$13)="",10^12,OFFSET(PLE!$G$14,$M43,AY$13))))</f>
        <v>1000000000000</v>
      </c>
      <c r="AZ43" s="182">
        <f ca="1">IF($D43&lt;&gt;"Serviço",0,IF(OR(AND(AUTOEVENTO="Manual",$M43=1),$M43&gt;(ROW(PLE.lastrow)-ROW(PLE.firstrow))),0,IF(OFFSET(PLE!$G$14,$M43,AZ$13)="",10^12,OFFSET(PLE!$G$14,$M43,AZ$13))))</f>
        <v>1000000000000</v>
      </c>
      <c r="BA43" s="182">
        <f ca="1">IF($D43&lt;&gt;"Serviço",0,IF(OR(AND(AUTOEVENTO="Manual",$M43=1),$M43&gt;(ROW(PLE.lastrow)-ROW(PLE.firstrow))),0,IF(OFFSET(PLE!$G$14,$M43,BA$13)="",10^12,OFFSET(PLE!$G$14,$M43,BA$13))))</f>
        <v>1000000000000</v>
      </c>
      <c r="BB43" s="182">
        <f ca="1">IF($D43&lt;&gt;"Serviço",0,IF(OR(AND(AUTOEVENTO="Manual",$M43=1),$M43&gt;(ROW(PLE.lastrow)-ROW(PLE.firstrow))),0,IF(OFFSET(PLE!$G$14,$M43,BB$13)="",10^12,OFFSET(PLE!$G$14,$M43,BB$13))))</f>
        <v>1000000000000</v>
      </c>
      <c r="BC43" s="182">
        <f ca="1">IF($D43&lt;&gt;"Serviço",0,IF(OR(AND(AUTOEVENTO="Manual",$M43=1),$M43&gt;(ROW(PLE.lastrow)-ROW(PLE.firstrow))),0,IF(OFFSET(PLE!$G$14,$M43,BC$13)="",10^12,OFFSET(PLE!$G$14,$M43,BC$13))))</f>
        <v>1000000000000</v>
      </c>
      <c r="BD43" s="182">
        <f ca="1">IF($D43&lt;&gt;"Serviço",0,IF(OR(AND(AUTOEVENTO="Manual",$M43=1),$M43&gt;(ROW(PLE.lastrow)-ROW(PLE.firstrow))),0,IF(OFFSET(PLE!$G$14,$M43,BD$13)="",10^12,OFFSET(PLE!$G$14,$M43,BD$13))))</f>
        <v>1000000000000</v>
      </c>
      <c r="BE43" s="182">
        <f ca="1">IF($D43&lt;&gt;"Serviço",0,IF(OR(AND(AUTOEVENTO="Manual",$M43=1),$M43&gt;(ROW(PLE.lastrow)-ROW(PLE.firstrow))),0,IF(OFFSET(PLE!$G$14,$M43,BE$13)="",10^12,OFFSET(PLE!$G$14,$M43,BE$13))))</f>
        <v>1000000000000</v>
      </c>
      <c r="BF43" s="182">
        <f ca="1">IF($D43&lt;&gt;"Serviço",0,IF(OR(AND(AUTOEVENTO="Manual",$M43=1),$M43&gt;(ROW(PLE.lastrow)-ROW(PLE.firstrow))),0,IF(OFFSET(PLE!$G$14,$M43,BF$13)="",10^12,OFFSET(PLE!$G$14,$M43,BF$13))))</f>
        <v>1000000000000</v>
      </c>
      <c r="BG43" s="182">
        <f ca="1">IF($D43&lt;&gt;"Serviço",0,IF(OR(AND(AUTOEVENTO="Manual",$M43=1),$M43&gt;(ROW(PLE.lastrow)-ROW(PLE.firstrow))),0,IF(OFFSET(PLE!$G$14,$M43,BG$13)="",10^12,OFFSET(PLE!$G$14,$M43,BG$13))))</f>
        <v>1000000000000</v>
      </c>
    </row>
    <row r="44" spans="1:59" ht="25.5" x14ac:dyDescent="0.2">
      <c r="A44" s="7" t="str">
        <f t="shared" ca="1" si="8"/>
        <v>26</v>
      </c>
      <c r="B44" s="7" t="str">
        <f ca="1">OFFSET(ORÇAMENTO!C$15,ROW(B44)-ROW(B$15),0)</f>
        <v>S</v>
      </c>
      <c r="C44" s="7" t="str">
        <f ca="1">OFFSET(ORÇAMENTO!L$15,ROW(C44)-ROW(C$15),0)</f>
        <v>F</v>
      </c>
      <c r="D44" s="118" t="str">
        <f ca="1">OFFSET(ORÇAMENTO!N$15,ROW(D44)-ROW(D$15),0)</f>
        <v>Serviço</v>
      </c>
      <c r="E44" s="119" t="str">
        <f ca="1">OFFSET(ORÇAMENTO!O$15,ROW(E44)-ROW(E$15),0)</f>
        <v>1.3.1.2.</v>
      </c>
      <c r="F44" s="172" t="str">
        <f ca="1">OFFSET(ORÇAMENTO!R$15,ROW(F44)-ROW(F$15),0)</f>
        <v>(abra o arquivo 'Referência 03-2024.xlsm)</v>
      </c>
      <c r="G44" s="173" t="str">
        <f ca="1">IF($D44&lt;&gt;"Serviço","",OFFSET(ORÇAMENTO!S$15,ROW(G44)-ROW(G$15),0))</f>
        <v>-</v>
      </c>
      <c r="H44" s="124">
        <f ca="1">IF($D44&lt;&gt;"Serviço",0,IF(ACOMPANHAMENTO="BM",ROUND(OFFSET(ORÇAMENTO!AJ$15,ROW(H44)-ROW(H$15),0),15-13*ORÇAMENTO!$AF$7),SUMPRODUCT(($Q$12:$AA$12&lt;&gt;"")*ROUND($Q44:$AA44,15-13*ORÇAMENTO!$AF$7))))</f>
        <v>0.03</v>
      </c>
      <c r="I44" s="561"/>
      <c r="K44" s="174"/>
      <c r="L44" s="175" t="s">
        <v>255</v>
      </c>
      <c r="M44" s="176">
        <f ca="1">IF($D44&lt;&gt;"Serviço","",IF(AUTOEVENTO="manual",$A44,IF(ISERROR(MATCH($A44,$A$15:OFFSET($A44,-1,0),0)),MAX($M$15:OFFSET(M44,-1,0))+1,INDEX($M$15:OFFSET(M44,-1,0),MATCH($A44,$A$15:OFFSET($A44,-1,0),0)))))</f>
        <v>4</v>
      </c>
      <c r="N44" s="177" t="str">
        <f ca="1">IF($D44&lt;&gt;"Serviço","",IF(AUTOEVENTO="Manual",IF($A44=0,"&lt;-- defina o número do agrupador",OFFSET(EVENTOS!$D$14,$A44,0)),OFFSET($F$15,$A44,0)))</f>
        <v>ENTRADA DE ENERGIA PADRÃO, MURETA E QGBT</v>
      </c>
      <c r="O44" s="178"/>
      <c r="Q44" s="178"/>
      <c r="R44" s="179"/>
      <c r="S44" s="179"/>
      <c r="T44" s="179"/>
      <c r="U44" s="179"/>
      <c r="V44" s="179"/>
      <c r="W44" s="179"/>
      <c r="X44" s="179"/>
      <c r="Y44" s="179"/>
      <c r="Z44" s="180"/>
      <c r="AB44" s="544">
        <f ca="1">IF(AND($D44="Serviço",AB$12&lt;&gt;0,$H44&gt;0,OR(AUTOEVENTO&lt;&gt;"manual",$M44&lt;&gt;1)),
IF(Import.TipoArredondamento&lt;&gt;"TransfereGOV",
ROUND(OFFSET($P44,0,AB$13),15-13*ORÇAMENTO!$AF$7)/$H44*OFFSET(ORÇAMENTO!$X$15,ROW(AB44)-ROW(AB$15),0),
ROUND(ROUND(OFFSET($P44,0,AB$13),15-13*ORÇAMENTO!$AF$7)*OFFSET(ORÇAMENTO!$W$15,ROW(AB44)-ROW(AB$15),0),15-13*ORÇAMENTO!$AF$11)),0)</f>
        <v>0</v>
      </c>
      <c r="AC44" s="545">
        <f ca="1">IF(AND($D44="Serviço",AC$12&lt;&gt;0,$H44&gt;0,OR(AUTOEVENTO&lt;&gt;"manual",$M44&lt;&gt;1)),
IF(Import.TipoArredondamento&lt;&gt;"TransfereGOV",
ROUND(OFFSET($P44,0,AC$13),15-13*ORÇAMENTO!$AF$7)/$H44*OFFSET(ORÇAMENTO!$X$15,ROW(AC44)-ROW(AC$15),0),
ROUND(ROUND(OFFSET($P44,0,AC$13),15-13*ORÇAMENTO!$AF$7)*OFFSET(ORÇAMENTO!$W$15,ROW(AC44)-ROW(AC$15),0),15-13*ORÇAMENTO!$AF$11)),0)</f>
        <v>0</v>
      </c>
      <c r="AD44" s="545">
        <f ca="1">IF(AND($D44="Serviço",AD$12&lt;&gt;0,$H44&gt;0,OR(AUTOEVENTO&lt;&gt;"manual",$M44&lt;&gt;1)),
IF(Import.TipoArredondamento&lt;&gt;"TransfereGOV",
ROUND(OFFSET($P44,0,AD$13),15-13*ORÇAMENTO!$AF$7)/$H44*OFFSET(ORÇAMENTO!$X$15,ROW(AD44)-ROW(AD$15),0),
ROUND(ROUND(OFFSET($P44,0,AD$13),15-13*ORÇAMENTO!$AF$7)*OFFSET(ORÇAMENTO!$W$15,ROW(AD44)-ROW(AD$15),0),15-13*ORÇAMENTO!$AF$11)),0)</f>
        <v>0</v>
      </c>
      <c r="AE44" s="545">
        <f ca="1">IF(AND($D44="Serviço",AE$12&lt;&gt;0,$H44&gt;0,OR(AUTOEVENTO&lt;&gt;"manual",$M44&lt;&gt;1)),
IF(Import.TipoArredondamento&lt;&gt;"TransfereGOV",
ROUND(OFFSET($P44,0,AE$13),15-13*ORÇAMENTO!$AF$7)/$H44*OFFSET(ORÇAMENTO!$X$15,ROW(AE44)-ROW(AE$15),0),
ROUND(ROUND(OFFSET($P44,0,AE$13),15-13*ORÇAMENTO!$AF$7)*OFFSET(ORÇAMENTO!$W$15,ROW(AE44)-ROW(AE$15),0),15-13*ORÇAMENTO!$AF$11)),0)</f>
        <v>0</v>
      </c>
      <c r="AF44" s="545">
        <f ca="1">IF(AND($D44="Serviço",AF$12&lt;&gt;0,$H44&gt;0,OR(AUTOEVENTO&lt;&gt;"manual",$M44&lt;&gt;1)),
IF(Import.TipoArredondamento&lt;&gt;"TransfereGOV",
ROUND(OFFSET($P44,0,AF$13),15-13*ORÇAMENTO!$AF$7)/$H44*OFFSET(ORÇAMENTO!$X$15,ROW(AF44)-ROW(AF$15),0),
ROUND(ROUND(OFFSET($P44,0,AF$13),15-13*ORÇAMENTO!$AF$7)*OFFSET(ORÇAMENTO!$W$15,ROW(AF44)-ROW(AF$15),0),15-13*ORÇAMENTO!$AF$11)),0)</f>
        <v>0</v>
      </c>
      <c r="AG44" s="545">
        <f ca="1">IF(AND($D44="Serviço",AG$12&lt;&gt;0,$H44&gt;0,OR(AUTOEVENTO&lt;&gt;"manual",$M44&lt;&gt;1)),
IF(Import.TipoArredondamento&lt;&gt;"TransfereGOV",
ROUND(OFFSET($P44,0,AG$13),15-13*ORÇAMENTO!$AF$7)/$H44*OFFSET(ORÇAMENTO!$X$15,ROW(AG44)-ROW(AG$15),0),
ROUND(ROUND(OFFSET($P44,0,AG$13),15-13*ORÇAMENTO!$AF$7)*OFFSET(ORÇAMENTO!$W$15,ROW(AG44)-ROW(AG$15),0),15-13*ORÇAMENTO!$AF$11)),0)</f>
        <v>0</v>
      </c>
      <c r="AH44" s="545">
        <f ca="1">IF(AND($D44="Serviço",AH$12&lt;&gt;0,$H44&gt;0,OR(AUTOEVENTO&lt;&gt;"manual",$M44&lt;&gt;1)),
IF(Import.TipoArredondamento&lt;&gt;"TransfereGOV",
ROUND(OFFSET($P44,0,AH$13),15-13*ORÇAMENTO!$AF$7)/$H44*OFFSET(ORÇAMENTO!$X$15,ROW(AH44)-ROW(AH$15),0),
ROUND(ROUND(OFFSET($P44,0,AH$13),15-13*ORÇAMENTO!$AF$7)*OFFSET(ORÇAMENTO!$W$15,ROW(AH44)-ROW(AH$15),0),15-13*ORÇAMENTO!$AF$11)),0)</f>
        <v>0</v>
      </c>
      <c r="AI44" s="545">
        <f ca="1">IF(AND($D44="Serviço",AI$12&lt;&gt;0,$H44&gt;0,OR(AUTOEVENTO&lt;&gt;"manual",$M44&lt;&gt;1)),
IF(Import.TipoArredondamento&lt;&gt;"TransfereGOV",
ROUND(OFFSET($P44,0,AI$13),15-13*ORÇAMENTO!$AF$7)/$H44*OFFSET(ORÇAMENTO!$X$15,ROW(AI44)-ROW(AI$15),0),
ROUND(ROUND(OFFSET($P44,0,AI$13),15-13*ORÇAMENTO!$AF$7)*OFFSET(ORÇAMENTO!$W$15,ROW(AI44)-ROW(AI$15),0),15-13*ORÇAMENTO!$AF$11)),0)</f>
        <v>0</v>
      </c>
      <c r="AJ44" s="545">
        <f ca="1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0</v>
      </c>
      <c r="AK44" s="546">
        <f ca="1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0</v>
      </c>
      <c r="AM44" s="181">
        <f ca="1">IF($D44&lt;&gt;"Serviço",0,IF(AND(AUTOEVENTO="Manual",$M44=1),0,IF(OFFSET(CRONOPLE!$F$14,$M44,AM$13)="",10^12,OFFSET(CRONOPLE!$F$14,$M44,AM$13))))</f>
        <v>1000000000000</v>
      </c>
      <c r="AN44" s="181">
        <f ca="1">IF($D44&lt;&gt;"Serviço",0,IF(AND(AUTOEVENTO="Manual",$M44=1),0,IF(OFFSET(CRONOPLE!$F$14,$M44,AN$13)="",10^12,OFFSET(CRONOPLE!$F$14,$M44,AN$13))))</f>
        <v>1000000000000</v>
      </c>
      <c r="AO44" s="181">
        <f ca="1">IF($D44&lt;&gt;"Serviço",0,IF(AND(AUTOEVENTO="Manual",$M44=1),0,IF(OFFSET(CRONOPLE!$F$14,$M44,AO$13)="",10^12,OFFSET(CRONOPLE!$F$14,$M44,AO$13))))</f>
        <v>1000000000000</v>
      </c>
      <c r="AP44" s="181">
        <f ca="1">IF($D44&lt;&gt;"Serviço",0,IF(AND(AUTOEVENTO="Manual",$M44=1),0,IF(OFFSET(CRONOPLE!$F$14,$M44,AP$13)="",10^12,OFFSET(CRONOPLE!$F$14,$M44,AP$13))))</f>
        <v>1000000000000</v>
      </c>
      <c r="AQ44" s="181">
        <f ca="1">IF($D44&lt;&gt;"Serviço",0,IF(AND(AUTOEVENTO="Manual",$M44=1),0,IF(OFFSET(CRONOPLE!$F$14,$M44,AQ$13)="",10^12,OFFSET(CRONOPLE!$F$14,$M44,AQ$13))))</f>
        <v>1000000000000</v>
      </c>
      <c r="AR44" s="181">
        <f ca="1">IF($D44&lt;&gt;"Serviço",0,IF(AND(AUTOEVENTO="Manual",$M44=1),0,IF(OFFSET(CRONOPLE!$F$14,$M44,AR$13)="",10^12,OFFSET(CRONOPLE!$F$14,$M44,AR$13))))</f>
        <v>1000000000000</v>
      </c>
      <c r="AS44" s="181">
        <f ca="1">IF($D44&lt;&gt;"Serviço",0,IF(AND(AUTOEVENTO="Manual",$M44=1),0,IF(OFFSET(CRONOPLE!$F$14,$M44,AS$13)="",10^12,OFFSET(CRONOPLE!$F$14,$M44,AS$13))))</f>
        <v>1000000000000</v>
      </c>
      <c r="AT44" s="181">
        <f ca="1">IF($D44&lt;&gt;"Serviço",0,IF(AND(AUTOEVENTO="Manual",$M44=1),0,IF(OFFSET(CRONOPLE!$F$14,$M44,AT$13)="",10^12,OFFSET(CRONOPLE!$F$14,$M44,AT$13))))</f>
        <v>1000000000000</v>
      </c>
      <c r="AU44" s="181">
        <f ca="1">IF($D44&lt;&gt;"Serviço",0,IF(AND(AUTOEVENTO="Manual",$M44=1),0,IF(OFFSET(CRONOPLE!$F$14,$M44,AU$13)="",10^12,OFFSET(CRONOPLE!$F$14,$M44,AU$13))))</f>
        <v>1000000000000</v>
      </c>
      <c r="AV44" s="181">
        <f ca="1">IF($D44&lt;&gt;"Serviço",0,IF(AND(AUTOEVENTO="Manual",$M44=1),0,IF(OFFSET(CRONOPLE!$F$14,$M44,AV$13)="",10^12,OFFSET(CRONOPLE!$F$14,$M44,AV$13))))</f>
        <v>1000000000000</v>
      </c>
      <c r="AX44" s="182">
        <f ca="1">IF($D44&lt;&gt;"Serviço",0,IF(OR(AND(AUTOEVENTO="Manual",$M44=1),$M44&gt;(ROW(PLE.lastrow)-ROW(PLE.firstrow))),0,IF(OFFSET(PLE!$G$14,$M44,AX$13)="",10^12,OFFSET(PLE!$G$14,$M44,AX$13))))</f>
        <v>1000000000000</v>
      </c>
      <c r="AY44" s="182">
        <f ca="1">IF($D44&lt;&gt;"Serviço",0,IF(OR(AND(AUTOEVENTO="Manual",$M44=1),$M44&gt;(ROW(PLE.lastrow)-ROW(PLE.firstrow))),0,IF(OFFSET(PLE!$G$14,$M44,AY$13)="",10^12,OFFSET(PLE!$G$14,$M44,AY$13))))</f>
        <v>1000000000000</v>
      </c>
      <c r="AZ44" s="182">
        <f ca="1">IF($D44&lt;&gt;"Serviço",0,IF(OR(AND(AUTOEVENTO="Manual",$M44=1),$M44&gt;(ROW(PLE.lastrow)-ROW(PLE.firstrow))),0,IF(OFFSET(PLE!$G$14,$M44,AZ$13)="",10^12,OFFSET(PLE!$G$14,$M44,AZ$13))))</f>
        <v>1000000000000</v>
      </c>
      <c r="BA44" s="182">
        <f ca="1">IF($D44&lt;&gt;"Serviço",0,IF(OR(AND(AUTOEVENTO="Manual",$M44=1),$M44&gt;(ROW(PLE.lastrow)-ROW(PLE.firstrow))),0,IF(OFFSET(PLE!$G$14,$M44,BA$13)="",10^12,OFFSET(PLE!$G$14,$M44,BA$13))))</f>
        <v>1000000000000</v>
      </c>
      <c r="BB44" s="182">
        <f ca="1">IF($D44&lt;&gt;"Serviço",0,IF(OR(AND(AUTOEVENTO="Manual",$M44=1),$M44&gt;(ROW(PLE.lastrow)-ROW(PLE.firstrow))),0,IF(OFFSET(PLE!$G$14,$M44,BB$13)="",10^12,OFFSET(PLE!$G$14,$M44,BB$13))))</f>
        <v>1000000000000</v>
      </c>
      <c r="BC44" s="182">
        <f ca="1">IF($D44&lt;&gt;"Serviço",0,IF(OR(AND(AUTOEVENTO="Manual",$M44=1),$M44&gt;(ROW(PLE.lastrow)-ROW(PLE.firstrow))),0,IF(OFFSET(PLE!$G$14,$M44,BC$13)="",10^12,OFFSET(PLE!$G$14,$M44,BC$13))))</f>
        <v>1000000000000</v>
      </c>
      <c r="BD44" s="182">
        <f ca="1">IF($D44&lt;&gt;"Serviço",0,IF(OR(AND(AUTOEVENTO="Manual",$M44=1),$M44&gt;(ROW(PLE.lastrow)-ROW(PLE.firstrow))),0,IF(OFFSET(PLE!$G$14,$M44,BD$13)="",10^12,OFFSET(PLE!$G$14,$M44,BD$13))))</f>
        <v>1000000000000</v>
      </c>
      <c r="BE44" s="182">
        <f ca="1">IF($D44&lt;&gt;"Serviço",0,IF(OR(AND(AUTOEVENTO="Manual",$M44=1),$M44&gt;(ROW(PLE.lastrow)-ROW(PLE.firstrow))),0,IF(OFFSET(PLE!$G$14,$M44,BE$13)="",10^12,OFFSET(PLE!$G$14,$M44,BE$13))))</f>
        <v>1000000000000</v>
      </c>
      <c r="BF44" s="182">
        <f ca="1">IF($D44&lt;&gt;"Serviço",0,IF(OR(AND(AUTOEVENTO="Manual",$M44=1),$M44&gt;(ROW(PLE.lastrow)-ROW(PLE.firstrow))),0,IF(OFFSET(PLE!$G$14,$M44,BF$13)="",10^12,OFFSET(PLE!$G$14,$M44,BF$13))))</f>
        <v>1000000000000</v>
      </c>
      <c r="BG44" s="182">
        <f ca="1">IF($D44&lt;&gt;"Serviço",0,IF(OR(AND(AUTOEVENTO="Manual",$M44=1),$M44&gt;(ROW(PLE.lastrow)-ROW(PLE.firstrow))),0,IF(OFFSET(PLE!$G$14,$M44,BG$13)="",10^12,OFFSET(PLE!$G$14,$M44,BG$13))))</f>
        <v>1000000000000</v>
      </c>
    </row>
    <row r="45" spans="1:59" ht="25.5" x14ac:dyDescent="0.2">
      <c r="A45" s="7" t="str">
        <f t="shared" ca="1" si="8"/>
        <v>26</v>
      </c>
      <c r="B45" s="7" t="str">
        <f ca="1">OFFSET(ORÇAMENTO!C$15,ROW(B45)-ROW(B$15),0)</f>
        <v>S</v>
      </c>
      <c r="C45" s="7" t="str">
        <f ca="1">OFFSET(ORÇAMENTO!L$15,ROW(C45)-ROW(C$15),0)</f>
        <v>F</v>
      </c>
      <c r="D45" s="118" t="str">
        <f ca="1">OFFSET(ORÇAMENTO!N$15,ROW(D45)-ROW(D$15),0)</f>
        <v>Serviço</v>
      </c>
      <c r="E45" s="119" t="str">
        <f ca="1">OFFSET(ORÇAMENTO!O$15,ROW(E45)-ROW(E$15),0)</f>
        <v>1.3.1.3.</v>
      </c>
      <c r="F45" s="172" t="str">
        <f ca="1">OFFSET(ORÇAMENTO!R$15,ROW(F45)-ROW(F$15),0)</f>
        <v>(abra o arquivo 'Referência 03-2024.xlsm)</v>
      </c>
      <c r="G45" s="173" t="str">
        <f ca="1">IF($D45&lt;&gt;"Serviço","",OFFSET(ORÇAMENTO!S$15,ROW(G45)-ROW(G$15),0))</f>
        <v>-</v>
      </c>
      <c r="H45" s="124">
        <f ca="1">IF($D45&lt;&gt;"Serviço",0,IF(ACOMPANHAMENTO="BM",ROUND(OFFSET(ORÇAMENTO!AJ$15,ROW(H45)-ROW(H$15),0),15-13*ORÇAMENTO!$AF$7),SUMPRODUCT(($Q$12:$AA$12&lt;&gt;"")*ROUND($Q45:$AA45,15-13*ORÇAMENTO!$AF$7))))</f>
        <v>0.02</v>
      </c>
      <c r="I45" s="561"/>
      <c r="K45" s="174"/>
      <c r="L45" s="175" t="s">
        <v>255</v>
      </c>
      <c r="M45" s="176">
        <f ca="1">IF($D45&lt;&gt;"Serviço","",IF(AUTOEVENTO="manual",$A45,IF(ISERROR(MATCH($A45,$A$15:OFFSET($A45,-1,0),0)),MAX($M$15:OFFSET(M45,-1,0))+1,INDEX($M$15:OFFSET(M45,-1,0),MATCH($A45,$A$15:OFFSET($A45,-1,0),0)))))</f>
        <v>4</v>
      </c>
      <c r="N45" s="177" t="str">
        <f ca="1">IF($D45&lt;&gt;"Serviço","",IF(AUTOEVENTO="Manual",IF($A45=0,"&lt;-- defina o número do agrupador",OFFSET(EVENTOS!$D$14,$A45,0)),OFFSET($F$15,$A45,0)))</f>
        <v>ENTRADA DE ENERGIA PADRÃO, MURETA E QGBT</v>
      </c>
      <c r="O45" s="178"/>
      <c r="Q45" s="178"/>
      <c r="R45" s="179"/>
      <c r="S45" s="179"/>
      <c r="T45" s="179"/>
      <c r="U45" s="179"/>
      <c r="V45" s="179"/>
      <c r="W45" s="179"/>
      <c r="X45" s="179"/>
      <c r="Y45" s="179"/>
      <c r="Z45" s="180"/>
      <c r="AB45" s="544">
        <f ca="1">IF(AND($D45="Serviço",AB$12&lt;&gt;0,$H45&gt;0,OR(AUTOEVENTO&lt;&gt;"manual",$M45&lt;&gt;1)),
IF(Import.TipoArredondamento&lt;&gt;"TransfereGOV",
ROUND(OFFSET($P45,0,AB$13),15-13*ORÇAMENTO!$AF$7)/$H45*OFFSET(ORÇAMENTO!$X$15,ROW(AB45)-ROW(AB$15),0),
ROUND(ROUND(OFFSET($P45,0,AB$13),15-13*ORÇAMENTO!$AF$7)*OFFSET(ORÇAMENTO!$W$15,ROW(AB45)-ROW(AB$15),0),15-13*ORÇAMENTO!$AF$11)),0)</f>
        <v>0</v>
      </c>
      <c r="AC45" s="545">
        <f ca="1">IF(AND($D45="Serviço",AC$12&lt;&gt;0,$H45&gt;0,OR(AUTOEVENTO&lt;&gt;"manual",$M45&lt;&gt;1)),
IF(Import.TipoArredondamento&lt;&gt;"TransfereGOV",
ROUND(OFFSET($P45,0,AC$13),15-13*ORÇAMENTO!$AF$7)/$H45*OFFSET(ORÇAMENTO!$X$15,ROW(AC45)-ROW(AC$15),0),
ROUND(ROUND(OFFSET($P45,0,AC$13),15-13*ORÇAMENTO!$AF$7)*OFFSET(ORÇAMENTO!$W$15,ROW(AC45)-ROW(AC$15),0),15-13*ORÇAMENTO!$AF$11)),0)</f>
        <v>0</v>
      </c>
      <c r="AD45" s="545">
        <f ca="1">IF(AND($D45="Serviço",AD$12&lt;&gt;0,$H45&gt;0,OR(AUTOEVENTO&lt;&gt;"manual",$M45&lt;&gt;1)),
IF(Import.TipoArredondamento&lt;&gt;"TransfereGOV",
ROUND(OFFSET($P45,0,AD$13),15-13*ORÇAMENTO!$AF$7)/$H45*OFFSET(ORÇAMENTO!$X$15,ROW(AD45)-ROW(AD$15),0),
ROUND(ROUND(OFFSET($P45,0,AD$13),15-13*ORÇAMENTO!$AF$7)*OFFSET(ORÇAMENTO!$W$15,ROW(AD45)-ROW(AD$15),0),15-13*ORÇAMENTO!$AF$11)),0)</f>
        <v>0</v>
      </c>
      <c r="AE45" s="545">
        <f ca="1">IF(AND($D45="Serviço",AE$12&lt;&gt;0,$H45&gt;0,OR(AUTOEVENTO&lt;&gt;"manual",$M45&lt;&gt;1)),
IF(Import.TipoArredondamento&lt;&gt;"TransfereGOV",
ROUND(OFFSET($P45,0,AE$13),15-13*ORÇAMENTO!$AF$7)/$H45*OFFSET(ORÇAMENTO!$X$15,ROW(AE45)-ROW(AE$15),0),
ROUND(ROUND(OFFSET($P45,0,AE$13),15-13*ORÇAMENTO!$AF$7)*OFFSET(ORÇAMENTO!$W$15,ROW(AE45)-ROW(AE$15),0),15-13*ORÇAMENTO!$AF$11)),0)</f>
        <v>0</v>
      </c>
      <c r="AF45" s="545">
        <f ca="1">IF(AND($D45="Serviço",AF$12&lt;&gt;0,$H45&gt;0,OR(AUTOEVENTO&lt;&gt;"manual",$M45&lt;&gt;1)),
IF(Import.TipoArredondamento&lt;&gt;"TransfereGOV",
ROUND(OFFSET($P45,0,AF$13),15-13*ORÇAMENTO!$AF$7)/$H45*OFFSET(ORÇAMENTO!$X$15,ROW(AF45)-ROW(AF$15),0),
ROUND(ROUND(OFFSET($P45,0,AF$13),15-13*ORÇAMENTO!$AF$7)*OFFSET(ORÇAMENTO!$W$15,ROW(AF45)-ROW(AF$15),0),15-13*ORÇAMENTO!$AF$11)),0)</f>
        <v>0</v>
      </c>
      <c r="AG45" s="545">
        <f ca="1">IF(AND($D45="Serviço",AG$12&lt;&gt;0,$H45&gt;0,OR(AUTOEVENTO&lt;&gt;"manual",$M45&lt;&gt;1)),
IF(Import.TipoArredondamento&lt;&gt;"TransfereGOV",
ROUND(OFFSET($P45,0,AG$13),15-13*ORÇAMENTO!$AF$7)/$H45*OFFSET(ORÇAMENTO!$X$15,ROW(AG45)-ROW(AG$15),0),
ROUND(ROUND(OFFSET($P45,0,AG$13),15-13*ORÇAMENTO!$AF$7)*OFFSET(ORÇAMENTO!$W$15,ROW(AG45)-ROW(AG$15),0),15-13*ORÇAMENTO!$AF$11)),0)</f>
        <v>0</v>
      </c>
      <c r="AH45" s="545">
        <f ca="1">IF(AND($D45="Serviço",AH$12&lt;&gt;0,$H45&gt;0,OR(AUTOEVENTO&lt;&gt;"manual",$M45&lt;&gt;1)),
IF(Import.TipoArredondamento&lt;&gt;"TransfereGOV",
ROUND(OFFSET($P45,0,AH$13),15-13*ORÇAMENTO!$AF$7)/$H45*OFFSET(ORÇAMENTO!$X$15,ROW(AH45)-ROW(AH$15),0),
ROUND(ROUND(OFFSET($P45,0,AH$13),15-13*ORÇAMENTO!$AF$7)*OFFSET(ORÇAMENTO!$W$15,ROW(AH45)-ROW(AH$15),0),15-13*ORÇAMENTO!$AF$11)),0)</f>
        <v>0</v>
      </c>
      <c r="AI45" s="545">
        <f ca="1">IF(AND($D45="Serviço",AI$12&lt;&gt;0,$H45&gt;0,OR(AUTOEVENTO&lt;&gt;"manual",$M45&lt;&gt;1)),
IF(Import.TipoArredondamento&lt;&gt;"TransfereGOV",
ROUND(OFFSET($P45,0,AI$13),15-13*ORÇAMENTO!$AF$7)/$H45*OFFSET(ORÇAMENTO!$X$15,ROW(AI45)-ROW(AI$15),0),
ROUND(ROUND(OFFSET($P45,0,AI$13),15-13*ORÇAMENTO!$AF$7)*OFFSET(ORÇAMENTO!$W$15,ROW(AI45)-ROW(AI$15),0),15-13*ORÇAMENTO!$AF$11)),0)</f>
        <v>0</v>
      </c>
      <c r="AJ45" s="545">
        <f ca="1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0</v>
      </c>
      <c r="AK45" s="546">
        <f ca="1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0</v>
      </c>
      <c r="AM45" s="181">
        <f ca="1">IF($D45&lt;&gt;"Serviço",0,IF(AND(AUTOEVENTO="Manual",$M45=1),0,IF(OFFSET(CRONOPLE!$F$14,$M45,AM$13)="",10^12,OFFSET(CRONOPLE!$F$14,$M45,AM$13))))</f>
        <v>1000000000000</v>
      </c>
      <c r="AN45" s="181">
        <f ca="1">IF($D45&lt;&gt;"Serviço",0,IF(AND(AUTOEVENTO="Manual",$M45=1),0,IF(OFFSET(CRONOPLE!$F$14,$M45,AN$13)="",10^12,OFFSET(CRONOPLE!$F$14,$M45,AN$13))))</f>
        <v>1000000000000</v>
      </c>
      <c r="AO45" s="181">
        <f ca="1">IF($D45&lt;&gt;"Serviço",0,IF(AND(AUTOEVENTO="Manual",$M45=1),0,IF(OFFSET(CRONOPLE!$F$14,$M45,AO$13)="",10^12,OFFSET(CRONOPLE!$F$14,$M45,AO$13))))</f>
        <v>1000000000000</v>
      </c>
      <c r="AP45" s="181">
        <f ca="1">IF($D45&lt;&gt;"Serviço",0,IF(AND(AUTOEVENTO="Manual",$M45=1),0,IF(OFFSET(CRONOPLE!$F$14,$M45,AP$13)="",10^12,OFFSET(CRONOPLE!$F$14,$M45,AP$13))))</f>
        <v>1000000000000</v>
      </c>
      <c r="AQ45" s="181">
        <f ca="1">IF($D45&lt;&gt;"Serviço",0,IF(AND(AUTOEVENTO="Manual",$M45=1),0,IF(OFFSET(CRONOPLE!$F$14,$M45,AQ$13)="",10^12,OFFSET(CRONOPLE!$F$14,$M45,AQ$13))))</f>
        <v>1000000000000</v>
      </c>
      <c r="AR45" s="181">
        <f ca="1">IF($D45&lt;&gt;"Serviço",0,IF(AND(AUTOEVENTO="Manual",$M45=1),0,IF(OFFSET(CRONOPLE!$F$14,$M45,AR$13)="",10^12,OFFSET(CRONOPLE!$F$14,$M45,AR$13))))</f>
        <v>1000000000000</v>
      </c>
      <c r="AS45" s="181">
        <f ca="1">IF($D45&lt;&gt;"Serviço",0,IF(AND(AUTOEVENTO="Manual",$M45=1),0,IF(OFFSET(CRONOPLE!$F$14,$M45,AS$13)="",10^12,OFFSET(CRONOPLE!$F$14,$M45,AS$13))))</f>
        <v>1000000000000</v>
      </c>
      <c r="AT45" s="181">
        <f ca="1">IF($D45&lt;&gt;"Serviço",0,IF(AND(AUTOEVENTO="Manual",$M45=1),0,IF(OFFSET(CRONOPLE!$F$14,$M45,AT$13)="",10^12,OFFSET(CRONOPLE!$F$14,$M45,AT$13))))</f>
        <v>1000000000000</v>
      </c>
      <c r="AU45" s="181">
        <f ca="1">IF($D45&lt;&gt;"Serviço",0,IF(AND(AUTOEVENTO="Manual",$M45=1),0,IF(OFFSET(CRONOPLE!$F$14,$M45,AU$13)="",10^12,OFFSET(CRONOPLE!$F$14,$M45,AU$13))))</f>
        <v>1000000000000</v>
      </c>
      <c r="AV45" s="181">
        <f ca="1">IF($D45&lt;&gt;"Serviço",0,IF(AND(AUTOEVENTO="Manual",$M45=1),0,IF(OFFSET(CRONOPLE!$F$14,$M45,AV$13)="",10^12,OFFSET(CRONOPLE!$F$14,$M45,AV$13))))</f>
        <v>1000000000000</v>
      </c>
      <c r="AX45" s="182">
        <f ca="1">IF($D45&lt;&gt;"Serviço",0,IF(OR(AND(AUTOEVENTO="Manual",$M45=1),$M45&gt;(ROW(PLE.lastrow)-ROW(PLE.firstrow))),0,IF(OFFSET(PLE!$G$14,$M45,AX$13)="",10^12,OFFSET(PLE!$G$14,$M45,AX$13))))</f>
        <v>1000000000000</v>
      </c>
      <c r="AY45" s="182">
        <f ca="1">IF($D45&lt;&gt;"Serviço",0,IF(OR(AND(AUTOEVENTO="Manual",$M45=1),$M45&gt;(ROW(PLE.lastrow)-ROW(PLE.firstrow))),0,IF(OFFSET(PLE!$G$14,$M45,AY$13)="",10^12,OFFSET(PLE!$G$14,$M45,AY$13))))</f>
        <v>1000000000000</v>
      </c>
      <c r="AZ45" s="182">
        <f ca="1">IF($D45&lt;&gt;"Serviço",0,IF(OR(AND(AUTOEVENTO="Manual",$M45=1),$M45&gt;(ROW(PLE.lastrow)-ROW(PLE.firstrow))),0,IF(OFFSET(PLE!$G$14,$M45,AZ$13)="",10^12,OFFSET(PLE!$G$14,$M45,AZ$13))))</f>
        <v>1000000000000</v>
      </c>
      <c r="BA45" s="182">
        <f ca="1">IF($D45&lt;&gt;"Serviço",0,IF(OR(AND(AUTOEVENTO="Manual",$M45=1),$M45&gt;(ROW(PLE.lastrow)-ROW(PLE.firstrow))),0,IF(OFFSET(PLE!$G$14,$M45,BA$13)="",10^12,OFFSET(PLE!$G$14,$M45,BA$13))))</f>
        <v>1000000000000</v>
      </c>
      <c r="BB45" s="182">
        <f ca="1">IF($D45&lt;&gt;"Serviço",0,IF(OR(AND(AUTOEVENTO="Manual",$M45=1),$M45&gt;(ROW(PLE.lastrow)-ROW(PLE.firstrow))),0,IF(OFFSET(PLE!$G$14,$M45,BB$13)="",10^12,OFFSET(PLE!$G$14,$M45,BB$13))))</f>
        <v>1000000000000</v>
      </c>
      <c r="BC45" s="182">
        <f ca="1">IF($D45&lt;&gt;"Serviço",0,IF(OR(AND(AUTOEVENTO="Manual",$M45=1),$M45&gt;(ROW(PLE.lastrow)-ROW(PLE.firstrow))),0,IF(OFFSET(PLE!$G$14,$M45,BC$13)="",10^12,OFFSET(PLE!$G$14,$M45,BC$13))))</f>
        <v>1000000000000</v>
      </c>
      <c r="BD45" s="182">
        <f ca="1">IF($D45&lt;&gt;"Serviço",0,IF(OR(AND(AUTOEVENTO="Manual",$M45=1),$M45&gt;(ROW(PLE.lastrow)-ROW(PLE.firstrow))),0,IF(OFFSET(PLE!$G$14,$M45,BD$13)="",10^12,OFFSET(PLE!$G$14,$M45,BD$13))))</f>
        <v>1000000000000</v>
      </c>
      <c r="BE45" s="182">
        <f ca="1">IF($D45&lt;&gt;"Serviço",0,IF(OR(AND(AUTOEVENTO="Manual",$M45=1),$M45&gt;(ROW(PLE.lastrow)-ROW(PLE.firstrow))),0,IF(OFFSET(PLE!$G$14,$M45,BE$13)="",10^12,OFFSET(PLE!$G$14,$M45,BE$13))))</f>
        <v>1000000000000</v>
      </c>
      <c r="BF45" s="182">
        <f ca="1">IF($D45&lt;&gt;"Serviço",0,IF(OR(AND(AUTOEVENTO="Manual",$M45=1),$M45&gt;(ROW(PLE.lastrow)-ROW(PLE.firstrow))),0,IF(OFFSET(PLE!$G$14,$M45,BF$13)="",10^12,OFFSET(PLE!$G$14,$M45,BF$13))))</f>
        <v>1000000000000</v>
      </c>
      <c r="BG45" s="182">
        <f ca="1">IF($D45&lt;&gt;"Serviço",0,IF(OR(AND(AUTOEVENTO="Manual",$M45=1),$M45&gt;(ROW(PLE.lastrow)-ROW(PLE.firstrow))),0,IF(OFFSET(PLE!$G$14,$M45,BG$13)="",10^12,OFFSET(PLE!$G$14,$M45,BG$13))))</f>
        <v>1000000000000</v>
      </c>
    </row>
    <row r="46" spans="1:59" ht="38.25" x14ac:dyDescent="0.2">
      <c r="A46" s="7" t="str">
        <f t="shared" ca="1" si="8"/>
        <v>26</v>
      </c>
      <c r="B46" s="7" t="str">
        <f ca="1">OFFSET(ORÇAMENTO!C$15,ROW(B46)-ROW(B$15),0)</f>
        <v>S</v>
      </c>
      <c r="C46" s="7" t="str">
        <f ca="1">OFFSET(ORÇAMENTO!L$15,ROW(C46)-ROW(C$15),0)</f>
        <v>F</v>
      </c>
      <c r="D46" s="118" t="str">
        <f ca="1">OFFSET(ORÇAMENTO!N$15,ROW(D46)-ROW(D$15),0)</f>
        <v>Serviço</v>
      </c>
      <c r="E46" s="119" t="str">
        <f ca="1">OFFSET(ORÇAMENTO!O$15,ROW(E46)-ROW(E$15),0)</f>
        <v>1.3.1.4.</v>
      </c>
      <c r="F46" s="172" t="str">
        <f ca="1">OFFSET(ORÇAMENTO!R$15,ROW(F46)-ROW(F$15),0)</f>
        <v>(abra o arquivo 'Referência 03-2024.xlsm)</v>
      </c>
      <c r="G46" s="173" t="str">
        <f ca="1">IF($D46&lt;&gt;"Serviço","",OFFSET(ORÇAMENTO!S$15,ROW(G46)-ROW(G$15),0))</f>
        <v>-</v>
      </c>
      <c r="H46" s="124">
        <f ca="1">IF($D46&lt;&gt;"Serviço",0,IF(ACOMPANHAMENTO="BM",ROUND(OFFSET(ORÇAMENTO!AJ$15,ROW(H46)-ROW(H$15),0),15-13*ORÇAMENTO!$AF$7),SUMPRODUCT(($Q$12:$AA$12&lt;&gt;"")*ROUND($Q46:$AA46,15-13*ORÇAMENTO!$AF$7))))</f>
        <v>0.51</v>
      </c>
      <c r="I46" s="561"/>
      <c r="K46" s="174"/>
      <c r="L46" s="175" t="s">
        <v>255</v>
      </c>
      <c r="M46" s="176">
        <f ca="1">IF($D46&lt;&gt;"Serviço","",IF(AUTOEVENTO="manual",$A46,IF(ISERROR(MATCH($A46,$A$15:OFFSET($A46,-1,0),0)),MAX($M$15:OFFSET(M46,-1,0))+1,INDEX($M$15:OFFSET(M46,-1,0),MATCH($A46,$A$15:OFFSET($A46,-1,0),0)))))</f>
        <v>4</v>
      </c>
      <c r="N46" s="177" t="str">
        <f ca="1">IF($D46&lt;&gt;"Serviço","",IF(AUTOEVENTO="Manual",IF($A46=0,"&lt;-- defina o número do agrupador",OFFSET(EVENTOS!$D$14,$A46,0)),OFFSET($F$15,$A46,0)))</f>
        <v>ENTRADA DE ENERGIA PADRÃO, MURETA E QGBT</v>
      </c>
      <c r="O46" s="178"/>
      <c r="Q46" s="178"/>
      <c r="R46" s="179"/>
      <c r="S46" s="179"/>
      <c r="T46" s="179"/>
      <c r="U46" s="179"/>
      <c r="V46" s="179"/>
      <c r="W46" s="179"/>
      <c r="X46" s="179"/>
      <c r="Y46" s="179"/>
      <c r="Z46" s="180"/>
      <c r="AB46" s="544">
        <f ca="1">IF(AND($D46="Serviço",AB$12&lt;&gt;0,$H46&gt;0,OR(AUTOEVENTO&lt;&gt;"manual",$M46&lt;&gt;1)),
IF(Import.TipoArredondamento&lt;&gt;"TransfereGOV",
ROUND(OFFSET($P46,0,AB$13),15-13*ORÇAMENTO!$AF$7)/$H46*OFFSET(ORÇAMENTO!$X$15,ROW(AB46)-ROW(AB$15),0),
ROUND(ROUND(OFFSET($P46,0,AB$13),15-13*ORÇAMENTO!$AF$7)*OFFSET(ORÇAMENTO!$W$15,ROW(AB46)-ROW(AB$15),0),15-13*ORÇAMENTO!$AF$11)),0)</f>
        <v>0</v>
      </c>
      <c r="AC46" s="545">
        <f ca="1">IF(AND($D46="Serviço",AC$12&lt;&gt;0,$H46&gt;0,OR(AUTOEVENTO&lt;&gt;"manual",$M46&lt;&gt;1)),
IF(Import.TipoArredondamento&lt;&gt;"TransfereGOV",
ROUND(OFFSET($P46,0,AC$13),15-13*ORÇAMENTO!$AF$7)/$H46*OFFSET(ORÇAMENTO!$X$15,ROW(AC46)-ROW(AC$15),0),
ROUND(ROUND(OFFSET($P46,0,AC$13),15-13*ORÇAMENTO!$AF$7)*OFFSET(ORÇAMENTO!$W$15,ROW(AC46)-ROW(AC$15),0),15-13*ORÇAMENTO!$AF$11)),0)</f>
        <v>0</v>
      </c>
      <c r="AD46" s="545">
        <f ca="1">IF(AND($D46="Serviço",AD$12&lt;&gt;0,$H46&gt;0,OR(AUTOEVENTO&lt;&gt;"manual",$M46&lt;&gt;1)),
IF(Import.TipoArredondamento&lt;&gt;"TransfereGOV",
ROUND(OFFSET($P46,0,AD$13),15-13*ORÇAMENTO!$AF$7)/$H46*OFFSET(ORÇAMENTO!$X$15,ROW(AD46)-ROW(AD$15),0),
ROUND(ROUND(OFFSET($P46,0,AD$13),15-13*ORÇAMENTO!$AF$7)*OFFSET(ORÇAMENTO!$W$15,ROW(AD46)-ROW(AD$15),0),15-13*ORÇAMENTO!$AF$11)),0)</f>
        <v>0</v>
      </c>
      <c r="AE46" s="545">
        <f ca="1">IF(AND($D46="Serviço",AE$12&lt;&gt;0,$H46&gt;0,OR(AUTOEVENTO&lt;&gt;"manual",$M46&lt;&gt;1)),
IF(Import.TipoArredondamento&lt;&gt;"TransfereGOV",
ROUND(OFFSET($P46,0,AE$13),15-13*ORÇAMENTO!$AF$7)/$H46*OFFSET(ORÇAMENTO!$X$15,ROW(AE46)-ROW(AE$15),0),
ROUND(ROUND(OFFSET($P46,0,AE$13),15-13*ORÇAMENTO!$AF$7)*OFFSET(ORÇAMENTO!$W$15,ROW(AE46)-ROW(AE$15),0),15-13*ORÇAMENTO!$AF$11)),0)</f>
        <v>0</v>
      </c>
      <c r="AF46" s="545">
        <f ca="1">IF(AND($D46="Serviço",AF$12&lt;&gt;0,$H46&gt;0,OR(AUTOEVENTO&lt;&gt;"manual",$M46&lt;&gt;1)),
IF(Import.TipoArredondamento&lt;&gt;"TransfereGOV",
ROUND(OFFSET($P46,0,AF$13),15-13*ORÇAMENTO!$AF$7)/$H46*OFFSET(ORÇAMENTO!$X$15,ROW(AF46)-ROW(AF$15),0),
ROUND(ROUND(OFFSET($P46,0,AF$13),15-13*ORÇAMENTO!$AF$7)*OFFSET(ORÇAMENTO!$W$15,ROW(AF46)-ROW(AF$15),0),15-13*ORÇAMENTO!$AF$11)),0)</f>
        <v>0</v>
      </c>
      <c r="AG46" s="545">
        <f ca="1">IF(AND($D46="Serviço",AG$12&lt;&gt;0,$H46&gt;0,OR(AUTOEVENTO&lt;&gt;"manual",$M46&lt;&gt;1)),
IF(Import.TipoArredondamento&lt;&gt;"TransfereGOV",
ROUND(OFFSET($P46,0,AG$13),15-13*ORÇAMENTO!$AF$7)/$H46*OFFSET(ORÇAMENTO!$X$15,ROW(AG46)-ROW(AG$15),0),
ROUND(ROUND(OFFSET($P46,0,AG$13),15-13*ORÇAMENTO!$AF$7)*OFFSET(ORÇAMENTO!$W$15,ROW(AG46)-ROW(AG$15),0),15-13*ORÇAMENTO!$AF$11)),0)</f>
        <v>0</v>
      </c>
      <c r="AH46" s="545">
        <f ca="1">IF(AND($D46="Serviço",AH$12&lt;&gt;0,$H46&gt;0,OR(AUTOEVENTO&lt;&gt;"manual",$M46&lt;&gt;1)),
IF(Import.TipoArredondamento&lt;&gt;"TransfereGOV",
ROUND(OFFSET($P46,0,AH$13),15-13*ORÇAMENTO!$AF$7)/$H46*OFFSET(ORÇAMENTO!$X$15,ROW(AH46)-ROW(AH$15),0),
ROUND(ROUND(OFFSET($P46,0,AH$13),15-13*ORÇAMENTO!$AF$7)*OFFSET(ORÇAMENTO!$W$15,ROW(AH46)-ROW(AH$15),0),15-13*ORÇAMENTO!$AF$11)),0)</f>
        <v>0</v>
      </c>
      <c r="AI46" s="545">
        <f ca="1">IF(AND($D46="Serviço",AI$12&lt;&gt;0,$H46&gt;0,OR(AUTOEVENTO&lt;&gt;"manual",$M46&lt;&gt;1)),
IF(Import.TipoArredondamento&lt;&gt;"TransfereGOV",
ROUND(OFFSET($P46,0,AI$13),15-13*ORÇAMENTO!$AF$7)/$H46*OFFSET(ORÇAMENTO!$X$15,ROW(AI46)-ROW(AI$15),0),
ROUND(ROUND(OFFSET($P46,0,AI$13),15-13*ORÇAMENTO!$AF$7)*OFFSET(ORÇAMENTO!$W$15,ROW(AI46)-ROW(AI$15),0),15-13*ORÇAMENTO!$AF$11)),0)</f>
        <v>0</v>
      </c>
      <c r="AJ46" s="545">
        <f ca="1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0</v>
      </c>
      <c r="AK46" s="546">
        <f ca="1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0</v>
      </c>
      <c r="AM46" s="181">
        <f ca="1">IF($D46&lt;&gt;"Serviço",0,IF(AND(AUTOEVENTO="Manual",$M46=1),0,IF(OFFSET(CRONOPLE!$F$14,$M46,AM$13)="",10^12,OFFSET(CRONOPLE!$F$14,$M46,AM$13))))</f>
        <v>1000000000000</v>
      </c>
      <c r="AN46" s="181">
        <f ca="1">IF($D46&lt;&gt;"Serviço",0,IF(AND(AUTOEVENTO="Manual",$M46=1),0,IF(OFFSET(CRONOPLE!$F$14,$M46,AN$13)="",10^12,OFFSET(CRONOPLE!$F$14,$M46,AN$13))))</f>
        <v>1000000000000</v>
      </c>
      <c r="AO46" s="181">
        <f ca="1">IF($D46&lt;&gt;"Serviço",0,IF(AND(AUTOEVENTO="Manual",$M46=1),0,IF(OFFSET(CRONOPLE!$F$14,$M46,AO$13)="",10^12,OFFSET(CRONOPLE!$F$14,$M46,AO$13))))</f>
        <v>1000000000000</v>
      </c>
      <c r="AP46" s="181">
        <f ca="1">IF($D46&lt;&gt;"Serviço",0,IF(AND(AUTOEVENTO="Manual",$M46=1),0,IF(OFFSET(CRONOPLE!$F$14,$M46,AP$13)="",10^12,OFFSET(CRONOPLE!$F$14,$M46,AP$13))))</f>
        <v>1000000000000</v>
      </c>
      <c r="AQ46" s="181">
        <f ca="1">IF($D46&lt;&gt;"Serviço",0,IF(AND(AUTOEVENTO="Manual",$M46=1),0,IF(OFFSET(CRONOPLE!$F$14,$M46,AQ$13)="",10^12,OFFSET(CRONOPLE!$F$14,$M46,AQ$13))))</f>
        <v>1000000000000</v>
      </c>
      <c r="AR46" s="181">
        <f ca="1">IF($D46&lt;&gt;"Serviço",0,IF(AND(AUTOEVENTO="Manual",$M46=1),0,IF(OFFSET(CRONOPLE!$F$14,$M46,AR$13)="",10^12,OFFSET(CRONOPLE!$F$14,$M46,AR$13))))</f>
        <v>1000000000000</v>
      </c>
      <c r="AS46" s="181">
        <f ca="1">IF($D46&lt;&gt;"Serviço",0,IF(AND(AUTOEVENTO="Manual",$M46=1),0,IF(OFFSET(CRONOPLE!$F$14,$M46,AS$13)="",10^12,OFFSET(CRONOPLE!$F$14,$M46,AS$13))))</f>
        <v>1000000000000</v>
      </c>
      <c r="AT46" s="181">
        <f ca="1">IF($D46&lt;&gt;"Serviço",0,IF(AND(AUTOEVENTO="Manual",$M46=1),0,IF(OFFSET(CRONOPLE!$F$14,$M46,AT$13)="",10^12,OFFSET(CRONOPLE!$F$14,$M46,AT$13))))</f>
        <v>1000000000000</v>
      </c>
      <c r="AU46" s="181">
        <f ca="1">IF($D46&lt;&gt;"Serviço",0,IF(AND(AUTOEVENTO="Manual",$M46=1),0,IF(OFFSET(CRONOPLE!$F$14,$M46,AU$13)="",10^12,OFFSET(CRONOPLE!$F$14,$M46,AU$13))))</f>
        <v>1000000000000</v>
      </c>
      <c r="AV46" s="181">
        <f ca="1">IF($D46&lt;&gt;"Serviço",0,IF(AND(AUTOEVENTO="Manual",$M46=1),0,IF(OFFSET(CRONOPLE!$F$14,$M46,AV$13)="",10^12,OFFSET(CRONOPLE!$F$14,$M46,AV$13))))</f>
        <v>1000000000000</v>
      </c>
      <c r="AX46" s="182">
        <f ca="1">IF($D46&lt;&gt;"Serviço",0,IF(OR(AND(AUTOEVENTO="Manual",$M46=1),$M46&gt;(ROW(PLE.lastrow)-ROW(PLE.firstrow))),0,IF(OFFSET(PLE!$G$14,$M46,AX$13)="",10^12,OFFSET(PLE!$G$14,$M46,AX$13))))</f>
        <v>1000000000000</v>
      </c>
      <c r="AY46" s="182">
        <f ca="1">IF($D46&lt;&gt;"Serviço",0,IF(OR(AND(AUTOEVENTO="Manual",$M46=1),$M46&gt;(ROW(PLE.lastrow)-ROW(PLE.firstrow))),0,IF(OFFSET(PLE!$G$14,$M46,AY$13)="",10^12,OFFSET(PLE!$G$14,$M46,AY$13))))</f>
        <v>1000000000000</v>
      </c>
      <c r="AZ46" s="182">
        <f ca="1">IF($D46&lt;&gt;"Serviço",0,IF(OR(AND(AUTOEVENTO="Manual",$M46=1),$M46&gt;(ROW(PLE.lastrow)-ROW(PLE.firstrow))),0,IF(OFFSET(PLE!$G$14,$M46,AZ$13)="",10^12,OFFSET(PLE!$G$14,$M46,AZ$13))))</f>
        <v>1000000000000</v>
      </c>
      <c r="BA46" s="182">
        <f ca="1">IF($D46&lt;&gt;"Serviço",0,IF(OR(AND(AUTOEVENTO="Manual",$M46=1),$M46&gt;(ROW(PLE.lastrow)-ROW(PLE.firstrow))),0,IF(OFFSET(PLE!$G$14,$M46,BA$13)="",10^12,OFFSET(PLE!$G$14,$M46,BA$13))))</f>
        <v>1000000000000</v>
      </c>
      <c r="BB46" s="182">
        <f ca="1">IF($D46&lt;&gt;"Serviço",0,IF(OR(AND(AUTOEVENTO="Manual",$M46=1),$M46&gt;(ROW(PLE.lastrow)-ROW(PLE.firstrow))),0,IF(OFFSET(PLE!$G$14,$M46,BB$13)="",10^12,OFFSET(PLE!$G$14,$M46,BB$13))))</f>
        <v>1000000000000</v>
      </c>
      <c r="BC46" s="182">
        <f ca="1">IF($D46&lt;&gt;"Serviço",0,IF(OR(AND(AUTOEVENTO="Manual",$M46=1),$M46&gt;(ROW(PLE.lastrow)-ROW(PLE.firstrow))),0,IF(OFFSET(PLE!$G$14,$M46,BC$13)="",10^12,OFFSET(PLE!$G$14,$M46,BC$13))))</f>
        <v>1000000000000</v>
      </c>
      <c r="BD46" s="182">
        <f ca="1">IF($D46&lt;&gt;"Serviço",0,IF(OR(AND(AUTOEVENTO="Manual",$M46=1),$M46&gt;(ROW(PLE.lastrow)-ROW(PLE.firstrow))),0,IF(OFFSET(PLE!$G$14,$M46,BD$13)="",10^12,OFFSET(PLE!$G$14,$M46,BD$13))))</f>
        <v>1000000000000</v>
      </c>
      <c r="BE46" s="182">
        <f ca="1">IF($D46&lt;&gt;"Serviço",0,IF(OR(AND(AUTOEVENTO="Manual",$M46=1),$M46&gt;(ROW(PLE.lastrow)-ROW(PLE.firstrow))),0,IF(OFFSET(PLE!$G$14,$M46,BE$13)="",10^12,OFFSET(PLE!$G$14,$M46,BE$13))))</f>
        <v>1000000000000</v>
      </c>
      <c r="BF46" s="182">
        <f ca="1">IF($D46&lt;&gt;"Serviço",0,IF(OR(AND(AUTOEVENTO="Manual",$M46=1),$M46&gt;(ROW(PLE.lastrow)-ROW(PLE.firstrow))),0,IF(OFFSET(PLE!$G$14,$M46,BF$13)="",10^12,OFFSET(PLE!$G$14,$M46,BF$13))))</f>
        <v>1000000000000</v>
      </c>
      <c r="BG46" s="182">
        <f ca="1">IF($D46&lt;&gt;"Serviço",0,IF(OR(AND(AUTOEVENTO="Manual",$M46=1),$M46&gt;(ROW(PLE.lastrow)-ROW(PLE.firstrow))),0,IF(OFFSET(PLE!$G$14,$M46,BG$13)="",10^12,OFFSET(PLE!$G$14,$M46,BG$13))))</f>
        <v>1000000000000</v>
      </c>
    </row>
    <row r="47" spans="1:59" ht="51" x14ac:dyDescent="0.2">
      <c r="A47" s="7" t="str">
        <f t="shared" ca="1" si="8"/>
        <v>26</v>
      </c>
      <c r="B47" s="7" t="str">
        <f ca="1">OFFSET(ORÇAMENTO!C$15,ROW(B47)-ROW(B$15),0)</f>
        <v>S</v>
      </c>
      <c r="C47" s="7" t="str">
        <f ca="1">OFFSET(ORÇAMENTO!L$15,ROW(C47)-ROW(C$15),0)</f>
        <v>F</v>
      </c>
      <c r="D47" s="118" t="str">
        <f ca="1">OFFSET(ORÇAMENTO!N$15,ROW(D47)-ROW(D$15),0)</f>
        <v>Serviço</v>
      </c>
      <c r="E47" s="119" t="str">
        <f ca="1">OFFSET(ORÇAMENTO!O$15,ROW(E47)-ROW(E$15),0)</f>
        <v>1.3.1.5.</v>
      </c>
      <c r="F47" s="172" t="str">
        <f ca="1">OFFSET(ORÇAMENTO!R$15,ROW(F47)-ROW(F$15),0)</f>
        <v>(abra o arquivo 'Referência 03-2024.xlsm)</v>
      </c>
      <c r="G47" s="173" t="str">
        <f ca="1">IF($D47&lt;&gt;"Serviço","",OFFSET(ORÇAMENTO!S$15,ROW(G47)-ROW(G$15),0))</f>
        <v>-</v>
      </c>
      <c r="H47" s="124">
        <f ca="1">IF($D47&lt;&gt;"Serviço",0,IF(ACOMPANHAMENTO="BM",ROUND(OFFSET(ORÇAMENTO!AJ$15,ROW(H47)-ROW(H$15),0),15-13*ORÇAMENTO!$AF$7),SUMPRODUCT(($Q$12:$AA$12&lt;&gt;"")*ROUND($Q47:$AA47,15-13*ORÇAMENTO!$AF$7))))</f>
        <v>0.08</v>
      </c>
      <c r="I47" s="561"/>
      <c r="K47" s="174"/>
      <c r="L47" s="175" t="s">
        <v>255</v>
      </c>
      <c r="M47" s="176">
        <f ca="1">IF($D47&lt;&gt;"Serviço","",IF(AUTOEVENTO="manual",$A47,IF(ISERROR(MATCH($A47,$A$15:OFFSET($A47,-1,0),0)),MAX($M$15:OFFSET(M47,-1,0))+1,INDEX($M$15:OFFSET(M47,-1,0),MATCH($A47,$A$15:OFFSET($A47,-1,0),0)))))</f>
        <v>4</v>
      </c>
      <c r="N47" s="177" t="str">
        <f ca="1">IF($D47&lt;&gt;"Serviço","",IF(AUTOEVENTO="Manual",IF($A47=0,"&lt;-- defina o número do agrupador",OFFSET(EVENTOS!$D$14,$A47,0)),OFFSET($F$15,$A47,0)))</f>
        <v>ENTRADA DE ENERGIA PADRÃO, MURETA E QGBT</v>
      </c>
      <c r="O47" s="178"/>
      <c r="Q47" s="178"/>
      <c r="R47" s="179"/>
      <c r="S47" s="179"/>
      <c r="T47" s="179"/>
      <c r="U47" s="179"/>
      <c r="V47" s="179"/>
      <c r="W47" s="179"/>
      <c r="X47" s="179"/>
      <c r="Y47" s="179"/>
      <c r="Z47" s="180"/>
      <c r="AB47" s="544">
        <f ca="1">IF(AND($D47="Serviço",AB$12&lt;&gt;0,$H47&gt;0,OR(AUTOEVENTO&lt;&gt;"manual",$M47&lt;&gt;1)),
IF(Import.TipoArredondamento&lt;&gt;"TransfereGOV",
ROUND(OFFSET($P47,0,AB$13),15-13*ORÇAMENTO!$AF$7)/$H47*OFFSET(ORÇAMENTO!$X$15,ROW(AB47)-ROW(AB$15),0),
ROUND(ROUND(OFFSET($P47,0,AB$13),15-13*ORÇAMENTO!$AF$7)*OFFSET(ORÇAMENTO!$W$15,ROW(AB47)-ROW(AB$15),0),15-13*ORÇAMENTO!$AF$11)),0)</f>
        <v>0</v>
      </c>
      <c r="AC47" s="545">
        <f ca="1">IF(AND($D47="Serviço",AC$12&lt;&gt;0,$H47&gt;0,OR(AUTOEVENTO&lt;&gt;"manual",$M47&lt;&gt;1)),
IF(Import.TipoArredondamento&lt;&gt;"TransfereGOV",
ROUND(OFFSET($P47,0,AC$13),15-13*ORÇAMENTO!$AF$7)/$H47*OFFSET(ORÇAMENTO!$X$15,ROW(AC47)-ROW(AC$15),0),
ROUND(ROUND(OFFSET($P47,0,AC$13),15-13*ORÇAMENTO!$AF$7)*OFFSET(ORÇAMENTO!$W$15,ROW(AC47)-ROW(AC$15),0),15-13*ORÇAMENTO!$AF$11)),0)</f>
        <v>0</v>
      </c>
      <c r="AD47" s="545">
        <f ca="1">IF(AND($D47="Serviço",AD$12&lt;&gt;0,$H47&gt;0,OR(AUTOEVENTO&lt;&gt;"manual",$M47&lt;&gt;1)),
IF(Import.TipoArredondamento&lt;&gt;"TransfereGOV",
ROUND(OFFSET($P47,0,AD$13),15-13*ORÇAMENTO!$AF$7)/$H47*OFFSET(ORÇAMENTO!$X$15,ROW(AD47)-ROW(AD$15),0),
ROUND(ROUND(OFFSET($P47,0,AD$13),15-13*ORÇAMENTO!$AF$7)*OFFSET(ORÇAMENTO!$W$15,ROW(AD47)-ROW(AD$15),0),15-13*ORÇAMENTO!$AF$11)),0)</f>
        <v>0</v>
      </c>
      <c r="AE47" s="545">
        <f ca="1">IF(AND($D47="Serviço",AE$12&lt;&gt;0,$H47&gt;0,OR(AUTOEVENTO&lt;&gt;"manual",$M47&lt;&gt;1)),
IF(Import.TipoArredondamento&lt;&gt;"TransfereGOV",
ROUND(OFFSET($P47,0,AE$13),15-13*ORÇAMENTO!$AF$7)/$H47*OFFSET(ORÇAMENTO!$X$15,ROW(AE47)-ROW(AE$15),0),
ROUND(ROUND(OFFSET($P47,0,AE$13),15-13*ORÇAMENTO!$AF$7)*OFFSET(ORÇAMENTO!$W$15,ROW(AE47)-ROW(AE$15),0),15-13*ORÇAMENTO!$AF$11)),0)</f>
        <v>0</v>
      </c>
      <c r="AF47" s="545">
        <f ca="1">IF(AND($D47="Serviço",AF$12&lt;&gt;0,$H47&gt;0,OR(AUTOEVENTO&lt;&gt;"manual",$M47&lt;&gt;1)),
IF(Import.TipoArredondamento&lt;&gt;"TransfereGOV",
ROUND(OFFSET($P47,0,AF$13),15-13*ORÇAMENTO!$AF$7)/$H47*OFFSET(ORÇAMENTO!$X$15,ROW(AF47)-ROW(AF$15),0),
ROUND(ROUND(OFFSET($P47,0,AF$13),15-13*ORÇAMENTO!$AF$7)*OFFSET(ORÇAMENTO!$W$15,ROW(AF47)-ROW(AF$15),0),15-13*ORÇAMENTO!$AF$11)),0)</f>
        <v>0</v>
      </c>
      <c r="AG47" s="545">
        <f ca="1">IF(AND($D47="Serviço",AG$12&lt;&gt;0,$H47&gt;0,OR(AUTOEVENTO&lt;&gt;"manual",$M47&lt;&gt;1)),
IF(Import.TipoArredondamento&lt;&gt;"TransfereGOV",
ROUND(OFFSET($P47,0,AG$13),15-13*ORÇAMENTO!$AF$7)/$H47*OFFSET(ORÇAMENTO!$X$15,ROW(AG47)-ROW(AG$15),0),
ROUND(ROUND(OFFSET($P47,0,AG$13),15-13*ORÇAMENTO!$AF$7)*OFFSET(ORÇAMENTO!$W$15,ROW(AG47)-ROW(AG$15),0),15-13*ORÇAMENTO!$AF$11)),0)</f>
        <v>0</v>
      </c>
      <c r="AH47" s="545">
        <f ca="1">IF(AND($D47="Serviço",AH$12&lt;&gt;0,$H47&gt;0,OR(AUTOEVENTO&lt;&gt;"manual",$M47&lt;&gt;1)),
IF(Import.TipoArredondamento&lt;&gt;"TransfereGOV",
ROUND(OFFSET($P47,0,AH$13),15-13*ORÇAMENTO!$AF$7)/$H47*OFFSET(ORÇAMENTO!$X$15,ROW(AH47)-ROW(AH$15),0),
ROUND(ROUND(OFFSET($P47,0,AH$13),15-13*ORÇAMENTO!$AF$7)*OFFSET(ORÇAMENTO!$W$15,ROW(AH47)-ROW(AH$15),0),15-13*ORÇAMENTO!$AF$11)),0)</f>
        <v>0</v>
      </c>
      <c r="AI47" s="545">
        <f ca="1">IF(AND($D47="Serviço",AI$12&lt;&gt;0,$H47&gt;0,OR(AUTOEVENTO&lt;&gt;"manual",$M47&lt;&gt;1)),
IF(Import.TipoArredondamento&lt;&gt;"TransfereGOV",
ROUND(OFFSET($P47,0,AI$13),15-13*ORÇAMENTO!$AF$7)/$H47*OFFSET(ORÇAMENTO!$X$15,ROW(AI47)-ROW(AI$15),0),
ROUND(ROUND(OFFSET($P47,0,AI$13),15-13*ORÇAMENTO!$AF$7)*OFFSET(ORÇAMENTO!$W$15,ROW(AI47)-ROW(AI$15),0),15-13*ORÇAMENTO!$AF$11)),0)</f>
        <v>0</v>
      </c>
      <c r="AJ47" s="545">
        <f ca="1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0</v>
      </c>
      <c r="AK47" s="546">
        <f ca="1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0</v>
      </c>
      <c r="AM47" s="181">
        <f ca="1">IF($D47&lt;&gt;"Serviço",0,IF(AND(AUTOEVENTO="Manual",$M47=1),0,IF(OFFSET(CRONOPLE!$F$14,$M47,AM$13)="",10^12,OFFSET(CRONOPLE!$F$14,$M47,AM$13))))</f>
        <v>1000000000000</v>
      </c>
      <c r="AN47" s="181">
        <f ca="1">IF($D47&lt;&gt;"Serviço",0,IF(AND(AUTOEVENTO="Manual",$M47=1),0,IF(OFFSET(CRONOPLE!$F$14,$M47,AN$13)="",10^12,OFFSET(CRONOPLE!$F$14,$M47,AN$13))))</f>
        <v>1000000000000</v>
      </c>
      <c r="AO47" s="181">
        <f ca="1">IF($D47&lt;&gt;"Serviço",0,IF(AND(AUTOEVENTO="Manual",$M47=1),0,IF(OFFSET(CRONOPLE!$F$14,$M47,AO$13)="",10^12,OFFSET(CRONOPLE!$F$14,$M47,AO$13))))</f>
        <v>1000000000000</v>
      </c>
      <c r="AP47" s="181">
        <f ca="1">IF($D47&lt;&gt;"Serviço",0,IF(AND(AUTOEVENTO="Manual",$M47=1),0,IF(OFFSET(CRONOPLE!$F$14,$M47,AP$13)="",10^12,OFFSET(CRONOPLE!$F$14,$M47,AP$13))))</f>
        <v>1000000000000</v>
      </c>
      <c r="AQ47" s="181">
        <f ca="1">IF($D47&lt;&gt;"Serviço",0,IF(AND(AUTOEVENTO="Manual",$M47=1),0,IF(OFFSET(CRONOPLE!$F$14,$M47,AQ$13)="",10^12,OFFSET(CRONOPLE!$F$14,$M47,AQ$13))))</f>
        <v>1000000000000</v>
      </c>
      <c r="AR47" s="181">
        <f ca="1">IF($D47&lt;&gt;"Serviço",0,IF(AND(AUTOEVENTO="Manual",$M47=1),0,IF(OFFSET(CRONOPLE!$F$14,$M47,AR$13)="",10^12,OFFSET(CRONOPLE!$F$14,$M47,AR$13))))</f>
        <v>1000000000000</v>
      </c>
      <c r="AS47" s="181">
        <f ca="1">IF($D47&lt;&gt;"Serviço",0,IF(AND(AUTOEVENTO="Manual",$M47=1),0,IF(OFFSET(CRONOPLE!$F$14,$M47,AS$13)="",10^12,OFFSET(CRONOPLE!$F$14,$M47,AS$13))))</f>
        <v>1000000000000</v>
      </c>
      <c r="AT47" s="181">
        <f ca="1">IF($D47&lt;&gt;"Serviço",0,IF(AND(AUTOEVENTO="Manual",$M47=1),0,IF(OFFSET(CRONOPLE!$F$14,$M47,AT$13)="",10^12,OFFSET(CRONOPLE!$F$14,$M47,AT$13))))</f>
        <v>1000000000000</v>
      </c>
      <c r="AU47" s="181">
        <f ca="1">IF($D47&lt;&gt;"Serviço",0,IF(AND(AUTOEVENTO="Manual",$M47=1),0,IF(OFFSET(CRONOPLE!$F$14,$M47,AU$13)="",10^12,OFFSET(CRONOPLE!$F$14,$M47,AU$13))))</f>
        <v>1000000000000</v>
      </c>
      <c r="AV47" s="181">
        <f ca="1">IF($D47&lt;&gt;"Serviço",0,IF(AND(AUTOEVENTO="Manual",$M47=1),0,IF(OFFSET(CRONOPLE!$F$14,$M47,AV$13)="",10^12,OFFSET(CRONOPLE!$F$14,$M47,AV$13))))</f>
        <v>1000000000000</v>
      </c>
      <c r="AX47" s="182">
        <f ca="1">IF($D47&lt;&gt;"Serviço",0,IF(OR(AND(AUTOEVENTO="Manual",$M47=1),$M47&gt;(ROW(PLE.lastrow)-ROW(PLE.firstrow))),0,IF(OFFSET(PLE!$G$14,$M47,AX$13)="",10^12,OFFSET(PLE!$G$14,$M47,AX$13))))</f>
        <v>1000000000000</v>
      </c>
      <c r="AY47" s="182">
        <f ca="1">IF($D47&lt;&gt;"Serviço",0,IF(OR(AND(AUTOEVENTO="Manual",$M47=1),$M47&gt;(ROW(PLE.lastrow)-ROW(PLE.firstrow))),0,IF(OFFSET(PLE!$G$14,$M47,AY$13)="",10^12,OFFSET(PLE!$G$14,$M47,AY$13))))</f>
        <v>1000000000000</v>
      </c>
      <c r="AZ47" s="182">
        <f ca="1">IF($D47&lt;&gt;"Serviço",0,IF(OR(AND(AUTOEVENTO="Manual",$M47=1),$M47&gt;(ROW(PLE.lastrow)-ROW(PLE.firstrow))),0,IF(OFFSET(PLE!$G$14,$M47,AZ$13)="",10^12,OFFSET(PLE!$G$14,$M47,AZ$13))))</f>
        <v>1000000000000</v>
      </c>
      <c r="BA47" s="182">
        <f ca="1">IF($D47&lt;&gt;"Serviço",0,IF(OR(AND(AUTOEVENTO="Manual",$M47=1),$M47&gt;(ROW(PLE.lastrow)-ROW(PLE.firstrow))),0,IF(OFFSET(PLE!$G$14,$M47,BA$13)="",10^12,OFFSET(PLE!$G$14,$M47,BA$13))))</f>
        <v>1000000000000</v>
      </c>
      <c r="BB47" s="182">
        <f ca="1">IF($D47&lt;&gt;"Serviço",0,IF(OR(AND(AUTOEVENTO="Manual",$M47=1),$M47&gt;(ROW(PLE.lastrow)-ROW(PLE.firstrow))),0,IF(OFFSET(PLE!$G$14,$M47,BB$13)="",10^12,OFFSET(PLE!$G$14,$M47,BB$13))))</f>
        <v>1000000000000</v>
      </c>
      <c r="BC47" s="182">
        <f ca="1">IF($D47&lt;&gt;"Serviço",0,IF(OR(AND(AUTOEVENTO="Manual",$M47=1),$M47&gt;(ROW(PLE.lastrow)-ROW(PLE.firstrow))),0,IF(OFFSET(PLE!$G$14,$M47,BC$13)="",10^12,OFFSET(PLE!$G$14,$M47,BC$13))))</f>
        <v>1000000000000</v>
      </c>
      <c r="BD47" s="182">
        <f ca="1">IF($D47&lt;&gt;"Serviço",0,IF(OR(AND(AUTOEVENTO="Manual",$M47=1),$M47&gt;(ROW(PLE.lastrow)-ROW(PLE.firstrow))),0,IF(OFFSET(PLE!$G$14,$M47,BD$13)="",10^12,OFFSET(PLE!$G$14,$M47,BD$13))))</f>
        <v>1000000000000</v>
      </c>
      <c r="BE47" s="182">
        <f ca="1">IF($D47&lt;&gt;"Serviço",0,IF(OR(AND(AUTOEVENTO="Manual",$M47=1),$M47&gt;(ROW(PLE.lastrow)-ROW(PLE.firstrow))),0,IF(OFFSET(PLE!$G$14,$M47,BE$13)="",10^12,OFFSET(PLE!$G$14,$M47,BE$13))))</f>
        <v>1000000000000</v>
      </c>
      <c r="BF47" s="182">
        <f ca="1">IF($D47&lt;&gt;"Serviço",0,IF(OR(AND(AUTOEVENTO="Manual",$M47=1),$M47&gt;(ROW(PLE.lastrow)-ROW(PLE.firstrow))),0,IF(OFFSET(PLE!$G$14,$M47,BF$13)="",10^12,OFFSET(PLE!$G$14,$M47,BF$13))))</f>
        <v>1000000000000</v>
      </c>
      <c r="BG47" s="182">
        <f ca="1">IF($D47&lt;&gt;"Serviço",0,IF(OR(AND(AUTOEVENTO="Manual",$M47=1),$M47&gt;(ROW(PLE.lastrow)-ROW(PLE.firstrow))),0,IF(OFFSET(PLE!$G$14,$M47,BG$13)="",10^12,OFFSET(PLE!$G$14,$M47,BG$13))))</f>
        <v>1000000000000</v>
      </c>
    </row>
    <row r="48" spans="1:59" ht="38.25" x14ac:dyDescent="0.2">
      <c r="A48" s="7" t="str">
        <f t="shared" ca="1" si="8"/>
        <v>26</v>
      </c>
      <c r="B48" s="7" t="str">
        <f ca="1">OFFSET(ORÇAMENTO!C$15,ROW(B48)-ROW(B$15),0)</f>
        <v>S</v>
      </c>
      <c r="C48" s="7" t="str">
        <f ca="1">OFFSET(ORÇAMENTO!L$15,ROW(C48)-ROW(C$15),0)</f>
        <v>F</v>
      </c>
      <c r="D48" s="118" t="str">
        <f ca="1">OFFSET(ORÇAMENTO!N$15,ROW(D48)-ROW(D$15),0)</f>
        <v>Serviço</v>
      </c>
      <c r="E48" s="119" t="str">
        <f ca="1">OFFSET(ORÇAMENTO!O$15,ROW(E48)-ROW(E$15),0)</f>
        <v>1.3.1.6.</v>
      </c>
      <c r="F48" s="172" t="str">
        <f ca="1">OFFSET(ORÇAMENTO!R$15,ROW(F48)-ROW(F$15),0)</f>
        <v>(abra o arquivo 'Referência 03-2024.xlsm)</v>
      </c>
      <c r="G48" s="173" t="str">
        <f ca="1">IF($D48&lt;&gt;"Serviço","",OFFSET(ORÇAMENTO!S$15,ROW(G48)-ROW(G$15),0))</f>
        <v>-</v>
      </c>
      <c r="H48" s="124">
        <f ca="1">IF($D48&lt;&gt;"Serviço",0,IF(ACOMPANHAMENTO="BM",ROUND(OFFSET(ORÇAMENTO!AJ$15,ROW(H48)-ROW(H$15),0),15-13*ORÇAMENTO!$AF$7),SUMPRODUCT(($Q$12:$AA$12&lt;&gt;"")*ROUND($Q48:$AA48,15-13*ORÇAMENTO!$AF$7))))</f>
        <v>0.15</v>
      </c>
      <c r="I48" s="561"/>
      <c r="K48" s="174"/>
      <c r="L48" s="175" t="s">
        <v>255</v>
      </c>
      <c r="M48" s="176">
        <f ca="1">IF($D48&lt;&gt;"Serviço","",IF(AUTOEVENTO="manual",$A48,IF(ISERROR(MATCH($A48,$A$15:OFFSET($A48,-1,0),0)),MAX($M$15:OFFSET(M48,-1,0))+1,INDEX($M$15:OFFSET(M48,-1,0),MATCH($A48,$A$15:OFFSET($A48,-1,0),0)))))</f>
        <v>4</v>
      </c>
      <c r="N48" s="177" t="str">
        <f ca="1">IF($D48&lt;&gt;"Serviço","",IF(AUTOEVENTO="Manual",IF($A48=0,"&lt;-- defina o número do agrupador",OFFSET(EVENTOS!$D$14,$A48,0)),OFFSET($F$15,$A48,0)))</f>
        <v>ENTRADA DE ENERGIA PADRÃO, MURETA E QGBT</v>
      </c>
      <c r="O48" s="178"/>
      <c r="Q48" s="178"/>
      <c r="R48" s="179"/>
      <c r="S48" s="179"/>
      <c r="T48" s="179"/>
      <c r="U48" s="179"/>
      <c r="V48" s="179"/>
      <c r="W48" s="179"/>
      <c r="X48" s="179"/>
      <c r="Y48" s="179"/>
      <c r="Z48" s="180"/>
      <c r="AB48" s="544">
        <f ca="1">IF(AND($D48="Serviço",AB$12&lt;&gt;0,$H48&gt;0,OR(AUTOEVENTO&lt;&gt;"manual",$M48&lt;&gt;1)),
IF(Import.TipoArredondamento&lt;&gt;"TransfereGOV",
ROUND(OFFSET($P48,0,AB$13),15-13*ORÇAMENTO!$AF$7)/$H48*OFFSET(ORÇAMENTO!$X$15,ROW(AB48)-ROW(AB$15),0),
ROUND(ROUND(OFFSET($P48,0,AB$13),15-13*ORÇAMENTO!$AF$7)*OFFSET(ORÇAMENTO!$W$15,ROW(AB48)-ROW(AB$15),0),15-13*ORÇAMENTO!$AF$11)),0)</f>
        <v>0</v>
      </c>
      <c r="AC48" s="545">
        <f ca="1">IF(AND($D48="Serviço",AC$12&lt;&gt;0,$H48&gt;0,OR(AUTOEVENTO&lt;&gt;"manual",$M48&lt;&gt;1)),
IF(Import.TipoArredondamento&lt;&gt;"TransfereGOV",
ROUND(OFFSET($P48,0,AC$13),15-13*ORÇAMENTO!$AF$7)/$H48*OFFSET(ORÇAMENTO!$X$15,ROW(AC48)-ROW(AC$15),0),
ROUND(ROUND(OFFSET($P48,0,AC$13),15-13*ORÇAMENTO!$AF$7)*OFFSET(ORÇAMENTO!$W$15,ROW(AC48)-ROW(AC$15),0),15-13*ORÇAMENTO!$AF$11)),0)</f>
        <v>0</v>
      </c>
      <c r="AD48" s="545">
        <f ca="1">IF(AND($D48="Serviço",AD$12&lt;&gt;0,$H48&gt;0,OR(AUTOEVENTO&lt;&gt;"manual",$M48&lt;&gt;1)),
IF(Import.TipoArredondamento&lt;&gt;"TransfereGOV",
ROUND(OFFSET($P48,0,AD$13),15-13*ORÇAMENTO!$AF$7)/$H48*OFFSET(ORÇAMENTO!$X$15,ROW(AD48)-ROW(AD$15),0),
ROUND(ROUND(OFFSET($P48,0,AD$13),15-13*ORÇAMENTO!$AF$7)*OFFSET(ORÇAMENTO!$W$15,ROW(AD48)-ROW(AD$15),0),15-13*ORÇAMENTO!$AF$11)),0)</f>
        <v>0</v>
      </c>
      <c r="AE48" s="545">
        <f ca="1">IF(AND($D48="Serviço",AE$12&lt;&gt;0,$H48&gt;0,OR(AUTOEVENTO&lt;&gt;"manual",$M48&lt;&gt;1)),
IF(Import.TipoArredondamento&lt;&gt;"TransfereGOV",
ROUND(OFFSET($P48,0,AE$13),15-13*ORÇAMENTO!$AF$7)/$H48*OFFSET(ORÇAMENTO!$X$15,ROW(AE48)-ROW(AE$15),0),
ROUND(ROUND(OFFSET($P48,0,AE$13),15-13*ORÇAMENTO!$AF$7)*OFFSET(ORÇAMENTO!$W$15,ROW(AE48)-ROW(AE$15),0),15-13*ORÇAMENTO!$AF$11)),0)</f>
        <v>0</v>
      </c>
      <c r="AF48" s="545">
        <f ca="1">IF(AND($D48="Serviço",AF$12&lt;&gt;0,$H48&gt;0,OR(AUTOEVENTO&lt;&gt;"manual",$M48&lt;&gt;1)),
IF(Import.TipoArredondamento&lt;&gt;"TransfereGOV",
ROUND(OFFSET($P48,0,AF$13),15-13*ORÇAMENTO!$AF$7)/$H48*OFFSET(ORÇAMENTO!$X$15,ROW(AF48)-ROW(AF$15),0),
ROUND(ROUND(OFFSET($P48,0,AF$13),15-13*ORÇAMENTO!$AF$7)*OFFSET(ORÇAMENTO!$W$15,ROW(AF48)-ROW(AF$15),0),15-13*ORÇAMENTO!$AF$11)),0)</f>
        <v>0</v>
      </c>
      <c r="AG48" s="545">
        <f ca="1">IF(AND($D48="Serviço",AG$12&lt;&gt;0,$H48&gt;0,OR(AUTOEVENTO&lt;&gt;"manual",$M48&lt;&gt;1)),
IF(Import.TipoArredondamento&lt;&gt;"TransfereGOV",
ROUND(OFFSET($P48,0,AG$13),15-13*ORÇAMENTO!$AF$7)/$H48*OFFSET(ORÇAMENTO!$X$15,ROW(AG48)-ROW(AG$15),0),
ROUND(ROUND(OFFSET($P48,0,AG$13),15-13*ORÇAMENTO!$AF$7)*OFFSET(ORÇAMENTO!$W$15,ROW(AG48)-ROW(AG$15),0),15-13*ORÇAMENTO!$AF$11)),0)</f>
        <v>0</v>
      </c>
      <c r="AH48" s="545">
        <f ca="1">IF(AND($D48="Serviço",AH$12&lt;&gt;0,$H48&gt;0,OR(AUTOEVENTO&lt;&gt;"manual",$M48&lt;&gt;1)),
IF(Import.TipoArredondamento&lt;&gt;"TransfereGOV",
ROUND(OFFSET($P48,0,AH$13),15-13*ORÇAMENTO!$AF$7)/$H48*OFFSET(ORÇAMENTO!$X$15,ROW(AH48)-ROW(AH$15),0),
ROUND(ROUND(OFFSET($P48,0,AH$13),15-13*ORÇAMENTO!$AF$7)*OFFSET(ORÇAMENTO!$W$15,ROW(AH48)-ROW(AH$15),0),15-13*ORÇAMENTO!$AF$11)),0)</f>
        <v>0</v>
      </c>
      <c r="AI48" s="545">
        <f ca="1">IF(AND($D48="Serviço",AI$12&lt;&gt;0,$H48&gt;0,OR(AUTOEVENTO&lt;&gt;"manual",$M48&lt;&gt;1)),
IF(Import.TipoArredondamento&lt;&gt;"TransfereGOV",
ROUND(OFFSET($P48,0,AI$13),15-13*ORÇAMENTO!$AF$7)/$H48*OFFSET(ORÇAMENTO!$X$15,ROW(AI48)-ROW(AI$15),0),
ROUND(ROUND(OFFSET($P48,0,AI$13),15-13*ORÇAMENTO!$AF$7)*OFFSET(ORÇAMENTO!$W$15,ROW(AI48)-ROW(AI$15),0),15-13*ORÇAMENTO!$AF$11)),0)</f>
        <v>0</v>
      </c>
      <c r="AJ48" s="545">
        <f ca="1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0</v>
      </c>
      <c r="AK48" s="546">
        <f ca="1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0</v>
      </c>
      <c r="AM48" s="181">
        <f ca="1">IF($D48&lt;&gt;"Serviço",0,IF(AND(AUTOEVENTO="Manual",$M48=1),0,IF(OFFSET(CRONOPLE!$F$14,$M48,AM$13)="",10^12,OFFSET(CRONOPLE!$F$14,$M48,AM$13))))</f>
        <v>1000000000000</v>
      </c>
      <c r="AN48" s="181">
        <f ca="1">IF($D48&lt;&gt;"Serviço",0,IF(AND(AUTOEVENTO="Manual",$M48=1),0,IF(OFFSET(CRONOPLE!$F$14,$M48,AN$13)="",10^12,OFFSET(CRONOPLE!$F$14,$M48,AN$13))))</f>
        <v>1000000000000</v>
      </c>
      <c r="AO48" s="181">
        <f ca="1">IF($D48&lt;&gt;"Serviço",0,IF(AND(AUTOEVENTO="Manual",$M48=1),0,IF(OFFSET(CRONOPLE!$F$14,$M48,AO$13)="",10^12,OFFSET(CRONOPLE!$F$14,$M48,AO$13))))</f>
        <v>1000000000000</v>
      </c>
      <c r="AP48" s="181">
        <f ca="1">IF($D48&lt;&gt;"Serviço",0,IF(AND(AUTOEVENTO="Manual",$M48=1),0,IF(OFFSET(CRONOPLE!$F$14,$M48,AP$13)="",10^12,OFFSET(CRONOPLE!$F$14,$M48,AP$13))))</f>
        <v>1000000000000</v>
      </c>
      <c r="AQ48" s="181">
        <f ca="1">IF($D48&lt;&gt;"Serviço",0,IF(AND(AUTOEVENTO="Manual",$M48=1),0,IF(OFFSET(CRONOPLE!$F$14,$M48,AQ$13)="",10^12,OFFSET(CRONOPLE!$F$14,$M48,AQ$13))))</f>
        <v>1000000000000</v>
      </c>
      <c r="AR48" s="181">
        <f ca="1">IF($D48&lt;&gt;"Serviço",0,IF(AND(AUTOEVENTO="Manual",$M48=1),0,IF(OFFSET(CRONOPLE!$F$14,$M48,AR$13)="",10^12,OFFSET(CRONOPLE!$F$14,$M48,AR$13))))</f>
        <v>1000000000000</v>
      </c>
      <c r="AS48" s="181">
        <f ca="1">IF($D48&lt;&gt;"Serviço",0,IF(AND(AUTOEVENTO="Manual",$M48=1),0,IF(OFFSET(CRONOPLE!$F$14,$M48,AS$13)="",10^12,OFFSET(CRONOPLE!$F$14,$M48,AS$13))))</f>
        <v>1000000000000</v>
      </c>
      <c r="AT48" s="181">
        <f ca="1">IF($D48&lt;&gt;"Serviço",0,IF(AND(AUTOEVENTO="Manual",$M48=1),0,IF(OFFSET(CRONOPLE!$F$14,$M48,AT$13)="",10^12,OFFSET(CRONOPLE!$F$14,$M48,AT$13))))</f>
        <v>1000000000000</v>
      </c>
      <c r="AU48" s="181">
        <f ca="1">IF($D48&lt;&gt;"Serviço",0,IF(AND(AUTOEVENTO="Manual",$M48=1),0,IF(OFFSET(CRONOPLE!$F$14,$M48,AU$13)="",10^12,OFFSET(CRONOPLE!$F$14,$M48,AU$13))))</f>
        <v>1000000000000</v>
      </c>
      <c r="AV48" s="181">
        <f ca="1">IF($D48&lt;&gt;"Serviço",0,IF(AND(AUTOEVENTO="Manual",$M48=1),0,IF(OFFSET(CRONOPLE!$F$14,$M48,AV$13)="",10^12,OFFSET(CRONOPLE!$F$14,$M48,AV$13))))</f>
        <v>1000000000000</v>
      </c>
      <c r="AX48" s="182">
        <f ca="1">IF($D48&lt;&gt;"Serviço",0,IF(OR(AND(AUTOEVENTO="Manual",$M48=1),$M48&gt;(ROW(PLE.lastrow)-ROW(PLE.firstrow))),0,IF(OFFSET(PLE!$G$14,$M48,AX$13)="",10^12,OFFSET(PLE!$G$14,$M48,AX$13))))</f>
        <v>1000000000000</v>
      </c>
      <c r="AY48" s="182">
        <f ca="1">IF($D48&lt;&gt;"Serviço",0,IF(OR(AND(AUTOEVENTO="Manual",$M48=1),$M48&gt;(ROW(PLE.lastrow)-ROW(PLE.firstrow))),0,IF(OFFSET(PLE!$G$14,$M48,AY$13)="",10^12,OFFSET(PLE!$G$14,$M48,AY$13))))</f>
        <v>1000000000000</v>
      </c>
      <c r="AZ48" s="182">
        <f ca="1">IF($D48&lt;&gt;"Serviço",0,IF(OR(AND(AUTOEVENTO="Manual",$M48=1),$M48&gt;(ROW(PLE.lastrow)-ROW(PLE.firstrow))),0,IF(OFFSET(PLE!$G$14,$M48,AZ$13)="",10^12,OFFSET(PLE!$G$14,$M48,AZ$13))))</f>
        <v>1000000000000</v>
      </c>
      <c r="BA48" s="182">
        <f ca="1">IF($D48&lt;&gt;"Serviço",0,IF(OR(AND(AUTOEVENTO="Manual",$M48=1),$M48&gt;(ROW(PLE.lastrow)-ROW(PLE.firstrow))),0,IF(OFFSET(PLE!$G$14,$M48,BA$13)="",10^12,OFFSET(PLE!$G$14,$M48,BA$13))))</f>
        <v>1000000000000</v>
      </c>
      <c r="BB48" s="182">
        <f ca="1">IF($D48&lt;&gt;"Serviço",0,IF(OR(AND(AUTOEVENTO="Manual",$M48=1),$M48&gt;(ROW(PLE.lastrow)-ROW(PLE.firstrow))),0,IF(OFFSET(PLE!$G$14,$M48,BB$13)="",10^12,OFFSET(PLE!$G$14,$M48,BB$13))))</f>
        <v>1000000000000</v>
      </c>
      <c r="BC48" s="182">
        <f ca="1">IF($D48&lt;&gt;"Serviço",0,IF(OR(AND(AUTOEVENTO="Manual",$M48=1),$M48&gt;(ROW(PLE.lastrow)-ROW(PLE.firstrow))),0,IF(OFFSET(PLE!$G$14,$M48,BC$13)="",10^12,OFFSET(PLE!$G$14,$M48,BC$13))))</f>
        <v>1000000000000</v>
      </c>
      <c r="BD48" s="182">
        <f ca="1">IF($D48&lt;&gt;"Serviço",0,IF(OR(AND(AUTOEVENTO="Manual",$M48=1),$M48&gt;(ROW(PLE.lastrow)-ROW(PLE.firstrow))),0,IF(OFFSET(PLE!$G$14,$M48,BD$13)="",10^12,OFFSET(PLE!$G$14,$M48,BD$13))))</f>
        <v>1000000000000</v>
      </c>
      <c r="BE48" s="182">
        <f ca="1">IF($D48&lt;&gt;"Serviço",0,IF(OR(AND(AUTOEVENTO="Manual",$M48=1),$M48&gt;(ROW(PLE.lastrow)-ROW(PLE.firstrow))),0,IF(OFFSET(PLE!$G$14,$M48,BE$13)="",10^12,OFFSET(PLE!$G$14,$M48,BE$13))))</f>
        <v>1000000000000</v>
      </c>
      <c r="BF48" s="182">
        <f ca="1">IF($D48&lt;&gt;"Serviço",0,IF(OR(AND(AUTOEVENTO="Manual",$M48=1),$M48&gt;(ROW(PLE.lastrow)-ROW(PLE.firstrow))),0,IF(OFFSET(PLE!$G$14,$M48,BF$13)="",10^12,OFFSET(PLE!$G$14,$M48,BF$13))))</f>
        <v>1000000000000</v>
      </c>
      <c r="BG48" s="182">
        <f ca="1">IF($D48&lt;&gt;"Serviço",0,IF(OR(AND(AUTOEVENTO="Manual",$M48=1),$M48&gt;(ROW(PLE.lastrow)-ROW(PLE.firstrow))),0,IF(OFFSET(PLE!$G$14,$M48,BG$13)="",10^12,OFFSET(PLE!$G$14,$M48,BG$13))))</f>
        <v>1000000000000</v>
      </c>
    </row>
    <row r="49" spans="1:59" ht="38.25" x14ac:dyDescent="0.2">
      <c r="A49" s="7" t="str">
        <f t="shared" ca="1" si="8"/>
        <v>26</v>
      </c>
      <c r="B49" s="7" t="str">
        <f ca="1">OFFSET(ORÇAMENTO!C$15,ROW(B49)-ROW(B$15),0)</f>
        <v>S</v>
      </c>
      <c r="C49" s="7" t="str">
        <f ca="1">OFFSET(ORÇAMENTO!L$15,ROW(C49)-ROW(C$15),0)</f>
        <v>F</v>
      </c>
      <c r="D49" s="118" t="str">
        <f ca="1">OFFSET(ORÇAMENTO!N$15,ROW(D49)-ROW(D$15),0)</f>
        <v>Serviço</v>
      </c>
      <c r="E49" s="119" t="str">
        <f ca="1">OFFSET(ORÇAMENTO!O$15,ROW(E49)-ROW(E$15),0)</f>
        <v>1.3.1.7.</v>
      </c>
      <c r="F49" s="172" t="str">
        <f ca="1">OFFSET(ORÇAMENTO!R$15,ROW(F49)-ROW(F$15),0)</f>
        <v>(abra o arquivo 'Referência 03-2024.xlsm)</v>
      </c>
      <c r="G49" s="173" t="str">
        <f ca="1">IF($D49&lt;&gt;"Serviço","",OFFSET(ORÇAMENTO!S$15,ROW(G49)-ROW(G$15),0))</f>
        <v>-</v>
      </c>
      <c r="H49" s="124">
        <f ca="1">IF($D49&lt;&gt;"Serviço",0,IF(ACOMPANHAMENTO="BM",ROUND(OFFSET(ORÇAMENTO!AJ$15,ROW(H49)-ROW(H$15),0),15-13*ORÇAMENTO!$AF$7),SUMPRODUCT(($Q$12:$AA$12&lt;&gt;"")*ROUND($Q49:$AA49,15-13*ORÇAMENTO!$AF$7))))</f>
        <v>4.97</v>
      </c>
      <c r="I49" s="561"/>
      <c r="K49" s="174"/>
      <c r="L49" s="175" t="s">
        <v>255</v>
      </c>
      <c r="M49" s="176">
        <f ca="1">IF($D49&lt;&gt;"Serviço","",IF(AUTOEVENTO="manual",$A49,IF(ISERROR(MATCH($A49,$A$15:OFFSET($A49,-1,0),0)),MAX($M$15:OFFSET(M49,-1,0))+1,INDEX($M$15:OFFSET(M49,-1,0),MATCH($A49,$A$15:OFFSET($A49,-1,0),0)))))</f>
        <v>4</v>
      </c>
      <c r="N49" s="177" t="str">
        <f ca="1">IF($D49&lt;&gt;"Serviço","",IF(AUTOEVENTO="Manual",IF($A49=0,"&lt;-- defina o número do agrupador",OFFSET(EVENTOS!$D$14,$A49,0)),OFFSET($F$15,$A49,0)))</f>
        <v>ENTRADA DE ENERGIA PADRÃO, MURETA E QGBT</v>
      </c>
      <c r="O49" s="178"/>
      <c r="Q49" s="178"/>
      <c r="R49" s="179"/>
      <c r="S49" s="179"/>
      <c r="T49" s="179"/>
      <c r="U49" s="179"/>
      <c r="V49" s="179"/>
      <c r="W49" s="179"/>
      <c r="X49" s="179"/>
      <c r="Y49" s="179"/>
      <c r="Z49" s="180"/>
      <c r="AB49" s="544">
        <f ca="1">IF(AND($D49="Serviço",AB$12&lt;&gt;0,$H49&gt;0,OR(AUTOEVENTO&lt;&gt;"manual",$M49&lt;&gt;1)),
IF(Import.TipoArredondamento&lt;&gt;"TransfereGOV",
ROUND(OFFSET($P49,0,AB$13),15-13*ORÇAMENTO!$AF$7)/$H49*OFFSET(ORÇAMENTO!$X$15,ROW(AB49)-ROW(AB$15),0),
ROUND(ROUND(OFFSET($P49,0,AB$13),15-13*ORÇAMENTO!$AF$7)*OFFSET(ORÇAMENTO!$W$15,ROW(AB49)-ROW(AB$15),0),15-13*ORÇAMENTO!$AF$11)),0)</f>
        <v>0</v>
      </c>
      <c r="AC49" s="545">
        <f ca="1">IF(AND($D49="Serviço",AC$12&lt;&gt;0,$H49&gt;0,OR(AUTOEVENTO&lt;&gt;"manual",$M49&lt;&gt;1)),
IF(Import.TipoArredondamento&lt;&gt;"TransfereGOV",
ROUND(OFFSET($P49,0,AC$13),15-13*ORÇAMENTO!$AF$7)/$H49*OFFSET(ORÇAMENTO!$X$15,ROW(AC49)-ROW(AC$15),0),
ROUND(ROUND(OFFSET($P49,0,AC$13),15-13*ORÇAMENTO!$AF$7)*OFFSET(ORÇAMENTO!$W$15,ROW(AC49)-ROW(AC$15),0),15-13*ORÇAMENTO!$AF$11)),0)</f>
        <v>0</v>
      </c>
      <c r="AD49" s="545">
        <f ca="1">IF(AND($D49="Serviço",AD$12&lt;&gt;0,$H49&gt;0,OR(AUTOEVENTO&lt;&gt;"manual",$M49&lt;&gt;1)),
IF(Import.TipoArredondamento&lt;&gt;"TransfereGOV",
ROUND(OFFSET($P49,0,AD$13),15-13*ORÇAMENTO!$AF$7)/$H49*OFFSET(ORÇAMENTO!$X$15,ROW(AD49)-ROW(AD$15),0),
ROUND(ROUND(OFFSET($P49,0,AD$13),15-13*ORÇAMENTO!$AF$7)*OFFSET(ORÇAMENTO!$W$15,ROW(AD49)-ROW(AD$15),0),15-13*ORÇAMENTO!$AF$11)),0)</f>
        <v>0</v>
      </c>
      <c r="AE49" s="545">
        <f ca="1">IF(AND($D49="Serviço",AE$12&lt;&gt;0,$H49&gt;0,OR(AUTOEVENTO&lt;&gt;"manual",$M49&lt;&gt;1)),
IF(Import.TipoArredondamento&lt;&gt;"TransfereGOV",
ROUND(OFFSET($P49,0,AE$13),15-13*ORÇAMENTO!$AF$7)/$H49*OFFSET(ORÇAMENTO!$X$15,ROW(AE49)-ROW(AE$15),0),
ROUND(ROUND(OFFSET($P49,0,AE$13),15-13*ORÇAMENTO!$AF$7)*OFFSET(ORÇAMENTO!$W$15,ROW(AE49)-ROW(AE$15),0),15-13*ORÇAMENTO!$AF$11)),0)</f>
        <v>0</v>
      </c>
      <c r="AF49" s="545">
        <f ca="1">IF(AND($D49="Serviço",AF$12&lt;&gt;0,$H49&gt;0,OR(AUTOEVENTO&lt;&gt;"manual",$M49&lt;&gt;1)),
IF(Import.TipoArredondamento&lt;&gt;"TransfereGOV",
ROUND(OFFSET($P49,0,AF$13),15-13*ORÇAMENTO!$AF$7)/$H49*OFFSET(ORÇAMENTO!$X$15,ROW(AF49)-ROW(AF$15),0),
ROUND(ROUND(OFFSET($P49,0,AF$13),15-13*ORÇAMENTO!$AF$7)*OFFSET(ORÇAMENTO!$W$15,ROW(AF49)-ROW(AF$15),0),15-13*ORÇAMENTO!$AF$11)),0)</f>
        <v>0</v>
      </c>
      <c r="AG49" s="545">
        <f ca="1">IF(AND($D49="Serviço",AG$12&lt;&gt;0,$H49&gt;0,OR(AUTOEVENTO&lt;&gt;"manual",$M49&lt;&gt;1)),
IF(Import.TipoArredondamento&lt;&gt;"TransfereGOV",
ROUND(OFFSET($P49,0,AG$13),15-13*ORÇAMENTO!$AF$7)/$H49*OFFSET(ORÇAMENTO!$X$15,ROW(AG49)-ROW(AG$15),0),
ROUND(ROUND(OFFSET($P49,0,AG$13),15-13*ORÇAMENTO!$AF$7)*OFFSET(ORÇAMENTO!$W$15,ROW(AG49)-ROW(AG$15),0),15-13*ORÇAMENTO!$AF$11)),0)</f>
        <v>0</v>
      </c>
      <c r="AH49" s="545">
        <f ca="1">IF(AND($D49="Serviço",AH$12&lt;&gt;0,$H49&gt;0,OR(AUTOEVENTO&lt;&gt;"manual",$M49&lt;&gt;1)),
IF(Import.TipoArredondamento&lt;&gt;"TransfereGOV",
ROUND(OFFSET($P49,0,AH$13),15-13*ORÇAMENTO!$AF$7)/$H49*OFFSET(ORÇAMENTO!$X$15,ROW(AH49)-ROW(AH$15),0),
ROUND(ROUND(OFFSET($P49,0,AH$13),15-13*ORÇAMENTO!$AF$7)*OFFSET(ORÇAMENTO!$W$15,ROW(AH49)-ROW(AH$15),0),15-13*ORÇAMENTO!$AF$11)),0)</f>
        <v>0</v>
      </c>
      <c r="AI49" s="545">
        <f ca="1">IF(AND($D49="Serviço",AI$12&lt;&gt;0,$H49&gt;0,OR(AUTOEVENTO&lt;&gt;"manual",$M49&lt;&gt;1)),
IF(Import.TipoArredondamento&lt;&gt;"TransfereGOV",
ROUND(OFFSET($P49,0,AI$13),15-13*ORÇAMENTO!$AF$7)/$H49*OFFSET(ORÇAMENTO!$X$15,ROW(AI49)-ROW(AI$15),0),
ROUND(ROUND(OFFSET($P49,0,AI$13),15-13*ORÇAMENTO!$AF$7)*OFFSET(ORÇAMENTO!$W$15,ROW(AI49)-ROW(AI$15),0),15-13*ORÇAMENTO!$AF$11)),0)</f>
        <v>0</v>
      </c>
      <c r="AJ49" s="545">
        <f ca="1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0</v>
      </c>
      <c r="AK49" s="546">
        <f ca="1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0</v>
      </c>
      <c r="AM49" s="181">
        <f ca="1">IF($D49&lt;&gt;"Serviço",0,IF(AND(AUTOEVENTO="Manual",$M49=1),0,IF(OFFSET(CRONOPLE!$F$14,$M49,AM$13)="",10^12,OFFSET(CRONOPLE!$F$14,$M49,AM$13))))</f>
        <v>1000000000000</v>
      </c>
      <c r="AN49" s="181">
        <f ca="1">IF($D49&lt;&gt;"Serviço",0,IF(AND(AUTOEVENTO="Manual",$M49=1),0,IF(OFFSET(CRONOPLE!$F$14,$M49,AN$13)="",10^12,OFFSET(CRONOPLE!$F$14,$M49,AN$13))))</f>
        <v>1000000000000</v>
      </c>
      <c r="AO49" s="181">
        <f ca="1">IF($D49&lt;&gt;"Serviço",0,IF(AND(AUTOEVENTO="Manual",$M49=1),0,IF(OFFSET(CRONOPLE!$F$14,$M49,AO$13)="",10^12,OFFSET(CRONOPLE!$F$14,$M49,AO$13))))</f>
        <v>1000000000000</v>
      </c>
      <c r="AP49" s="181">
        <f ca="1">IF($D49&lt;&gt;"Serviço",0,IF(AND(AUTOEVENTO="Manual",$M49=1),0,IF(OFFSET(CRONOPLE!$F$14,$M49,AP$13)="",10^12,OFFSET(CRONOPLE!$F$14,$M49,AP$13))))</f>
        <v>1000000000000</v>
      </c>
      <c r="AQ49" s="181">
        <f ca="1">IF($D49&lt;&gt;"Serviço",0,IF(AND(AUTOEVENTO="Manual",$M49=1),0,IF(OFFSET(CRONOPLE!$F$14,$M49,AQ$13)="",10^12,OFFSET(CRONOPLE!$F$14,$M49,AQ$13))))</f>
        <v>1000000000000</v>
      </c>
      <c r="AR49" s="181">
        <f ca="1">IF($D49&lt;&gt;"Serviço",0,IF(AND(AUTOEVENTO="Manual",$M49=1),0,IF(OFFSET(CRONOPLE!$F$14,$M49,AR$13)="",10^12,OFFSET(CRONOPLE!$F$14,$M49,AR$13))))</f>
        <v>1000000000000</v>
      </c>
      <c r="AS49" s="181">
        <f ca="1">IF($D49&lt;&gt;"Serviço",0,IF(AND(AUTOEVENTO="Manual",$M49=1),0,IF(OFFSET(CRONOPLE!$F$14,$M49,AS$13)="",10^12,OFFSET(CRONOPLE!$F$14,$M49,AS$13))))</f>
        <v>1000000000000</v>
      </c>
      <c r="AT49" s="181">
        <f ca="1">IF($D49&lt;&gt;"Serviço",0,IF(AND(AUTOEVENTO="Manual",$M49=1),0,IF(OFFSET(CRONOPLE!$F$14,$M49,AT$13)="",10^12,OFFSET(CRONOPLE!$F$14,$M49,AT$13))))</f>
        <v>1000000000000</v>
      </c>
      <c r="AU49" s="181">
        <f ca="1">IF($D49&lt;&gt;"Serviço",0,IF(AND(AUTOEVENTO="Manual",$M49=1),0,IF(OFFSET(CRONOPLE!$F$14,$M49,AU$13)="",10^12,OFFSET(CRONOPLE!$F$14,$M49,AU$13))))</f>
        <v>1000000000000</v>
      </c>
      <c r="AV49" s="181">
        <f ca="1">IF($D49&lt;&gt;"Serviço",0,IF(AND(AUTOEVENTO="Manual",$M49=1),0,IF(OFFSET(CRONOPLE!$F$14,$M49,AV$13)="",10^12,OFFSET(CRONOPLE!$F$14,$M49,AV$13))))</f>
        <v>1000000000000</v>
      </c>
      <c r="AX49" s="182">
        <f ca="1">IF($D49&lt;&gt;"Serviço",0,IF(OR(AND(AUTOEVENTO="Manual",$M49=1),$M49&gt;(ROW(PLE.lastrow)-ROW(PLE.firstrow))),0,IF(OFFSET(PLE!$G$14,$M49,AX$13)="",10^12,OFFSET(PLE!$G$14,$M49,AX$13))))</f>
        <v>1000000000000</v>
      </c>
      <c r="AY49" s="182">
        <f ca="1">IF($D49&lt;&gt;"Serviço",0,IF(OR(AND(AUTOEVENTO="Manual",$M49=1),$M49&gt;(ROW(PLE.lastrow)-ROW(PLE.firstrow))),0,IF(OFFSET(PLE!$G$14,$M49,AY$13)="",10^12,OFFSET(PLE!$G$14,$M49,AY$13))))</f>
        <v>1000000000000</v>
      </c>
      <c r="AZ49" s="182">
        <f ca="1">IF($D49&lt;&gt;"Serviço",0,IF(OR(AND(AUTOEVENTO="Manual",$M49=1),$M49&gt;(ROW(PLE.lastrow)-ROW(PLE.firstrow))),0,IF(OFFSET(PLE!$G$14,$M49,AZ$13)="",10^12,OFFSET(PLE!$G$14,$M49,AZ$13))))</f>
        <v>1000000000000</v>
      </c>
      <c r="BA49" s="182">
        <f ca="1">IF($D49&lt;&gt;"Serviço",0,IF(OR(AND(AUTOEVENTO="Manual",$M49=1),$M49&gt;(ROW(PLE.lastrow)-ROW(PLE.firstrow))),0,IF(OFFSET(PLE!$G$14,$M49,BA$13)="",10^12,OFFSET(PLE!$G$14,$M49,BA$13))))</f>
        <v>1000000000000</v>
      </c>
      <c r="BB49" s="182">
        <f ca="1">IF($D49&lt;&gt;"Serviço",0,IF(OR(AND(AUTOEVENTO="Manual",$M49=1),$M49&gt;(ROW(PLE.lastrow)-ROW(PLE.firstrow))),0,IF(OFFSET(PLE!$G$14,$M49,BB$13)="",10^12,OFFSET(PLE!$G$14,$M49,BB$13))))</f>
        <v>1000000000000</v>
      </c>
      <c r="BC49" s="182">
        <f ca="1">IF($D49&lt;&gt;"Serviço",0,IF(OR(AND(AUTOEVENTO="Manual",$M49=1),$M49&gt;(ROW(PLE.lastrow)-ROW(PLE.firstrow))),0,IF(OFFSET(PLE!$G$14,$M49,BC$13)="",10^12,OFFSET(PLE!$G$14,$M49,BC$13))))</f>
        <v>1000000000000</v>
      </c>
      <c r="BD49" s="182">
        <f ca="1">IF($D49&lt;&gt;"Serviço",0,IF(OR(AND(AUTOEVENTO="Manual",$M49=1),$M49&gt;(ROW(PLE.lastrow)-ROW(PLE.firstrow))),0,IF(OFFSET(PLE!$G$14,$M49,BD$13)="",10^12,OFFSET(PLE!$G$14,$M49,BD$13))))</f>
        <v>1000000000000</v>
      </c>
      <c r="BE49" s="182">
        <f ca="1">IF($D49&lt;&gt;"Serviço",0,IF(OR(AND(AUTOEVENTO="Manual",$M49=1),$M49&gt;(ROW(PLE.lastrow)-ROW(PLE.firstrow))),0,IF(OFFSET(PLE!$G$14,$M49,BE$13)="",10^12,OFFSET(PLE!$G$14,$M49,BE$13))))</f>
        <v>1000000000000</v>
      </c>
      <c r="BF49" s="182">
        <f ca="1">IF($D49&lt;&gt;"Serviço",0,IF(OR(AND(AUTOEVENTO="Manual",$M49=1),$M49&gt;(ROW(PLE.lastrow)-ROW(PLE.firstrow))),0,IF(OFFSET(PLE!$G$14,$M49,BF$13)="",10^12,OFFSET(PLE!$G$14,$M49,BF$13))))</f>
        <v>1000000000000</v>
      </c>
      <c r="BG49" s="182">
        <f ca="1">IF($D49&lt;&gt;"Serviço",0,IF(OR(AND(AUTOEVENTO="Manual",$M49=1),$M49&gt;(ROW(PLE.lastrow)-ROW(PLE.firstrow))),0,IF(OFFSET(PLE!$G$14,$M49,BG$13)="",10^12,OFFSET(PLE!$G$14,$M49,BG$13))))</f>
        <v>1000000000000</v>
      </c>
    </row>
    <row r="50" spans="1:59" ht="25.5" x14ac:dyDescent="0.2">
      <c r="A50" s="7" t="str">
        <f t="shared" ca="1" si="8"/>
        <v>26</v>
      </c>
      <c r="B50" s="7" t="str">
        <f ca="1">OFFSET(ORÇAMENTO!C$15,ROW(B50)-ROW(B$15),0)</f>
        <v>S</v>
      </c>
      <c r="C50" s="7" t="str">
        <f ca="1">OFFSET(ORÇAMENTO!L$15,ROW(C50)-ROW(C$15),0)</f>
        <v>F</v>
      </c>
      <c r="D50" s="118" t="str">
        <f ca="1">OFFSET(ORÇAMENTO!N$15,ROW(D50)-ROW(D$15),0)</f>
        <v>Serviço</v>
      </c>
      <c r="E50" s="119" t="str">
        <f ca="1">OFFSET(ORÇAMENTO!O$15,ROW(E50)-ROW(E$15),0)</f>
        <v>1.3.1.8.</v>
      </c>
      <c r="F50" s="172" t="str">
        <f ca="1">OFFSET(ORÇAMENTO!R$15,ROW(F50)-ROW(F$15),0)</f>
        <v>(abra o arquivo 'Referência 03-2024.xlsm)</v>
      </c>
      <c r="G50" s="173" t="str">
        <f ca="1">IF($D50&lt;&gt;"Serviço","",OFFSET(ORÇAMENTO!S$15,ROW(G50)-ROW(G$15),0))</f>
        <v>-</v>
      </c>
      <c r="H50" s="124">
        <f ca="1">IF($D50&lt;&gt;"Serviço",0,IF(ACOMPANHAMENTO="BM",ROUND(OFFSET(ORÇAMENTO!AJ$15,ROW(H50)-ROW(H$15),0),15-13*ORÇAMENTO!$AF$7),SUMPRODUCT(($Q$12:$AA$12&lt;&gt;"")*ROUND($Q50:$AA50,15-13*ORÇAMENTO!$AF$7))))</f>
        <v>0.52</v>
      </c>
      <c r="I50" s="561"/>
      <c r="K50" s="174"/>
      <c r="L50" s="175" t="s">
        <v>255</v>
      </c>
      <c r="M50" s="176">
        <f ca="1">IF($D50&lt;&gt;"Serviço","",IF(AUTOEVENTO="manual",$A50,IF(ISERROR(MATCH($A50,$A$15:OFFSET($A50,-1,0),0)),MAX($M$15:OFFSET(M50,-1,0))+1,INDEX($M$15:OFFSET(M50,-1,0),MATCH($A50,$A$15:OFFSET($A50,-1,0),0)))))</f>
        <v>4</v>
      </c>
      <c r="N50" s="177" t="str">
        <f ca="1">IF($D50&lt;&gt;"Serviço","",IF(AUTOEVENTO="Manual",IF($A50=0,"&lt;-- defina o número do agrupador",OFFSET(EVENTOS!$D$14,$A50,0)),OFFSET($F$15,$A50,0)))</f>
        <v>ENTRADA DE ENERGIA PADRÃO, MURETA E QGBT</v>
      </c>
      <c r="O50" s="178"/>
      <c r="Q50" s="178"/>
      <c r="R50" s="179"/>
      <c r="S50" s="179"/>
      <c r="T50" s="179"/>
      <c r="U50" s="179"/>
      <c r="V50" s="179"/>
      <c r="W50" s="179"/>
      <c r="X50" s="179"/>
      <c r="Y50" s="179"/>
      <c r="Z50" s="180"/>
      <c r="AB50" s="544">
        <f ca="1">IF(AND($D50="Serviço",AB$12&lt;&gt;0,$H50&gt;0,OR(AUTOEVENTO&lt;&gt;"manual",$M50&lt;&gt;1)),
IF(Import.TipoArredondamento&lt;&gt;"TransfereGOV",
ROUND(OFFSET($P50,0,AB$13),15-13*ORÇAMENTO!$AF$7)/$H50*OFFSET(ORÇAMENTO!$X$15,ROW(AB50)-ROW(AB$15),0),
ROUND(ROUND(OFFSET($P50,0,AB$13),15-13*ORÇAMENTO!$AF$7)*OFFSET(ORÇAMENTO!$W$15,ROW(AB50)-ROW(AB$15),0),15-13*ORÇAMENTO!$AF$11)),0)</f>
        <v>0</v>
      </c>
      <c r="AC50" s="545">
        <f ca="1">IF(AND($D50="Serviço",AC$12&lt;&gt;0,$H50&gt;0,OR(AUTOEVENTO&lt;&gt;"manual",$M50&lt;&gt;1)),
IF(Import.TipoArredondamento&lt;&gt;"TransfereGOV",
ROUND(OFFSET($P50,0,AC$13),15-13*ORÇAMENTO!$AF$7)/$H50*OFFSET(ORÇAMENTO!$X$15,ROW(AC50)-ROW(AC$15),0),
ROUND(ROUND(OFFSET($P50,0,AC$13),15-13*ORÇAMENTO!$AF$7)*OFFSET(ORÇAMENTO!$W$15,ROW(AC50)-ROW(AC$15),0),15-13*ORÇAMENTO!$AF$11)),0)</f>
        <v>0</v>
      </c>
      <c r="AD50" s="545">
        <f ca="1">IF(AND($D50="Serviço",AD$12&lt;&gt;0,$H50&gt;0,OR(AUTOEVENTO&lt;&gt;"manual",$M50&lt;&gt;1)),
IF(Import.TipoArredondamento&lt;&gt;"TransfereGOV",
ROUND(OFFSET($P50,0,AD$13),15-13*ORÇAMENTO!$AF$7)/$H50*OFFSET(ORÇAMENTO!$X$15,ROW(AD50)-ROW(AD$15),0),
ROUND(ROUND(OFFSET($P50,0,AD$13),15-13*ORÇAMENTO!$AF$7)*OFFSET(ORÇAMENTO!$W$15,ROW(AD50)-ROW(AD$15),0),15-13*ORÇAMENTO!$AF$11)),0)</f>
        <v>0</v>
      </c>
      <c r="AE50" s="545">
        <f ca="1">IF(AND($D50="Serviço",AE$12&lt;&gt;0,$H50&gt;0,OR(AUTOEVENTO&lt;&gt;"manual",$M50&lt;&gt;1)),
IF(Import.TipoArredondamento&lt;&gt;"TransfereGOV",
ROUND(OFFSET($P50,0,AE$13),15-13*ORÇAMENTO!$AF$7)/$H50*OFFSET(ORÇAMENTO!$X$15,ROW(AE50)-ROW(AE$15),0),
ROUND(ROUND(OFFSET($P50,0,AE$13),15-13*ORÇAMENTO!$AF$7)*OFFSET(ORÇAMENTO!$W$15,ROW(AE50)-ROW(AE$15),0),15-13*ORÇAMENTO!$AF$11)),0)</f>
        <v>0</v>
      </c>
      <c r="AF50" s="545">
        <f ca="1">IF(AND($D50="Serviço",AF$12&lt;&gt;0,$H50&gt;0,OR(AUTOEVENTO&lt;&gt;"manual",$M50&lt;&gt;1)),
IF(Import.TipoArredondamento&lt;&gt;"TransfereGOV",
ROUND(OFFSET($P50,0,AF$13),15-13*ORÇAMENTO!$AF$7)/$H50*OFFSET(ORÇAMENTO!$X$15,ROW(AF50)-ROW(AF$15),0),
ROUND(ROUND(OFFSET($P50,0,AF$13),15-13*ORÇAMENTO!$AF$7)*OFFSET(ORÇAMENTO!$W$15,ROW(AF50)-ROW(AF$15),0),15-13*ORÇAMENTO!$AF$11)),0)</f>
        <v>0</v>
      </c>
      <c r="AG50" s="545">
        <f ca="1">IF(AND($D50="Serviço",AG$12&lt;&gt;0,$H50&gt;0,OR(AUTOEVENTO&lt;&gt;"manual",$M50&lt;&gt;1)),
IF(Import.TipoArredondamento&lt;&gt;"TransfereGOV",
ROUND(OFFSET($P50,0,AG$13),15-13*ORÇAMENTO!$AF$7)/$H50*OFFSET(ORÇAMENTO!$X$15,ROW(AG50)-ROW(AG$15),0),
ROUND(ROUND(OFFSET($P50,0,AG$13),15-13*ORÇAMENTO!$AF$7)*OFFSET(ORÇAMENTO!$W$15,ROW(AG50)-ROW(AG$15),0),15-13*ORÇAMENTO!$AF$11)),0)</f>
        <v>0</v>
      </c>
      <c r="AH50" s="545">
        <f ca="1">IF(AND($D50="Serviço",AH$12&lt;&gt;0,$H50&gt;0,OR(AUTOEVENTO&lt;&gt;"manual",$M50&lt;&gt;1)),
IF(Import.TipoArredondamento&lt;&gt;"TransfereGOV",
ROUND(OFFSET($P50,0,AH$13),15-13*ORÇAMENTO!$AF$7)/$H50*OFFSET(ORÇAMENTO!$X$15,ROW(AH50)-ROW(AH$15),0),
ROUND(ROUND(OFFSET($P50,0,AH$13),15-13*ORÇAMENTO!$AF$7)*OFFSET(ORÇAMENTO!$W$15,ROW(AH50)-ROW(AH$15),0),15-13*ORÇAMENTO!$AF$11)),0)</f>
        <v>0</v>
      </c>
      <c r="AI50" s="545">
        <f ca="1">IF(AND($D50="Serviço",AI$12&lt;&gt;0,$H50&gt;0,OR(AUTOEVENTO&lt;&gt;"manual",$M50&lt;&gt;1)),
IF(Import.TipoArredondamento&lt;&gt;"TransfereGOV",
ROUND(OFFSET($P50,0,AI$13),15-13*ORÇAMENTO!$AF$7)/$H50*OFFSET(ORÇAMENTO!$X$15,ROW(AI50)-ROW(AI$15),0),
ROUND(ROUND(OFFSET($P50,0,AI$13),15-13*ORÇAMENTO!$AF$7)*OFFSET(ORÇAMENTO!$W$15,ROW(AI50)-ROW(AI$15),0),15-13*ORÇAMENTO!$AF$11)),0)</f>
        <v>0</v>
      </c>
      <c r="AJ50" s="545">
        <f ca="1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0</v>
      </c>
      <c r="AK50" s="546">
        <f ca="1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0</v>
      </c>
      <c r="AM50" s="181">
        <f ca="1">IF($D50&lt;&gt;"Serviço",0,IF(AND(AUTOEVENTO="Manual",$M50=1),0,IF(OFFSET(CRONOPLE!$F$14,$M50,AM$13)="",10^12,OFFSET(CRONOPLE!$F$14,$M50,AM$13))))</f>
        <v>1000000000000</v>
      </c>
      <c r="AN50" s="181">
        <f ca="1">IF($D50&lt;&gt;"Serviço",0,IF(AND(AUTOEVENTO="Manual",$M50=1),0,IF(OFFSET(CRONOPLE!$F$14,$M50,AN$13)="",10^12,OFFSET(CRONOPLE!$F$14,$M50,AN$13))))</f>
        <v>1000000000000</v>
      </c>
      <c r="AO50" s="181">
        <f ca="1">IF($D50&lt;&gt;"Serviço",0,IF(AND(AUTOEVENTO="Manual",$M50=1),0,IF(OFFSET(CRONOPLE!$F$14,$M50,AO$13)="",10^12,OFFSET(CRONOPLE!$F$14,$M50,AO$13))))</f>
        <v>1000000000000</v>
      </c>
      <c r="AP50" s="181">
        <f ca="1">IF($D50&lt;&gt;"Serviço",0,IF(AND(AUTOEVENTO="Manual",$M50=1),0,IF(OFFSET(CRONOPLE!$F$14,$M50,AP$13)="",10^12,OFFSET(CRONOPLE!$F$14,$M50,AP$13))))</f>
        <v>1000000000000</v>
      </c>
      <c r="AQ50" s="181">
        <f ca="1">IF($D50&lt;&gt;"Serviço",0,IF(AND(AUTOEVENTO="Manual",$M50=1),0,IF(OFFSET(CRONOPLE!$F$14,$M50,AQ$13)="",10^12,OFFSET(CRONOPLE!$F$14,$M50,AQ$13))))</f>
        <v>1000000000000</v>
      </c>
      <c r="AR50" s="181">
        <f ca="1">IF($D50&lt;&gt;"Serviço",0,IF(AND(AUTOEVENTO="Manual",$M50=1),0,IF(OFFSET(CRONOPLE!$F$14,$M50,AR$13)="",10^12,OFFSET(CRONOPLE!$F$14,$M50,AR$13))))</f>
        <v>1000000000000</v>
      </c>
      <c r="AS50" s="181">
        <f ca="1">IF($D50&lt;&gt;"Serviço",0,IF(AND(AUTOEVENTO="Manual",$M50=1),0,IF(OFFSET(CRONOPLE!$F$14,$M50,AS$13)="",10^12,OFFSET(CRONOPLE!$F$14,$M50,AS$13))))</f>
        <v>1000000000000</v>
      </c>
      <c r="AT50" s="181">
        <f ca="1">IF($D50&lt;&gt;"Serviço",0,IF(AND(AUTOEVENTO="Manual",$M50=1),0,IF(OFFSET(CRONOPLE!$F$14,$M50,AT$13)="",10^12,OFFSET(CRONOPLE!$F$14,$M50,AT$13))))</f>
        <v>1000000000000</v>
      </c>
      <c r="AU50" s="181">
        <f ca="1">IF($D50&lt;&gt;"Serviço",0,IF(AND(AUTOEVENTO="Manual",$M50=1),0,IF(OFFSET(CRONOPLE!$F$14,$M50,AU$13)="",10^12,OFFSET(CRONOPLE!$F$14,$M50,AU$13))))</f>
        <v>1000000000000</v>
      </c>
      <c r="AV50" s="181">
        <f ca="1">IF($D50&lt;&gt;"Serviço",0,IF(AND(AUTOEVENTO="Manual",$M50=1),0,IF(OFFSET(CRONOPLE!$F$14,$M50,AV$13)="",10^12,OFFSET(CRONOPLE!$F$14,$M50,AV$13))))</f>
        <v>1000000000000</v>
      </c>
      <c r="AX50" s="182">
        <f ca="1">IF($D50&lt;&gt;"Serviço",0,IF(OR(AND(AUTOEVENTO="Manual",$M50=1),$M50&gt;(ROW(PLE.lastrow)-ROW(PLE.firstrow))),0,IF(OFFSET(PLE!$G$14,$M50,AX$13)="",10^12,OFFSET(PLE!$G$14,$M50,AX$13))))</f>
        <v>1000000000000</v>
      </c>
      <c r="AY50" s="182">
        <f ca="1">IF($D50&lt;&gt;"Serviço",0,IF(OR(AND(AUTOEVENTO="Manual",$M50=1),$M50&gt;(ROW(PLE.lastrow)-ROW(PLE.firstrow))),0,IF(OFFSET(PLE!$G$14,$M50,AY$13)="",10^12,OFFSET(PLE!$G$14,$M50,AY$13))))</f>
        <v>1000000000000</v>
      </c>
      <c r="AZ50" s="182">
        <f ca="1">IF($D50&lt;&gt;"Serviço",0,IF(OR(AND(AUTOEVENTO="Manual",$M50=1),$M50&gt;(ROW(PLE.lastrow)-ROW(PLE.firstrow))),0,IF(OFFSET(PLE!$G$14,$M50,AZ$13)="",10^12,OFFSET(PLE!$G$14,$M50,AZ$13))))</f>
        <v>1000000000000</v>
      </c>
      <c r="BA50" s="182">
        <f ca="1">IF($D50&lt;&gt;"Serviço",0,IF(OR(AND(AUTOEVENTO="Manual",$M50=1),$M50&gt;(ROW(PLE.lastrow)-ROW(PLE.firstrow))),0,IF(OFFSET(PLE!$G$14,$M50,BA$13)="",10^12,OFFSET(PLE!$G$14,$M50,BA$13))))</f>
        <v>1000000000000</v>
      </c>
      <c r="BB50" s="182">
        <f ca="1">IF($D50&lt;&gt;"Serviço",0,IF(OR(AND(AUTOEVENTO="Manual",$M50=1),$M50&gt;(ROW(PLE.lastrow)-ROW(PLE.firstrow))),0,IF(OFFSET(PLE!$G$14,$M50,BB$13)="",10^12,OFFSET(PLE!$G$14,$M50,BB$13))))</f>
        <v>1000000000000</v>
      </c>
      <c r="BC50" s="182">
        <f ca="1">IF($D50&lt;&gt;"Serviço",0,IF(OR(AND(AUTOEVENTO="Manual",$M50=1),$M50&gt;(ROW(PLE.lastrow)-ROW(PLE.firstrow))),0,IF(OFFSET(PLE!$G$14,$M50,BC$13)="",10^12,OFFSET(PLE!$G$14,$M50,BC$13))))</f>
        <v>1000000000000</v>
      </c>
      <c r="BD50" s="182">
        <f ca="1">IF($D50&lt;&gt;"Serviço",0,IF(OR(AND(AUTOEVENTO="Manual",$M50=1),$M50&gt;(ROW(PLE.lastrow)-ROW(PLE.firstrow))),0,IF(OFFSET(PLE!$G$14,$M50,BD$13)="",10^12,OFFSET(PLE!$G$14,$M50,BD$13))))</f>
        <v>1000000000000</v>
      </c>
      <c r="BE50" s="182">
        <f ca="1">IF($D50&lt;&gt;"Serviço",0,IF(OR(AND(AUTOEVENTO="Manual",$M50=1),$M50&gt;(ROW(PLE.lastrow)-ROW(PLE.firstrow))),0,IF(OFFSET(PLE!$G$14,$M50,BE$13)="",10^12,OFFSET(PLE!$G$14,$M50,BE$13))))</f>
        <v>1000000000000</v>
      </c>
      <c r="BF50" s="182">
        <f ca="1">IF($D50&lt;&gt;"Serviço",0,IF(OR(AND(AUTOEVENTO="Manual",$M50=1),$M50&gt;(ROW(PLE.lastrow)-ROW(PLE.firstrow))),0,IF(OFFSET(PLE!$G$14,$M50,BF$13)="",10^12,OFFSET(PLE!$G$14,$M50,BF$13))))</f>
        <v>1000000000000</v>
      </c>
      <c r="BG50" s="182">
        <f ca="1">IF($D50&lt;&gt;"Serviço",0,IF(OR(AND(AUTOEVENTO="Manual",$M50=1),$M50&gt;(ROW(PLE.lastrow)-ROW(PLE.firstrow))),0,IF(OFFSET(PLE!$G$14,$M50,BG$13)="",10^12,OFFSET(PLE!$G$14,$M50,BG$13))))</f>
        <v>1000000000000</v>
      </c>
    </row>
    <row r="51" spans="1:59" ht="38.25" x14ac:dyDescent="0.2">
      <c r="A51" s="7" t="str">
        <f t="shared" ca="1" si="8"/>
        <v>26</v>
      </c>
      <c r="B51" s="7" t="str">
        <f ca="1">OFFSET(ORÇAMENTO!C$15,ROW(B51)-ROW(B$15),0)</f>
        <v>S</v>
      </c>
      <c r="C51" s="7" t="str">
        <f ca="1">OFFSET(ORÇAMENTO!L$15,ROW(C51)-ROW(C$15),0)</f>
        <v>F</v>
      </c>
      <c r="D51" s="118" t="str">
        <f ca="1">OFFSET(ORÇAMENTO!N$15,ROW(D51)-ROW(D$15),0)</f>
        <v>Serviço</v>
      </c>
      <c r="E51" s="119" t="str">
        <f ca="1">OFFSET(ORÇAMENTO!O$15,ROW(E51)-ROW(E$15),0)</f>
        <v>1.3.1.9.</v>
      </c>
      <c r="F51" s="172" t="str">
        <f ca="1">OFFSET(ORÇAMENTO!R$15,ROW(F51)-ROW(F$15),0)</f>
        <v>(abra o arquivo 'Referência 03-2024.xlsm)</v>
      </c>
      <c r="G51" s="173" t="str">
        <f ca="1">IF($D51&lt;&gt;"Serviço","",OFFSET(ORÇAMENTO!S$15,ROW(G51)-ROW(G$15),0))</f>
        <v>-</v>
      </c>
      <c r="H51" s="124">
        <f ca="1">IF($D51&lt;&gt;"Serviço",0,IF(ACOMPANHAMENTO="BM",ROUND(OFFSET(ORÇAMENTO!AJ$15,ROW(H51)-ROW(H$15),0),15-13*ORÇAMENTO!$AF$7),SUMPRODUCT(($Q$12:$AA$12&lt;&gt;"")*ROUND($Q51:$AA51,15-13*ORÇAMENTO!$AF$7))))</f>
        <v>3.9</v>
      </c>
      <c r="I51" s="561"/>
      <c r="K51" s="174"/>
      <c r="L51" s="175" t="s">
        <v>255</v>
      </c>
      <c r="M51" s="176">
        <f ca="1">IF($D51&lt;&gt;"Serviço","",IF(AUTOEVENTO="manual",$A51,IF(ISERROR(MATCH($A51,$A$15:OFFSET($A51,-1,0),0)),MAX($M$15:OFFSET(M51,-1,0))+1,INDEX($M$15:OFFSET(M51,-1,0),MATCH($A51,$A$15:OFFSET($A51,-1,0),0)))))</f>
        <v>4</v>
      </c>
      <c r="N51" s="177" t="str">
        <f ca="1">IF($D51&lt;&gt;"Serviço","",IF(AUTOEVENTO="Manual",IF($A51=0,"&lt;-- defina o número do agrupador",OFFSET(EVENTOS!$D$14,$A51,0)),OFFSET($F$15,$A51,0)))</f>
        <v>ENTRADA DE ENERGIA PADRÃO, MURETA E QGBT</v>
      </c>
      <c r="O51" s="178"/>
      <c r="Q51" s="178"/>
      <c r="R51" s="179"/>
      <c r="S51" s="179"/>
      <c r="T51" s="179"/>
      <c r="U51" s="179"/>
      <c r="V51" s="179"/>
      <c r="W51" s="179"/>
      <c r="X51" s="179"/>
      <c r="Y51" s="179"/>
      <c r="Z51" s="180"/>
      <c r="AB51" s="544">
        <f ca="1">IF(AND($D51="Serviço",AB$12&lt;&gt;0,$H51&gt;0,OR(AUTOEVENTO&lt;&gt;"manual",$M51&lt;&gt;1)),
IF(Import.TipoArredondamento&lt;&gt;"TransfereGOV",
ROUND(OFFSET($P51,0,AB$13),15-13*ORÇAMENTO!$AF$7)/$H51*OFFSET(ORÇAMENTO!$X$15,ROW(AB51)-ROW(AB$15),0),
ROUND(ROUND(OFFSET($P51,0,AB$13),15-13*ORÇAMENTO!$AF$7)*OFFSET(ORÇAMENTO!$W$15,ROW(AB51)-ROW(AB$15),0),15-13*ORÇAMENTO!$AF$11)),0)</f>
        <v>0</v>
      </c>
      <c r="AC51" s="545">
        <f ca="1">IF(AND($D51="Serviço",AC$12&lt;&gt;0,$H51&gt;0,OR(AUTOEVENTO&lt;&gt;"manual",$M51&lt;&gt;1)),
IF(Import.TipoArredondamento&lt;&gt;"TransfereGOV",
ROUND(OFFSET($P51,0,AC$13),15-13*ORÇAMENTO!$AF$7)/$H51*OFFSET(ORÇAMENTO!$X$15,ROW(AC51)-ROW(AC$15),0),
ROUND(ROUND(OFFSET($P51,0,AC$13),15-13*ORÇAMENTO!$AF$7)*OFFSET(ORÇAMENTO!$W$15,ROW(AC51)-ROW(AC$15),0),15-13*ORÇAMENTO!$AF$11)),0)</f>
        <v>0</v>
      </c>
      <c r="AD51" s="545">
        <f ca="1">IF(AND($D51="Serviço",AD$12&lt;&gt;0,$H51&gt;0,OR(AUTOEVENTO&lt;&gt;"manual",$M51&lt;&gt;1)),
IF(Import.TipoArredondamento&lt;&gt;"TransfereGOV",
ROUND(OFFSET($P51,0,AD$13),15-13*ORÇAMENTO!$AF$7)/$H51*OFFSET(ORÇAMENTO!$X$15,ROW(AD51)-ROW(AD$15),0),
ROUND(ROUND(OFFSET($P51,0,AD$13),15-13*ORÇAMENTO!$AF$7)*OFFSET(ORÇAMENTO!$W$15,ROW(AD51)-ROW(AD$15),0),15-13*ORÇAMENTO!$AF$11)),0)</f>
        <v>0</v>
      </c>
      <c r="AE51" s="545">
        <f ca="1">IF(AND($D51="Serviço",AE$12&lt;&gt;0,$H51&gt;0,OR(AUTOEVENTO&lt;&gt;"manual",$M51&lt;&gt;1)),
IF(Import.TipoArredondamento&lt;&gt;"TransfereGOV",
ROUND(OFFSET($P51,0,AE$13),15-13*ORÇAMENTO!$AF$7)/$H51*OFFSET(ORÇAMENTO!$X$15,ROW(AE51)-ROW(AE$15),0),
ROUND(ROUND(OFFSET($P51,0,AE$13),15-13*ORÇAMENTO!$AF$7)*OFFSET(ORÇAMENTO!$W$15,ROW(AE51)-ROW(AE$15),0),15-13*ORÇAMENTO!$AF$11)),0)</f>
        <v>0</v>
      </c>
      <c r="AF51" s="545">
        <f ca="1">IF(AND($D51="Serviço",AF$12&lt;&gt;0,$H51&gt;0,OR(AUTOEVENTO&lt;&gt;"manual",$M51&lt;&gt;1)),
IF(Import.TipoArredondamento&lt;&gt;"TransfereGOV",
ROUND(OFFSET($P51,0,AF$13),15-13*ORÇAMENTO!$AF$7)/$H51*OFFSET(ORÇAMENTO!$X$15,ROW(AF51)-ROW(AF$15),0),
ROUND(ROUND(OFFSET($P51,0,AF$13),15-13*ORÇAMENTO!$AF$7)*OFFSET(ORÇAMENTO!$W$15,ROW(AF51)-ROW(AF$15),0),15-13*ORÇAMENTO!$AF$11)),0)</f>
        <v>0</v>
      </c>
      <c r="AG51" s="545">
        <f ca="1">IF(AND($D51="Serviço",AG$12&lt;&gt;0,$H51&gt;0,OR(AUTOEVENTO&lt;&gt;"manual",$M51&lt;&gt;1)),
IF(Import.TipoArredondamento&lt;&gt;"TransfereGOV",
ROUND(OFFSET($P51,0,AG$13),15-13*ORÇAMENTO!$AF$7)/$H51*OFFSET(ORÇAMENTO!$X$15,ROW(AG51)-ROW(AG$15),0),
ROUND(ROUND(OFFSET($P51,0,AG$13),15-13*ORÇAMENTO!$AF$7)*OFFSET(ORÇAMENTO!$W$15,ROW(AG51)-ROW(AG$15),0),15-13*ORÇAMENTO!$AF$11)),0)</f>
        <v>0</v>
      </c>
      <c r="AH51" s="545">
        <f ca="1">IF(AND($D51="Serviço",AH$12&lt;&gt;0,$H51&gt;0,OR(AUTOEVENTO&lt;&gt;"manual",$M51&lt;&gt;1)),
IF(Import.TipoArredondamento&lt;&gt;"TransfereGOV",
ROUND(OFFSET($P51,0,AH$13),15-13*ORÇAMENTO!$AF$7)/$H51*OFFSET(ORÇAMENTO!$X$15,ROW(AH51)-ROW(AH$15),0),
ROUND(ROUND(OFFSET($P51,0,AH$13),15-13*ORÇAMENTO!$AF$7)*OFFSET(ORÇAMENTO!$W$15,ROW(AH51)-ROW(AH$15),0),15-13*ORÇAMENTO!$AF$11)),0)</f>
        <v>0</v>
      </c>
      <c r="AI51" s="545">
        <f ca="1">IF(AND($D51="Serviço",AI$12&lt;&gt;0,$H51&gt;0,OR(AUTOEVENTO&lt;&gt;"manual",$M51&lt;&gt;1)),
IF(Import.TipoArredondamento&lt;&gt;"TransfereGOV",
ROUND(OFFSET($P51,0,AI$13),15-13*ORÇAMENTO!$AF$7)/$H51*OFFSET(ORÇAMENTO!$X$15,ROW(AI51)-ROW(AI$15),0),
ROUND(ROUND(OFFSET($P51,0,AI$13),15-13*ORÇAMENTO!$AF$7)*OFFSET(ORÇAMENTO!$W$15,ROW(AI51)-ROW(AI$15),0),15-13*ORÇAMENTO!$AF$11)),0)</f>
        <v>0</v>
      </c>
      <c r="AJ51" s="545">
        <f ca="1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0</v>
      </c>
      <c r="AK51" s="546">
        <f ca="1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0</v>
      </c>
      <c r="AM51" s="181">
        <f ca="1">IF($D51&lt;&gt;"Serviço",0,IF(AND(AUTOEVENTO="Manual",$M51=1),0,IF(OFFSET(CRONOPLE!$F$14,$M51,AM$13)="",10^12,OFFSET(CRONOPLE!$F$14,$M51,AM$13))))</f>
        <v>1000000000000</v>
      </c>
      <c r="AN51" s="181">
        <f ca="1">IF($D51&lt;&gt;"Serviço",0,IF(AND(AUTOEVENTO="Manual",$M51=1),0,IF(OFFSET(CRONOPLE!$F$14,$M51,AN$13)="",10^12,OFFSET(CRONOPLE!$F$14,$M51,AN$13))))</f>
        <v>1000000000000</v>
      </c>
      <c r="AO51" s="181">
        <f ca="1">IF($D51&lt;&gt;"Serviço",0,IF(AND(AUTOEVENTO="Manual",$M51=1),0,IF(OFFSET(CRONOPLE!$F$14,$M51,AO$13)="",10^12,OFFSET(CRONOPLE!$F$14,$M51,AO$13))))</f>
        <v>1000000000000</v>
      </c>
      <c r="AP51" s="181">
        <f ca="1">IF($D51&lt;&gt;"Serviço",0,IF(AND(AUTOEVENTO="Manual",$M51=1),0,IF(OFFSET(CRONOPLE!$F$14,$M51,AP$13)="",10^12,OFFSET(CRONOPLE!$F$14,$M51,AP$13))))</f>
        <v>1000000000000</v>
      </c>
      <c r="AQ51" s="181">
        <f ca="1">IF($D51&lt;&gt;"Serviço",0,IF(AND(AUTOEVENTO="Manual",$M51=1),0,IF(OFFSET(CRONOPLE!$F$14,$M51,AQ$13)="",10^12,OFFSET(CRONOPLE!$F$14,$M51,AQ$13))))</f>
        <v>1000000000000</v>
      </c>
      <c r="AR51" s="181">
        <f ca="1">IF($D51&lt;&gt;"Serviço",0,IF(AND(AUTOEVENTO="Manual",$M51=1),0,IF(OFFSET(CRONOPLE!$F$14,$M51,AR$13)="",10^12,OFFSET(CRONOPLE!$F$14,$M51,AR$13))))</f>
        <v>1000000000000</v>
      </c>
      <c r="AS51" s="181">
        <f ca="1">IF($D51&lt;&gt;"Serviço",0,IF(AND(AUTOEVENTO="Manual",$M51=1),0,IF(OFFSET(CRONOPLE!$F$14,$M51,AS$13)="",10^12,OFFSET(CRONOPLE!$F$14,$M51,AS$13))))</f>
        <v>1000000000000</v>
      </c>
      <c r="AT51" s="181">
        <f ca="1">IF($D51&lt;&gt;"Serviço",0,IF(AND(AUTOEVENTO="Manual",$M51=1),0,IF(OFFSET(CRONOPLE!$F$14,$M51,AT$13)="",10^12,OFFSET(CRONOPLE!$F$14,$M51,AT$13))))</f>
        <v>1000000000000</v>
      </c>
      <c r="AU51" s="181">
        <f ca="1">IF($D51&lt;&gt;"Serviço",0,IF(AND(AUTOEVENTO="Manual",$M51=1),0,IF(OFFSET(CRONOPLE!$F$14,$M51,AU$13)="",10^12,OFFSET(CRONOPLE!$F$14,$M51,AU$13))))</f>
        <v>1000000000000</v>
      </c>
      <c r="AV51" s="181">
        <f ca="1">IF($D51&lt;&gt;"Serviço",0,IF(AND(AUTOEVENTO="Manual",$M51=1),0,IF(OFFSET(CRONOPLE!$F$14,$M51,AV$13)="",10^12,OFFSET(CRONOPLE!$F$14,$M51,AV$13))))</f>
        <v>1000000000000</v>
      </c>
      <c r="AX51" s="182">
        <f ca="1">IF($D51&lt;&gt;"Serviço",0,IF(OR(AND(AUTOEVENTO="Manual",$M51=1),$M51&gt;(ROW(PLE.lastrow)-ROW(PLE.firstrow))),0,IF(OFFSET(PLE!$G$14,$M51,AX$13)="",10^12,OFFSET(PLE!$G$14,$M51,AX$13))))</f>
        <v>1000000000000</v>
      </c>
      <c r="AY51" s="182">
        <f ca="1">IF($D51&lt;&gt;"Serviço",0,IF(OR(AND(AUTOEVENTO="Manual",$M51=1),$M51&gt;(ROW(PLE.lastrow)-ROW(PLE.firstrow))),0,IF(OFFSET(PLE!$G$14,$M51,AY$13)="",10^12,OFFSET(PLE!$G$14,$M51,AY$13))))</f>
        <v>1000000000000</v>
      </c>
      <c r="AZ51" s="182">
        <f ca="1">IF($D51&lt;&gt;"Serviço",0,IF(OR(AND(AUTOEVENTO="Manual",$M51=1),$M51&gt;(ROW(PLE.lastrow)-ROW(PLE.firstrow))),0,IF(OFFSET(PLE!$G$14,$M51,AZ$13)="",10^12,OFFSET(PLE!$G$14,$M51,AZ$13))))</f>
        <v>1000000000000</v>
      </c>
      <c r="BA51" s="182">
        <f ca="1">IF($D51&lt;&gt;"Serviço",0,IF(OR(AND(AUTOEVENTO="Manual",$M51=1),$M51&gt;(ROW(PLE.lastrow)-ROW(PLE.firstrow))),0,IF(OFFSET(PLE!$G$14,$M51,BA$13)="",10^12,OFFSET(PLE!$G$14,$M51,BA$13))))</f>
        <v>1000000000000</v>
      </c>
      <c r="BB51" s="182">
        <f ca="1">IF($D51&lt;&gt;"Serviço",0,IF(OR(AND(AUTOEVENTO="Manual",$M51=1),$M51&gt;(ROW(PLE.lastrow)-ROW(PLE.firstrow))),0,IF(OFFSET(PLE!$G$14,$M51,BB$13)="",10^12,OFFSET(PLE!$G$14,$M51,BB$13))))</f>
        <v>1000000000000</v>
      </c>
      <c r="BC51" s="182">
        <f ca="1">IF($D51&lt;&gt;"Serviço",0,IF(OR(AND(AUTOEVENTO="Manual",$M51=1),$M51&gt;(ROW(PLE.lastrow)-ROW(PLE.firstrow))),0,IF(OFFSET(PLE!$G$14,$M51,BC$13)="",10^12,OFFSET(PLE!$G$14,$M51,BC$13))))</f>
        <v>1000000000000</v>
      </c>
      <c r="BD51" s="182">
        <f ca="1">IF($D51&lt;&gt;"Serviço",0,IF(OR(AND(AUTOEVENTO="Manual",$M51=1),$M51&gt;(ROW(PLE.lastrow)-ROW(PLE.firstrow))),0,IF(OFFSET(PLE!$G$14,$M51,BD$13)="",10^12,OFFSET(PLE!$G$14,$M51,BD$13))))</f>
        <v>1000000000000</v>
      </c>
      <c r="BE51" s="182">
        <f ca="1">IF($D51&lt;&gt;"Serviço",0,IF(OR(AND(AUTOEVENTO="Manual",$M51=1),$M51&gt;(ROW(PLE.lastrow)-ROW(PLE.firstrow))),0,IF(OFFSET(PLE!$G$14,$M51,BE$13)="",10^12,OFFSET(PLE!$G$14,$M51,BE$13))))</f>
        <v>1000000000000</v>
      </c>
      <c r="BF51" s="182">
        <f ca="1">IF($D51&lt;&gt;"Serviço",0,IF(OR(AND(AUTOEVENTO="Manual",$M51=1),$M51&gt;(ROW(PLE.lastrow)-ROW(PLE.firstrow))),0,IF(OFFSET(PLE!$G$14,$M51,BF$13)="",10^12,OFFSET(PLE!$G$14,$M51,BF$13))))</f>
        <v>1000000000000</v>
      </c>
      <c r="BG51" s="182">
        <f ca="1">IF($D51&lt;&gt;"Serviço",0,IF(OR(AND(AUTOEVENTO="Manual",$M51=1),$M51&gt;(ROW(PLE.lastrow)-ROW(PLE.firstrow))),0,IF(OFFSET(PLE!$G$14,$M51,BG$13)="",10^12,OFFSET(PLE!$G$14,$M51,BG$13))))</f>
        <v>1000000000000</v>
      </c>
    </row>
    <row r="52" spans="1:59" ht="51" x14ac:dyDescent="0.2">
      <c r="A52" s="7" t="str">
        <f t="shared" ca="1" si="8"/>
        <v>26</v>
      </c>
      <c r="B52" s="7" t="str">
        <f ca="1">OFFSET(ORÇAMENTO!C$15,ROW(B52)-ROW(B$15),0)</f>
        <v>S</v>
      </c>
      <c r="C52" s="7" t="str">
        <f ca="1">OFFSET(ORÇAMENTO!L$15,ROW(C52)-ROW(C$15),0)</f>
        <v>F</v>
      </c>
      <c r="D52" s="118" t="str">
        <f ca="1">OFFSET(ORÇAMENTO!N$15,ROW(D52)-ROW(D$15),0)</f>
        <v>Serviço</v>
      </c>
      <c r="E52" s="119" t="str">
        <f ca="1">OFFSET(ORÇAMENTO!O$15,ROW(E52)-ROW(E$15),0)</f>
        <v>1.3.1.10.</v>
      </c>
      <c r="F52" s="172" t="str">
        <f ca="1">OFFSET(ORÇAMENTO!R$15,ROW(F52)-ROW(F$15),0)</f>
        <v>(abra o arquivo 'Referência 03-2024.xlsm)</v>
      </c>
      <c r="G52" s="173" t="str">
        <f ca="1">IF($D52&lt;&gt;"Serviço","",OFFSET(ORÇAMENTO!S$15,ROW(G52)-ROW(G$15),0))</f>
        <v>-</v>
      </c>
      <c r="H52" s="124">
        <f ca="1">IF($D52&lt;&gt;"Serviço",0,IF(ACOMPANHAMENTO="BM",ROUND(OFFSET(ORÇAMENTO!AJ$15,ROW(H52)-ROW(H$15),0),15-13*ORÇAMENTO!$AF$7),SUMPRODUCT(($Q$12:$AA$12&lt;&gt;"")*ROUND($Q52:$AA52,15-13*ORÇAMENTO!$AF$7))))</f>
        <v>3.9</v>
      </c>
      <c r="I52" s="561"/>
      <c r="K52" s="174"/>
      <c r="L52" s="175" t="s">
        <v>255</v>
      </c>
      <c r="M52" s="176">
        <f ca="1">IF($D52&lt;&gt;"Serviço","",IF(AUTOEVENTO="manual",$A52,IF(ISERROR(MATCH($A52,$A$15:OFFSET($A52,-1,0),0)),MAX($M$15:OFFSET(M52,-1,0))+1,INDEX($M$15:OFFSET(M52,-1,0),MATCH($A52,$A$15:OFFSET($A52,-1,0),0)))))</f>
        <v>4</v>
      </c>
      <c r="N52" s="177" t="str">
        <f ca="1">IF($D52&lt;&gt;"Serviço","",IF(AUTOEVENTO="Manual",IF($A52=0,"&lt;-- defina o número do agrupador",OFFSET(EVENTOS!$D$14,$A52,0)),OFFSET($F$15,$A52,0)))</f>
        <v>ENTRADA DE ENERGIA PADRÃO, MURETA E QGBT</v>
      </c>
      <c r="O52" s="178"/>
      <c r="Q52" s="178"/>
      <c r="R52" s="179"/>
      <c r="S52" s="179"/>
      <c r="T52" s="179"/>
      <c r="U52" s="179"/>
      <c r="V52" s="179"/>
      <c r="W52" s="179"/>
      <c r="X52" s="179"/>
      <c r="Y52" s="179"/>
      <c r="Z52" s="180"/>
      <c r="AB52" s="544">
        <f ca="1">IF(AND($D52="Serviço",AB$12&lt;&gt;0,$H52&gt;0,OR(AUTOEVENTO&lt;&gt;"manual",$M52&lt;&gt;1)),
IF(Import.TipoArredondamento&lt;&gt;"TransfereGOV",
ROUND(OFFSET($P52,0,AB$13),15-13*ORÇAMENTO!$AF$7)/$H52*OFFSET(ORÇAMENTO!$X$15,ROW(AB52)-ROW(AB$15),0),
ROUND(ROUND(OFFSET($P52,0,AB$13),15-13*ORÇAMENTO!$AF$7)*OFFSET(ORÇAMENTO!$W$15,ROW(AB52)-ROW(AB$15),0),15-13*ORÇAMENTO!$AF$11)),0)</f>
        <v>0</v>
      </c>
      <c r="AC52" s="545">
        <f ca="1">IF(AND($D52="Serviço",AC$12&lt;&gt;0,$H52&gt;0,OR(AUTOEVENTO&lt;&gt;"manual",$M52&lt;&gt;1)),
IF(Import.TipoArredondamento&lt;&gt;"TransfereGOV",
ROUND(OFFSET($P52,0,AC$13),15-13*ORÇAMENTO!$AF$7)/$H52*OFFSET(ORÇAMENTO!$X$15,ROW(AC52)-ROW(AC$15),0),
ROUND(ROUND(OFFSET($P52,0,AC$13),15-13*ORÇAMENTO!$AF$7)*OFFSET(ORÇAMENTO!$W$15,ROW(AC52)-ROW(AC$15),0),15-13*ORÇAMENTO!$AF$11)),0)</f>
        <v>0</v>
      </c>
      <c r="AD52" s="545">
        <f ca="1">IF(AND($D52="Serviço",AD$12&lt;&gt;0,$H52&gt;0,OR(AUTOEVENTO&lt;&gt;"manual",$M52&lt;&gt;1)),
IF(Import.TipoArredondamento&lt;&gt;"TransfereGOV",
ROUND(OFFSET($P52,0,AD$13),15-13*ORÇAMENTO!$AF$7)/$H52*OFFSET(ORÇAMENTO!$X$15,ROW(AD52)-ROW(AD$15),0),
ROUND(ROUND(OFFSET($P52,0,AD$13),15-13*ORÇAMENTO!$AF$7)*OFFSET(ORÇAMENTO!$W$15,ROW(AD52)-ROW(AD$15),0),15-13*ORÇAMENTO!$AF$11)),0)</f>
        <v>0</v>
      </c>
      <c r="AE52" s="545">
        <f ca="1">IF(AND($D52="Serviço",AE$12&lt;&gt;0,$H52&gt;0,OR(AUTOEVENTO&lt;&gt;"manual",$M52&lt;&gt;1)),
IF(Import.TipoArredondamento&lt;&gt;"TransfereGOV",
ROUND(OFFSET($P52,0,AE$13),15-13*ORÇAMENTO!$AF$7)/$H52*OFFSET(ORÇAMENTO!$X$15,ROW(AE52)-ROW(AE$15),0),
ROUND(ROUND(OFFSET($P52,0,AE$13),15-13*ORÇAMENTO!$AF$7)*OFFSET(ORÇAMENTO!$W$15,ROW(AE52)-ROW(AE$15),0),15-13*ORÇAMENTO!$AF$11)),0)</f>
        <v>0</v>
      </c>
      <c r="AF52" s="545">
        <f ca="1">IF(AND($D52="Serviço",AF$12&lt;&gt;0,$H52&gt;0,OR(AUTOEVENTO&lt;&gt;"manual",$M52&lt;&gt;1)),
IF(Import.TipoArredondamento&lt;&gt;"TransfereGOV",
ROUND(OFFSET($P52,0,AF$13),15-13*ORÇAMENTO!$AF$7)/$H52*OFFSET(ORÇAMENTO!$X$15,ROW(AF52)-ROW(AF$15),0),
ROUND(ROUND(OFFSET($P52,0,AF$13),15-13*ORÇAMENTO!$AF$7)*OFFSET(ORÇAMENTO!$W$15,ROW(AF52)-ROW(AF$15),0),15-13*ORÇAMENTO!$AF$11)),0)</f>
        <v>0</v>
      </c>
      <c r="AG52" s="545">
        <f ca="1">IF(AND($D52="Serviço",AG$12&lt;&gt;0,$H52&gt;0,OR(AUTOEVENTO&lt;&gt;"manual",$M52&lt;&gt;1)),
IF(Import.TipoArredondamento&lt;&gt;"TransfereGOV",
ROUND(OFFSET($P52,0,AG$13),15-13*ORÇAMENTO!$AF$7)/$H52*OFFSET(ORÇAMENTO!$X$15,ROW(AG52)-ROW(AG$15),0),
ROUND(ROUND(OFFSET($P52,0,AG$13),15-13*ORÇAMENTO!$AF$7)*OFFSET(ORÇAMENTO!$W$15,ROW(AG52)-ROW(AG$15),0),15-13*ORÇAMENTO!$AF$11)),0)</f>
        <v>0</v>
      </c>
      <c r="AH52" s="545">
        <f ca="1">IF(AND($D52="Serviço",AH$12&lt;&gt;0,$H52&gt;0,OR(AUTOEVENTO&lt;&gt;"manual",$M52&lt;&gt;1)),
IF(Import.TipoArredondamento&lt;&gt;"TransfereGOV",
ROUND(OFFSET($P52,0,AH$13),15-13*ORÇAMENTO!$AF$7)/$H52*OFFSET(ORÇAMENTO!$X$15,ROW(AH52)-ROW(AH$15),0),
ROUND(ROUND(OFFSET($P52,0,AH$13),15-13*ORÇAMENTO!$AF$7)*OFFSET(ORÇAMENTO!$W$15,ROW(AH52)-ROW(AH$15),0),15-13*ORÇAMENTO!$AF$11)),0)</f>
        <v>0</v>
      </c>
      <c r="AI52" s="545">
        <f ca="1">IF(AND($D52="Serviço",AI$12&lt;&gt;0,$H52&gt;0,OR(AUTOEVENTO&lt;&gt;"manual",$M52&lt;&gt;1)),
IF(Import.TipoArredondamento&lt;&gt;"TransfereGOV",
ROUND(OFFSET($P52,0,AI$13),15-13*ORÇAMENTO!$AF$7)/$H52*OFFSET(ORÇAMENTO!$X$15,ROW(AI52)-ROW(AI$15),0),
ROUND(ROUND(OFFSET($P52,0,AI$13),15-13*ORÇAMENTO!$AF$7)*OFFSET(ORÇAMENTO!$W$15,ROW(AI52)-ROW(AI$15),0),15-13*ORÇAMENTO!$AF$11)),0)</f>
        <v>0</v>
      </c>
      <c r="AJ52" s="545">
        <f ca="1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0</v>
      </c>
      <c r="AK52" s="546">
        <f ca="1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0</v>
      </c>
      <c r="AM52" s="181">
        <f ca="1">IF($D52&lt;&gt;"Serviço",0,IF(AND(AUTOEVENTO="Manual",$M52=1),0,IF(OFFSET(CRONOPLE!$F$14,$M52,AM$13)="",10^12,OFFSET(CRONOPLE!$F$14,$M52,AM$13))))</f>
        <v>1000000000000</v>
      </c>
      <c r="AN52" s="181">
        <f ca="1">IF($D52&lt;&gt;"Serviço",0,IF(AND(AUTOEVENTO="Manual",$M52=1),0,IF(OFFSET(CRONOPLE!$F$14,$M52,AN$13)="",10^12,OFFSET(CRONOPLE!$F$14,$M52,AN$13))))</f>
        <v>1000000000000</v>
      </c>
      <c r="AO52" s="181">
        <f ca="1">IF($D52&lt;&gt;"Serviço",0,IF(AND(AUTOEVENTO="Manual",$M52=1),0,IF(OFFSET(CRONOPLE!$F$14,$M52,AO$13)="",10^12,OFFSET(CRONOPLE!$F$14,$M52,AO$13))))</f>
        <v>1000000000000</v>
      </c>
      <c r="AP52" s="181">
        <f ca="1">IF($D52&lt;&gt;"Serviço",0,IF(AND(AUTOEVENTO="Manual",$M52=1),0,IF(OFFSET(CRONOPLE!$F$14,$M52,AP$13)="",10^12,OFFSET(CRONOPLE!$F$14,$M52,AP$13))))</f>
        <v>1000000000000</v>
      </c>
      <c r="AQ52" s="181">
        <f ca="1">IF($D52&lt;&gt;"Serviço",0,IF(AND(AUTOEVENTO="Manual",$M52=1),0,IF(OFFSET(CRONOPLE!$F$14,$M52,AQ$13)="",10^12,OFFSET(CRONOPLE!$F$14,$M52,AQ$13))))</f>
        <v>1000000000000</v>
      </c>
      <c r="AR52" s="181">
        <f ca="1">IF($D52&lt;&gt;"Serviço",0,IF(AND(AUTOEVENTO="Manual",$M52=1),0,IF(OFFSET(CRONOPLE!$F$14,$M52,AR$13)="",10^12,OFFSET(CRONOPLE!$F$14,$M52,AR$13))))</f>
        <v>1000000000000</v>
      </c>
      <c r="AS52" s="181">
        <f ca="1">IF($D52&lt;&gt;"Serviço",0,IF(AND(AUTOEVENTO="Manual",$M52=1),0,IF(OFFSET(CRONOPLE!$F$14,$M52,AS$13)="",10^12,OFFSET(CRONOPLE!$F$14,$M52,AS$13))))</f>
        <v>1000000000000</v>
      </c>
      <c r="AT52" s="181">
        <f ca="1">IF($D52&lt;&gt;"Serviço",0,IF(AND(AUTOEVENTO="Manual",$M52=1),0,IF(OFFSET(CRONOPLE!$F$14,$M52,AT$13)="",10^12,OFFSET(CRONOPLE!$F$14,$M52,AT$13))))</f>
        <v>1000000000000</v>
      </c>
      <c r="AU52" s="181">
        <f ca="1">IF($D52&lt;&gt;"Serviço",0,IF(AND(AUTOEVENTO="Manual",$M52=1),0,IF(OFFSET(CRONOPLE!$F$14,$M52,AU$13)="",10^12,OFFSET(CRONOPLE!$F$14,$M52,AU$13))))</f>
        <v>1000000000000</v>
      </c>
      <c r="AV52" s="181">
        <f ca="1">IF($D52&lt;&gt;"Serviço",0,IF(AND(AUTOEVENTO="Manual",$M52=1),0,IF(OFFSET(CRONOPLE!$F$14,$M52,AV$13)="",10^12,OFFSET(CRONOPLE!$F$14,$M52,AV$13))))</f>
        <v>1000000000000</v>
      </c>
      <c r="AX52" s="182">
        <f ca="1">IF($D52&lt;&gt;"Serviço",0,IF(OR(AND(AUTOEVENTO="Manual",$M52=1),$M52&gt;(ROW(PLE.lastrow)-ROW(PLE.firstrow))),0,IF(OFFSET(PLE!$G$14,$M52,AX$13)="",10^12,OFFSET(PLE!$G$14,$M52,AX$13))))</f>
        <v>1000000000000</v>
      </c>
      <c r="AY52" s="182">
        <f ca="1">IF($D52&lt;&gt;"Serviço",0,IF(OR(AND(AUTOEVENTO="Manual",$M52=1),$M52&gt;(ROW(PLE.lastrow)-ROW(PLE.firstrow))),0,IF(OFFSET(PLE!$G$14,$M52,AY$13)="",10^12,OFFSET(PLE!$G$14,$M52,AY$13))))</f>
        <v>1000000000000</v>
      </c>
      <c r="AZ52" s="182">
        <f ca="1">IF($D52&lt;&gt;"Serviço",0,IF(OR(AND(AUTOEVENTO="Manual",$M52=1),$M52&gt;(ROW(PLE.lastrow)-ROW(PLE.firstrow))),0,IF(OFFSET(PLE!$G$14,$M52,AZ$13)="",10^12,OFFSET(PLE!$G$14,$M52,AZ$13))))</f>
        <v>1000000000000</v>
      </c>
      <c r="BA52" s="182">
        <f ca="1">IF($D52&lt;&gt;"Serviço",0,IF(OR(AND(AUTOEVENTO="Manual",$M52=1),$M52&gt;(ROW(PLE.lastrow)-ROW(PLE.firstrow))),0,IF(OFFSET(PLE!$G$14,$M52,BA$13)="",10^12,OFFSET(PLE!$G$14,$M52,BA$13))))</f>
        <v>1000000000000</v>
      </c>
      <c r="BB52" s="182">
        <f ca="1">IF($D52&lt;&gt;"Serviço",0,IF(OR(AND(AUTOEVENTO="Manual",$M52=1),$M52&gt;(ROW(PLE.lastrow)-ROW(PLE.firstrow))),0,IF(OFFSET(PLE!$G$14,$M52,BB$13)="",10^12,OFFSET(PLE!$G$14,$M52,BB$13))))</f>
        <v>1000000000000</v>
      </c>
      <c r="BC52" s="182">
        <f ca="1">IF($D52&lt;&gt;"Serviço",0,IF(OR(AND(AUTOEVENTO="Manual",$M52=1),$M52&gt;(ROW(PLE.lastrow)-ROW(PLE.firstrow))),0,IF(OFFSET(PLE!$G$14,$M52,BC$13)="",10^12,OFFSET(PLE!$G$14,$M52,BC$13))))</f>
        <v>1000000000000</v>
      </c>
      <c r="BD52" s="182">
        <f ca="1">IF($D52&lt;&gt;"Serviço",0,IF(OR(AND(AUTOEVENTO="Manual",$M52=1),$M52&gt;(ROW(PLE.lastrow)-ROW(PLE.firstrow))),0,IF(OFFSET(PLE!$G$14,$M52,BD$13)="",10^12,OFFSET(PLE!$G$14,$M52,BD$13))))</f>
        <v>1000000000000</v>
      </c>
      <c r="BE52" s="182">
        <f ca="1">IF($D52&lt;&gt;"Serviço",0,IF(OR(AND(AUTOEVENTO="Manual",$M52=1),$M52&gt;(ROW(PLE.lastrow)-ROW(PLE.firstrow))),0,IF(OFFSET(PLE!$G$14,$M52,BE$13)="",10^12,OFFSET(PLE!$G$14,$M52,BE$13))))</f>
        <v>1000000000000</v>
      </c>
      <c r="BF52" s="182">
        <f ca="1">IF($D52&lt;&gt;"Serviço",0,IF(OR(AND(AUTOEVENTO="Manual",$M52=1),$M52&gt;(ROW(PLE.lastrow)-ROW(PLE.firstrow))),0,IF(OFFSET(PLE!$G$14,$M52,BF$13)="",10^12,OFFSET(PLE!$G$14,$M52,BF$13))))</f>
        <v>1000000000000</v>
      </c>
      <c r="BG52" s="182">
        <f ca="1">IF($D52&lt;&gt;"Serviço",0,IF(OR(AND(AUTOEVENTO="Manual",$M52=1),$M52&gt;(ROW(PLE.lastrow)-ROW(PLE.firstrow))),0,IF(OFFSET(PLE!$G$14,$M52,BG$13)="",10^12,OFFSET(PLE!$G$14,$M52,BG$13))))</f>
        <v>1000000000000</v>
      </c>
    </row>
    <row r="53" spans="1:59" ht="51" x14ac:dyDescent="0.2">
      <c r="A53" s="7" t="str">
        <f t="shared" ca="1" si="8"/>
        <v>26</v>
      </c>
      <c r="B53" s="7" t="str">
        <f ca="1">OFFSET(ORÇAMENTO!C$15,ROW(B53)-ROW(B$15),0)</f>
        <v>S</v>
      </c>
      <c r="C53" s="7" t="str">
        <f ca="1">OFFSET(ORÇAMENTO!L$15,ROW(C53)-ROW(C$15),0)</f>
        <v>F</v>
      </c>
      <c r="D53" s="118" t="str">
        <f ca="1">OFFSET(ORÇAMENTO!N$15,ROW(D53)-ROW(D$15),0)</f>
        <v>Serviço</v>
      </c>
      <c r="E53" s="119" t="str">
        <f ca="1">OFFSET(ORÇAMENTO!O$15,ROW(E53)-ROW(E$15),0)</f>
        <v>1.3.1.11.</v>
      </c>
      <c r="F53" s="172" t="str">
        <f ca="1">OFFSET(ORÇAMENTO!R$15,ROW(F53)-ROW(F$15),0)</f>
        <v>(abra o arquivo 'Referência 03-2024.xlsm)</v>
      </c>
      <c r="G53" s="173" t="str">
        <f ca="1">IF($D53&lt;&gt;"Serviço","",OFFSET(ORÇAMENTO!S$15,ROW(G53)-ROW(G$15),0))</f>
        <v>-</v>
      </c>
      <c r="H53" s="124">
        <f ca="1">IF($D53&lt;&gt;"Serviço",0,IF(ACOMPANHAMENTO="BM",ROUND(OFFSET(ORÇAMENTO!AJ$15,ROW(H53)-ROW(H$15),0),15-13*ORÇAMENTO!$AF$7),SUMPRODUCT(($Q$12:$AA$12&lt;&gt;"")*ROUND($Q53:$AA53,15-13*ORÇAMENTO!$AF$7))))</f>
        <v>3.9</v>
      </c>
      <c r="I53" s="561"/>
      <c r="K53" s="174"/>
      <c r="L53" s="175" t="s">
        <v>255</v>
      </c>
      <c r="M53" s="176">
        <f ca="1">IF($D53&lt;&gt;"Serviço","",IF(AUTOEVENTO="manual",$A53,IF(ISERROR(MATCH($A53,$A$15:OFFSET($A53,-1,0),0)),MAX($M$15:OFFSET(M53,-1,0))+1,INDEX($M$15:OFFSET(M53,-1,0),MATCH($A53,$A$15:OFFSET($A53,-1,0),0)))))</f>
        <v>4</v>
      </c>
      <c r="N53" s="177" t="str">
        <f ca="1">IF($D53&lt;&gt;"Serviço","",IF(AUTOEVENTO="Manual",IF($A53=0,"&lt;-- defina o número do agrupador",OFFSET(EVENTOS!$D$14,$A53,0)),OFFSET($F$15,$A53,0)))</f>
        <v>ENTRADA DE ENERGIA PADRÃO, MURETA E QGBT</v>
      </c>
      <c r="O53" s="178"/>
      <c r="Q53" s="178"/>
      <c r="R53" s="179"/>
      <c r="S53" s="179"/>
      <c r="T53" s="179"/>
      <c r="U53" s="179"/>
      <c r="V53" s="179"/>
      <c r="W53" s="179"/>
      <c r="X53" s="179"/>
      <c r="Y53" s="179"/>
      <c r="Z53" s="180"/>
      <c r="AB53" s="544">
        <f ca="1">IF(AND($D53="Serviço",AB$12&lt;&gt;0,$H53&gt;0,OR(AUTOEVENTO&lt;&gt;"manual",$M53&lt;&gt;1)),
IF(Import.TipoArredondamento&lt;&gt;"TransfereGOV",
ROUND(OFFSET($P53,0,AB$13),15-13*ORÇAMENTO!$AF$7)/$H53*OFFSET(ORÇAMENTO!$X$15,ROW(AB53)-ROW(AB$15),0),
ROUND(ROUND(OFFSET($P53,0,AB$13),15-13*ORÇAMENTO!$AF$7)*OFFSET(ORÇAMENTO!$W$15,ROW(AB53)-ROW(AB$15),0),15-13*ORÇAMENTO!$AF$11)),0)</f>
        <v>0</v>
      </c>
      <c r="AC53" s="545">
        <f ca="1">IF(AND($D53="Serviço",AC$12&lt;&gt;0,$H53&gt;0,OR(AUTOEVENTO&lt;&gt;"manual",$M53&lt;&gt;1)),
IF(Import.TipoArredondamento&lt;&gt;"TransfereGOV",
ROUND(OFFSET($P53,0,AC$13),15-13*ORÇAMENTO!$AF$7)/$H53*OFFSET(ORÇAMENTO!$X$15,ROW(AC53)-ROW(AC$15),0),
ROUND(ROUND(OFFSET($P53,0,AC$13),15-13*ORÇAMENTO!$AF$7)*OFFSET(ORÇAMENTO!$W$15,ROW(AC53)-ROW(AC$15),0),15-13*ORÇAMENTO!$AF$11)),0)</f>
        <v>0</v>
      </c>
      <c r="AD53" s="545">
        <f ca="1">IF(AND($D53="Serviço",AD$12&lt;&gt;0,$H53&gt;0,OR(AUTOEVENTO&lt;&gt;"manual",$M53&lt;&gt;1)),
IF(Import.TipoArredondamento&lt;&gt;"TransfereGOV",
ROUND(OFFSET($P53,0,AD$13),15-13*ORÇAMENTO!$AF$7)/$H53*OFFSET(ORÇAMENTO!$X$15,ROW(AD53)-ROW(AD$15),0),
ROUND(ROUND(OFFSET($P53,0,AD$13),15-13*ORÇAMENTO!$AF$7)*OFFSET(ORÇAMENTO!$W$15,ROW(AD53)-ROW(AD$15),0),15-13*ORÇAMENTO!$AF$11)),0)</f>
        <v>0</v>
      </c>
      <c r="AE53" s="545">
        <f ca="1">IF(AND($D53="Serviço",AE$12&lt;&gt;0,$H53&gt;0,OR(AUTOEVENTO&lt;&gt;"manual",$M53&lt;&gt;1)),
IF(Import.TipoArredondamento&lt;&gt;"TransfereGOV",
ROUND(OFFSET($P53,0,AE$13),15-13*ORÇAMENTO!$AF$7)/$H53*OFFSET(ORÇAMENTO!$X$15,ROW(AE53)-ROW(AE$15),0),
ROUND(ROUND(OFFSET($P53,0,AE$13),15-13*ORÇAMENTO!$AF$7)*OFFSET(ORÇAMENTO!$W$15,ROW(AE53)-ROW(AE$15),0),15-13*ORÇAMENTO!$AF$11)),0)</f>
        <v>0</v>
      </c>
      <c r="AF53" s="545">
        <f ca="1">IF(AND($D53="Serviço",AF$12&lt;&gt;0,$H53&gt;0,OR(AUTOEVENTO&lt;&gt;"manual",$M53&lt;&gt;1)),
IF(Import.TipoArredondamento&lt;&gt;"TransfereGOV",
ROUND(OFFSET($P53,0,AF$13),15-13*ORÇAMENTO!$AF$7)/$H53*OFFSET(ORÇAMENTO!$X$15,ROW(AF53)-ROW(AF$15),0),
ROUND(ROUND(OFFSET($P53,0,AF$13),15-13*ORÇAMENTO!$AF$7)*OFFSET(ORÇAMENTO!$W$15,ROW(AF53)-ROW(AF$15),0),15-13*ORÇAMENTO!$AF$11)),0)</f>
        <v>0</v>
      </c>
      <c r="AG53" s="545">
        <f ca="1">IF(AND($D53="Serviço",AG$12&lt;&gt;0,$H53&gt;0,OR(AUTOEVENTO&lt;&gt;"manual",$M53&lt;&gt;1)),
IF(Import.TipoArredondamento&lt;&gt;"TransfereGOV",
ROUND(OFFSET($P53,0,AG$13),15-13*ORÇAMENTO!$AF$7)/$H53*OFFSET(ORÇAMENTO!$X$15,ROW(AG53)-ROW(AG$15),0),
ROUND(ROUND(OFFSET($P53,0,AG$13),15-13*ORÇAMENTO!$AF$7)*OFFSET(ORÇAMENTO!$W$15,ROW(AG53)-ROW(AG$15),0),15-13*ORÇAMENTO!$AF$11)),0)</f>
        <v>0</v>
      </c>
      <c r="AH53" s="545">
        <f ca="1">IF(AND($D53="Serviço",AH$12&lt;&gt;0,$H53&gt;0,OR(AUTOEVENTO&lt;&gt;"manual",$M53&lt;&gt;1)),
IF(Import.TipoArredondamento&lt;&gt;"TransfereGOV",
ROUND(OFFSET($P53,0,AH$13),15-13*ORÇAMENTO!$AF$7)/$H53*OFFSET(ORÇAMENTO!$X$15,ROW(AH53)-ROW(AH$15),0),
ROUND(ROUND(OFFSET($P53,0,AH$13),15-13*ORÇAMENTO!$AF$7)*OFFSET(ORÇAMENTO!$W$15,ROW(AH53)-ROW(AH$15),0),15-13*ORÇAMENTO!$AF$11)),0)</f>
        <v>0</v>
      </c>
      <c r="AI53" s="545">
        <f ca="1">IF(AND($D53="Serviço",AI$12&lt;&gt;0,$H53&gt;0,OR(AUTOEVENTO&lt;&gt;"manual",$M53&lt;&gt;1)),
IF(Import.TipoArredondamento&lt;&gt;"TransfereGOV",
ROUND(OFFSET($P53,0,AI$13),15-13*ORÇAMENTO!$AF$7)/$H53*OFFSET(ORÇAMENTO!$X$15,ROW(AI53)-ROW(AI$15),0),
ROUND(ROUND(OFFSET($P53,0,AI$13),15-13*ORÇAMENTO!$AF$7)*OFFSET(ORÇAMENTO!$W$15,ROW(AI53)-ROW(AI$15),0),15-13*ORÇAMENTO!$AF$11)),0)</f>
        <v>0</v>
      </c>
      <c r="AJ53" s="545">
        <f ca="1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0</v>
      </c>
      <c r="AK53" s="546">
        <f ca="1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0</v>
      </c>
      <c r="AM53" s="181">
        <f ca="1">IF($D53&lt;&gt;"Serviço",0,IF(AND(AUTOEVENTO="Manual",$M53=1),0,IF(OFFSET(CRONOPLE!$F$14,$M53,AM$13)="",10^12,OFFSET(CRONOPLE!$F$14,$M53,AM$13))))</f>
        <v>1000000000000</v>
      </c>
      <c r="AN53" s="181">
        <f ca="1">IF($D53&lt;&gt;"Serviço",0,IF(AND(AUTOEVENTO="Manual",$M53=1),0,IF(OFFSET(CRONOPLE!$F$14,$M53,AN$13)="",10^12,OFFSET(CRONOPLE!$F$14,$M53,AN$13))))</f>
        <v>1000000000000</v>
      </c>
      <c r="AO53" s="181">
        <f ca="1">IF($D53&lt;&gt;"Serviço",0,IF(AND(AUTOEVENTO="Manual",$M53=1),0,IF(OFFSET(CRONOPLE!$F$14,$M53,AO$13)="",10^12,OFFSET(CRONOPLE!$F$14,$M53,AO$13))))</f>
        <v>1000000000000</v>
      </c>
      <c r="AP53" s="181">
        <f ca="1">IF($D53&lt;&gt;"Serviço",0,IF(AND(AUTOEVENTO="Manual",$M53=1),0,IF(OFFSET(CRONOPLE!$F$14,$M53,AP$13)="",10^12,OFFSET(CRONOPLE!$F$14,$M53,AP$13))))</f>
        <v>1000000000000</v>
      </c>
      <c r="AQ53" s="181">
        <f ca="1">IF($D53&lt;&gt;"Serviço",0,IF(AND(AUTOEVENTO="Manual",$M53=1),0,IF(OFFSET(CRONOPLE!$F$14,$M53,AQ$13)="",10^12,OFFSET(CRONOPLE!$F$14,$M53,AQ$13))))</f>
        <v>1000000000000</v>
      </c>
      <c r="AR53" s="181">
        <f ca="1">IF($D53&lt;&gt;"Serviço",0,IF(AND(AUTOEVENTO="Manual",$M53=1),0,IF(OFFSET(CRONOPLE!$F$14,$M53,AR$13)="",10^12,OFFSET(CRONOPLE!$F$14,$M53,AR$13))))</f>
        <v>1000000000000</v>
      </c>
      <c r="AS53" s="181">
        <f ca="1">IF($D53&lt;&gt;"Serviço",0,IF(AND(AUTOEVENTO="Manual",$M53=1),0,IF(OFFSET(CRONOPLE!$F$14,$M53,AS$13)="",10^12,OFFSET(CRONOPLE!$F$14,$M53,AS$13))))</f>
        <v>1000000000000</v>
      </c>
      <c r="AT53" s="181">
        <f ca="1">IF($D53&lt;&gt;"Serviço",0,IF(AND(AUTOEVENTO="Manual",$M53=1),0,IF(OFFSET(CRONOPLE!$F$14,$M53,AT$13)="",10^12,OFFSET(CRONOPLE!$F$14,$M53,AT$13))))</f>
        <v>1000000000000</v>
      </c>
      <c r="AU53" s="181">
        <f ca="1">IF($D53&lt;&gt;"Serviço",0,IF(AND(AUTOEVENTO="Manual",$M53=1),0,IF(OFFSET(CRONOPLE!$F$14,$M53,AU$13)="",10^12,OFFSET(CRONOPLE!$F$14,$M53,AU$13))))</f>
        <v>1000000000000</v>
      </c>
      <c r="AV53" s="181">
        <f ca="1">IF($D53&lt;&gt;"Serviço",0,IF(AND(AUTOEVENTO="Manual",$M53=1),0,IF(OFFSET(CRONOPLE!$F$14,$M53,AV$13)="",10^12,OFFSET(CRONOPLE!$F$14,$M53,AV$13))))</f>
        <v>1000000000000</v>
      </c>
      <c r="AX53" s="182">
        <f ca="1">IF($D53&lt;&gt;"Serviço",0,IF(OR(AND(AUTOEVENTO="Manual",$M53=1),$M53&gt;(ROW(PLE.lastrow)-ROW(PLE.firstrow))),0,IF(OFFSET(PLE!$G$14,$M53,AX$13)="",10^12,OFFSET(PLE!$G$14,$M53,AX$13))))</f>
        <v>1000000000000</v>
      </c>
      <c r="AY53" s="182">
        <f ca="1">IF($D53&lt;&gt;"Serviço",0,IF(OR(AND(AUTOEVENTO="Manual",$M53=1),$M53&gt;(ROW(PLE.lastrow)-ROW(PLE.firstrow))),0,IF(OFFSET(PLE!$G$14,$M53,AY$13)="",10^12,OFFSET(PLE!$G$14,$M53,AY$13))))</f>
        <v>1000000000000</v>
      </c>
      <c r="AZ53" s="182">
        <f ca="1">IF($D53&lt;&gt;"Serviço",0,IF(OR(AND(AUTOEVENTO="Manual",$M53=1),$M53&gt;(ROW(PLE.lastrow)-ROW(PLE.firstrow))),0,IF(OFFSET(PLE!$G$14,$M53,AZ$13)="",10^12,OFFSET(PLE!$G$14,$M53,AZ$13))))</f>
        <v>1000000000000</v>
      </c>
      <c r="BA53" s="182">
        <f ca="1">IF($D53&lt;&gt;"Serviço",0,IF(OR(AND(AUTOEVENTO="Manual",$M53=1),$M53&gt;(ROW(PLE.lastrow)-ROW(PLE.firstrow))),0,IF(OFFSET(PLE!$G$14,$M53,BA$13)="",10^12,OFFSET(PLE!$G$14,$M53,BA$13))))</f>
        <v>1000000000000</v>
      </c>
      <c r="BB53" s="182">
        <f ca="1">IF($D53&lt;&gt;"Serviço",0,IF(OR(AND(AUTOEVENTO="Manual",$M53=1),$M53&gt;(ROW(PLE.lastrow)-ROW(PLE.firstrow))),0,IF(OFFSET(PLE!$G$14,$M53,BB$13)="",10^12,OFFSET(PLE!$G$14,$M53,BB$13))))</f>
        <v>1000000000000</v>
      </c>
      <c r="BC53" s="182">
        <f ca="1">IF($D53&lt;&gt;"Serviço",0,IF(OR(AND(AUTOEVENTO="Manual",$M53=1),$M53&gt;(ROW(PLE.lastrow)-ROW(PLE.firstrow))),0,IF(OFFSET(PLE!$G$14,$M53,BC$13)="",10^12,OFFSET(PLE!$G$14,$M53,BC$13))))</f>
        <v>1000000000000</v>
      </c>
      <c r="BD53" s="182">
        <f ca="1">IF($D53&lt;&gt;"Serviço",0,IF(OR(AND(AUTOEVENTO="Manual",$M53=1),$M53&gt;(ROW(PLE.lastrow)-ROW(PLE.firstrow))),0,IF(OFFSET(PLE!$G$14,$M53,BD$13)="",10^12,OFFSET(PLE!$G$14,$M53,BD$13))))</f>
        <v>1000000000000</v>
      </c>
      <c r="BE53" s="182">
        <f ca="1">IF($D53&lt;&gt;"Serviço",0,IF(OR(AND(AUTOEVENTO="Manual",$M53=1),$M53&gt;(ROW(PLE.lastrow)-ROW(PLE.firstrow))),0,IF(OFFSET(PLE!$G$14,$M53,BE$13)="",10^12,OFFSET(PLE!$G$14,$M53,BE$13))))</f>
        <v>1000000000000</v>
      </c>
      <c r="BF53" s="182">
        <f ca="1">IF($D53&lt;&gt;"Serviço",0,IF(OR(AND(AUTOEVENTO="Manual",$M53=1),$M53&gt;(ROW(PLE.lastrow)-ROW(PLE.firstrow))),0,IF(OFFSET(PLE!$G$14,$M53,BF$13)="",10^12,OFFSET(PLE!$G$14,$M53,BF$13))))</f>
        <v>1000000000000</v>
      </c>
      <c r="BG53" s="182">
        <f ca="1">IF($D53&lt;&gt;"Serviço",0,IF(OR(AND(AUTOEVENTO="Manual",$M53=1),$M53&gt;(ROW(PLE.lastrow)-ROW(PLE.firstrow))),0,IF(OFFSET(PLE!$G$14,$M53,BG$13)="",10^12,OFFSET(PLE!$G$14,$M53,BG$13))))</f>
        <v>1000000000000</v>
      </c>
    </row>
    <row r="54" spans="1:59" ht="25.5" x14ac:dyDescent="0.2">
      <c r="A54" s="7" t="str">
        <f t="shared" ca="1" si="8"/>
        <v>26</v>
      </c>
      <c r="B54" s="7" t="str">
        <f ca="1">OFFSET(ORÇAMENTO!C$15,ROW(B54)-ROW(B$15),0)</f>
        <v>S</v>
      </c>
      <c r="C54" s="7" t="str">
        <f ca="1">OFFSET(ORÇAMENTO!L$15,ROW(C54)-ROW(C$15),0)</f>
        <v>F</v>
      </c>
      <c r="D54" s="118" t="str">
        <f ca="1">OFFSET(ORÇAMENTO!N$15,ROW(D54)-ROW(D$15),0)</f>
        <v>Serviço</v>
      </c>
      <c r="E54" s="119" t="str">
        <f ca="1">OFFSET(ORÇAMENTO!O$15,ROW(E54)-ROW(E$15),0)</f>
        <v>1.3.1.12.</v>
      </c>
      <c r="F54" s="172" t="str">
        <f ca="1">OFFSET(ORÇAMENTO!R$15,ROW(F54)-ROW(F$15),0)</f>
        <v>(abra o arquivo 'Referência 03-2024.xlsm)</v>
      </c>
      <c r="G54" s="173" t="str">
        <f ca="1">IF($D54&lt;&gt;"Serviço","",OFFSET(ORÇAMENTO!S$15,ROW(G54)-ROW(G$15),0))</f>
        <v>-</v>
      </c>
      <c r="H54" s="124">
        <f ca="1">IF($D54&lt;&gt;"Serviço",0,IF(ACOMPANHAMENTO="BM",ROUND(OFFSET(ORÇAMENTO!AJ$15,ROW(H54)-ROW(H$15),0),15-13*ORÇAMENTO!$AF$7),SUMPRODUCT(($Q$12:$AA$12&lt;&gt;"")*ROUND($Q54:$AA54,15-13*ORÇAMENTO!$AF$7))))</f>
        <v>3.9</v>
      </c>
      <c r="I54" s="561"/>
      <c r="K54" s="174"/>
      <c r="L54" s="175" t="s">
        <v>255</v>
      </c>
      <c r="M54" s="176">
        <f ca="1">IF($D54&lt;&gt;"Serviço","",IF(AUTOEVENTO="manual",$A54,IF(ISERROR(MATCH($A54,$A$15:OFFSET($A54,-1,0),0)),MAX($M$15:OFFSET(M54,-1,0))+1,INDEX($M$15:OFFSET(M54,-1,0),MATCH($A54,$A$15:OFFSET($A54,-1,0),0)))))</f>
        <v>4</v>
      </c>
      <c r="N54" s="177" t="str">
        <f ca="1">IF($D54&lt;&gt;"Serviço","",IF(AUTOEVENTO="Manual",IF($A54=0,"&lt;-- defina o número do agrupador",OFFSET(EVENTOS!$D$14,$A54,0)),OFFSET($F$15,$A54,0)))</f>
        <v>ENTRADA DE ENERGIA PADRÃO, MURETA E QGBT</v>
      </c>
      <c r="O54" s="178"/>
      <c r="Q54" s="178"/>
      <c r="R54" s="179"/>
      <c r="S54" s="179"/>
      <c r="T54" s="179"/>
      <c r="U54" s="179"/>
      <c r="V54" s="179"/>
      <c r="W54" s="179"/>
      <c r="X54" s="179"/>
      <c r="Y54" s="179"/>
      <c r="Z54" s="180"/>
      <c r="AB54" s="544">
        <f ca="1">IF(AND($D54="Serviço",AB$12&lt;&gt;0,$H54&gt;0,OR(AUTOEVENTO&lt;&gt;"manual",$M54&lt;&gt;1)),
IF(Import.TipoArredondamento&lt;&gt;"TransfereGOV",
ROUND(OFFSET($P54,0,AB$13),15-13*ORÇAMENTO!$AF$7)/$H54*OFFSET(ORÇAMENTO!$X$15,ROW(AB54)-ROW(AB$15),0),
ROUND(ROUND(OFFSET($P54,0,AB$13),15-13*ORÇAMENTO!$AF$7)*OFFSET(ORÇAMENTO!$W$15,ROW(AB54)-ROW(AB$15),0),15-13*ORÇAMENTO!$AF$11)),0)</f>
        <v>0</v>
      </c>
      <c r="AC54" s="545">
        <f ca="1">IF(AND($D54="Serviço",AC$12&lt;&gt;0,$H54&gt;0,OR(AUTOEVENTO&lt;&gt;"manual",$M54&lt;&gt;1)),
IF(Import.TipoArredondamento&lt;&gt;"TransfereGOV",
ROUND(OFFSET($P54,0,AC$13),15-13*ORÇAMENTO!$AF$7)/$H54*OFFSET(ORÇAMENTO!$X$15,ROW(AC54)-ROW(AC$15),0),
ROUND(ROUND(OFFSET($P54,0,AC$13),15-13*ORÇAMENTO!$AF$7)*OFFSET(ORÇAMENTO!$W$15,ROW(AC54)-ROW(AC$15),0),15-13*ORÇAMENTO!$AF$11)),0)</f>
        <v>0</v>
      </c>
      <c r="AD54" s="545">
        <f ca="1">IF(AND($D54="Serviço",AD$12&lt;&gt;0,$H54&gt;0,OR(AUTOEVENTO&lt;&gt;"manual",$M54&lt;&gt;1)),
IF(Import.TipoArredondamento&lt;&gt;"TransfereGOV",
ROUND(OFFSET($P54,0,AD$13),15-13*ORÇAMENTO!$AF$7)/$H54*OFFSET(ORÇAMENTO!$X$15,ROW(AD54)-ROW(AD$15),0),
ROUND(ROUND(OFFSET($P54,0,AD$13),15-13*ORÇAMENTO!$AF$7)*OFFSET(ORÇAMENTO!$W$15,ROW(AD54)-ROW(AD$15),0),15-13*ORÇAMENTO!$AF$11)),0)</f>
        <v>0</v>
      </c>
      <c r="AE54" s="545">
        <f ca="1">IF(AND($D54="Serviço",AE$12&lt;&gt;0,$H54&gt;0,OR(AUTOEVENTO&lt;&gt;"manual",$M54&lt;&gt;1)),
IF(Import.TipoArredondamento&lt;&gt;"TransfereGOV",
ROUND(OFFSET($P54,0,AE$13),15-13*ORÇAMENTO!$AF$7)/$H54*OFFSET(ORÇAMENTO!$X$15,ROW(AE54)-ROW(AE$15),0),
ROUND(ROUND(OFFSET($P54,0,AE$13),15-13*ORÇAMENTO!$AF$7)*OFFSET(ORÇAMENTO!$W$15,ROW(AE54)-ROW(AE$15),0),15-13*ORÇAMENTO!$AF$11)),0)</f>
        <v>0</v>
      </c>
      <c r="AF54" s="545">
        <f ca="1">IF(AND($D54="Serviço",AF$12&lt;&gt;0,$H54&gt;0,OR(AUTOEVENTO&lt;&gt;"manual",$M54&lt;&gt;1)),
IF(Import.TipoArredondamento&lt;&gt;"TransfereGOV",
ROUND(OFFSET($P54,0,AF$13),15-13*ORÇAMENTO!$AF$7)/$H54*OFFSET(ORÇAMENTO!$X$15,ROW(AF54)-ROW(AF$15),0),
ROUND(ROUND(OFFSET($P54,0,AF$13),15-13*ORÇAMENTO!$AF$7)*OFFSET(ORÇAMENTO!$W$15,ROW(AF54)-ROW(AF$15),0),15-13*ORÇAMENTO!$AF$11)),0)</f>
        <v>0</v>
      </c>
      <c r="AG54" s="545">
        <f ca="1">IF(AND($D54="Serviço",AG$12&lt;&gt;0,$H54&gt;0,OR(AUTOEVENTO&lt;&gt;"manual",$M54&lt;&gt;1)),
IF(Import.TipoArredondamento&lt;&gt;"TransfereGOV",
ROUND(OFFSET($P54,0,AG$13),15-13*ORÇAMENTO!$AF$7)/$H54*OFFSET(ORÇAMENTO!$X$15,ROW(AG54)-ROW(AG$15),0),
ROUND(ROUND(OFFSET($P54,0,AG$13),15-13*ORÇAMENTO!$AF$7)*OFFSET(ORÇAMENTO!$W$15,ROW(AG54)-ROW(AG$15),0),15-13*ORÇAMENTO!$AF$11)),0)</f>
        <v>0</v>
      </c>
      <c r="AH54" s="545">
        <f ca="1">IF(AND($D54="Serviço",AH$12&lt;&gt;0,$H54&gt;0,OR(AUTOEVENTO&lt;&gt;"manual",$M54&lt;&gt;1)),
IF(Import.TipoArredondamento&lt;&gt;"TransfereGOV",
ROUND(OFFSET($P54,0,AH$13),15-13*ORÇAMENTO!$AF$7)/$H54*OFFSET(ORÇAMENTO!$X$15,ROW(AH54)-ROW(AH$15),0),
ROUND(ROUND(OFFSET($P54,0,AH$13),15-13*ORÇAMENTO!$AF$7)*OFFSET(ORÇAMENTO!$W$15,ROW(AH54)-ROW(AH$15),0),15-13*ORÇAMENTO!$AF$11)),0)</f>
        <v>0</v>
      </c>
      <c r="AI54" s="545">
        <f ca="1">IF(AND($D54="Serviço",AI$12&lt;&gt;0,$H54&gt;0,OR(AUTOEVENTO&lt;&gt;"manual",$M54&lt;&gt;1)),
IF(Import.TipoArredondamento&lt;&gt;"TransfereGOV",
ROUND(OFFSET($P54,0,AI$13),15-13*ORÇAMENTO!$AF$7)/$H54*OFFSET(ORÇAMENTO!$X$15,ROW(AI54)-ROW(AI$15),0),
ROUND(ROUND(OFFSET($P54,0,AI$13),15-13*ORÇAMENTO!$AF$7)*OFFSET(ORÇAMENTO!$W$15,ROW(AI54)-ROW(AI$15),0),15-13*ORÇAMENTO!$AF$11)),0)</f>
        <v>0</v>
      </c>
      <c r="AJ54" s="545">
        <f ca="1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0</v>
      </c>
      <c r="AK54" s="546">
        <f ca="1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0</v>
      </c>
      <c r="AM54" s="181">
        <f ca="1">IF($D54&lt;&gt;"Serviço",0,IF(AND(AUTOEVENTO="Manual",$M54=1),0,IF(OFFSET(CRONOPLE!$F$14,$M54,AM$13)="",10^12,OFFSET(CRONOPLE!$F$14,$M54,AM$13))))</f>
        <v>1000000000000</v>
      </c>
      <c r="AN54" s="181">
        <f ca="1">IF($D54&lt;&gt;"Serviço",0,IF(AND(AUTOEVENTO="Manual",$M54=1),0,IF(OFFSET(CRONOPLE!$F$14,$M54,AN$13)="",10^12,OFFSET(CRONOPLE!$F$14,$M54,AN$13))))</f>
        <v>1000000000000</v>
      </c>
      <c r="AO54" s="181">
        <f ca="1">IF($D54&lt;&gt;"Serviço",0,IF(AND(AUTOEVENTO="Manual",$M54=1),0,IF(OFFSET(CRONOPLE!$F$14,$M54,AO$13)="",10^12,OFFSET(CRONOPLE!$F$14,$M54,AO$13))))</f>
        <v>1000000000000</v>
      </c>
      <c r="AP54" s="181">
        <f ca="1">IF($D54&lt;&gt;"Serviço",0,IF(AND(AUTOEVENTO="Manual",$M54=1),0,IF(OFFSET(CRONOPLE!$F$14,$M54,AP$13)="",10^12,OFFSET(CRONOPLE!$F$14,$M54,AP$13))))</f>
        <v>1000000000000</v>
      </c>
      <c r="AQ54" s="181">
        <f ca="1">IF($D54&lt;&gt;"Serviço",0,IF(AND(AUTOEVENTO="Manual",$M54=1),0,IF(OFFSET(CRONOPLE!$F$14,$M54,AQ$13)="",10^12,OFFSET(CRONOPLE!$F$14,$M54,AQ$13))))</f>
        <v>1000000000000</v>
      </c>
      <c r="AR54" s="181">
        <f ca="1">IF($D54&lt;&gt;"Serviço",0,IF(AND(AUTOEVENTO="Manual",$M54=1),0,IF(OFFSET(CRONOPLE!$F$14,$M54,AR$13)="",10^12,OFFSET(CRONOPLE!$F$14,$M54,AR$13))))</f>
        <v>1000000000000</v>
      </c>
      <c r="AS54" s="181">
        <f ca="1">IF($D54&lt;&gt;"Serviço",0,IF(AND(AUTOEVENTO="Manual",$M54=1),0,IF(OFFSET(CRONOPLE!$F$14,$M54,AS$13)="",10^12,OFFSET(CRONOPLE!$F$14,$M54,AS$13))))</f>
        <v>1000000000000</v>
      </c>
      <c r="AT54" s="181">
        <f ca="1">IF($D54&lt;&gt;"Serviço",0,IF(AND(AUTOEVENTO="Manual",$M54=1),0,IF(OFFSET(CRONOPLE!$F$14,$M54,AT$13)="",10^12,OFFSET(CRONOPLE!$F$14,$M54,AT$13))))</f>
        <v>1000000000000</v>
      </c>
      <c r="AU54" s="181">
        <f ca="1">IF($D54&lt;&gt;"Serviço",0,IF(AND(AUTOEVENTO="Manual",$M54=1),0,IF(OFFSET(CRONOPLE!$F$14,$M54,AU$13)="",10^12,OFFSET(CRONOPLE!$F$14,$M54,AU$13))))</f>
        <v>1000000000000</v>
      </c>
      <c r="AV54" s="181">
        <f ca="1">IF($D54&lt;&gt;"Serviço",0,IF(AND(AUTOEVENTO="Manual",$M54=1),0,IF(OFFSET(CRONOPLE!$F$14,$M54,AV$13)="",10^12,OFFSET(CRONOPLE!$F$14,$M54,AV$13))))</f>
        <v>1000000000000</v>
      </c>
      <c r="AX54" s="182">
        <f ca="1">IF($D54&lt;&gt;"Serviço",0,IF(OR(AND(AUTOEVENTO="Manual",$M54=1),$M54&gt;(ROW(PLE.lastrow)-ROW(PLE.firstrow))),0,IF(OFFSET(PLE!$G$14,$M54,AX$13)="",10^12,OFFSET(PLE!$G$14,$M54,AX$13))))</f>
        <v>1000000000000</v>
      </c>
      <c r="AY54" s="182">
        <f ca="1">IF($D54&lt;&gt;"Serviço",0,IF(OR(AND(AUTOEVENTO="Manual",$M54=1),$M54&gt;(ROW(PLE.lastrow)-ROW(PLE.firstrow))),0,IF(OFFSET(PLE!$G$14,$M54,AY$13)="",10^12,OFFSET(PLE!$G$14,$M54,AY$13))))</f>
        <v>1000000000000</v>
      </c>
      <c r="AZ54" s="182">
        <f ca="1">IF($D54&lt;&gt;"Serviço",0,IF(OR(AND(AUTOEVENTO="Manual",$M54=1),$M54&gt;(ROW(PLE.lastrow)-ROW(PLE.firstrow))),0,IF(OFFSET(PLE!$G$14,$M54,AZ$13)="",10^12,OFFSET(PLE!$G$14,$M54,AZ$13))))</f>
        <v>1000000000000</v>
      </c>
      <c r="BA54" s="182">
        <f ca="1">IF($D54&lt;&gt;"Serviço",0,IF(OR(AND(AUTOEVENTO="Manual",$M54=1),$M54&gt;(ROW(PLE.lastrow)-ROW(PLE.firstrow))),0,IF(OFFSET(PLE!$G$14,$M54,BA$13)="",10^12,OFFSET(PLE!$G$14,$M54,BA$13))))</f>
        <v>1000000000000</v>
      </c>
      <c r="BB54" s="182">
        <f ca="1">IF($D54&lt;&gt;"Serviço",0,IF(OR(AND(AUTOEVENTO="Manual",$M54=1),$M54&gt;(ROW(PLE.lastrow)-ROW(PLE.firstrow))),0,IF(OFFSET(PLE!$G$14,$M54,BB$13)="",10^12,OFFSET(PLE!$G$14,$M54,BB$13))))</f>
        <v>1000000000000</v>
      </c>
      <c r="BC54" s="182">
        <f ca="1">IF($D54&lt;&gt;"Serviço",0,IF(OR(AND(AUTOEVENTO="Manual",$M54=1),$M54&gt;(ROW(PLE.lastrow)-ROW(PLE.firstrow))),0,IF(OFFSET(PLE!$G$14,$M54,BC$13)="",10^12,OFFSET(PLE!$G$14,$M54,BC$13))))</f>
        <v>1000000000000</v>
      </c>
      <c r="BD54" s="182">
        <f ca="1">IF($D54&lt;&gt;"Serviço",0,IF(OR(AND(AUTOEVENTO="Manual",$M54=1),$M54&gt;(ROW(PLE.lastrow)-ROW(PLE.firstrow))),0,IF(OFFSET(PLE!$G$14,$M54,BD$13)="",10^12,OFFSET(PLE!$G$14,$M54,BD$13))))</f>
        <v>1000000000000</v>
      </c>
      <c r="BE54" s="182">
        <f ca="1">IF($D54&lt;&gt;"Serviço",0,IF(OR(AND(AUTOEVENTO="Manual",$M54=1),$M54&gt;(ROW(PLE.lastrow)-ROW(PLE.firstrow))),0,IF(OFFSET(PLE!$G$14,$M54,BE$13)="",10^12,OFFSET(PLE!$G$14,$M54,BE$13))))</f>
        <v>1000000000000</v>
      </c>
      <c r="BF54" s="182">
        <f ca="1">IF($D54&lt;&gt;"Serviço",0,IF(OR(AND(AUTOEVENTO="Manual",$M54=1),$M54&gt;(ROW(PLE.lastrow)-ROW(PLE.firstrow))),0,IF(OFFSET(PLE!$G$14,$M54,BF$13)="",10^12,OFFSET(PLE!$G$14,$M54,BF$13))))</f>
        <v>1000000000000</v>
      </c>
      <c r="BG54" s="182">
        <f ca="1">IF($D54&lt;&gt;"Serviço",0,IF(OR(AND(AUTOEVENTO="Manual",$M54=1),$M54&gt;(ROW(PLE.lastrow)-ROW(PLE.firstrow))),0,IF(OFFSET(PLE!$G$14,$M54,BG$13)="",10^12,OFFSET(PLE!$G$14,$M54,BG$13))))</f>
        <v>1000000000000</v>
      </c>
    </row>
    <row r="55" spans="1:59" ht="25.5" x14ac:dyDescent="0.2">
      <c r="A55" s="7" t="str">
        <f t="shared" ca="1" si="8"/>
        <v>26</v>
      </c>
      <c r="B55" s="7" t="str">
        <f ca="1">OFFSET(ORÇAMENTO!C$15,ROW(B55)-ROW(B$15),0)</f>
        <v>S</v>
      </c>
      <c r="C55" s="7" t="str">
        <f ca="1">OFFSET(ORÇAMENTO!L$15,ROW(C55)-ROW(C$15),0)</f>
        <v>F</v>
      </c>
      <c r="D55" s="118" t="str">
        <f ca="1">OFFSET(ORÇAMENTO!N$15,ROW(D55)-ROW(D$15),0)</f>
        <v>Serviço</v>
      </c>
      <c r="E55" s="119" t="str">
        <f ca="1">OFFSET(ORÇAMENTO!O$15,ROW(E55)-ROW(E$15),0)</f>
        <v>1.3.1.13.</v>
      </c>
      <c r="F55" s="172" t="str">
        <f ca="1">OFFSET(ORÇAMENTO!R$15,ROW(F55)-ROW(F$15),0)</f>
        <v>(abra o arquivo 'Referência 03-2024.xlsm)</v>
      </c>
      <c r="G55" s="173" t="str">
        <f ca="1">IF($D55&lt;&gt;"Serviço","",OFFSET(ORÇAMENTO!S$15,ROW(G55)-ROW(G$15),0))</f>
        <v>-</v>
      </c>
      <c r="H55" s="124">
        <f ca="1">IF($D55&lt;&gt;"Serviço",0,IF(ACOMPANHAMENTO="BM",ROUND(OFFSET(ORÇAMENTO!AJ$15,ROW(H55)-ROW(H$15),0),15-13*ORÇAMENTO!$AF$7),SUMPRODUCT(($Q$12:$AA$12&lt;&gt;"")*ROUND($Q55:$AA55,15-13*ORÇAMENTO!$AF$7))))</f>
        <v>3.9</v>
      </c>
      <c r="I55" s="561"/>
      <c r="K55" s="174"/>
      <c r="L55" s="175" t="s">
        <v>255</v>
      </c>
      <c r="M55" s="176">
        <f ca="1">IF($D55&lt;&gt;"Serviço","",IF(AUTOEVENTO="manual",$A55,IF(ISERROR(MATCH($A55,$A$15:OFFSET($A55,-1,0),0)),MAX($M$15:OFFSET(M55,-1,0))+1,INDEX($M$15:OFFSET(M55,-1,0),MATCH($A55,$A$15:OFFSET($A55,-1,0),0)))))</f>
        <v>4</v>
      </c>
      <c r="N55" s="177" t="str">
        <f ca="1">IF($D55&lt;&gt;"Serviço","",IF(AUTOEVENTO="Manual",IF($A55=0,"&lt;-- defina o número do agrupador",OFFSET(EVENTOS!$D$14,$A55,0)),OFFSET($F$15,$A55,0)))</f>
        <v>ENTRADA DE ENERGIA PADRÃO, MURETA E QGBT</v>
      </c>
      <c r="O55" s="178"/>
      <c r="Q55" s="178"/>
      <c r="R55" s="179"/>
      <c r="S55" s="179"/>
      <c r="T55" s="179"/>
      <c r="U55" s="179"/>
      <c r="V55" s="179"/>
      <c r="W55" s="179"/>
      <c r="X55" s="179"/>
      <c r="Y55" s="179"/>
      <c r="Z55" s="180"/>
      <c r="AB55" s="544">
        <f ca="1">IF(AND($D55="Serviço",AB$12&lt;&gt;0,$H55&gt;0,OR(AUTOEVENTO&lt;&gt;"manual",$M55&lt;&gt;1)),
IF(Import.TipoArredondamento&lt;&gt;"TransfereGOV",
ROUND(OFFSET($P55,0,AB$13),15-13*ORÇAMENTO!$AF$7)/$H55*OFFSET(ORÇAMENTO!$X$15,ROW(AB55)-ROW(AB$15),0),
ROUND(ROUND(OFFSET($P55,0,AB$13),15-13*ORÇAMENTO!$AF$7)*OFFSET(ORÇAMENTO!$W$15,ROW(AB55)-ROW(AB$15),0),15-13*ORÇAMENTO!$AF$11)),0)</f>
        <v>0</v>
      </c>
      <c r="AC55" s="545">
        <f ca="1">IF(AND($D55="Serviço",AC$12&lt;&gt;0,$H55&gt;0,OR(AUTOEVENTO&lt;&gt;"manual",$M55&lt;&gt;1)),
IF(Import.TipoArredondamento&lt;&gt;"TransfereGOV",
ROUND(OFFSET($P55,0,AC$13),15-13*ORÇAMENTO!$AF$7)/$H55*OFFSET(ORÇAMENTO!$X$15,ROW(AC55)-ROW(AC$15),0),
ROUND(ROUND(OFFSET($P55,0,AC$13),15-13*ORÇAMENTO!$AF$7)*OFFSET(ORÇAMENTO!$W$15,ROW(AC55)-ROW(AC$15),0),15-13*ORÇAMENTO!$AF$11)),0)</f>
        <v>0</v>
      </c>
      <c r="AD55" s="545">
        <f ca="1">IF(AND($D55="Serviço",AD$12&lt;&gt;0,$H55&gt;0,OR(AUTOEVENTO&lt;&gt;"manual",$M55&lt;&gt;1)),
IF(Import.TipoArredondamento&lt;&gt;"TransfereGOV",
ROUND(OFFSET($P55,0,AD$13),15-13*ORÇAMENTO!$AF$7)/$H55*OFFSET(ORÇAMENTO!$X$15,ROW(AD55)-ROW(AD$15),0),
ROUND(ROUND(OFFSET($P55,0,AD$13),15-13*ORÇAMENTO!$AF$7)*OFFSET(ORÇAMENTO!$W$15,ROW(AD55)-ROW(AD$15),0),15-13*ORÇAMENTO!$AF$11)),0)</f>
        <v>0</v>
      </c>
      <c r="AE55" s="545">
        <f ca="1">IF(AND($D55="Serviço",AE$12&lt;&gt;0,$H55&gt;0,OR(AUTOEVENTO&lt;&gt;"manual",$M55&lt;&gt;1)),
IF(Import.TipoArredondamento&lt;&gt;"TransfereGOV",
ROUND(OFFSET($P55,0,AE$13),15-13*ORÇAMENTO!$AF$7)/$H55*OFFSET(ORÇAMENTO!$X$15,ROW(AE55)-ROW(AE$15),0),
ROUND(ROUND(OFFSET($P55,0,AE$13),15-13*ORÇAMENTO!$AF$7)*OFFSET(ORÇAMENTO!$W$15,ROW(AE55)-ROW(AE$15),0),15-13*ORÇAMENTO!$AF$11)),0)</f>
        <v>0</v>
      </c>
      <c r="AF55" s="545">
        <f ca="1">IF(AND($D55="Serviço",AF$12&lt;&gt;0,$H55&gt;0,OR(AUTOEVENTO&lt;&gt;"manual",$M55&lt;&gt;1)),
IF(Import.TipoArredondamento&lt;&gt;"TransfereGOV",
ROUND(OFFSET($P55,0,AF$13),15-13*ORÇAMENTO!$AF$7)/$H55*OFFSET(ORÇAMENTO!$X$15,ROW(AF55)-ROW(AF$15),0),
ROUND(ROUND(OFFSET($P55,0,AF$13),15-13*ORÇAMENTO!$AF$7)*OFFSET(ORÇAMENTO!$W$15,ROW(AF55)-ROW(AF$15),0),15-13*ORÇAMENTO!$AF$11)),0)</f>
        <v>0</v>
      </c>
      <c r="AG55" s="545">
        <f ca="1">IF(AND($D55="Serviço",AG$12&lt;&gt;0,$H55&gt;0,OR(AUTOEVENTO&lt;&gt;"manual",$M55&lt;&gt;1)),
IF(Import.TipoArredondamento&lt;&gt;"TransfereGOV",
ROUND(OFFSET($P55,0,AG$13),15-13*ORÇAMENTO!$AF$7)/$H55*OFFSET(ORÇAMENTO!$X$15,ROW(AG55)-ROW(AG$15),0),
ROUND(ROUND(OFFSET($P55,0,AG$13),15-13*ORÇAMENTO!$AF$7)*OFFSET(ORÇAMENTO!$W$15,ROW(AG55)-ROW(AG$15),0),15-13*ORÇAMENTO!$AF$11)),0)</f>
        <v>0</v>
      </c>
      <c r="AH55" s="545">
        <f ca="1">IF(AND($D55="Serviço",AH$12&lt;&gt;0,$H55&gt;0,OR(AUTOEVENTO&lt;&gt;"manual",$M55&lt;&gt;1)),
IF(Import.TipoArredondamento&lt;&gt;"TransfereGOV",
ROUND(OFFSET($P55,0,AH$13),15-13*ORÇAMENTO!$AF$7)/$H55*OFFSET(ORÇAMENTO!$X$15,ROW(AH55)-ROW(AH$15),0),
ROUND(ROUND(OFFSET($P55,0,AH$13),15-13*ORÇAMENTO!$AF$7)*OFFSET(ORÇAMENTO!$W$15,ROW(AH55)-ROW(AH$15),0),15-13*ORÇAMENTO!$AF$11)),0)</f>
        <v>0</v>
      </c>
      <c r="AI55" s="545">
        <f ca="1">IF(AND($D55="Serviço",AI$12&lt;&gt;0,$H55&gt;0,OR(AUTOEVENTO&lt;&gt;"manual",$M55&lt;&gt;1)),
IF(Import.TipoArredondamento&lt;&gt;"TransfereGOV",
ROUND(OFFSET($P55,0,AI$13),15-13*ORÇAMENTO!$AF$7)/$H55*OFFSET(ORÇAMENTO!$X$15,ROW(AI55)-ROW(AI$15),0),
ROUND(ROUND(OFFSET($P55,0,AI$13),15-13*ORÇAMENTO!$AF$7)*OFFSET(ORÇAMENTO!$W$15,ROW(AI55)-ROW(AI$15),0),15-13*ORÇAMENTO!$AF$11)),0)</f>
        <v>0</v>
      </c>
      <c r="AJ55" s="545">
        <f ca="1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0</v>
      </c>
      <c r="AK55" s="546">
        <f ca="1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0</v>
      </c>
      <c r="AM55" s="181">
        <f ca="1">IF($D55&lt;&gt;"Serviço",0,IF(AND(AUTOEVENTO="Manual",$M55=1),0,IF(OFFSET(CRONOPLE!$F$14,$M55,AM$13)="",10^12,OFFSET(CRONOPLE!$F$14,$M55,AM$13))))</f>
        <v>1000000000000</v>
      </c>
      <c r="AN55" s="181">
        <f ca="1">IF($D55&lt;&gt;"Serviço",0,IF(AND(AUTOEVENTO="Manual",$M55=1),0,IF(OFFSET(CRONOPLE!$F$14,$M55,AN$13)="",10^12,OFFSET(CRONOPLE!$F$14,$M55,AN$13))))</f>
        <v>1000000000000</v>
      </c>
      <c r="AO55" s="181">
        <f ca="1">IF($D55&lt;&gt;"Serviço",0,IF(AND(AUTOEVENTO="Manual",$M55=1),0,IF(OFFSET(CRONOPLE!$F$14,$M55,AO$13)="",10^12,OFFSET(CRONOPLE!$F$14,$M55,AO$13))))</f>
        <v>1000000000000</v>
      </c>
      <c r="AP55" s="181">
        <f ca="1">IF($D55&lt;&gt;"Serviço",0,IF(AND(AUTOEVENTO="Manual",$M55=1),0,IF(OFFSET(CRONOPLE!$F$14,$M55,AP$13)="",10^12,OFFSET(CRONOPLE!$F$14,$M55,AP$13))))</f>
        <v>1000000000000</v>
      </c>
      <c r="AQ55" s="181">
        <f ca="1">IF($D55&lt;&gt;"Serviço",0,IF(AND(AUTOEVENTO="Manual",$M55=1),0,IF(OFFSET(CRONOPLE!$F$14,$M55,AQ$13)="",10^12,OFFSET(CRONOPLE!$F$14,$M55,AQ$13))))</f>
        <v>1000000000000</v>
      </c>
      <c r="AR55" s="181">
        <f ca="1">IF($D55&lt;&gt;"Serviço",0,IF(AND(AUTOEVENTO="Manual",$M55=1),0,IF(OFFSET(CRONOPLE!$F$14,$M55,AR$13)="",10^12,OFFSET(CRONOPLE!$F$14,$M55,AR$13))))</f>
        <v>1000000000000</v>
      </c>
      <c r="AS55" s="181">
        <f ca="1">IF($D55&lt;&gt;"Serviço",0,IF(AND(AUTOEVENTO="Manual",$M55=1),0,IF(OFFSET(CRONOPLE!$F$14,$M55,AS$13)="",10^12,OFFSET(CRONOPLE!$F$14,$M55,AS$13))))</f>
        <v>1000000000000</v>
      </c>
      <c r="AT55" s="181">
        <f ca="1">IF($D55&lt;&gt;"Serviço",0,IF(AND(AUTOEVENTO="Manual",$M55=1),0,IF(OFFSET(CRONOPLE!$F$14,$M55,AT$13)="",10^12,OFFSET(CRONOPLE!$F$14,$M55,AT$13))))</f>
        <v>1000000000000</v>
      </c>
      <c r="AU55" s="181">
        <f ca="1">IF($D55&lt;&gt;"Serviço",0,IF(AND(AUTOEVENTO="Manual",$M55=1),0,IF(OFFSET(CRONOPLE!$F$14,$M55,AU$13)="",10^12,OFFSET(CRONOPLE!$F$14,$M55,AU$13))))</f>
        <v>1000000000000</v>
      </c>
      <c r="AV55" s="181">
        <f ca="1">IF($D55&lt;&gt;"Serviço",0,IF(AND(AUTOEVENTO="Manual",$M55=1),0,IF(OFFSET(CRONOPLE!$F$14,$M55,AV$13)="",10^12,OFFSET(CRONOPLE!$F$14,$M55,AV$13))))</f>
        <v>1000000000000</v>
      </c>
      <c r="AX55" s="182">
        <f ca="1">IF($D55&lt;&gt;"Serviço",0,IF(OR(AND(AUTOEVENTO="Manual",$M55=1),$M55&gt;(ROW(PLE.lastrow)-ROW(PLE.firstrow))),0,IF(OFFSET(PLE!$G$14,$M55,AX$13)="",10^12,OFFSET(PLE!$G$14,$M55,AX$13))))</f>
        <v>1000000000000</v>
      </c>
      <c r="AY55" s="182">
        <f ca="1">IF($D55&lt;&gt;"Serviço",0,IF(OR(AND(AUTOEVENTO="Manual",$M55=1),$M55&gt;(ROW(PLE.lastrow)-ROW(PLE.firstrow))),0,IF(OFFSET(PLE!$G$14,$M55,AY$13)="",10^12,OFFSET(PLE!$G$14,$M55,AY$13))))</f>
        <v>1000000000000</v>
      </c>
      <c r="AZ55" s="182">
        <f ca="1">IF($D55&lt;&gt;"Serviço",0,IF(OR(AND(AUTOEVENTO="Manual",$M55=1),$M55&gt;(ROW(PLE.lastrow)-ROW(PLE.firstrow))),0,IF(OFFSET(PLE!$G$14,$M55,AZ$13)="",10^12,OFFSET(PLE!$G$14,$M55,AZ$13))))</f>
        <v>1000000000000</v>
      </c>
      <c r="BA55" s="182">
        <f ca="1">IF($D55&lt;&gt;"Serviço",0,IF(OR(AND(AUTOEVENTO="Manual",$M55=1),$M55&gt;(ROW(PLE.lastrow)-ROW(PLE.firstrow))),0,IF(OFFSET(PLE!$G$14,$M55,BA$13)="",10^12,OFFSET(PLE!$G$14,$M55,BA$13))))</f>
        <v>1000000000000</v>
      </c>
      <c r="BB55" s="182">
        <f ca="1">IF($D55&lt;&gt;"Serviço",0,IF(OR(AND(AUTOEVENTO="Manual",$M55=1),$M55&gt;(ROW(PLE.lastrow)-ROW(PLE.firstrow))),0,IF(OFFSET(PLE!$G$14,$M55,BB$13)="",10^12,OFFSET(PLE!$G$14,$M55,BB$13))))</f>
        <v>1000000000000</v>
      </c>
      <c r="BC55" s="182">
        <f ca="1">IF($D55&lt;&gt;"Serviço",0,IF(OR(AND(AUTOEVENTO="Manual",$M55=1),$M55&gt;(ROW(PLE.lastrow)-ROW(PLE.firstrow))),0,IF(OFFSET(PLE!$G$14,$M55,BC$13)="",10^12,OFFSET(PLE!$G$14,$M55,BC$13))))</f>
        <v>1000000000000</v>
      </c>
      <c r="BD55" s="182">
        <f ca="1">IF($D55&lt;&gt;"Serviço",0,IF(OR(AND(AUTOEVENTO="Manual",$M55=1),$M55&gt;(ROW(PLE.lastrow)-ROW(PLE.firstrow))),0,IF(OFFSET(PLE!$G$14,$M55,BD$13)="",10^12,OFFSET(PLE!$G$14,$M55,BD$13))))</f>
        <v>1000000000000</v>
      </c>
      <c r="BE55" s="182">
        <f ca="1">IF($D55&lt;&gt;"Serviço",0,IF(OR(AND(AUTOEVENTO="Manual",$M55=1),$M55&gt;(ROW(PLE.lastrow)-ROW(PLE.firstrow))),0,IF(OFFSET(PLE!$G$14,$M55,BE$13)="",10^12,OFFSET(PLE!$G$14,$M55,BE$13))))</f>
        <v>1000000000000</v>
      </c>
      <c r="BF55" s="182">
        <f ca="1">IF($D55&lt;&gt;"Serviço",0,IF(OR(AND(AUTOEVENTO="Manual",$M55=1),$M55&gt;(ROW(PLE.lastrow)-ROW(PLE.firstrow))),0,IF(OFFSET(PLE!$G$14,$M55,BF$13)="",10^12,OFFSET(PLE!$G$14,$M55,BF$13))))</f>
        <v>1000000000000</v>
      </c>
      <c r="BG55" s="182">
        <f ca="1">IF($D55&lt;&gt;"Serviço",0,IF(OR(AND(AUTOEVENTO="Manual",$M55=1),$M55&gt;(ROW(PLE.lastrow)-ROW(PLE.firstrow))),0,IF(OFFSET(PLE!$G$14,$M55,BG$13)="",10^12,OFFSET(PLE!$G$14,$M55,BG$13))))</f>
        <v>1000000000000</v>
      </c>
    </row>
    <row r="56" spans="1:59" ht="51" x14ac:dyDescent="0.2">
      <c r="A56" s="7" t="str">
        <f t="shared" ca="1" si="8"/>
        <v>26</v>
      </c>
      <c r="B56" s="7" t="str">
        <f ca="1">OFFSET(ORÇAMENTO!C$15,ROW(B56)-ROW(B$15),0)</f>
        <v>S</v>
      </c>
      <c r="C56" s="7" t="str">
        <f ca="1">OFFSET(ORÇAMENTO!L$15,ROW(C56)-ROW(C$15),0)</f>
        <v>F</v>
      </c>
      <c r="D56" s="118" t="str">
        <f ca="1">OFFSET(ORÇAMENTO!N$15,ROW(D56)-ROW(D$15),0)</f>
        <v>Serviço</v>
      </c>
      <c r="E56" s="119" t="str">
        <f ca="1">OFFSET(ORÇAMENTO!O$15,ROW(E56)-ROW(E$15),0)</f>
        <v>1.3.1.14.</v>
      </c>
      <c r="F56" s="172" t="str">
        <f ca="1">OFFSET(ORÇAMENTO!R$15,ROW(F56)-ROW(F$15),0)</f>
        <v>(abra o arquivo 'Referência 03-2024.xlsm)</v>
      </c>
      <c r="G56" s="173" t="str">
        <f ca="1">IF($D56&lt;&gt;"Serviço","",OFFSET(ORÇAMENTO!S$15,ROW(G56)-ROW(G$15),0))</f>
        <v>-</v>
      </c>
      <c r="H56" s="124">
        <f ca="1">IF($D56&lt;&gt;"Serviço",0,IF(ACOMPANHAMENTO="BM",ROUND(OFFSET(ORÇAMENTO!AJ$15,ROW(H56)-ROW(H$15),0),15-13*ORÇAMENTO!$AF$7),SUMPRODUCT(($Q$12:$AA$12&lt;&gt;"")*ROUND($Q56:$AA56,15-13*ORÇAMENTO!$AF$7))))</f>
        <v>1</v>
      </c>
      <c r="I56" s="561"/>
      <c r="K56" s="174"/>
      <c r="L56" s="175" t="s">
        <v>255</v>
      </c>
      <c r="M56" s="176">
        <f ca="1">IF($D56&lt;&gt;"Serviço","",IF(AUTOEVENTO="manual",$A56,IF(ISERROR(MATCH($A56,$A$15:OFFSET($A56,-1,0),0)),MAX($M$15:OFFSET(M56,-1,0))+1,INDEX($M$15:OFFSET(M56,-1,0),MATCH($A56,$A$15:OFFSET($A56,-1,0),0)))))</f>
        <v>4</v>
      </c>
      <c r="N56" s="177" t="str">
        <f ca="1">IF($D56&lt;&gt;"Serviço","",IF(AUTOEVENTO="Manual",IF($A56=0,"&lt;-- defina o número do agrupador",OFFSET(EVENTOS!$D$14,$A56,0)),OFFSET($F$15,$A56,0)))</f>
        <v>ENTRADA DE ENERGIA PADRÃO, MURETA E QGBT</v>
      </c>
      <c r="O56" s="178"/>
      <c r="Q56" s="178"/>
      <c r="R56" s="179"/>
      <c r="S56" s="179"/>
      <c r="T56" s="179"/>
      <c r="U56" s="179"/>
      <c r="V56" s="179"/>
      <c r="W56" s="179"/>
      <c r="X56" s="179"/>
      <c r="Y56" s="179"/>
      <c r="Z56" s="180"/>
      <c r="AB56" s="544">
        <f ca="1">IF(AND($D56="Serviço",AB$12&lt;&gt;0,$H56&gt;0,OR(AUTOEVENTO&lt;&gt;"manual",$M56&lt;&gt;1)),
IF(Import.TipoArredondamento&lt;&gt;"TransfereGOV",
ROUND(OFFSET($P56,0,AB$13),15-13*ORÇAMENTO!$AF$7)/$H56*OFFSET(ORÇAMENTO!$X$15,ROW(AB56)-ROW(AB$15),0),
ROUND(ROUND(OFFSET($P56,0,AB$13),15-13*ORÇAMENTO!$AF$7)*OFFSET(ORÇAMENTO!$W$15,ROW(AB56)-ROW(AB$15),0),15-13*ORÇAMENTO!$AF$11)),0)</f>
        <v>0</v>
      </c>
      <c r="AC56" s="545">
        <f ca="1">IF(AND($D56="Serviço",AC$12&lt;&gt;0,$H56&gt;0,OR(AUTOEVENTO&lt;&gt;"manual",$M56&lt;&gt;1)),
IF(Import.TipoArredondamento&lt;&gt;"TransfereGOV",
ROUND(OFFSET($P56,0,AC$13),15-13*ORÇAMENTO!$AF$7)/$H56*OFFSET(ORÇAMENTO!$X$15,ROW(AC56)-ROW(AC$15),0),
ROUND(ROUND(OFFSET($P56,0,AC$13),15-13*ORÇAMENTO!$AF$7)*OFFSET(ORÇAMENTO!$W$15,ROW(AC56)-ROW(AC$15),0),15-13*ORÇAMENTO!$AF$11)),0)</f>
        <v>0</v>
      </c>
      <c r="AD56" s="545">
        <f ca="1">IF(AND($D56="Serviço",AD$12&lt;&gt;0,$H56&gt;0,OR(AUTOEVENTO&lt;&gt;"manual",$M56&lt;&gt;1)),
IF(Import.TipoArredondamento&lt;&gt;"TransfereGOV",
ROUND(OFFSET($P56,0,AD$13),15-13*ORÇAMENTO!$AF$7)/$H56*OFFSET(ORÇAMENTO!$X$15,ROW(AD56)-ROW(AD$15),0),
ROUND(ROUND(OFFSET($P56,0,AD$13),15-13*ORÇAMENTO!$AF$7)*OFFSET(ORÇAMENTO!$W$15,ROW(AD56)-ROW(AD$15),0),15-13*ORÇAMENTO!$AF$11)),0)</f>
        <v>0</v>
      </c>
      <c r="AE56" s="545">
        <f ca="1">IF(AND($D56="Serviço",AE$12&lt;&gt;0,$H56&gt;0,OR(AUTOEVENTO&lt;&gt;"manual",$M56&lt;&gt;1)),
IF(Import.TipoArredondamento&lt;&gt;"TransfereGOV",
ROUND(OFFSET($P56,0,AE$13),15-13*ORÇAMENTO!$AF$7)/$H56*OFFSET(ORÇAMENTO!$X$15,ROW(AE56)-ROW(AE$15),0),
ROUND(ROUND(OFFSET($P56,0,AE$13),15-13*ORÇAMENTO!$AF$7)*OFFSET(ORÇAMENTO!$W$15,ROW(AE56)-ROW(AE$15),0),15-13*ORÇAMENTO!$AF$11)),0)</f>
        <v>0</v>
      </c>
      <c r="AF56" s="545">
        <f ca="1">IF(AND($D56="Serviço",AF$12&lt;&gt;0,$H56&gt;0,OR(AUTOEVENTO&lt;&gt;"manual",$M56&lt;&gt;1)),
IF(Import.TipoArredondamento&lt;&gt;"TransfereGOV",
ROUND(OFFSET($P56,0,AF$13),15-13*ORÇAMENTO!$AF$7)/$H56*OFFSET(ORÇAMENTO!$X$15,ROW(AF56)-ROW(AF$15),0),
ROUND(ROUND(OFFSET($P56,0,AF$13),15-13*ORÇAMENTO!$AF$7)*OFFSET(ORÇAMENTO!$W$15,ROW(AF56)-ROW(AF$15),0),15-13*ORÇAMENTO!$AF$11)),0)</f>
        <v>0</v>
      </c>
      <c r="AG56" s="545">
        <f ca="1">IF(AND($D56="Serviço",AG$12&lt;&gt;0,$H56&gt;0,OR(AUTOEVENTO&lt;&gt;"manual",$M56&lt;&gt;1)),
IF(Import.TipoArredondamento&lt;&gt;"TransfereGOV",
ROUND(OFFSET($P56,0,AG$13),15-13*ORÇAMENTO!$AF$7)/$H56*OFFSET(ORÇAMENTO!$X$15,ROW(AG56)-ROW(AG$15),0),
ROUND(ROUND(OFFSET($P56,0,AG$13),15-13*ORÇAMENTO!$AF$7)*OFFSET(ORÇAMENTO!$W$15,ROW(AG56)-ROW(AG$15),0),15-13*ORÇAMENTO!$AF$11)),0)</f>
        <v>0</v>
      </c>
      <c r="AH56" s="545">
        <f ca="1">IF(AND($D56="Serviço",AH$12&lt;&gt;0,$H56&gt;0,OR(AUTOEVENTO&lt;&gt;"manual",$M56&lt;&gt;1)),
IF(Import.TipoArredondamento&lt;&gt;"TransfereGOV",
ROUND(OFFSET($P56,0,AH$13),15-13*ORÇAMENTO!$AF$7)/$H56*OFFSET(ORÇAMENTO!$X$15,ROW(AH56)-ROW(AH$15),0),
ROUND(ROUND(OFFSET($P56,0,AH$13),15-13*ORÇAMENTO!$AF$7)*OFFSET(ORÇAMENTO!$W$15,ROW(AH56)-ROW(AH$15),0),15-13*ORÇAMENTO!$AF$11)),0)</f>
        <v>0</v>
      </c>
      <c r="AI56" s="545">
        <f ca="1">IF(AND($D56="Serviço",AI$12&lt;&gt;0,$H56&gt;0,OR(AUTOEVENTO&lt;&gt;"manual",$M56&lt;&gt;1)),
IF(Import.TipoArredondamento&lt;&gt;"TransfereGOV",
ROUND(OFFSET($P56,0,AI$13),15-13*ORÇAMENTO!$AF$7)/$H56*OFFSET(ORÇAMENTO!$X$15,ROW(AI56)-ROW(AI$15),0),
ROUND(ROUND(OFFSET($P56,0,AI$13),15-13*ORÇAMENTO!$AF$7)*OFFSET(ORÇAMENTO!$W$15,ROW(AI56)-ROW(AI$15),0),15-13*ORÇAMENTO!$AF$11)),0)</f>
        <v>0</v>
      </c>
      <c r="AJ56" s="545">
        <f ca="1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0</v>
      </c>
      <c r="AK56" s="546">
        <f ca="1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0</v>
      </c>
      <c r="AM56" s="181">
        <f ca="1">IF($D56&lt;&gt;"Serviço",0,IF(AND(AUTOEVENTO="Manual",$M56=1),0,IF(OFFSET(CRONOPLE!$F$14,$M56,AM$13)="",10^12,OFFSET(CRONOPLE!$F$14,$M56,AM$13))))</f>
        <v>1000000000000</v>
      </c>
      <c r="AN56" s="181">
        <f ca="1">IF($D56&lt;&gt;"Serviço",0,IF(AND(AUTOEVENTO="Manual",$M56=1),0,IF(OFFSET(CRONOPLE!$F$14,$M56,AN$13)="",10^12,OFFSET(CRONOPLE!$F$14,$M56,AN$13))))</f>
        <v>1000000000000</v>
      </c>
      <c r="AO56" s="181">
        <f ca="1">IF($D56&lt;&gt;"Serviço",0,IF(AND(AUTOEVENTO="Manual",$M56=1),0,IF(OFFSET(CRONOPLE!$F$14,$M56,AO$13)="",10^12,OFFSET(CRONOPLE!$F$14,$M56,AO$13))))</f>
        <v>1000000000000</v>
      </c>
      <c r="AP56" s="181">
        <f ca="1">IF($D56&lt;&gt;"Serviço",0,IF(AND(AUTOEVENTO="Manual",$M56=1),0,IF(OFFSET(CRONOPLE!$F$14,$M56,AP$13)="",10^12,OFFSET(CRONOPLE!$F$14,$M56,AP$13))))</f>
        <v>1000000000000</v>
      </c>
      <c r="AQ56" s="181">
        <f ca="1">IF($D56&lt;&gt;"Serviço",0,IF(AND(AUTOEVENTO="Manual",$M56=1),0,IF(OFFSET(CRONOPLE!$F$14,$M56,AQ$13)="",10^12,OFFSET(CRONOPLE!$F$14,$M56,AQ$13))))</f>
        <v>1000000000000</v>
      </c>
      <c r="AR56" s="181">
        <f ca="1">IF($D56&lt;&gt;"Serviço",0,IF(AND(AUTOEVENTO="Manual",$M56=1),0,IF(OFFSET(CRONOPLE!$F$14,$M56,AR$13)="",10^12,OFFSET(CRONOPLE!$F$14,$M56,AR$13))))</f>
        <v>1000000000000</v>
      </c>
      <c r="AS56" s="181">
        <f ca="1">IF($D56&lt;&gt;"Serviço",0,IF(AND(AUTOEVENTO="Manual",$M56=1),0,IF(OFFSET(CRONOPLE!$F$14,$M56,AS$13)="",10^12,OFFSET(CRONOPLE!$F$14,$M56,AS$13))))</f>
        <v>1000000000000</v>
      </c>
      <c r="AT56" s="181">
        <f ca="1">IF($D56&lt;&gt;"Serviço",0,IF(AND(AUTOEVENTO="Manual",$M56=1),0,IF(OFFSET(CRONOPLE!$F$14,$M56,AT$13)="",10^12,OFFSET(CRONOPLE!$F$14,$M56,AT$13))))</f>
        <v>1000000000000</v>
      </c>
      <c r="AU56" s="181">
        <f ca="1">IF($D56&lt;&gt;"Serviço",0,IF(AND(AUTOEVENTO="Manual",$M56=1),0,IF(OFFSET(CRONOPLE!$F$14,$M56,AU$13)="",10^12,OFFSET(CRONOPLE!$F$14,$M56,AU$13))))</f>
        <v>1000000000000</v>
      </c>
      <c r="AV56" s="181">
        <f ca="1">IF($D56&lt;&gt;"Serviço",0,IF(AND(AUTOEVENTO="Manual",$M56=1),0,IF(OFFSET(CRONOPLE!$F$14,$M56,AV$13)="",10^12,OFFSET(CRONOPLE!$F$14,$M56,AV$13))))</f>
        <v>1000000000000</v>
      </c>
      <c r="AX56" s="182">
        <f ca="1">IF($D56&lt;&gt;"Serviço",0,IF(OR(AND(AUTOEVENTO="Manual",$M56=1),$M56&gt;(ROW(PLE.lastrow)-ROW(PLE.firstrow))),0,IF(OFFSET(PLE!$G$14,$M56,AX$13)="",10^12,OFFSET(PLE!$G$14,$M56,AX$13))))</f>
        <v>1000000000000</v>
      </c>
      <c r="AY56" s="182">
        <f ca="1">IF($D56&lt;&gt;"Serviço",0,IF(OR(AND(AUTOEVENTO="Manual",$M56=1),$M56&gt;(ROW(PLE.lastrow)-ROW(PLE.firstrow))),0,IF(OFFSET(PLE!$G$14,$M56,AY$13)="",10^12,OFFSET(PLE!$G$14,$M56,AY$13))))</f>
        <v>1000000000000</v>
      </c>
      <c r="AZ56" s="182">
        <f ca="1">IF($D56&lt;&gt;"Serviço",0,IF(OR(AND(AUTOEVENTO="Manual",$M56=1),$M56&gt;(ROW(PLE.lastrow)-ROW(PLE.firstrow))),0,IF(OFFSET(PLE!$G$14,$M56,AZ$13)="",10^12,OFFSET(PLE!$G$14,$M56,AZ$13))))</f>
        <v>1000000000000</v>
      </c>
      <c r="BA56" s="182">
        <f ca="1">IF($D56&lt;&gt;"Serviço",0,IF(OR(AND(AUTOEVENTO="Manual",$M56=1),$M56&gt;(ROW(PLE.lastrow)-ROW(PLE.firstrow))),0,IF(OFFSET(PLE!$G$14,$M56,BA$13)="",10^12,OFFSET(PLE!$G$14,$M56,BA$13))))</f>
        <v>1000000000000</v>
      </c>
      <c r="BB56" s="182">
        <f ca="1">IF($D56&lt;&gt;"Serviço",0,IF(OR(AND(AUTOEVENTO="Manual",$M56=1),$M56&gt;(ROW(PLE.lastrow)-ROW(PLE.firstrow))),0,IF(OFFSET(PLE!$G$14,$M56,BB$13)="",10^12,OFFSET(PLE!$G$14,$M56,BB$13))))</f>
        <v>1000000000000</v>
      </c>
      <c r="BC56" s="182">
        <f ca="1">IF($D56&lt;&gt;"Serviço",0,IF(OR(AND(AUTOEVENTO="Manual",$M56=1),$M56&gt;(ROW(PLE.lastrow)-ROW(PLE.firstrow))),0,IF(OFFSET(PLE!$G$14,$M56,BC$13)="",10^12,OFFSET(PLE!$G$14,$M56,BC$13))))</f>
        <v>1000000000000</v>
      </c>
      <c r="BD56" s="182">
        <f ca="1">IF($D56&lt;&gt;"Serviço",0,IF(OR(AND(AUTOEVENTO="Manual",$M56=1),$M56&gt;(ROW(PLE.lastrow)-ROW(PLE.firstrow))),0,IF(OFFSET(PLE!$G$14,$M56,BD$13)="",10^12,OFFSET(PLE!$G$14,$M56,BD$13))))</f>
        <v>1000000000000</v>
      </c>
      <c r="BE56" s="182">
        <f ca="1">IF($D56&lt;&gt;"Serviço",0,IF(OR(AND(AUTOEVENTO="Manual",$M56=1),$M56&gt;(ROW(PLE.lastrow)-ROW(PLE.firstrow))),0,IF(OFFSET(PLE!$G$14,$M56,BE$13)="",10^12,OFFSET(PLE!$G$14,$M56,BE$13))))</f>
        <v>1000000000000</v>
      </c>
      <c r="BF56" s="182">
        <f ca="1">IF($D56&lt;&gt;"Serviço",0,IF(OR(AND(AUTOEVENTO="Manual",$M56=1),$M56&gt;(ROW(PLE.lastrow)-ROW(PLE.firstrow))),0,IF(OFFSET(PLE!$G$14,$M56,BF$13)="",10^12,OFFSET(PLE!$G$14,$M56,BF$13))))</f>
        <v>1000000000000</v>
      </c>
      <c r="BG56" s="182">
        <f ca="1">IF($D56&lt;&gt;"Serviço",0,IF(OR(AND(AUTOEVENTO="Manual",$M56=1),$M56&gt;(ROW(PLE.lastrow)-ROW(PLE.firstrow))),0,IF(OFFSET(PLE!$G$14,$M56,BG$13)="",10^12,OFFSET(PLE!$G$14,$M56,BG$13))))</f>
        <v>1000000000000</v>
      </c>
    </row>
    <row r="57" spans="1:59" ht="25.5" x14ac:dyDescent="0.2">
      <c r="A57" s="7" t="str">
        <f t="shared" ca="1" si="8"/>
        <v>26</v>
      </c>
      <c r="B57" s="7" t="str">
        <f ca="1">OFFSET(ORÇAMENTO!C$15,ROW(B57)-ROW(B$15),0)</f>
        <v>S</v>
      </c>
      <c r="C57" s="7" t="str">
        <f ca="1">OFFSET(ORÇAMENTO!L$15,ROW(C57)-ROW(C$15),0)</f>
        <v>F</v>
      </c>
      <c r="D57" s="118" t="str">
        <f ca="1">OFFSET(ORÇAMENTO!N$15,ROW(D57)-ROW(D$15),0)</f>
        <v>Serviço</v>
      </c>
      <c r="E57" s="119" t="str">
        <f ca="1">OFFSET(ORÇAMENTO!O$15,ROW(E57)-ROW(E$15),0)</f>
        <v>1.3.1.15.</v>
      </c>
      <c r="F57" s="172" t="str">
        <f ca="1">OFFSET(ORÇAMENTO!R$15,ROW(F57)-ROW(F$15),0)</f>
        <v>(abra o arquivo 'Referência 03-2024.xlsm)</v>
      </c>
      <c r="G57" s="173" t="str">
        <f ca="1">IF($D57&lt;&gt;"Serviço","",OFFSET(ORÇAMENTO!S$15,ROW(G57)-ROW(G$15),0))</f>
        <v>-</v>
      </c>
      <c r="H57" s="124">
        <f ca="1">IF($D57&lt;&gt;"Serviço",0,IF(ACOMPANHAMENTO="BM",ROUND(OFFSET(ORÇAMENTO!AJ$15,ROW(H57)-ROW(H$15),0),15-13*ORÇAMENTO!$AF$7),SUMPRODUCT(($Q$12:$AA$12&lt;&gt;"")*ROUND($Q57:$AA57,15-13*ORÇAMENTO!$AF$7))))</f>
        <v>1</v>
      </c>
      <c r="I57" s="561"/>
      <c r="K57" s="174"/>
      <c r="L57" s="175" t="s">
        <v>255</v>
      </c>
      <c r="M57" s="176">
        <f ca="1">IF($D57&lt;&gt;"Serviço","",IF(AUTOEVENTO="manual",$A57,IF(ISERROR(MATCH($A57,$A$15:OFFSET($A57,-1,0),0)),MAX($M$15:OFFSET(M57,-1,0))+1,INDEX($M$15:OFFSET(M57,-1,0),MATCH($A57,$A$15:OFFSET($A57,-1,0),0)))))</f>
        <v>4</v>
      </c>
      <c r="N57" s="177" t="str">
        <f ca="1">IF($D57&lt;&gt;"Serviço","",IF(AUTOEVENTO="Manual",IF($A57=0,"&lt;-- defina o número do agrupador",OFFSET(EVENTOS!$D$14,$A57,0)),OFFSET($F$15,$A57,0)))</f>
        <v>ENTRADA DE ENERGIA PADRÃO, MURETA E QGBT</v>
      </c>
      <c r="O57" s="178"/>
      <c r="Q57" s="178"/>
      <c r="R57" s="179"/>
      <c r="S57" s="179"/>
      <c r="T57" s="179"/>
      <c r="U57" s="179"/>
      <c r="V57" s="179"/>
      <c r="W57" s="179"/>
      <c r="X57" s="179"/>
      <c r="Y57" s="179"/>
      <c r="Z57" s="180"/>
      <c r="AB57" s="544">
        <f ca="1">IF(AND($D57="Serviço",AB$12&lt;&gt;0,$H57&gt;0,OR(AUTOEVENTO&lt;&gt;"manual",$M57&lt;&gt;1)),
IF(Import.TipoArredondamento&lt;&gt;"TransfereGOV",
ROUND(OFFSET($P57,0,AB$13),15-13*ORÇAMENTO!$AF$7)/$H57*OFFSET(ORÇAMENTO!$X$15,ROW(AB57)-ROW(AB$15),0),
ROUND(ROUND(OFFSET($P57,0,AB$13),15-13*ORÇAMENTO!$AF$7)*OFFSET(ORÇAMENTO!$W$15,ROW(AB57)-ROW(AB$15),0),15-13*ORÇAMENTO!$AF$11)),0)</f>
        <v>0</v>
      </c>
      <c r="AC57" s="545">
        <f ca="1">IF(AND($D57="Serviço",AC$12&lt;&gt;0,$H57&gt;0,OR(AUTOEVENTO&lt;&gt;"manual",$M57&lt;&gt;1)),
IF(Import.TipoArredondamento&lt;&gt;"TransfereGOV",
ROUND(OFFSET($P57,0,AC$13),15-13*ORÇAMENTO!$AF$7)/$H57*OFFSET(ORÇAMENTO!$X$15,ROW(AC57)-ROW(AC$15),0),
ROUND(ROUND(OFFSET($P57,0,AC$13),15-13*ORÇAMENTO!$AF$7)*OFFSET(ORÇAMENTO!$W$15,ROW(AC57)-ROW(AC$15),0),15-13*ORÇAMENTO!$AF$11)),0)</f>
        <v>0</v>
      </c>
      <c r="AD57" s="545">
        <f ca="1">IF(AND($D57="Serviço",AD$12&lt;&gt;0,$H57&gt;0,OR(AUTOEVENTO&lt;&gt;"manual",$M57&lt;&gt;1)),
IF(Import.TipoArredondamento&lt;&gt;"TransfereGOV",
ROUND(OFFSET($P57,0,AD$13),15-13*ORÇAMENTO!$AF$7)/$H57*OFFSET(ORÇAMENTO!$X$15,ROW(AD57)-ROW(AD$15),0),
ROUND(ROUND(OFFSET($P57,0,AD$13),15-13*ORÇAMENTO!$AF$7)*OFFSET(ORÇAMENTO!$W$15,ROW(AD57)-ROW(AD$15),0),15-13*ORÇAMENTO!$AF$11)),0)</f>
        <v>0</v>
      </c>
      <c r="AE57" s="545">
        <f ca="1">IF(AND($D57="Serviço",AE$12&lt;&gt;0,$H57&gt;0,OR(AUTOEVENTO&lt;&gt;"manual",$M57&lt;&gt;1)),
IF(Import.TipoArredondamento&lt;&gt;"TransfereGOV",
ROUND(OFFSET($P57,0,AE$13),15-13*ORÇAMENTO!$AF$7)/$H57*OFFSET(ORÇAMENTO!$X$15,ROW(AE57)-ROW(AE$15),0),
ROUND(ROUND(OFFSET($P57,0,AE$13),15-13*ORÇAMENTO!$AF$7)*OFFSET(ORÇAMENTO!$W$15,ROW(AE57)-ROW(AE$15),0),15-13*ORÇAMENTO!$AF$11)),0)</f>
        <v>0</v>
      </c>
      <c r="AF57" s="545">
        <f ca="1">IF(AND($D57="Serviço",AF$12&lt;&gt;0,$H57&gt;0,OR(AUTOEVENTO&lt;&gt;"manual",$M57&lt;&gt;1)),
IF(Import.TipoArredondamento&lt;&gt;"TransfereGOV",
ROUND(OFFSET($P57,0,AF$13),15-13*ORÇAMENTO!$AF$7)/$H57*OFFSET(ORÇAMENTO!$X$15,ROW(AF57)-ROW(AF$15),0),
ROUND(ROUND(OFFSET($P57,0,AF$13),15-13*ORÇAMENTO!$AF$7)*OFFSET(ORÇAMENTO!$W$15,ROW(AF57)-ROW(AF$15),0),15-13*ORÇAMENTO!$AF$11)),0)</f>
        <v>0</v>
      </c>
      <c r="AG57" s="545">
        <f ca="1">IF(AND($D57="Serviço",AG$12&lt;&gt;0,$H57&gt;0,OR(AUTOEVENTO&lt;&gt;"manual",$M57&lt;&gt;1)),
IF(Import.TipoArredondamento&lt;&gt;"TransfereGOV",
ROUND(OFFSET($P57,0,AG$13),15-13*ORÇAMENTO!$AF$7)/$H57*OFFSET(ORÇAMENTO!$X$15,ROW(AG57)-ROW(AG$15),0),
ROUND(ROUND(OFFSET($P57,0,AG$13),15-13*ORÇAMENTO!$AF$7)*OFFSET(ORÇAMENTO!$W$15,ROW(AG57)-ROW(AG$15),0),15-13*ORÇAMENTO!$AF$11)),0)</f>
        <v>0</v>
      </c>
      <c r="AH57" s="545">
        <f ca="1">IF(AND($D57="Serviço",AH$12&lt;&gt;0,$H57&gt;0,OR(AUTOEVENTO&lt;&gt;"manual",$M57&lt;&gt;1)),
IF(Import.TipoArredondamento&lt;&gt;"TransfereGOV",
ROUND(OFFSET($P57,0,AH$13),15-13*ORÇAMENTO!$AF$7)/$H57*OFFSET(ORÇAMENTO!$X$15,ROW(AH57)-ROW(AH$15),0),
ROUND(ROUND(OFFSET($P57,0,AH$13),15-13*ORÇAMENTO!$AF$7)*OFFSET(ORÇAMENTO!$W$15,ROW(AH57)-ROW(AH$15),0),15-13*ORÇAMENTO!$AF$11)),0)</f>
        <v>0</v>
      </c>
      <c r="AI57" s="545">
        <f ca="1">IF(AND($D57="Serviço",AI$12&lt;&gt;0,$H57&gt;0,OR(AUTOEVENTO&lt;&gt;"manual",$M57&lt;&gt;1)),
IF(Import.TipoArredondamento&lt;&gt;"TransfereGOV",
ROUND(OFFSET($P57,0,AI$13),15-13*ORÇAMENTO!$AF$7)/$H57*OFFSET(ORÇAMENTO!$X$15,ROW(AI57)-ROW(AI$15),0),
ROUND(ROUND(OFFSET($P57,0,AI$13),15-13*ORÇAMENTO!$AF$7)*OFFSET(ORÇAMENTO!$W$15,ROW(AI57)-ROW(AI$15),0),15-13*ORÇAMENTO!$AF$11)),0)</f>
        <v>0</v>
      </c>
      <c r="AJ57" s="545">
        <f ca="1">IF(AND($D57="Serviço",AJ$12&lt;&gt;0,$H57&gt;0,OR(AUTOEVENTO&lt;&gt;"manual",$M57&lt;&gt;1)),
IF(Import.TipoArredondamento&lt;&gt;"TransfereGOV",
ROUND(OFFSET($P57,0,AJ$13),15-13*ORÇAMENTO!$AF$7)/$H57*OFFSET(ORÇAMENTO!$X$15,ROW(AJ57)-ROW(AJ$15),0),
ROUND(ROUND(OFFSET($P57,0,AJ$13),15-13*ORÇAMENTO!$AF$7)*OFFSET(ORÇAMENTO!$W$15,ROW(AJ57)-ROW(AJ$15),0),15-13*ORÇAMENTO!$AF$11)),0)</f>
        <v>0</v>
      </c>
      <c r="AK57" s="546">
        <f ca="1">IF(AND($D57="Serviço",AK$12&lt;&gt;0,$H57&gt;0,OR(AUTOEVENTO&lt;&gt;"manual",$M57&lt;&gt;1)),
IF(Import.TipoArredondamento&lt;&gt;"TransfereGOV",
ROUND(OFFSET($P57,0,AK$13),15-13*ORÇAMENTO!$AF$7)/$H57*OFFSET(ORÇAMENTO!$X$15,ROW(AK57)-ROW(AK$15),0),
ROUND(ROUND(OFFSET($P57,0,AK$13),15-13*ORÇAMENTO!$AF$7)*OFFSET(ORÇAMENTO!$W$15,ROW(AK57)-ROW(AK$15),0),15-13*ORÇAMENTO!$AF$11)),0)</f>
        <v>0</v>
      </c>
      <c r="AM57" s="181">
        <f ca="1">IF($D57&lt;&gt;"Serviço",0,IF(AND(AUTOEVENTO="Manual",$M57=1),0,IF(OFFSET(CRONOPLE!$F$14,$M57,AM$13)="",10^12,OFFSET(CRONOPLE!$F$14,$M57,AM$13))))</f>
        <v>1000000000000</v>
      </c>
      <c r="AN57" s="181">
        <f ca="1">IF($D57&lt;&gt;"Serviço",0,IF(AND(AUTOEVENTO="Manual",$M57=1),0,IF(OFFSET(CRONOPLE!$F$14,$M57,AN$13)="",10^12,OFFSET(CRONOPLE!$F$14,$M57,AN$13))))</f>
        <v>1000000000000</v>
      </c>
      <c r="AO57" s="181">
        <f ca="1">IF($D57&lt;&gt;"Serviço",0,IF(AND(AUTOEVENTO="Manual",$M57=1),0,IF(OFFSET(CRONOPLE!$F$14,$M57,AO$13)="",10^12,OFFSET(CRONOPLE!$F$14,$M57,AO$13))))</f>
        <v>1000000000000</v>
      </c>
      <c r="AP57" s="181">
        <f ca="1">IF($D57&lt;&gt;"Serviço",0,IF(AND(AUTOEVENTO="Manual",$M57=1),0,IF(OFFSET(CRONOPLE!$F$14,$M57,AP$13)="",10^12,OFFSET(CRONOPLE!$F$14,$M57,AP$13))))</f>
        <v>1000000000000</v>
      </c>
      <c r="AQ57" s="181">
        <f ca="1">IF($D57&lt;&gt;"Serviço",0,IF(AND(AUTOEVENTO="Manual",$M57=1),0,IF(OFFSET(CRONOPLE!$F$14,$M57,AQ$13)="",10^12,OFFSET(CRONOPLE!$F$14,$M57,AQ$13))))</f>
        <v>1000000000000</v>
      </c>
      <c r="AR57" s="181">
        <f ca="1">IF($D57&lt;&gt;"Serviço",0,IF(AND(AUTOEVENTO="Manual",$M57=1),0,IF(OFFSET(CRONOPLE!$F$14,$M57,AR$13)="",10^12,OFFSET(CRONOPLE!$F$14,$M57,AR$13))))</f>
        <v>1000000000000</v>
      </c>
      <c r="AS57" s="181">
        <f ca="1">IF($D57&lt;&gt;"Serviço",0,IF(AND(AUTOEVENTO="Manual",$M57=1),0,IF(OFFSET(CRONOPLE!$F$14,$M57,AS$13)="",10^12,OFFSET(CRONOPLE!$F$14,$M57,AS$13))))</f>
        <v>1000000000000</v>
      </c>
      <c r="AT57" s="181">
        <f ca="1">IF($D57&lt;&gt;"Serviço",0,IF(AND(AUTOEVENTO="Manual",$M57=1),0,IF(OFFSET(CRONOPLE!$F$14,$M57,AT$13)="",10^12,OFFSET(CRONOPLE!$F$14,$M57,AT$13))))</f>
        <v>1000000000000</v>
      </c>
      <c r="AU57" s="181">
        <f ca="1">IF($D57&lt;&gt;"Serviço",0,IF(AND(AUTOEVENTO="Manual",$M57=1),0,IF(OFFSET(CRONOPLE!$F$14,$M57,AU$13)="",10^12,OFFSET(CRONOPLE!$F$14,$M57,AU$13))))</f>
        <v>1000000000000</v>
      </c>
      <c r="AV57" s="181">
        <f ca="1">IF($D57&lt;&gt;"Serviço",0,IF(AND(AUTOEVENTO="Manual",$M57=1),0,IF(OFFSET(CRONOPLE!$F$14,$M57,AV$13)="",10^12,OFFSET(CRONOPLE!$F$14,$M57,AV$13))))</f>
        <v>1000000000000</v>
      </c>
      <c r="AX57" s="182">
        <f ca="1">IF($D57&lt;&gt;"Serviço",0,IF(OR(AND(AUTOEVENTO="Manual",$M57=1),$M57&gt;(ROW(PLE.lastrow)-ROW(PLE.firstrow))),0,IF(OFFSET(PLE!$G$14,$M57,AX$13)="",10^12,OFFSET(PLE!$G$14,$M57,AX$13))))</f>
        <v>1000000000000</v>
      </c>
      <c r="AY57" s="182">
        <f ca="1">IF($D57&lt;&gt;"Serviço",0,IF(OR(AND(AUTOEVENTO="Manual",$M57=1),$M57&gt;(ROW(PLE.lastrow)-ROW(PLE.firstrow))),0,IF(OFFSET(PLE!$G$14,$M57,AY$13)="",10^12,OFFSET(PLE!$G$14,$M57,AY$13))))</f>
        <v>1000000000000</v>
      </c>
      <c r="AZ57" s="182">
        <f ca="1">IF($D57&lt;&gt;"Serviço",0,IF(OR(AND(AUTOEVENTO="Manual",$M57=1),$M57&gt;(ROW(PLE.lastrow)-ROW(PLE.firstrow))),0,IF(OFFSET(PLE!$G$14,$M57,AZ$13)="",10^12,OFFSET(PLE!$G$14,$M57,AZ$13))))</f>
        <v>1000000000000</v>
      </c>
      <c r="BA57" s="182">
        <f ca="1">IF($D57&lt;&gt;"Serviço",0,IF(OR(AND(AUTOEVENTO="Manual",$M57=1),$M57&gt;(ROW(PLE.lastrow)-ROW(PLE.firstrow))),0,IF(OFFSET(PLE!$G$14,$M57,BA$13)="",10^12,OFFSET(PLE!$G$14,$M57,BA$13))))</f>
        <v>1000000000000</v>
      </c>
      <c r="BB57" s="182">
        <f ca="1">IF($D57&lt;&gt;"Serviço",0,IF(OR(AND(AUTOEVENTO="Manual",$M57=1),$M57&gt;(ROW(PLE.lastrow)-ROW(PLE.firstrow))),0,IF(OFFSET(PLE!$G$14,$M57,BB$13)="",10^12,OFFSET(PLE!$G$14,$M57,BB$13))))</f>
        <v>1000000000000</v>
      </c>
      <c r="BC57" s="182">
        <f ca="1">IF($D57&lt;&gt;"Serviço",0,IF(OR(AND(AUTOEVENTO="Manual",$M57=1),$M57&gt;(ROW(PLE.lastrow)-ROW(PLE.firstrow))),0,IF(OFFSET(PLE!$G$14,$M57,BC$13)="",10^12,OFFSET(PLE!$G$14,$M57,BC$13))))</f>
        <v>1000000000000</v>
      </c>
      <c r="BD57" s="182">
        <f ca="1">IF($D57&lt;&gt;"Serviço",0,IF(OR(AND(AUTOEVENTO="Manual",$M57=1),$M57&gt;(ROW(PLE.lastrow)-ROW(PLE.firstrow))),0,IF(OFFSET(PLE!$G$14,$M57,BD$13)="",10^12,OFFSET(PLE!$G$14,$M57,BD$13))))</f>
        <v>1000000000000</v>
      </c>
      <c r="BE57" s="182">
        <f ca="1">IF($D57&lt;&gt;"Serviço",0,IF(OR(AND(AUTOEVENTO="Manual",$M57=1),$M57&gt;(ROW(PLE.lastrow)-ROW(PLE.firstrow))),0,IF(OFFSET(PLE!$G$14,$M57,BE$13)="",10^12,OFFSET(PLE!$G$14,$M57,BE$13))))</f>
        <v>1000000000000</v>
      </c>
      <c r="BF57" s="182">
        <f ca="1">IF($D57&lt;&gt;"Serviço",0,IF(OR(AND(AUTOEVENTO="Manual",$M57=1),$M57&gt;(ROW(PLE.lastrow)-ROW(PLE.firstrow))),0,IF(OFFSET(PLE!$G$14,$M57,BF$13)="",10^12,OFFSET(PLE!$G$14,$M57,BF$13))))</f>
        <v>1000000000000</v>
      </c>
      <c r="BG57" s="182">
        <f ca="1">IF($D57&lt;&gt;"Serviço",0,IF(OR(AND(AUTOEVENTO="Manual",$M57=1),$M57&gt;(ROW(PLE.lastrow)-ROW(PLE.firstrow))),0,IF(OFFSET(PLE!$G$14,$M57,BG$13)="",10^12,OFFSET(PLE!$G$14,$M57,BG$13))))</f>
        <v>1000000000000</v>
      </c>
    </row>
    <row r="58" spans="1:59" ht="25.5" x14ac:dyDescent="0.2">
      <c r="A58" s="7" t="str">
        <f t="shared" ca="1" si="8"/>
        <v>26</v>
      </c>
      <c r="B58" s="7" t="str">
        <f ca="1">OFFSET(ORÇAMENTO!C$15,ROW(B58)-ROW(B$15),0)</f>
        <v>S</v>
      </c>
      <c r="C58" s="7" t="str">
        <f ca="1">OFFSET(ORÇAMENTO!L$15,ROW(C58)-ROW(C$15),0)</f>
        <v>F</v>
      </c>
      <c r="D58" s="118" t="str">
        <f ca="1">OFFSET(ORÇAMENTO!N$15,ROW(D58)-ROW(D$15),0)</f>
        <v>Serviço</v>
      </c>
      <c r="E58" s="119" t="str">
        <f ca="1">OFFSET(ORÇAMENTO!O$15,ROW(E58)-ROW(E$15),0)</f>
        <v>1.3.1.16.</v>
      </c>
      <c r="F58" s="172" t="str">
        <f ca="1">OFFSET(ORÇAMENTO!R$15,ROW(F58)-ROW(F$15),0)</f>
        <v>(abra o arquivo 'Referência 03-2024.xlsm)</v>
      </c>
      <c r="G58" s="173" t="str">
        <f ca="1">IF($D58&lt;&gt;"Serviço","",OFFSET(ORÇAMENTO!S$15,ROW(G58)-ROW(G$15),0))</f>
        <v>-</v>
      </c>
      <c r="H58" s="124">
        <f ca="1">IF($D58&lt;&gt;"Serviço",0,IF(ACOMPANHAMENTO="BM",ROUND(OFFSET(ORÇAMENTO!AJ$15,ROW(H58)-ROW(H$15),0),15-13*ORÇAMENTO!$AF$7),SUMPRODUCT(($Q$12:$AA$12&lt;&gt;"")*ROUND($Q58:$AA58,15-13*ORÇAMENTO!$AF$7))))</f>
        <v>1</v>
      </c>
      <c r="I58" s="561"/>
      <c r="K58" s="174"/>
      <c r="L58" s="175" t="s">
        <v>255</v>
      </c>
      <c r="M58" s="176">
        <f ca="1">IF($D58&lt;&gt;"Serviço","",IF(AUTOEVENTO="manual",$A58,IF(ISERROR(MATCH($A58,$A$15:OFFSET($A58,-1,0),0)),MAX($M$15:OFFSET(M58,-1,0))+1,INDEX($M$15:OFFSET(M58,-1,0),MATCH($A58,$A$15:OFFSET($A58,-1,0),0)))))</f>
        <v>4</v>
      </c>
      <c r="N58" s="177" t="str">
        <f ca="1">IF($D58&lt;&gt;"Serviço","",IF(AUTOEVENTO="Manual",IF($A58=0,"&lt;-- defina o número do agrupador",OFFSET(EVENTOS!$D$14,$A58,0)),OFFSET($F$15,$A58,0)))</f>
        <v>ENTRADA DE ENERGIA PADRÃO, MURETA E QGBT</v>
      </c>
      <c r="O58" s="178"/>
      <c r="Q58" s="178"/>
      <c r="R58" s="179"/>
      <c r="S58" s="179"/>
      <c r="T58" s="179"/>
      <c r="U58" s="179"/>
      <c r="V58" s="179"/>
      <c r="W58" s="179"/>
      <c r="X58" s="179"/>
      <c r="Y58" s="179"/>
      <c r="Z58" s="180"/>
      <c r="AB58" s="544">
        <f ca="1">IF(AND($D58="Serviço",AB$12&lt;&gt;0,$H58&gt;0,OR(AUTOEVENTO&lt;&gt;"manual",$M58&lt;&gt;1)),
IF(Import.TipoArredondamento&lt;&gt;"TransfereGOV",
ROUND(OFFSET($P58,0,AB$13),15-13*ORÇAMENTO!$AF$7)/$H58*OFFSET(ORÇAMENTO!$X$15,ROW(AB58)-ROW(AB$15),0),
ROUND(ROUND(OFFSET($P58,0,AB$13),15-13*ORÇAMENTO!$AF$7)*OFFSET(ORÇAMENTO!$W$15,ROW(AB58)-ROW(AB$15),0),15-13*ORÇAMENTO!$AF$11)),0)</f>
        <v>0</v>
      </c>
      <c r="AC58" s="545">
        <f ca="1">IF(AND($D58="Serviço",AC$12&lt;&gt;0,$H58&gt;0,OR(AUTOEVENTO&lt;&gt;"manual",$M58&lt;&gt;1)),
IF(Import.TipoArredondamento&lt;&gt;"TransfereGOV",
ROUND(OFFSET($P58,0,AC$13),15-13*ORÇAMENTO!$AF$7)/$H58*OFFSET(ORÇAMENTO!$X$15,ROW(AC58)-ROW(AC$15),0),
ROUND(ROUND(OFFSET($P58,0,AC$13),15-13*ORÇAMENTO!$AF$7)*OFFSET(ORÇAMENTO!$W$15,ROW(AC58)-ROW(AC$15),0),15-13*ORÇAMENTO!$AF$11)),0)</f>
        <v>0</v>
      </c>
      <c r="AD58" s="545">
        <f ca="1">IF(AND($D58="Serviço",AD$12&lt;&gt;0,$H58&gt;0,OR(AUTOEVENTO&lt;&gt;"manual",$M58&lt;&gt;1)),
IF(Import.TipoArredondamento&lt;&gt;"TransfereGOV",
ROUND(OFFSET($P58,0,AD$13),15-13*ORÇAMENTO!$AF$7)/$H58*OFFSET(ORÇAMENTO!$X$15,ROW(AD58)-ROW(AD$15),0),
ROUND(ROUND(OFFSET($P58,0,AD$13),15-13*ORÇAMENTO!$AF$7)*OFFSET(ORÇAMENTO!$W$15,ROW(AD58)-ROW(AD$15),0),15-13*ORÇAMENTO!$AF$11)),0)</f>
        <v>0</v>
      </c>
      <c r="AE58" s="545">
        <f ca="1">IF(AND($D58="Serviço",AE$12&lt;&gt;0,$H58&gt;0,OR(AUTOEVENTO&lt;&gt;"manual",$M58&lt;&gt;1)),
IF(Import.TipoArredondamento&lt;&gt;"TransfereGOV",
ROUND(OFFSET($P58,0,AE$13),15-13*ORÇAMENTO!$AF$7)/$H58*OFFSET(ORÇAMENTO!$X$15,ROW(AE58)-ROW(AE$15),0),
ROUND(ROUND(OFFSET($P58,0,AE$13),15-13*ORÇAMENTO!$AF$7)*OFFSET(ORÇAMENTO!$W$15,ROW(AE58)-ROW(AE$15),0),15-13*ORÇAMENTO!$AF$11)),0)</f>
        <v>0</v>
      </c>
      <c r="AF58" s="545">
        <f ca="1">IF(AND($D58="Serviço",AF$12&lt;&gt;0,$H58&gt;0,OR(AUTOEVENTO&lt;&gt;"manual",$M58&lt;&gt;1)),
IF(Import.TipoArredondamento&lt;&gt;"TransfereGOV",
ROUND(OFFSET($P58,0,AF$13),15-13*ORÇAMENTO!$AF$7)/$H58*OFFSET(ORÇAMENTO!$X$15,ROW(AF58)-ROW(AF$15),0),
ROUND(ROUND(OFFSET($P58,0,AF$13),15-13*ORÇAMENTO!$AF$7)*OFFSET(ORÇAMENTO!$W$15,ROW(AF58)-ROW(AF$15),0),15-13*ORÇAMENTO!$AF$11)),0)</f>
        <v>0</v>
      </c>
      <c r="AG58" s="545">
        <f ca="1">IF(AND($D58="Serviço",AG$12&lt;&gt;0,$H58&gt;0,OR(AUTOEVENTO&lt;&gt;"manual",$M58&lt;&gt;1)),
IF(Import.TipoArredondamento&lt;&gt;"TransfereGOV",
ROUND(OFFSET($P58,0,AG$13),15-13*ORÇAMENTO!$AF$7)/$H58*OFFSET(ORÇAMENTO!$X$15,ROW(AG58)-ROW(AG$15),0),
ROUND(ROUND(OFFSET($P58,0,AG$13),15-13*ORÇAMENTO!$AF$7)*OFFSET(ORÇAMENTO!$W$15,ROW(AG58)-ROW(AG$15),0),15-13*ORÇAMENTO!$AF$11)),0)</f>
        <v>0</v>
      </c>
      <c r="AH58" s="545">
        <f ca="1">IF(AND($D58="Serviço",AH$12&lt;&gt;0,$H58&gt;0,OR(AUTOEVENTO&lt;&gt;"manual",$M58&lt;&gt;1)),
IF(Import.TipoArredondamento&lt;&gt;"TransfereGOV",
ROUND(OFFSET($P58,0,AH$13),15-13*ORÇAMENTO!$AF$7)/$H58*OFFSET(ORÇAMENTO!$X$15,ROW(AH58)-ROW(AH$15),0),
ROUND(ROUND(OFFSET($P58,0,AH$13),15-13*ORÇAMENTO!$AF$7)*OFFSET(ORÇAMENTO!$W$15,ROW(AH58)-ROW(AH$15),0),15-13*ORÇAMENTO!$AF$11)),0)</f>
        <v>0</v>
      </c>
      <c r="AI58" s="545">
        <f ca="1">IF(AND($D58="Serviço",AI$12&lt;&gt;0,$H58&gt;0,OR(AUTOEVENTO&lt;&gt;"manual",$M58&lt;&gt;1)),
IF(Import.TipoArredondamento&lt;&gt;"TransfereGOV",
ROUND(OFFSET($P58,0,AI$13),15-13*ORÇAMENTO!$AF$7)/$H58*OFFSET(ORÇAMENTO!$X$15,ROW(AI58)-ROW(AI$15),0),
ROUND(ROUND(OFFSET($P58,0,AI$13),15-13*ORÇAMENTO!$AF$7)*OFFSET(ORÇAMENTO!$W$15,ROW(AI58)-ROW(AI$15),0),15-13*ORÇAMENTO!$AF$11)),0)</f>
        <v>0</v>
      </c>
      <c r="AJ58" s="545">
        <f ca="1">IF(AND($D58="Serviço",AJ$12&lt;&gt;0,$H58&gt;0,OR(AUTOEVENTO&lt;&gt;"manual",$M58&lt;&gt;1)),
IF(Import.TipoArredondamento&lt;&gt;"TransfereGOV",
ROUND(OFFSET($P58,0,AJ$13),15-13*ORÇAMENTO!$AF$7)/$H58*OFFSET(ORÇAMENTO!$X$15,ROW(AJ58)-ROW(AJ$15),0),
ROUND(ROUND(OFFSET($P58,0,AJ$13),15-13*ORÇAMENTO!$AF$7)*OFFSET(ORÇAMENTO!$W$15,ROW(AJ58)-ROW(AJ$15),0),15-13*ORÇAMENTO!$AF$11)),0)</f>
        <v>0</v>
      </c>
      <c r="AK58" s="546">
        <f ca="1">IF(AND($D58="Serviço",AK$12&lt;&gt;0,$H58&gt;0,OR(AUTOEVENTO&lt;&gt;"manual",$M58&lt;&gt;1)),
IF(Import.TipoArredondamento&lt;&gt;"TransfereGOV",
ROUND(OFFSET($P58,0,AK$13),15-13*ORÇAMENTO!$AF$7)/$H58*OFFSET(ORÇAMENTO!$X$15,ROW(AK58)-ROW(AK$15),0),
ROUND(ROUND(OFFSET($P58,0,AK$13),15-13*ORÇAMENTO!$AF$7)*OFFSET(ORÇAMENTO!$W$15,ROW(AK58)-ROW(AK$15),0),15-13*ORÇAMENTO!$AF$11)),0)</f>
        <v>0</v>
      </c>
      <c r="AM58" s="181">
        <f ca="1">IF($D58&lt;&gt;"Serviço",0,IF(AND(AUTOEVENTO="Manual",$M58=1),0,IF(OFFSET(CRONOPLE!$F$14,$M58,AM$13)="",10^12,OFFSET(CRONOPLE!$F$14,$M58,AM$13))))</f>
        <v>1000000000000</v>
      </c>
      <c r="AN58" s="181">
        <f ca="1">IF($D58&lt;&gt;"Serviço",0,IF(AND(AUTOEVENTO="Manual",$M58=1),0,IF(OFFSET(CRONOPLE!$F$14,$M58,AN$13)="",10^12,OFFSET(CRONOPLE!$F$14,$M58,AN$13))))</f>
        <v>1000000000000</v>
      </c>
      <c r="AO58" s="181">
        <f ca="1">IF($D58&lt;&gt;"Serviço",0,IF(AND(AUTOEVENTO="Manual",$M58=1),0,IF(OFFSET(CRONOPLE!$F$14,$M58,AO$13)="",10^12,OFFSET(CRONOPLE!$F$14,$M58,AO$13))))</f>
        <v>1000000000000</v>
      </c>
      <c r="AP58" s="181">
        <f ca="1">IF($D58&lt;&gt;"Serviço",0,IF(AND(AUTOEVENTO="Manual",$M58=1),0,IF(OFFSET(CRONOPLE!$F$14,$M58,AP$13)="",10^12,OFFSET(CRONOPLE!$F$14,$M58,AP$13))))</f>
        <v>1000000000000</v>
      </c>
      <c r="AQ58" s="181">
        <f ca="1">IF($D58&lt;&gt;"Serviço",0,IF(AND(AUTOEVENTO="Manual",$M58=1),0,IF(OFFSET(CRONOPLE!$F$14,$M58,AQ$13)="",10^12,OFFSET(CRONOPLE!$F$14,$M58,AQ$13))))</f>
        <v>1000000000000</v>
      </c>
      <c r="AR58" s="181">
        <f ca="1">IF($D58&lt;&gt;"Serviço",0,IF(AND(AUTOEVENTO="Manual",$M58=1),0,IF(OFFSET(CRONOPLE!$F$14,$M58,AR$13)="",10^12,OFFSET(CRONOPLE!$F$14,$M58,AR$13))))</f>
        <v>1000000000000</v>
      </c>
      <c r="AS58" s="181">
        <f ca="1">IF($D58&lt;&gt;"Serviço",0,IF(AND(AUTOEVENTO="Manual",$M58=1),0,IF(OFFSET(CRONOPLE!$F$14,$M58,AS$13)="",10^12,OFFSET(CRONOPLE!$F$14,$M58,AS$13))))</f>
        <v>1000000000000</v>
      </c>
      <c r="AT58" s="181">
        <f ca="1">IF($D58&lt;&gt;"Serviço",0,IF(AND(AUTOEVENTO="Manual",$M58=1),0,IF(OFFSET(CRONOPLE!$F$14,$M58,AT$13)="",10^12,OFFSET(CRONOPLE!$F$14,$M58,AT$13))))</f>
        <v>1000000000000</v>
      </c>
      <c r="AU58" s="181">
        <f ca="1">IF($D58&lt;&gt;"Serviço",0,IF(AND(AUTOEVENTO="Manual",$M58=1),0,IF(OFFSET(CRONOPLE!$F$14,$M58,AU$13)="",10^12,OFFSET(CRONOPLE!$F$14,$M58,AU$13))))</f>
        <v>1000000000000</v>
      </c>
      <c r="AV58" s="181">
        <f ca="1">IF($D58&lt;&gt;"Serviço",0,IF(AND(AUTOEVENTO="Manual",$M58=1),0,IF(OFFSET(CRONOPLE!$F$14,$M58,AV$13)="",10^12,OFFSET(CRONOPLE!$F$14,$M58,AV$13))))</f>
        <v>1000000000000</v>
      </c>
      <c r="AX58" s="182">
        <f ca="1">IF($D58&lt;&gt;"Serviço",0,IF(OR(AND(AUTOEVENTO="Manual",$M58=1),$M58&gt;(ROW(PLE.lastrow)-ROW(PLE.firstrow))),0,IF(OFFSET(PLE!$G$14,$M58,AX$13)="",10^12,OFFSET(PLE!$G$14,$M58,AX$13))))</f>
        <v>1000000000000</v>
      </c>
      <c r="AY58" s="182">
        <f ca="1">IF($D58&lt;&gt;"Serviço",0,IF(OR(AND(AUTOEVENTO="Manual",$M58=1),$M58&gt;(ROW(PLE.lastrow)-ROW(PLE.firstrow))),0,IF(OFFSET(PLE!$G$14,$M58,AY$13)="",10^12,OFFSET(PLE!$G$14,$M58,AY$13))))</f>
        <v>1000000000000</v>
      </c>
      <c r="AZ58" s="182">
        <f ca="1">IF($D58&lt;&gt;"Serviço",0,IF(OR(AND(AUTOEVENTO="Manual",$M58=1),$M58&gt;(ROW(PLE.lastrow)-ROW(PLE.firstrow))),0,IF(OFFSET(PLE!$G$14,$M58,AZ$13)="",10^12,OFFSET(PLE!$G$14,$M58,AZ$13))))</f>
        <v>1000000000000</v>
      </c>
      <c r="BA58" s="182">
        <f ca="1">IF($D58&lt;&gt;"Serviço",0,IF(OR(AND(AUTOEVENTO="Manual",$M58=1),$M58&gt;(ROW(PLE.lastrow)-ROW(PLE.firstrow))),0,IF(OFFSET(PLE!$G$14,$M58,BA$13)="",10^12,OFFSET(PLE!$G$14,$M58,BA$13))))</f>
        <v>1000000000000</v>
      </c>
      <c r="BB58" s="182">
        <f ca="1">IF($D58&lt;&gt;"Serviço",0,IF(OR(AND(AUTOEVENTO="Manual",$M58=1),$M58&gt;(ROW(PLE.lastrow)-ROW(PLE.firstrow))),0,IF(OFFSET(PLE!$G$14,$M58,BB$13)="",10^12,OFFSET(PLE!$G$14,$M58,BB$13))))</f>
        <v>1000000000000</v>
      </c>
      <c r="BC58" s="182">
        <f ca="1">IF($D58&lt;&gt;"Serviço",0,IF(OR(AND(AUTOEVENTO="Manual",$M58=1),$M58&gt;(ROW(PLE.lastrow)-ROW(PLE.firstrow))),0,IF(OFFSET(PLE!$G$14,$M58,BC$13)="",10^12,OFFSET(PLE!$G$14,$M58,BC$13))))</f>
        <v>1000000000000</v>
      </c>
      <c r="BD58" s="182">
        <f ca="1">IF($D58&lt;&gt;"Serviço",0,IF(OR(AND(AUTOEVENTO="Manual",$M58=1),$M58&gt;(ROW(PLE.lastrow)-ROW(PLE.firstrow))),0,IF(OFFSET(PLE!$G$14,$M58,BD$13)="",10^12,OFFSET(PLE!$G$14,$M58,BD$13))))</f>
        <v>1000000000000</v>
      </c>
      <c r="BE58" s="182">
        <f ca="1">IF($D58&lt;&gt;"Serviço",0,IF(OR(AND(AUTOEVENTO="Manual",$M58=1),$M58&gt;(ROW(PLE.lastrow)-ROW(PLE.firstrow))),0,IF(OFFSET(PLE!$G$14,$M58,BE$13)="",10^12,OFFSET(PLE!$G$14,$M58,BE$13))))</f>
        <v>1000000000000</v>
      </c>
      <c r="BF58" s="182">
        <f ca="1">IF($D58&lt;&gt;"Serviço",0,IF(OR(AND(AUTOEVENTO="Manual",$M58=1),$M58&gt;(ROW(PLE.lastrow)-ROW(PLE.firstrow))),0,IF(OFFSET(PLE!$G$14,$M58,BF$13)="",10^12,OFFSET(PLE!$G$14,$M58,BF$13))))</f>
        <v>1000000000000</v>
      </c>
      <c r="BG58" s="182">
        <f ca="1">IF($D58&lt;&gt;"Serviço",0,IF(OR(AND(AUTOEVENTO="Manual",$M58=1),$M58&gt;(ROW(PLE.lastrow)-ROW(PLE.firstrow))),0,IF(OFFSET(PLE!$G$14,$M58,BG$13)="",10^12,OFFSET(PLE!$G$14,$M58,BG$13))))</f>
        <v>1000000000000</v>
      </c>
    </row>
    <row r="59" spans="1:59" ht="25.5" x14ac:dyDescent="0.2">
      <c r="A59" s="7" t="str">
        <f t="shared" ca="1" si="8"/>
        <v>26</v>
      </c>
      <c r="B59" s="7" t="str">
        <f ca="1">OFFSET(ORÇAMENTO!C$15,ROW(B59)-ROW(B$15),0)</f>
        <v>S</v>
      </c>
      <c r="C59" s="7" t="str">
        <f ca="1">OFFSET(ORÇAMENTO!L$15,ROW(C59)-ROW(C$15),0)</f>
        <v>F</v>
      </c>
      <c r="D59" s="118" t="str">
        <f ca="1">OFFSET(ORÇAMENTO!N$15,ROW(D59)-ROW(D$15),0)</f>
        <v>Serviço</v>
      </c>
      <c r="E59" s="119" t="str">
        <f ca="1">OFFSET(ORÇAMENTO!O$15,ROW(E59)-ROW(E$15),0)</f>
        <v>1.3.1.17.</v>
      </c>
      <c r="F59" s="172" t="str">
        <f ca="1">OFFSET(ORÇAMENTO!R$15,ROW(F59)-ROW(F$15),0)</f>
        <v>(abra o arquivo 'Referência 03-2024.xlsm)</v>
      </c>
      <c r="G59" s="173" t="str">
        <f ca="1">IF($D59&lt;&gt;"Serviço","",OFFSET(ORÇAMENTO!S$15,ROW(G59)-ROW(G$15),0))</f>
        <v>-</v>
      </c>
      <c r="H59" s="124">
        <f ca="1">IF($D59&lt;&gt;"Serviço",0,IF(ACOMPANHAMENTO="BM",ROUND(OFFSET(ORÇAMENTO!AJ$15,ROW(H59)-ROW(H$15),0),15-13*ORÇAMENTO!$AF$7),SUMPRODUCT(($Q$12:$AA$12&lt;&gt;"")*ROUND($Q59:$AA59,15-13*ORÇAMENTO!$AF$7))))</f>
        <v>1</v>
      </c>
      <c r="I59" s="561"/>
      <c r="K59" s="174"/>
      <c r="L59" s="175" t="s">
        <v>255</v>
      </c>
      <c r="M59" s="176">
        <f ca="1">IF($D59&lt;&gt;"Serviço","",IF(AUTOEVENTO="manual",$A59,IF(ISERROR(MATCH($A59,$A$15:OFFSET($A59,-1,0),0)),MAX($M$15:OFFSET(M59,-1,0))+1,INDEX($M$15:OFFSET(M59,-1,0),MATCH($A59,$A$15:OFFSET($A59,-1,0),0)))))</f>
        <v>4</v>
      </c>
      <c r="N59" s="177" t="str">
        <f ca="1">IF($D59&lt;&gt;"Serviço","",IF(AUTOEVENTO="Manual",IF($A59=0,"&lt;-- defina o número do agrupador",OFFSET(EVENTOS!$D$14,$A59,0)),OFFSET($F$15,$A59,0)))</f>
        <v>ENTRADA DE ENERGIA PADRÃO, MURETA E QGBT</v>
      </c>
      <c r="O59" s="178"/>
      <c r="Q59" s="178"/>
      <c r="R59" s="179"/>
      <c r="S59" s="179"/>
      <c r="T59" s="179"/>
      <c r="U59" s="179"/>
      <c r="V59" s="179"/>
      <c r="W59" s="179"/>
      <c r="X59" s="179"/>
      <c r="Y59" s="179"/>
      <c r="Z59" s="180"/>
      <c r="AB59" s="544">
        <f ca="1">IF(AND($D59="Serviço",AB$12&lt;&gt;0,$H59&gt;0,OR(AUTOEVENTO&lt;&gt;"manual",$M59&lt;&gt;1)),
IF(Import.TipoArredondamento&lt;&gt;"TransfereGOV",
ROUND(OFFSET($P59,0,AB$13),15-13*ORÇAMENTO!$AF$7)/$H59*OFFSET(ORÇAMENTO!$X$15,ROW(AB59)-ROW(AB$15),0),
ROUND(ROUND(OFFSET($P59,0,AB$13),15-13*ORÇAMENTO!$AF$7)*OFFSET(ORÇAMENTO!$W$15,ROW(AB59)-ROW(AB$15),0),15-13*ORÇAMENTO!$AF$11)),0)</f>
        <v>0</v>
      </c>
      <c r="AC59" s="545">
        <f ca="1">IF(AND($D59="Serviço",AC$12&lt;&gt;0,$H59&gt;0,OR(AUTOEVENTO&lt;&gt;"manual",$M59&lt;&gt;1)),
IF(Import.TipoArredondamento&lt;&gt;"TransfereGOV",
ROUND(OFFSET($P59,0,AC$13),15-13*ORÇAMENTO!$AF$7)/$H59*OFFSET(ORÇAMENTO!$X$15,ROW(AC59)-ROW(AC$15),0),
ROUND(ROUND(OFFSET($P59,0,AC$13),15-13*ORÇAMENTO!$AF$7)*OFFSET(ORÇAMENTO!$W$15,ROW(AC59)-ROW(AC$15),0),15-13*ORÇAMENTO!$AF$11)),0)</f>
        <v>0</v>
      </c>
      <c r="AD59" s="545">
        <f ca="1">IF(AND($D59="Serviço",AD$12&lt;&gt;0,$H59&gt;0,OR(AUTOEVENTO&lt;&gt;"manual",$M59&lt;&gt;1)),
IF(Import.TipoArredondamento&lt;&gt;"TransfereGOV",
ROUND(OFFSET($P59,0,AD$13),15-13*ORÇAMENTO!$AF$7)/$H59*OFFSET(ORÇAMENTO!$X$15,ROW(AD59)-ROW(AD$15),0),
ROUND(ROUND(OFFSET($P59,0,AD$13),15-13*ORÇAMENTO!$AF$7)*OFFSET(ORÇAMENTO!$W$15,ROW(AD59)-ROW(AD$15),0),15-13*ORÇAMENTO!$AF$11)),0)</f>
        <v>0</v>
      </c>
      <c r="AE59" s="545">
        <f ca="1">IF(AND($D59="Serviço",AE$12&lt;&gt;0,$H59&gt;0,OR(AUTOEVENTO&lt;&gt;"manual",$M59&lt;&gt;1)),
IF(Import.TipoArredondamento&lt;&gt;"TransfereGOV",
ROUND(OFFSET($P59,0,AE$13),15-13*ORÇAMENTO!$AF$7)/$H59*OFFSET(ORÇAMENTO!$X$15,ROW(AE59)-ROW(AE$15),0),
ROUND(ROUND(OFFSET($P59,0,AE$13),15-13*ORÇAMENTO!$AF$7)*OFFSET(ORÇAMENTO!$W$15,ROW(AE59)-ROW(AE$15),0),15-13*ORÇAMENTO!$AF$11)),0)</f>
        <v>0</v>
      </c>
      <c r="AF59" s="545">
        <f ca="1">IF(AND($D59="Serviço",AF$12&lt;&gt;0,$H59&gt;0,OR(AUTOEVENTO&lt;&gt;"manual",$M59&lt;&gt;1)),
IF(Import.TipoArredondamento&lt;&gt;"TransfereGOV",
ROUND(OFFSET($P59,0,AF$13),15-13*ORÇAMENTO!$AF$7)/$H59*OFFSET(ORÇAMENTO!$X$15,ROW(AF59)-ROW(AF$15),0),
ROUND(ROUND(OFFSET($P59,0,AF$13),15-13*ORÇAMENTO!$AF$7)*OFFSET(ORÇAMENTO!$W$15,ROW(AF59)-ROW(AF$15),0),15-13*ORÇAMENTO!$AF$11)),0)</f>
        <v>0</v>
      </c>
      <c r="AG59" s="545">
        <f ca="1">IF(AND($D59="Serviço",AG$12&lt;&gt;0,$H59&gt;0,OR(AUTOEVENTO&lt;&gt;"manual",$M59&lt;&gt;1)),
IF(Import.TipoArredondamento&lt;&gt;"TransfereGOV",
ROUND(OFFSET($P59,0,AG$13),15-13*ORÇAMENTO!$AF$7)/$H59*OFFSET(ORÇAMENTO!$X$15,ROW(AG59)-ROW(AG$15),0),
ROUND(ROUND(OFFSET($P59,0,AG$13),15-13*ORÇAMENTO!$AF$7)*OFFSET(ORÇAMENTO!$W$15,ROW(AG59)-ROW(AG$15),0),15-13*ORÇAMENTO!$AF$11)),0)</f>
        <v>0</v>
      </c>
      <c r="AH59" s="545">
        <f ca="1">IF(AND($D59="Serviço",AH$12&lt;&gt;0,$H59&gt;0,OR(AUTOEVENTO&lt;&gt;"manual",$M59&lt;&gt;1)),
IF(Import.TipoArredondamento&lt;&gt;"TransfereGOV",
ROUND(OFFSET($P59,0,AH$13),15-13*ORÇAMENTO!$AF$7)/$H59*OFFSET(ORÇAMENTO!$X$15,ROW(AH59)-ROW(AH$15),0),
ROUND(ROUND(OFFSET($P59,0,AH$13),15-13*ORÇAMENTO!$AF$7)*OFFSET(ORÇAMENTO!$W$15,ROW(AH59)-ROW(AH$15),0),15-13*ORÇAMENTO!$AF$11)),0)</f>
        <v>0</v>
      </c>
      <c r="AI59" s="545">
        <f ca="1">IF(AND($D59="Serviço",AI$12&lt;&gt;0,$H59&gt;0,OR(AUTOEVENTO&lt;&gt;"manual",$M59&lt;&gt;1)),
IF(Import.TipoArredondamento&lt;&gt;"TransfereGOV",
ROUND(OFFSET($P59,0,AI$13),15-13*ORÇAMENTO!$AF$7)/$H59*OFFSET(ORÇAMENTO!$X$15,ROW(AI59)-ROW(AI$15),0),
ROUND(ROUND(OFFSET($P59,0,AI$13),15-13*ORÇAMENTO!$AF$7)*OFFSET(ORÇAMENTO!$W$15,ROW(AI59)-ROW(AI$15),0),15-13*ORÇAMENTO!$AF$11)),0)</f>
        <v>0</v>
      </c>
      <c r="AJ59" s="545">
        <f ca="1">IF(AND($D59="Serviço",AJ$12&lt;&gt;0,$H59&gt;0,OR(AUTOEVENTO&lt;&gt;"manual",$M59&lt;&gt;1)),
IF(Import.TipoArredondamento&lt;&gt;"TransfereGOV",
ROUND(OFFSET($P59,0,AJ$13),15-13*ORÇAMENTO!$AF$7)/$H59*OFFSET(ORÇAMENTO!$X$15,ROW(AJ59)-ROW(AJ$15),0),
ROUND(ROUND(OFFSET($P59,0,AJ$13),15-13*ORÇAMENTO!$AF$7)*OFFSET(ORÇAMENTO!$W$15,ROW(AJ59)-ROW(AJ$15),0),15-13*ORÇAMENTO!$AF$11)),0)</f>
        <v>0</v>
      </c>
      <c r="AK59" s="546">
        <f ca="1">IF(AND($D59="Serviço",AK$12&lt;&gt;0,$H59&gt;0,OR(AUTOEVENTO&lt;&gt;"manual",$M59&lt;&gt;1)),
IF(Import.TipoArredondamento&lt;&gt;"TransfereGOV",
ROUND(OFFSET($P59,0,AK$13),15-13*ORÇAMENTO!$AF$7)/$H59*OFFSET(ORÇAMENTO!$X$15,ROW(AK59)-ROW(AK$15),0),
ROUND(ROUND(OFFSET($P59,0,AK$13),15-13*ORÇAMENTO!$AF$7)*OFFSET(ORÇAMENTO!$W$15,ROW(AK59)-ROW(AK$15),0),15-13*ORÇAMENTO!$AF$11)),0)</f>
        <v>0</v>
      </c>
      <c r="AM59" s="181">
        <f ca="1">IF($D59&lt;&gt;"Serviço",0,IF(AND(AUTOEVENTO="Manual",$M59=1),0,IF(OFFSET(CRONOPLE!$F$14,$M59,AM$13)="",10^12,OFFSET(CRONOPLE!$F$14,$M59,AM$13))))</f>
        <v>1000000000000</v>
      </c>
      <c r="AN59" s="181">
        <f ca="1">IF($D59&lt;&gt;"Serviço",0,IF(AND(AUTOEVENTO="Manual",$M59=1),0,IF(OFFSET(CRONOPLE!$F$14,$M59,AN$13)="",10^12,OFFSET(CRONOPLE!$F$14,$M59,AN$13))))</f>
        <v>1000000000000</v>
      </c>
      <c r="AO59" s="181">
        <f ca="1">IF($D59&lt;&gt;"Serviço",0,IF(AND(AUTOEVENTO="Manual",$M59=1),0,IF(OFFSET(CRONOPLE!$F$14,$M59,AO$13)="",10^12,OFFSET(CRONOPLE!$F$14,$M59,AO$13))))</f>
        <v>1000000000000</v>
      </c>
      <c r="AP59" s="181">
        <f ca="1">IF($D59&lt;&gt;"Serviço",0,IF(AND(AUTOEVENTO="Manual",$M59=1),0,IF(OFFSET(CRONOPLE!$F$14,$M59,AP$13)="",10^12,OFFSET(CRONOPLE!$F$14,$M59,AP$13))))</f>
        <v>1000000000000</v>
      </c>
      <c r="AQ59" s="181">
        <f ca="1">IF($D59&lt;&gt;"Serviço",0,IF(AND(AUTOEVENTO="Manual",$M59=1),0,IF(OFFSET(CRONOPLE!$F$14,$M59,AQ$13)="",10^12,OFFSET(CRONOPLE!$F$14,$M59,AQ$13))))</f>
        <v>1000000000000</v>
      </c>
      <c r="AR59" s="181">
        <f ca="1">IF($D59&lt;&gt;"Serviço",0,IF(AND(AUTOEVENTO="Manual",$M59=1),0,IF(OFFSET(CRONOPLE!$F$14,$M59,AR$13)="",10^12,OFFSET(CRONOPLE!$F$14,$M59,AR$13))))</f>
        <v>1000000000000</v>
      </c>
      <c r="AS59" s="181">
        <f ca="1">IF($D59&lt;&gt;"Serviço",0,IF(AND(AUTOEVENTO="Manual",$M59=1),0,IF(OFFSET(CRONOPLE!$F$14,$M59,AS$13)="",10^12,OFFSET(CRONOPLE!$F$14,$M59,AS$13))))</f>
        <v>1000000000000</v>
      </c>
      <c r="AT59" s="181">
        <f ca="1">IF($D59&lt;&gt;"Serviço",0,IF(AND(AUTOEVENTO="Manual",$M59=1),0,IF(OFFSET(CRONOPLE!$F$14,$M59,AT$13)="",10^12,OFFSET(CRONOPLE!$F$14,$M59,AT$13))))</f>
        <v>1000000000000</v>
      </c>
      <c r="AU59" s="181">
        <f ca="1">IF($D59&lt;&gt;"Serviço",0,IF(AND(AUTOEVENTO="Manual",$M59=1),0,IF(OFFSET(CRONOPLE!$F$14,$M59,AU$13)="",10^12,OFFSET(CRONOPLE!$F$14,$M59,AU$13))))</f>
        <v>1000000000000</v>
      </c>
      <c r="AV59" s="181">
        <f ca="1">IF($D59&lt;&gt;"Serviço",0,IF(AND(AUTOEVENTO="Manual",$M59=1),0,IF(OFFSET(CRONOPLE!$F$14,$M59,AV$13)="",10^12,OFFSET(CRONOPLE!$F$14,$M59,AV$13))))</f>
        <v>1000000000000</v>
      </c>
      <c r="AX59" s="182">
        <f ca="1">IF($D59&lt;&gt;"Serviço",0,IF(OR(AND(AUTOEVENTO="Manual",$M59=1),$M59&gt;(ROW(PLE.lastrow)-ROW(PLE.firstrow))),0,IF(OFFSET(PLE!$G$14,$M59,AX$13)="",10^12,OFFSET(PLE!$G$14,$M59,AX$13))))</f>
        <v>1000000000000</v>
      </c>
      <c r="AY59" s="182">
        <f ca="1">IF($D59&lt;&gt;"Serviço",0,IF(OR(AND(AUTOEVENTO="Manual",$M59=1),$M59&gt;(ROW(PLE.lastrow)-ROW(PLE.firstrow))),0,IF(OFFSET(PLE!$G$14,$M59,AY$13)="",10^12,OFFSET(PLE!$G$14,$M59,AY$13))))</f>
        <v>1000000000000</v>
      </c>
      <c r="AZ59" s="182">
        <f ca="1">IF($D59&lt;&gt;"Serviço",0,IF(OR(AND(AUTOEVENTO="Manual",$M59=1),$M59&gt;(ROW(PLE.lastrow)-ROW(PLE.firstrow))),0,IF(OFFSET(PLE!$G$14,$M59,AZ$13)="",10^12,OFFSET(PLE!$G$14,$M59,AZ$13))))</f>
        <v>1000000000000</v>
      </c>
      <c r="BA59" s="182">
        <f ca="1">IF($D59&lt;&gt;"Serviço",0,IF(OR(AND(AUTOEVENTO="Manual",$M59=1),$M59&gt;(ROW(PLE.lastrow)-ROW(PLE.firstrow))),0,IF(OFFSET(PLE!$G$14,$M59,BA$13)="",10^12,OFFSET(PLE!$G$14,$M59,BA$13))))</f>
        <v>1000000000000</v>
      </c>
      <c r="BB59" s="182">
        <f ca="1">IF($D59&lt;&gt;"Serviço",0,IF(OR(AND(AUTOEVENTO="Manual",$M59=1),$M59&gt;(ROW(PLE.lastrow)-ROW(PLE.firstrow))),0,IF(OFFSET(PLE!$G$14,$M59,BB$13)="",10^12,OFFSET(PLE!$G$14,$M59,BB$13))))</f>
        <v>1000000000000</v>
      </c>
      <c r="BC59" s="182">
        <f ca="1">IF($D59&lt;&gt;"Serviço",0,IF(OR(AND(AUTOEVENTO="Manual",$M59=1),$M59&gt;(ROW(PLE.lastrow)-ROW(PLE.firstrow))),0,IF(OFFSET(PLE!$G$14,$M59,BC$13)="",10^12,OFFSET(PLE!$G$14,$M59,BC$13))))</f>
        <v>1000000000000</v>
      </c>
      <c r="BD59" s="182">
        <f ca="1">IF($D59&lt;&gt;"Serviço",0,IF(OR(AND(AUTOEVENTO="Manual",$M59=1),$M59&gt;(ROW(PLE.lastrow)-ROW(PLE.firstrow))),0,IF(OFFSET(PLE!$G$14,$M59,BD$13)="",10^12,OFFSET(PLE!$G$14,$M59,BD$13))))</f>
        <v>1000000000000</v>
      </c>
      <c r="BE59" s="182">
        <f ca="1">IF($D59&lt;&gt;"Serviço",0,IF(OR(AND(AUTOEVENTO="Manual",$M59=1),$M59&gt;(ROW(PLE.lastrow)-ROW(PLE.firstrow))),0,IF(OFFSET(PLE!$G$14,$M59,BE$13)="",10^12,OFFSET(PLE!$G$14,$M59,BE$13))))</f>
        <v>1000000000000</v>
      </c>
      <c r="BF59" s="182">
        <f ca="1">IF($D59&lt;&gt;"Serviço",0,IF(OR(AND(AUTOEVENTO="Manual",$M59=1),$M59&gt;(ROW(PLE.lastrow)-ROW(PLE.firstrow))),0,IF(OFFSET(PLE!$G$14,$M59,BF$13)="",10^12,OFFSET(PLE!$G$14,$M59,BF$13))))</f>
        <v>1000000000000</v>
      </c>
      <c r="BG59" s="182">
        <f ca="1">IF($D59&lt;&gt;"Serviço",0,IF(OR(AND(AUTOEVENTO="Manual",$M59=1),$M59&gt;(ROW(PLE.lastrow)-ROW(PLE.firstrow))),0,IF(OFFSET(PLE!$G$14,$M59,BG$13)="",10^12,OFFSET(PLE!$G$14,$M59,BG$13))))</f>
        <v>1000000000000</v>
      </c>
    </row>
    <row r="60" spans="1:59" ht="25.5" x14ac:dyDescent="0.2">
      <c r="A60" s="7" t="str">
        <f t="shared" ca="1" si="8"/>
        <v>26</v>
      </c>
      <c r="B60" s="7" t="str">
        <f ca="1">OFFSET(ORÇAMENTO!C$15,ROW(B60)-ROW(B$15),0)</f>
        <v>S</v>
      </c>
      <c r="C60" s="7" t="str">
        <f ca="1">OFFSET(ORÇAMENTO!L$15,ROW(C60)-ROW(C$15),0)</f>
        <v>F</v>
      </c>
      <c r="D60" s="118" t="str">
        <f ca="1">OFFSET(ORÇAMENTO!N$15,ROW(D60)-ROW(D$15),0)</f>
        <v>Serviço</v>
      </c>
      <c r="E60" s="119" t="str">
        <f ca="1">OFFSET(ORÇAMENTO!O$15,ROW(E60)-ROW(E$15),0)</f>
        <v>1.3.1.18.</v>
      </c>
      <c r="F60" s="172" t="str">
        <f ca="1">OFFSET(ORÇAMENTO!R$15,ROW(F60)-ROW(F$15),0)</f>
        <v>(abra o arquivo 'Referência 03-2024.xlsm)</v>
      </c>
      <c r="G60" s="173" t="str">
        <f ca="1">IF($D60&lt;&gt;"Serviço","",OFFSET(ORÇAMENTO!S$15,ROW(G60)-ROW(G$15),0))</f>
        <v>-</v>
      </c>
      <c r="H60" s="124">
        <f ca="1">IF($D60&lt;&gt;"Serviço",0,IF(ACOMPANHAMENTO="BM",ROUND(OFFSET(ORÇAMENTO!AJ$15,ROW(H60)-ROW(H$15),0),15-13*ORÇAMENTO!$AF$7),SUMPRODUCT(($Q$12:$AA$12&lt;&gt;"")*ROUND($Q60:$AA60,15-13*ORÇAMENTO!$AF$7))))</f>
        <v>1</v>
      </c>
      <c r="I60" s="561"/>
      <c r="K60" s="174"/>
      <c r="L60" s="175" t="s">
        <v>255</v>
      </c>
      <c r="M60" s="176">
        <f ca="1">IF($D60&lt;&gt;"Serviço","",IF(AUTOEVENTO="manual",$A60,IF(ISERROR(MATCH($A60,$A$15:OFFSET($A60,-1,0),0)),MAX($M$15:OFFSET(M60,-1,0))+1,INDEX($M$15:OFFSET(M60,-1,0),MATCH($A60,$A$15:OFFSET($A60,-1,0),0)))))</f>
        <v>4</v>
      </c>
      <c r="N60" s="177" t="str">
        <f ca="1">IF($D60&lt;&gt;"Serviço","",IF(AUTOEVENTO="Manual",IF($A60=0,"&lt;-- defina o número do agrupador",OFFSET(EVENTOS!$D$14,$A60,0)),OFFSET($F$15,$A60,0)))</f>
        <v>ENTRADA DE ENERGIA PADRÃO, MURETA E QGBT</v>
      </c>
      <c r="O60" s="178"/>
      <c r="Q60" s="178"/>
      <c r="R60" s="179"/>
      <c r="S60" s="179"/>
      <c r="T60" s="179"/>
      <c r="U60" s="179"/>
      <c r="V60" s="179"/>
      <c r="W60" s="179"/>
      <c r="X60" s="179"/>
      <c r="Y60" s="179"/>
      <c r="Z60" s="180"/>
      <c r="AB60" s="544">
        <f ca="1">IF(AND($D60="Serviço",AB$12&lt;&gt;0,$H60&gt;0,OR(AUTOEVENTO&lt;&gt;"manual",$M60&lt;&gt;1)),
IF(Import.TipoArredondamento&lt;&gt;"TransfereGOV",
ROUND(OFFSET($P60,0,AB$13),15-13*ORÇAMENTO!$AF$7)/$H60*OFFSET(ORÇAMENTO!$X$15,ROW(AB60)-ROW(AB$15),0),
ROUND(ROUND(OFFSET($P60,0,AB$13),15-13*ORÇAMENTO!$AF$7)*OFFSET(ORÇAMENTO!$W$15,ROW(AB60)-ROW(AB$15),0),15-13*ORÇAMENTO!$AF$11)),0)</f>
        <v>0</v>
      </c>
      <c r="AC60" s="545">
        <f ca="1">IF(AND($D60="Serviço",AC$12&lt;&gt;0,$H60&gt;0,OR(AUTOEVENTO&lt;&gt;"manual",$M60&lt;&gt;1)),
IF(Import.TipoArredondamento&lt;&gt;"TransfereGOV",
ROUND(OFFSET($P60,0,AC$13),15-13*ORÇAMENTO!$AF$7)/$H60*OFFSET(ORÇAMENTO!$X$15,ROW(AC60)-ROW(AC$15),0),
ROUND(ROUND(OFFSET($P60,0,AC$13),15-13*ORÇAMENTO!$AF$7)*OFFSET(ORÇAMENTO!$W$15,ROW(AC60)-ROW(AC$15),0),15-13*ORÇAMENTO!$AF$11)),0)</f>
        <v>0</v>
      </c>
      <c r="AD60" s="545">
        <f ca="1">IF(AND($D60="Serviço",AD$12&lt;&gt;0,$H60&gt;0,OR(AUTOEVENTO&lt;&gt;"manual",$M60&lt;&gt;1)),
IF(Import.TipoArredondamento&lt;&gt;"TransfereGOV",
ROUND(OFFSET($P60,0,AD$13),15-13*ORÇAMENTO!$AF$7)/$H60*OFFSET(ORÇAMENTO!$X$15,ROW(AD60)-ROW(AD$15),0),
ROUND(ROUND(OFFSET($P60,0,AD$13),15-13*ORÇAMENTO!$AF$7)*OFFSET(ORÇAMENTO!$W$15,ROW(AD60)-ROW(AD$15),0),15-13*ORÇAMENTO!$AF$11)),0)</f>
        <v>0</v>
      </c>
      <c r="AE60" s="545">
        <f ca="1">IF(AND($D60="Serviço",AE$12&lt;&gt;0,$H60&gt;0,OR(AUTOEVENTO&lt;&gt;"manual",$M60&lt;&gt;1)),
IF(Import.TipoArredondamento&lt;&gt;"TransfereGOV",
ROUND(OFFSET($P60,0,AE$13),15-13*ORÇAMENTO!$AF$7)/$H60*OFFSET(ORÇAMENTO!$X$15,ROW(AE60)-ROW(AE$15),0),
ROUND(ROUND(OFFSET($P60,0,AE$13),15-13*ORÇAMENTO!$AF$7)*OFFSET(ORÇAMENTO!$W$15,ROW(AE60)-ROW(AE$15),0),15-13*ORÇAMENTO!$AF$11)),0)</f>
        <v>0</v>
      </c>
      <c r="AF60" s="545">
        <f ca="1">IF(AND($D60="Serviço",AF$12&lt;&gt;0,$H60&gt;0,OR(AUTOEVENTO&lt;&gt;"manual",$M60&lt;&gt;1)),
IF(Import.TipoArredondamento&lt;&gt;"TransfereGOV",
ROUND(OFFSET($P60,0,AF$13),15-13*ORÇAMENTO!$AF$7)/$H60*OFFSET(ORÇAMENTO!$X$15,ROW(AF60)-ROW(AF$15),0),
ROUND(ROUND(OFFSET($P60,0,AF$13),15-13*ORÇAMENTO!$AF$7)*OFFSET(ORÇAMENTO!$W$15,ROW(AF60)-ROW(AF$15),0),15-13*ORÇAMENTO!$AF$11)),0)</f>
        <v>0</v>
      </c>
      <c r="AG60" s="545">
        <f ca="1">IF(AND($D60="Serviço",AG$12&lt;&gt;0,$H60&gt;0,OR(AUTOEVENTO&lt;&gt;"manual",$M60&lt;&gt;1)),
IF(Import.TipoArredondamento&lt;&gt;"TransfereGOV",
ROUND(OFFSET($P60,0,AG$13),15-13*ORÇAMENTO!$AF$7)/$H60*OFFSET(ORÇAMENTO!$X$15,ROW(AG60)-ROW(AG$15),0),
ROUND(ROUND(OFFSET($P60,0,AG$13),15-13*ORÇAMENTO!$AF$7)*OFFSET(ORÇAMENTO!$W$15,ROW(AG60)-ROW(AG$15),0),15-13*ORÇAMENTO!$AF$11)),0)</f>
        <v>0</v>
      </c>
      <c r="AH60" s="545">
        <f ca="1">IF(AND($D60="Serviço",AH$12&lt;&gt;0,$H60&gt;0,OR(AUTOEVENTO&lt;&gt;"manual",$M60&lt;&gt;1)),
IF(Import.TipoArredondamento&lt;&gt;"TransfereGOV",
ROUND(OFFSET($P60,0,AH$13),15-13*ORÇAMENTO!$AF$7)/$H60*OFFSET(ORÇAMENTO!$X$15,ROW(AH60)-ROW(AH$15),0),
ROUND(ROUND(OFFSET($P60,0,AH$13),15-13*ORÇAMENTO!$AF$7)*OFFSET(ORÇAMENTO!$W$15,ROW(AH60)-ROW(AH$15),0),15-13*ORÇAMENTO!$AF$11)),0)</f>
        <v>0</v>
      </c>
      <c r="AI60" s="545">
        <f ca="1">IF(AND($D60="Serviço",AI$12&lt;&gt;0,$H60&gt;0,OR(AUTOEVENTO&lt;&gt;"manual",$M60&lt;&gt;1)),
IF(Import.TipoArredondamento&lt;&gt;"TransfereGOV",
ROUND(OFFSET($P60,0,AI$13),15-13*ORÇAMENTO!$AF$7)/$H60*OFFSET(ORÇAMENTO!$X$15,ROW(AI60)-ROW(AI$15),0),
ROUND(ROUND(OFFSET($P60,0,AI$13),15-13*ORÇAMENTO!$AF$7)*OFFSET(ORÇAMENTO!$W$15,ROW(AI60)-ROW(AI$15),0),15-13*ORÇAMENTO!$AF$11)),0)</f>
        <v>0</v>
      </c>
      <c r="AJ60" s="545">
        <f ca="1">IF(AND($D60="Serviço",AJ$12&lt;&gt;0,$H60&gt;0,OR(AUTOEVENTO&lt;&gt;"manual",$M60&lt;&gt;1)),
IF(Import.TipoArredondamento&lt;&gt;"TransfereGOV",
ROUND(OFFSET($P60,0,AJ$13),15-13*ORÇAMENTO!$AF$7)/$H60*OFFSET(ORÇAMENTO!$X$15,ROW(AJ60)-ROW(AJ$15),0),
ROUND(ROUND(OFFSET($P60,0,AJ$13),15-13*ORÇAMENTO!$AF$7)*OFFSET(ORÇAMENTO!$W$15,ROW(AJ60)-ROW(AJ$15),0),15-13*ORÇAMENTO!$AF$11)),0)</f>
        <v>0</v>
      </c>
      <c r="AK60" s="546">
        <f ca="1">IF(AND($D60="Serviço",AK$12&lt;&gt;0,$H60&gt;0,OR(AUTOEVENTO&lt;&gt;"manual",$M60&lt;&gt;1)),
IF(Import.TipoArredondamento&lt;&gt;"TransfereGOV",
ROUND(OFFSET($P60,0,AK$13),15-13*ORÇAMENTO!$AF$7)/$H60*OFFSET(ORÇAMENTO!$X$15,ROW(AK60)-ROW(AK$15),0),
ROUND(ROUND(OFFSET($P60,0,AK$13),15-13*ORÇAMENTO!$AF$7)*OFFSET(ORÇAMENTO!$W$15,ROW(AK60)-ROW(AK$15),0),15-13*ORÇAMENTO!$AF$11)),0)</f>
        <v>0</v>
      </c>
      <c r="AM60" s="181">
        <f ca="1">IF($D60&lt;&gt;"Serviço",0,IF(AND(AUTOEVENTO="Manual",$M60=1),0,IF(OFFSET(CRONOPLE!$F$14,$M60,AM$13)="",10^12,OFFSET(CRONOPLE!$F$14,$M60,AM$13))))</f>
        <v>1000000000000</v>
      </c>
      <c r="AN60" s="181">
        <f ca="1">IF($D60&lt;&gt;"Serviço",0,IF(AND(AUTOEVENTO="Manual",$M60=1),0,IF(OFFSET(CRONOPLE!$F$14,$M60,AN$13)="",10^12,OFFSET(CRONOPLE!$F$14,$M60,AN$13))))</f>
        <v>1000000000000</v>
      </c>
      <c r="AO60" s="181">
        <f ca="1">IF($D60&lt;&gt;"Serviço",0,IF(AND(AUTOEVENTO="Manual",$M60=1),0,IF(OFFSET(CRONOPLE!$F$14,$M60,AO$13)="",10^12,OFFSET(CRONOPLE!$F$14,$M60,AO$13))))</f>
        <v>1000000000000</v>
      </c>
      <c r="AP60" s="181">
        <f ca="1">IF($D60&lt;&gt;"Serviço",0,IF(AND(AUTOEVENTO="Manual",$M60=1),0,IF(OFFSET(CRONOPLE!$F$14,$M60,AP$13)="",10^12,OFFSET(CRONOPLE!$F$14,$M60,AP$13))))</f>
        <v>1000000000000</v>
      </c>
      <c r="AQ60" s="181">
        <f ca="1">IF($D60&lt;&gt;"Serviço",0,IF(AND(AUTOEVENTO="Manual",$M60=1),0,IF(OFFSET(CRONOPLE!$F$14,$M60,AQ$13)="",10^12,OFFSET(CRONOPLE!$F$14,$M60,AQ$13))))</f>
        <v>1000000000000</v>
      </c>
      <c r="AR60" s="181">
        <f ca="1">IF($D60&lt;&gt;"Serviço",0,IF(AND(AUTOEVENTO="Manual",$M60=1),0,IF(OFFSET(CRONOPLE!$F$14,$M60,AR$13)="",10^12,OFFSET(CRONOPLE!$F$14,$M60,AR$13))))</f>
        <v>1000000000000</v>
      </c>
      <c r="AS60" s="181">
        <f ca="1">IF($D60&lt;&gt;"Serviço",0,IF(AND(AUTOEVENTO="Manual",$M60=1),0,IF(OFFSET(CRONOPLE!$F$14,$M60,AS$13)="",10^12,OFFSET(CRONOPLE!$F$14,$M60,AS$13))))</f>
        <v>1000000000000</v>
      </c>
      <c r="AT60" s="181">
        <f ca="1">IF($D60&lt;&gt;"Serviço",0,IF(AND(AUTOEVENTO="Manual",$M60=1),0,IF(OFFSET(CRONOPLE!$F$14,$M60,AT$13)="",10^12,OFFSET(CRONOPLE!$F$14,$M60,AT$13))))</f>
        <v>1000000000000</v>
      </c>
      <c r="AU60" s="181">
        <f ca="1">IF($D60&lt;&gt;"Serviço",0,IF(AND(AUTOEVENTO="Manual",$M60=1),0,IF(OFFSET(CRONOPLE!$F$14,$M60,AU$13)="",10^12,OFFSET(CRONOPLE!$F$14,$M60,AU$13))))</f>
        <v>1000000000000</v>
      </c>
      <c r="AV60" s="181">
        <f ca="1">IF($D60&lt;&gt;"Serviço",0,IF(AND(AUTOEVENTO="Manual",$M60=1),0,IF(OFFSET(CRONOPLE!$F$14,$M60,AV$13)="",10^12,OFFSET(CRONOPLE!$F$14,$M60,AV$13))))</f>
        <v>1000000000000</v>
      </c>
      <c r="AX60" s="182">
        <f ca="1">IF($D60&lt;&gt;"Serviço",0,IF(OR(AND(AUTOEVENTO="Manual",$M60=1),$M60&gt;(ROW(PLE.lastrow)-ROW(PLE.firstrow))),0,IF(OFFSET(PLE!$G$14,$M60,AX$13)="",10^12,OFFSET(PLE!$G$14,$M60,AX$13))))</f>
        <v>1000000000000</v>
      </c>
      <c r="AY60" s="182">
        <f ca="1">IF($D60&lt;&gt;"Serviço",0,IF(OR(AND(AUTOEVENTO="Manual",$M60=1),$M60&gt;(ROW(PLE.lastrow)-ROW(PLE.firstrow))),0,IF(OFFSET(PLE!$G$14,$M60,AY$13)="",10^12,OFFSET(PLE!$G$14,$M60,AY$13))))</f>
        <v>1000000000000</v>
      </c>
      <c r="AZ60" s="182">
        <f ca="1">IF($D60&lt;&gt;"Serviço",0,IF(OR(AND(AUTOEVENTO="Manual",$M60=1),$M60&gt;(ROW(PLE.lastrow)-ROW(PLE.firstrow))),0,IF(OFFSET(PLE!$G$14,$M60,AZ$13)="",10^12,OFFSET(PLE!$G$14,$M60,AZ$13))))</f>
        <v>1000000000000</v>
      </c>
      <c r="BA60" s="182">
        <f ca="1">IF($D60&lt;&gt;"Serviço",0,IF(OR(AND(AUTOEVENTO="Manual",$M60=1),$M60&gt;(ROW(PLE.lastrow)-ROW(PLE.firstrow))),0,IF(OFFSET(PLE!$G$14,$M60,BA$13)="",10^12,OFFSET(PLE!$G$14,$M60,BA$13))))</f>
        <v>1000000000000</v>
      </c>
      <c r="BB60" s="182">
        <f ca="1">IF($D60&lt;&gt;"Serviço",0,IF(OR(AND(AUTOEVENTO="Manual",$M60=1),$M60&gt;(ROW(PLE.lastrow)-ROW(PLE.firstrow))),0,IF(OFFSET(PLE!$G$14,$M60,BB$13)="",10^12,OFFSET(PLE!$G$14,$M60,BB$13))))</f>
        <v>1000000000000</v>
      </c>
      <c r="BC60" s="182">
        <f ca="1">IF($D60&lt;&gt;"Serviço",0,IF(OR(AND(AUTOEVENTO="Manual",$M60=1),$M60&gt;(ROW(PLE.lastrow)-ROW(PLE.firstrow))),0,IF(OFFSET(PLE!$G$14,$M60,BC$13)="",10^12,OFFSET(PLE!$G$14,$M60,BC$13))))</f>
        <v>1000000000000</v>
      </c>
      <c r="BD60" s="182">
        <f ca="1">IF($D60&lt;&gt;"Serviço",0,IF(OR(AND(AUTOEVENTO="Manual",$M60=1),$M60&gt;(ROW(PLE.lastrow)-ROW(PLE.firstrow))),0,IF(OFFSET(PLE!$G$14,$M60,BD$13)="",10^12,OFFSET(PLE!$G$14,$M60,BD$13))))</f>
        <v>1000000000000</v>
      </c>
      <c r="BE60" s="182">
        <f ca="1">IF($D60&lt;&gt;"Serviço",0,IF(OR(AND(AUTOEVENTO="Manual",$M60=1),$M60&gt;(ROW(PLE.lastrow)-ROW(PLE.firstrow))),0,IF(OFFSET(PLE!$G$14,$M60,BE$13)="",10^12,OFFSET(PLE!$G$14,$M60,BE$13))))</f>
        <v>1000000000000</v>
      </c>
      <c r="BF60" s="182">
        <f ca="1">IF($D60&lt;&gt;"Serviço",0,IF(OR(AND(AUTOEVENTO="Manual",$M60=1),$M60&gt;(ROW(PLE.lastrow)-ROW(PLE.firstrow))),0,IF(OFFSET(PLE!$G$14,$M60,BF$13)="",10^12,OFFSET(PLE!$G$14,$M60,BF$13))))</f>
        <v>1000000000000</v>
      </c>
      <c r="BG60" s="182">
        <f ca="1">IF($D60&lt;&gt;"Serviço",0,IF(OR(AND(AUTOEVENTO="Manual",$M60=1),$M60&gt;(ROW(PLE.lastrow)-ROW(PLE.firstrow))),0,IF(OFFSET(PLE!$G$14,$M60,BG$13)="",10^12,OFFSET(PLE!$G$14,$M60,BG$13))))</f>
        <v>1000000000000</v>
      </c>
    </row>
    <row r="61" spans="1:59" ht="25.5" x14ac:dyDescent="0.2">
      <c r="A61" s="7" t="str">
        <f ca="1">IF(AUTOEVENTO="Manual",IF(K61&lt;&gt;"",MIN(VALUE(LEFT(K61,FIND(".",K61)-1)),COUNTA(EVENTOS.Lista)),0),IF(OR($B61&gt;AUTOEVENTO,$B61="S",$B61=0),SUBSTITUTE(OFFSET($A61,-1,0),IF($D61="Serviço",".",""),""),ROW(A61)-ROW($A$15)&amp;"."))</f>
        <v>26</v>
      </c>
      <c r="B61" s="7" t="str">
        <f ca="1">OFFSET(ORÇAMENTO!C$15,ROW(B61)-ROW(B$15),0)</f>
        <v>S</v>
      </c>
      <c r="C61" s="7" t="str">
        <f ca="1">OFFSET(ORÇAMENTO!L$15,ROW(C61)-ROW(C$15),0)</f>
        <v>F</v>
      </c>
      <c r="D61" s="118" t="str">
        <f ca="1">OFFSET(ORÇAMENTO!N$15,ROW(D61)-ROW(D$15),0)</f>
        <v>Serviço</v>
      </c>
      <c r="E61" s="119" t="str">
        <f ca="1">OFFSET(ORÇAMENTO!O$15,ROW(E61)-ROW(E$15),0)</f>
        <v>1.3.1.19.</v>
      </c>
      <c r="F61" s="172" t="str">
        <f ca="1">OFFSET(ORÇAMENTO!R$15,ROW(F61)-ROW(F$15),0)</f>
        <v>(abra o arquivo 'Referência 03-2024.xlsm)</v>
      </c>
      <c r="G61" s="173" t="str">
        <f ca="1">IF($D61&lt;&gt;"Serviço","",OFFSET(ORÇAMENTO!S$15,ROW(G61)-ROW(G$15),0))</f>
        <v>-</v>
      </c>
      <c r="H61" s="124">
        <f ca="1">IF($D61&lt;&gt;"Serviço",0,IF(ACOMPANHAMENTO="BM",ROUND(OFFSET(ORÇAMENTO!AJ$15,ROW(H61)-ROW(H$15),0),15-13*ORÇAMENTO!$AF$7),SUMPRODUCT(($Q$12:$AA$12&lt;&gt;"")*ROUND($Q61:$AA61,15-13*ORÇAMENTO!$AF$7))))</f>
        <v>2</v>
      </c>
      <c r="I61" s="561"/>
      <c r="K61" s="174"/>
      <c r="L61" s="175" t="s">
        <v>255</v>
      </c>
      <c r="M61" s="176">
        <f ca="1">IF($D61&lt;&gt;"Serviço","",IF(AUTOEVENTO="manual",$A61,IF(ISERROR(MATCH($A61,$A$15:OFFSET($A61,-1,0),0)),MAX($M$15:OFFSET(M61,-1,0))+1,INDEX($M$15:OFFSET(M61,-1,0),MATCH($A61,$A$15:OFFSET($A61,-1,0),0)))))</f>
        <v>4</v>
      </c>
      <c r="N61" s="177" t="str">
        <f ca="1">IF($D61&lt;&gt;"Serviço","",IF(AUTOEVENTO="Manual",IF($A61=0,"&lt;-- defina o número do agrupador",OFFSET(EVENTOS!$D$14,$A61,0)),OFFSET($F$15,$A61,0)))</f>
        <v>ENTRADA DE ENERGIA PADRÃO, MURETA E QGBT</v>
      </c>
      <c r="O61" s="178"/>
      <c r="Q61" s="178"/>
      <c r="R61" s="179"/>
      <c r="S61" s="179"/>
      <c r="T61" s="179"/>
      <c r="U61" s="179"/>
      <c r="V61" s="179"/>
      <c r="W61" s="179"/>
      <c r="X61" s="179"/>
      <c r="Y61" s="179"/>
      <c r="Z61" s="180"/>
      <c r="AB61" s="544">
        <f ca="1">IF(AND($D61="Serviço",AB$12&lt;&gt;0,$H61&gt;0,OR(AUTOEVENTO&lt;&gt;"manual",$M61&lt;&gt;1)),
IF(Import.TipoArredondamento&lt;&gt;"TransfereGOV",
ROUND(OFFSET($P61,0,AB$13),15-13*ORÇAMENTO!$AF$7)/$H61*OFFSET(ORÇAMENTO!$X$15,ROW(AB61)-ROW(AB$15),0),
ROUND(ROUND(OFFSET($P61,0,AB$13),15-13*ORÇAMENTO!$AF$7)*OFFSET(ORÇAMENTO!$W$15,ROW(AB61)-ROW(AB$15),0),15-13*ORÇAMENTO!$AF$11)),0)</f>
        <v>0</v>
      </c>
      <c r="AC61" s="545">
        <f ca="1">IF(AND($D61="Serviço",AC$12&lt;&gt;0,$H61&gt;0,OR(AUTOEVENTO&lt;&gt;"manual",$M61&lt;&gt;1)),
IF(Import.TipoArredondamento&lt;&gt;"TransfereGOV",
ROUND(OFFSET($P61,0,AC$13),15-13*ORÇAMENTO!$AF$7)/$H61*OFFSET(ORÇAMENTO!$X$15,ROW(AC61)-ROW(AC$15),0),
ROUND(ROUND(OFFSET($P61,0,AC$13),15-13*ORÇAMENTO!$AF$7)*OFFSET(ORÇAMENTO!$W$15,ROW(AC61)-ROW(AC$15),0),15-13*ORÇAMENTO!$AF$11)),0)</f>
        <v>0</v>
      </c>
      <c r="AD61" s="545">
        <f ca="1">IF(AND($D61="Serviço",AD$12&lt;&gt;0,$H61&gt;0,OR(AUTOEVENTO&lt;&gt;"manual",$M61&lt;&gt;1)),
IF(Import.TipoArredondamento&lt;&gt;"TransfereGOV",
ROUND(OFFSET($P61,0,AD$13),15-13*ORÇAMENTO!$AF$7)/$H61*OFFSET(ORÇAMENTO!$X$15,ROW(AD61)-ROW(AD$15),0),
ROUND(ROUND(OFFSET($P61,0,AD$13),15-13*ORÇAMENTO!$AF$7)*OFFSET(ORÇAMENTO!$W$15,ROW(AD61)-ROW(AD$15),0),15-13*ORÇAMENTO!$AF$11)),0)</f>
        <v>0</v>
      </c>
      <c r="AE61" s="545">
        <f ca="1">IF(AND($D61="Serviço",AE$12&lt;&gt;0,$H61&gt;0,OR(AUTOEVENTO&lt;&gt;"manual",$M61&lt;&gt;1)),
IF(Import.TipoArredondamento&lt;&gt;"TransfereGOV",
ROUND(OFFSET($P61,0,AE$13),15-13*ORÇAMENTO!$AF$7)/$H61*OFFSET(ORÇAMENTO!$X$15,ROW(AE61)-ROW(AE$15),0),
ROUND(ROUND(OFFSET($P61,0,AE$13),15-13*ORÇAMENTO!$AF$7)*OFFSET(ORÇAMENTO!$W$15,ROW(AE61)-ROW(AE$15),0),15-13*ORÇAMENTO!$AF$11)),0)</f>
        <v>0</v>
      </c>
      <c r="AF61" s="545">
        <f ca="1">IF(AND($D61="Serviço",AF$12&lt;&gt;0,$H61&gt;0,OR(AUTOEVENTO&lt;&gt;"manual",$M61&lt;&gt;1)),
IF(Import.TipoArredondamento&lt;&gt;"TransfereGOV",
ROUND(OFFSET($P61,0,AF$13),15-13*ORÇAMENTO!$AF$7)/$H61*OFFSET(ORÇAMENTO!$X$15,ROW(AF61)-ROW(AF$15),0),
ROUND(ROUND(OFFSET($P61,0,AF$13),15-13*ORÇAMENTO!$AF$7)*OFFSET(ORÇAMENTO!$W$15,ROW(AF61)-ROW(AF$15),0),15-13*ORÇAMENTO!$AF$11)),0)</f>
        <v>0</v>
      </c>
      <c r="AG61" s="545">
        <f ca="1">IF(AND($D61="Serviço",AG$12&lt;&gt;0,$H61&gt;0,OR(AUTOEVENTO&lt;&gt;"manual",$M61&lt;&gt;1)),
IF(Import.TipoArredondamento&lt;&gt;"TransfereGOV",
ROUND(OFFSET($P61,0,AG$13),15-13*ORÇAMENTO!$AF$7)/$H61*OFFSET(ORÇAMENTO!$X$15,ROW(AG61)-ROW(AG$15),0),
ROUND(ROUND(OFFSET($P61,0,AG$13),15-13*ORÇAMENTO!$AF$7)*OFFSET(ORÇAMENTO!$W$15,ROW(AG61)-ROW(AG$15),0),15-13*ORÇAMENTO!$AF$11)),0)</f>
        <v>0</v>
      </c>
      <c r="AH61" s="545">
        <f ca="1">IF(AND($D61="Serviço",AH$12&lt;&gt;0,$H61&gt;0,OR(AUTOEVENTO&lt;&gt;"manual",$M61&lt;&gt;1)),
IF(Import.TipoArredondamento&lt;&gt;"TransfereGOV",
ROUND(OFFSET($P61,0,AH$13),15-13*ORÇAMENTO!$AF$7)/$H61*OFFSET(ORÇAMENTO!$X$15,ROW(AH61)-ROW(AH$15),0),
ROUND(ROUND(OFFSET($P61,0,AH$13),15-13*ORÇAMENTO!$AF$7)*OFFSET(ORÇAMENTO!$W$15,ROW(AH61)-ROW(AH$15),0),15-13*ORÇAMENTO!$AF$11)),0)</f>
        <v>0</v>
      </c>
      <c r="AI61" s="545">
        <f ca="1">IF(AND($D61="Serviço",AI$12&lt;&gt;0,$H61&gt;0,OR(AUTOEVENTO&lt;&gt;"manual",$M61&lt;&gt;1)),
IF(Import.TipoArredondamento&lt;&gt;"TransfereGOV",
ROUND(OFFSET($P61,0,AI$13),15-13*ORÇAMENTO!$AF$7)/$H61*OFFSET(ORÇAMENTO!$X$15,ROW(AI61)-ROW(AI$15),0),
ROUND(ROUND(OFFSET($P61,0,AI$13),15-13*ORÇAMENTO!$AF$7)*OFFSET(ORÇAMENTO!$W$15,ROW(AI61)-ROW(AI$15),0),15-13*ORÇAMENTO!$AF$11)),0)</f>
        <v>0</v>
      </c>
      <c r="AJ61" s="545">
        <f ca="1">IF(AND($D61="Serviço",AJ$12&lt;&gt;0,$H61&gt;0,OR(AUTOEVENTO&lt;&gt;"manual",$M61&lt;&gt;1)),
IF(Import.TipoArredondamento&lt;&gt;"TransfereGOV",
ROUND(OFFSET($P61,0,AJ$13),15-13*ORÇAMENTO!$AF$7)/$H61*OFFSET(ORÇAMENTO!$X$15,ROW(AJ61)-ROW(AJ$15),0),
ROUND(ROUND(OFFSET($P61,0,AJ$13),15-13*ORÇAMENTO!$AF$7)*OFFSET(ORÇAMENTO!$W$15,ROW(AJ61)-ROW(AJ$15),0),15-13*ORÇAMENTO!$AF$11)),0)</f>
        <v>0</v>
      </c>
      <c r="AK61" s="546">
        <f ca="1">IF(AND($D61="Serviço",AK$12&lt;&gt;0,$H61&gt;0,OR(AUTOEVENTO&lt;&gt;"manual",$M61&lt;&gt;1)),
IF(Import.TipoArredondamento&lt;&gt;"TransfereGOV",
ROUND(OFFSET($P61,0,AK$13),15-13*ORÇAMENTO!$AF$7)/$H61*OFFSET(ORÇAMENTO!$X$15,ROW(AK61)-ROW(AK$15),0),
ROUND(ROUND(OFFSET($P61,0,AK$13),15-13*ORÇAMENTO!$AF$7)*OFFSET(ORÇAMENTO!$W$15,ROW(AK61)-ROW(AK$15),0),15-13*ORÇAMENTO!$AF$11)),0)</f>
        <v>0</v>
      </c>
      <c r="AM61" s="181">
        <f ca="1">IF($D61&lt;&gt;"Serviço",0,IF(AND(AUTOEVENTO="Manual",$M61=1),0,IF(OFFSET(CRONOPLE!$F$14,$M61,AM$13)="",10^12,OFFSET(CRONOPLE!$F$14,$M61,AM$13))))</f>
        <v>1000000000000</v>
      </c>
      <c r="AN61" s="181">
        <f ca="1">IF($D61&lt;&gt;"Serviço",0,IF(AND(AUTOEVENTO="Manual",$M61=1),0,IF(OFFSET(CRONOPLE!$F$14,$M61,AN$13)="",10^12,OFFSET(CRONOPLE!$F$14,$M61,AN$13))))</f>
        <v>1000000000000</v>
      </c>
      <c r="AO61" s="181">
        <f ca="1">IF($D61&lt;&gt;"Serviço",0,IF(AND(AUTOEVENTO="Manual",$M61=1),0,IF(OFFSET(CRONOPLE!$F$14,$M61,AO$13)="",10^12,OFFSET(CRONOPLE!$F$14,$M61,AO$13))))</f>
        <v>1000000000000</v>
      </c>
      <c r="AP61" s="181">
        <f ca="1">IF($D61&lt;&gt;"Serviço",0,IF(AND(AUTOEVENTO="Manual",$M61=1),0,IF(OFFSET(CRONOPLE!$F$14,$M61,AP$13)="",10^12,OFFSET(CRONOPLE!$F$14,$M61,AP$13))))</f>
        <v>1000000000000</v>
      </c>
      <c r="AQ61" s="181">
        <f ca="1">IF($D61&lt;&gt;"Serviço",0,IF(AND(AUTOEVENTO="Manual",$M61=1),0,IF(OFFSET(CRONOPLE!$F$14,$M61,AQ$13)="",10^12,OFFSET(CRONOPLE!$F$14,$M61,AQ$13))))</f>
        <v>1000000000000</v>
      </c>
      <c r="AR61" s="181">
        <f ca="1">IF($D61&lt;&gt;"Serviço",0,IF(AND(AUTOEVENTO="Manual",$M61=1),0,IF(OFFSET(CRONOPLE!$F$14,$M61,AR$13)="",10^12,OFFSET(CRONOPLE!$F$14,$M61,AR$13))))</f>
        <v>1000000000000</v>
      </c>
      <c r="AS61" s="181">
        <f ca="1">IF($D61&lt;&gt;"Serviço",0,IF(AND(AUTOEVENTO="Manual",$M61=1),0,IF(OFFSET(CRONOPLE!$F$14,$M61,AS$13)="",10^12,OFFSET(CRONOPLE!$F$14,$M61,AS$13))))</f>
        <v>1000000000000</v>
      </c>
      <c r="AT61" s="181">
        <f ca="1">IF($D61&lt;&gt;"Serviço",0,IF(AND(AUTOEVENTO="Manual",$M61=1),0,IF(OFFSET(CRONOPLE!$F$14,$M61,AT$13)="",10^12,OFFSET(CRONOPLE!$F$14,$M61,AT$13))))</f>
        <v>1000000000000</v>
      </c>
      <c r="AU61" s="181">
        <f ca="1">IF($D61&lt;&gt;"Serviço",0,IF(AND(AUTOEVENTO="Manual",$M61=1),0,IF(OFFSET(CRONOPLE!$F$14,$M61,AU$13)="",10^12,OFFSET(CRONOPLE!$F$14,$M61,AU$13))))</f>
        <v>1000000000000</v>
      </c>
      <c r="AV61" s="181">
        <f ca="1">IF($D61&lt;&gt;"Serviço",0,IF(AND(AUTOEVENTO="Manual",$M61=1),0,IF(OFFSET(CRONOPLE!$F$14,$M61,AV$13)="",10^12,OFFSET(CRONOPLE!$F$14,$M61,AV$13))))</f>
        <v>1000000000000</v>
      </c>
      <c r="AX61" s="182">
        <f ca="1">IF($D61&lt;&gt;"Serviço",0,IF(OR(AND(AUTOEVENTO="Manual",$M61=1),$M61&gt;(ROW(PLE.lastrow)-ROW(PLE.firstrow))),0,IF(OFFSET(PLE!$G$14,$M61,AX$13)="",10^12,OFFSET(PLE!$G$14,$M61,AX$13))))</f>
        <v>1000000000000</v>
      </c>
      <c r="AY61" s="182">
        <f ca="1">IF($D61&lt;&gt;"Serviço",0,IF(OR(AND(AUTOEVENTO="Manual",$M61=1),$M61&gt;(ROW(PLE.lastrow)-ROW(PLE.firstrow))),0,IF(OFFSET(PLE!$G$14,$M61,AY$13)="",10^12,OFFSET(PLE!$G$14,$M61,AY$13))))</f>
        <v>1000000000000</v>
      </c>
      <c r="AZ61" s="182">
        <f ca="1">IF($D61&lt;&gt;"Serviço",0,IF(OR(AND(AUTOEVENTO="Manual",$M61=1),$M61&gt;(ROW(PLE.lastrow)-ROW(PLE.firstrow))),0,IF(OFFSET(PLE!$G$14,$M61,AZ$13)="",10^12,OFFSET(PLE!$G$14,$M61,AZ$13))))</f>
        <v>1000000000000</v>
      </c>
      <c r="BA61" s="182">
        <f ca="1">IF($D61&lt;&gt;"Serviço",0,IF(OR(AND(AUTOEVENTO="Manual",$M61=1),$M61&gt;(ROW(PLE.lastrow)-ROW(PLE.firstrow))),0,IF(OFFSET(PLE!$G$14,$M61,BA$13)="",10^12,OFFSET(PLE!$G$14,$M61,BA$13))))</f>
        <v>1000000000000</v>
      </c>
      <c r="BB61" s="182">
        <f ca="1">IF($D61&lt;&gt;"Serviço",0,IF(OR(AND(AUTOEVENTO="Manual",$M61=1),$M61&gt;(ROW(PLE.lastrow)-ROW(PLE.firstrow))),0,IF(OFFSET(PLE!$G$14,$M61,BB$13)="",10^12,OFFSET(PLE!$G$14,$M61,BB$13))))</f>
        <v>1000000000000</v>
      </c>
      <c r="BC61" s="182">
        <f ca="1">IF($D61&lt;&gt;"Serviço",0,IF(OR(AND(AUTOEVENTO="Manual",$M61=1),$M61&gt;(ROW(PLE.lastrow)-ROW(PLE.firstrow))),0,IF(OFFSET(PLE!$G$14,$M61,BC$13)="",10^12,OFFSET(PLE!$G$14,$M61,BC$13))))</f>
        <v>1000000000000</v>
      </c>
      <c r="BD61" s="182">
        <f ca="1">IF($D61&lt;&gt;"Serviço",0,IF(OR(AND(AUTOEVENTO="Manual",$M61=1),$M61&gt;(ROW(PLE.lastrow)-ROW(PLE.firstrow))),0,IF(OFFSET(PLE!$G$14,$M61,BD$13)="",10^12,OFFSET(PLE!$G$14,$M61,BD$13))))</f>
        <v>1000000000000</v>
      </c>
      <c r="BE61" s="182">
        <f ca="1">IF($D61&lt;&gt;"Serviço",0,IF(OR(AND(AUTOEVENTO="Manual",$M61=1),$M61&gt;(ROW(PLE.lastrow)-ROW(PLE.firstrow))),0,IF(OFFSET(PLE!$G$14,$M61,BE$13)="",10^12,OFFSET(PLE!$G$14,$M61,BE$13))))</f>
        <v>1000000000000</v>
      </c>
      <c r="BF61" s="182">
        <f ca="1">IF($D61&lt;&gt;"Serviço",0,IF(OR(AND(AUTOEVENTO="Manual",$M61=1),$M61&gt;(ROW(PLE.lastrow)-ROW(PLE.firstrow))),0,IF(OFFSET(PLE!$G$14,$M61,BF$13)="",10^12,OFFSET(PLE!$G$14,$M61,BF$13))))</f>
        <v>1000000000000</v>
      </c>
      <c r="BG61" s="182">
        <f ca="1">IF($D61&lt;&gt;"Serviço",0,IF(OR(AND(AUTOEVENTO="Manual",$M61=1),$M61&gt;(ROW(PLE.lastrow)-ROW(PLE.firstrow))),0,IF(OFFSET(PLE!$G$14,$M61,BG$13)="",10^12,OFFSET(PLE!$G$14,$M61,BG$13))))</f>
        <v>1000000000000</v>
      </c>
    </row>
    <row r="62" spans="1:59" ht="38.25" x14ac:dyDescent="0.2">
      <c r="A62" s="7" t="str">
        <f t="shared" ca="1" si="8"/>
        <v>26</v>
      </c>
      <c r="B62" s="7" t="str">
        <f ca="1">OFFSET(ORÇAMENTO!C$15,ROW(B62)-ROW(B$15),0)</f>
        <v>S</v>
      </c>
      <c r="C62" s="7" t="str">
        <f ca="1">OFFSET(ORÇAMENTO!L$15,ROW(C62)-ROW(C$15),0)</f>
        <v>F</v>
      </c>
      <c r="D62" s="118" t="str">
        <f ca="1">OFFSET(ORÇAMENTO!N$15,ROW(D62)-ROW(D$15),0)</f>
        <v>Serviço</v>
      </c>
      <c r="E62" s="119" t="str">
        <f ca="1">OFFSET(ORÇAMENTO!O$15,ROW(E62)-ROW(E$15),0)</f>
        <v>1.3.1.20.</v>
      </c>
      <c r="F62" s="172" t="str">
        <f ca="1">OFFSET(ORÇAMENTO!R$15,ROW(F62)-ROW(F$15),0)</f>
        <v>(abra o arquivo 'Referência 03-2024.xlsm)</v>
      </c>
      <c r="G62" s="173" t="str">
        <f ca="1">IF($D62&lt;&gt;"Serviço","",OFFSET(ORÇAMENTO!S$15,ROW(G62)-ROW(G$15),0))</f>
        <v>-</v>
      </c>
      <c r="H62" s="124">
        <f ca="1">IF($D62&lt;&gt;"Serviço",0,IF(ACOMPANHAMENTO="BM",ROUND(OFFSET(ORÇAMENTO!AJ$15,ROW(H62)-ROW(H$15),0),15-13*ORÇAMENTO!$AF$7),SUMPRODUCT(($Q$12:$AA$12&lt;&gt;"")*ROUND($Q62:$AA62,15-13*ORÇAMENTO!$AF$7))))</f>
        <v>1</v>
      </c>
      <c r="I62" s="561"/>
      <c r="K62" s="174"/>
      <c r="L62" s="175" t="s">
        <v>255</v>
      </c>
      <c r="M62" s="176">
        <f ca="1">IF($D62&lt;&gt;"Serviço","",IF(AUTOEVENTO="manual",$A62,IF(ISERROR(MATCH($A62,$A$15:OFFSET($A62,-1,0),0)),MAX($M$15:OFFSET(M62,-1,0))+1,INDEX($M$15:OFFSET(M62,-1,0),MATCH($A62,$A$15:OFFSET($A62,-1,0),0)))))</f>
        <v>4</v>
      </c>
      <c r="N62" s="177" t="str">
        <f ca="1">IF($D62&lt;&gt;"Serviço","",IF(AUTOEVENTO="Manual",IF($A62=0,"&lt;-- defina o número do agrupador",OFFSET(EVENTOS!$D$14,$A62,0)),OFFSET($F$15,$A62,0)))</f>
        <v>ENTRADA DE ENERGIA PADRÃO, MURETA E QGBT</v>
      </c>
      <c r="O62" s="178"/>
      <c r="Q62" s="178"/>
      <c r="R62" s="179"/>
      <c r="S62" s="179"/>
      <c r="T62" s="179"/>
      <c r="U62" s="179"/>
      <c r="V62" s="179"/>
      <c r="W62" s="179"/>
      <c r="X62" s="179"/>
      <c r="Y62" s="179"/>
      <c r="Z62" s="180"/>
      <c r="AB62" s="544">
        <f ca="1">IF(AND($D62="Serviço",AB$12&lt;&gt;0,$H62&gt;0,OR(AUTOEVENTO&lt;&gt;"manual",$M62&lt;&gt;1)),
IF(Import.TipoArredondamento&lt;&gt;"TransfereGOV",
ROUND(OFFSET($P62,0,AB$13),15-13*ORÇAMENTO!$AF$7)/$H62*OFFSET(ORÇAMENTO!$X$15,ROW(AB62)-ROW(AB$15),0),
ROUND(ROUND(OFFSET($P62,0,AB$13),15-13*ORÇAMENTO!$AF$7)*OFFSET(ORÇAMENTO!$W$15,ROW(AB62)-ROW(AB$15),0),15-13*ORÇAMENTO!$AF$11)),0)</f>
        <v>0</v>
      </c>
      <c r="AC62" s="545">
        <f ca="1">IF(AND($D62="Serviço",AC$12&lt;&gt;0,$H62&gt;0,OR(AUTOEVENTO&lt;&gt;"manual",$M62&lt;&gt;1)),
IF(Import.TipoArredondamento&lt;&gt;"TransfereGOV",
ROUND(OFFSET($P62,0,AC$13),15-13*ORÇAMENTO!$AF$7)/$H62*OFFSET(ORÇAMENTO!$X$15,ROW(AC62)-ROW(AC$15),0),
ROUND(ROUND(OFFSET($P62,0,AC$13),15-13*ORÇAMENTO!$AF$7)*OFFSET(ORÇAMENTO!$W$15,ROW(AC62)-ROW(AC$15),0),15-13*ORÇAMENTO!$AF$11)),0)</f>
        <v>0</v>
      </c>
      <c r="AD62" s="545">
        <f ca="1">IF(AND($D62="Serviço",AD$12&lt;&gt;0,$H62&gt;0,OR(AUTOEVENTO&lt;&gt;"manual",$M62&lt;&gt;1)),
IF(Import.TipoArredondamento&lt;&gt;"TransfereGOV",
ROUND(OFFSET($P62,0,AD$13),15-13*ORÇAMENTO!$AF$7)/$H62*OFFSET(ORÇAMENTO!$X$15,ROW(AD62)-ROW(AD$15),0),
ROUND(ROUND(OFFSET($P62,0,AD$13),15-13*ORÇAMENTO!$AF$7)*OFFSET(ORÇAMENTO!$W$15,ROW(AD62)-ROW(AD$15),0),15-13*ORÇAMENTO!$AF$11)),0)</f>
        <v>0</v>
      </c>
      <c r="AE62" s="545">
        <f ca="1">IF(AND($D62="Serviço",AE$12&lt;&gt;0,$H62&gt;0,OR(AUTOEVENTO&lt;&gt;"manual",$M62&lt;&gt;1)),
IF(Import.TipoArredondamento&lt;&gt;"TransfereGOV",
ROUND(OFFSET($P62,0,AE$13),15-13*ORÇAMENTO!$AF$7)/$H62*OFFSET(ORÇAMENTO!$X$15,ROW(AE62)-ROW(AE$15),0),
ROUND(ROUND(OFFSET($P62,0,AE$13),15-13*ORÇAMENTO!$AF$7)*OFFSET(ORÇAMENTO!$W$15,ROW(AE62)-ROW(AE$15),0),15-13*ORÇAMENTO!$AF$11)),0)</f>
        <v>0</v>
      </c>
      <c r="AF62" s="545">
        <f ca="1">IF(AND($D62="Serviço",AF$12&lt;&gt;0,$H62&gt;0,OR(AUTOEVENTO&lt;&gt;"manual",$M62&lt;&gt;1)),
IF(Import.TipoArredondamento&lt;&gt;"TransfereGOV",
ROUND(OFFSET($P62,0,AF$13),15-13*ORÇAMENTO!$AF$7)/$H62*OFFSET(ORÇAMENTO!$X$15,ROW(AF62)-ROW(AF$15),0),
ROUND(ROUND(OFFSET($P62,0,AF$13),15-13*ORÇAMENTO!$AF$7)*OFFSET(ORÇAMENTO!$W$15,ROW(AF62)-ROW(AF$15),0),15-13*ORÇAMENTO!$AF$11)),0)</f>
        <v>0</v>
      </c>
      <c r="AG62" s="545">
        <f ca="1">IF(AND($D62="Serviço",AG$12&lt;&gt;0,$H62&gt;0,OR(AUTOEVENTO&lt;&gt;"manual",$M62&lt;&gt;1)),
IF(Import.TipoArredondamento&lt;&gt;"TransfereGOV",
ROUND(OFFSET($P62,0,AG$13),15-13*ORÇAMENTO!$AF$7)/$H62*OFFSET(ORÇAMENTO!$X$15,ROW(AG62)-ROW(AG$15),0),
ROUND(ROUND(OFFSET($P62,0,AG$13),15-13*ORÇAMENTO!$AF$7)*OFFSET(ORÇAMENTO!$W$15,ROW(AG62)-ROW(AG$15),0),15-13*ORÇAMENTO!$AF$11)),0)</f>
        <v>0</v>
      </c>
      <c r="AH62" s="545">
        <f ca="1">IF(AND($D62="Serviço",AH$12&lt;&gt;0,$H62&gt;0,OR(AUTOEVENTO&lt;&gt;"manual",$M62&lt;&gt;1)),
IF(Import.TipoArredondamento&lt;&gt;"TransfereGOV",
ROUND(OFFSET($P62,0,AH$13),15-13*ORÇAMENTO!$AF$7)/$H62*OFFSET(ORÇAMENTO!$X$15,ROW(AH62)-ROW(AH$15),0),
ROUND(ROUND(OFFSET($P62,0,AH$13),15-13*ORÇAMENTO!$AF$7)*OFFSET(ORÇAMENTO!$W$15,ROW(AH62)-ROW(AH$15),0),15-13*ORÇAMENTO!$AF$11)),0)</f>
        <v>0</v>
      </c>
      <c r="AI62" s="545">
        <f ca="1">IF(AND($D62="Serviço",AI$12&lt;&gt;0,$H62&gt;0,OR(AUTOEVENTO&lt;&gt;"manual",$M62&lt;&gt;1)),
IF(Import.TipoArredondamento&lt;&gt;"TransfereGOV",
ROUND(OFFSET($P62,0,AI$13),15-13*ORÇAMENTO!$AF$7)/$H62*OFFSET(ORÇAMENTO!$X$15,ROW(AI62)-ROW(AI$15),0),
ROUND(ROUND(OFFSET($P62,0,AI$13),15-13*ORÇAMENTO!$AF$7)*OFFSET(ORÇAMENTO!$W$15,ROW(AI62)-ROW(AI$15),0),15-13*ORÇAMENTO!$AF$11)),0)</f>
        <v>0</v>
      </c>
      <c r="AJ62" s="545">
        <f ca="1">IF(AND($D62="Serviço",AJ$12&lt;&gt;0,$H62&gt;0,OR(AUTOEVENTO&lt;&gt;"manual",$M62&lt;&gt;1)),
IF(Import.TipoArredondamento&lt;&gt;"TransfereGOV",
ROUND(OFFSET($P62,0,AJ$13),15-13*ORÇAMENTO!$AF$7)/$H62*OFFSET(ORÇAMENTO!$X$15,ROW(AJ62)-ROW(AJ$15),0),
ROUND(ROUND(OFFSET($P62,0,AJ$13),15-13*ORÇAMENTO!$AF$7)*OFFSET(ORÇAMENTO!$W$15,ROW(AJ62)-ROW(AJ$15),0),15-13*ORÇAMENTO!$AF$11)),0)</f>
        <v>0</v>
      </c>
      <c r="AK62" s="546">
        <f ca="1">IF(AND($D62="Serviço",AK$12&lt;&gt;0,$H62&gt;0,OR(AUTOEVENTO&lt;&gt;"manual",$M62&lt;&gt;1)),
IF(Import.TipoArredondamento&lt;&gt;"TransfereGOV",
ROUND(OFFSET($P62,0,AK$13),15-13*ORÇAMENTO!$AF$7)/$H62*OFFSET(ORÇAMENTO!$X$15,ROW(AK62)-ROW(AK$15),0),
ROUND(ROUND(OFFSET($P62,0,AK$13),15-13*ORÇAMENTO!$AF$7)*OFFSET(ORÇAMENTO!$W$15,ROW(AK62)-ROW(AK$15),0),15-13*ORÇAMENTO!$AF$11)),0)</f>
        <v>0</v>
      </c>
      <c r="AM62" s="181">
        <f ca="1">IF($D62&lt;&gt;"Serviço",0,IF(AND(AUTOEVENTO="Manual",$M62=1),0,IF(OFFSET(CRONOPLE!$F$14,$M62,AM$13)="",10^12,OFFSET(CRONOPLE!$F$14,$M62,AM$13))))</f>
        <v>1000000000000</v>
      </c>
      <c r="AN62" s="181">
        <f ca="1">IF($D62&lt;&gt;"Serviço",0,IF(AND(AUTOEVENTO="Manual",$M62=1),0,IF(OFFSET(CRONOPLE!$F$14,$M62,AN$13)="",10^12,OFFSET(CRONOPLE!$F$14,$M62,AN$13))))</f>
        <v>1000000000000</v>
      </c>
      <c r="AO62" s="181">
        <f ca="1">IF($D62&lt;&gt;"Serviço",0,IF(AND(AUTOEVENTO="Manual",$M62=1),0,IF(OFFSET(CRONOPLE!$F$14,$M62,AO$13)="",10^12,OFFSET(CRONOPLE!$F$14,$M62,AO$13))))</f>
        <v>1000000000000</v>
      </c>
      <c r="AP62" s="181">
        <f ca="1">IF($D62&lt;&gt;"Serviço",0,IF(AND(AUTOEVENTO="Manual",$M62=1),0,IF(OFFSET(CRONOPLE!$F$14,$M62,AP$13)="",10^12,OFFSET(CRONOPLE!$F$14,$M62,AP$13))))</f>
        <v>1000000000000</v>
      </c>
      <c r="AQ62" s="181">
        <f ca="1">IF($D62&lt;&gt;"Serviço",0,IF(AND(AUTOEVENTO="Manual",$M62=1),0,IF(OFFSET(CRONOPLE!$F$14,$M62,AQ$13)="",10^12,OFFSET(CRONOPLE!$F$14,$M62,AQ$13))))</f>
        <v>1000000000000</v>
      </c>
      <c r="AR62" s="181">
        <f ca="1">IF($D62&lt;&gt;"Serviço",0,IF(AND(AUTOEVENTO="Manual",$M62=1),0,IF(OFFSET(CRONOPLE!$F$14,$M62,AR$13)="",10^12,OFFSET(CRONOPLE!$F$14,$M62,AR$13))))</f>
        <v>1000000000000</v>
      </c>
      <c r="AS62" s="181">
        <f ca="1">IF($D62&lt;&gt;"Serviço",0,IF(AND(AUTOEVENTO="Manual",$M62=1),0,IF(OFFSET(CRONOPLE!$F$14,$M62,AS$13)="",10^12,OFFSET(CRONOPLE!$F$14,$M62,AS$13))))</f>
        <v>1000000000000</v>
      </c>
      <c r="AT62" s="181">
        <f ca="1">IF($D62&lt;&gt;"Serviço",0,IF(AND(AUTOEVENTO="Manual",$M62=1),0,IF(OFFSET(CRONOPLE!$F$14,$M62,AT$13)="",10^12,OFFSET(CRONOPLE!$F$14,$M62,AT$13))))</f>
        <v>1000000000000</v>
      </c>
      <c r="AU62" s="181">
        <f ca="1">IF($D62&lt;&gt;"Serviço",0,IF(AND(AUTOEVENTO="Manual",$M62=1),0,IF(OFFSET(CRONOPLE!$F$14,$M62,AU$13)="",10^12,OFFSET(CRONOPLE!$F$14,$M62,AU$13))))</f>
        <v>1000000000000</v>
      </c>
      <c r="AV62" s="181">
        <f ca="1">IF($D62&lt;&gt;"Serviço",0,IF(AND(AUTOEVENTO="Manual",$M62=1),0,IF(OFFSET(CRONOPLE!$F$14,$M62,AV$13)="",10^12,OFFSET(CRONOPLE!$F$14,$M62,AV$13))))</f>
        <v>1000000000000</v>
      </c>
      <c r="AX62" s="182">
        <f ca="1">IF($D62&lt;&gt;"Serviço",0,IF(OR(AND(AUTOEVENTO="Manual",$M62=1),$M62&gt;(ROW(PLE.lastrow)-ROW(PLE.firstrow))),0,IF(OFFSET(PLE!$G$14,$M62,AX$13)="",10^12,OFFSET(PLE!$G$14,$M62,AX$13))))</f>
        <v>1000000000000</v>
      </c>
      <c r="AY62" s="182">
        <f ca="1">IF($D62&lt;&gt;"Serviço",0,IF(OR(AND(AUTOEVENTO="Manual",$M62=1),$M62&gt;(ROW(PLE.lastrow)-ROW(PLE.firstrow))),0,IF(OFFSET(PLE!$G$14,$M62,AY$13)="",10^12,OFFSET(PLE!$G$14,$M62,AY$13))))</f>
        <v>1000000000000</v>
      </c>
      <c r="AZ62" s="182">
        <f ca="1">IF($D62&lt;&gt;"Serviço",0,IF(OR(AND(AUTOEVENTO="Manual",$M62=1),$M62&gt;(ROW(PLE.lastrow)-ROW(PLE.firstrow))),0,IF(OFFSET(PLE!$G$14,$M62,AZ$13)="",10^12,OFFSET(PLE!$G$14,$M62,AZ$13))))</f>
        <v>1000000000000</v>
      </c>
      <c r="BA62" s="182">
        <f ca="1">IF($D62&lt;&gt;"Serviço",0,IF(OR(AND(AUTOEVENTO="Manual",$M62=1),$M62&gt;(ROW(PLE.lastrow)-ROW(PLE.firstrow))),0,IF(OFFSET(PLE!$G$14,$M62,BA$13)="",10^12,OFFSET(PLE!$G$14,$M62,BA$13))))</f>
        <v>1000000000000</v>
      </c>
      <c r="BB62" s="182">
        <f ca="1">IF($D62&lt;&gt;"Serviço",0,IF(OR(AND(AUTOEVENTO="Manual",$M62=1),$M62&gt;(ROW(PLE.lastrow)-ROW(PLE.firstrow))),0,IF(OFFSET(PLE!$G$14,$M62,BB$13)="",10^12,OFFSET(PLE!$G$14,$M62,BB$13))))</f>
        <v>1000000000000</v>
      </c>
      <c r="BC62" s="182">
        <f ca="1">IF($D62&lt;&gt;"Serviço",0,IF(OR(AND(AUTOEVENTO="Manual",$M62=1),$M62&gt;(ROW(PLE.lastrow)-ROW(PLE.firstrow))),0,IF(OFFSET(PLE!$G$14,$M62,BC$13)="",10^12,OFFSET(PLE!$G$14,$M62,BC$13))))</f>
        <v>1000000000000</v>
      </c>
      <c r="BD62" s="182">
        <f ca="1">IF($D62&lt;&gt;"Serviço",0,IF(OR(AND(AUTOEVENTO="Manual",$M62=1),$M62&gt;(ROW(PLE.lastrow)-ROW(PLE.firstrow))),0,IF(OFFSET(PLE!$G$14,$M62,BD$13)="",10^12,OFFSET(PLE!$G$14,$M62,BD$13))))</f>
        <v>1000000000000</v>
      </c>
      <c r="BE62" s="182">
        <f ca="1">IF($D62&lt;&gt;"Serviço",0,IF(OR(AND(AUTOEVENTO="Manual",$M62=1),$M62&gt;(ROW(PLE.lastrow)-ROW(PLE.firstrow))),0,IF(OFFSET(PLE!$G$14,$M62,BE$13)="",10^12,OFFSET(PLE!$G$14,$M62,BE$13))))</f>
        <v>1000000000000</v>
      </c>
      <c r="BF62" s="182">
        <f ca="1">IF($D62&lt;&gt;"Serviço",0,IF(OR(AND(AUTOEVENTO="Manual",$M62=1),$M62&gt;(ROW(PLE.lastrow)-ROW(PLE.firstrow))),0,IF(OFFSET(PLE!$G$14,$M62,BF$13)="",10^12,OFFSET(PLE!$G$14,$M62,BF$13))))</f>
        <v>1000000000000</v>
      </c>
      <c r="BG62" s="182">
        <f ca="1">IF($D62&lt;&gt;"Serviço",0,IF(OR(AND(AUTOEVENTO="Manual",$M62=1),$M62&gt;(ROW(PLE.lastrow)-ROW(PLE.firstrow))),0,IF(OFFSET(PLE!$G$14,$M62,BG$13)="",10^12,OFFSET(PLE!$G$14,$M62,BG$13))))</f>
        <v>1000000000000</v>
      </c>
    </row>
    <row r="63" spans="1:59" ht="38.25" x14ac:dyDescent="0.2">
      <c r="A63" s="7" t="str">
        <f t="shared" ca="1" si="8"/>
        <v>26</v>
      </c>
      <c r="B63" s="7" t="str">
        <f ca="1">OFFSET(ORÇAMENTO!C$15,ROW(B63)-ROW(B$15),0)</f>
        <v>S</v>
      </c>
      <c r="C63" s="7" t="str">
        <f ca="1">OFFSET(ORÇAMENTO!L$15,ROW(C63)-ROW(C$15),0)</f>
        <v>F</v>
      </c>
      <c r="D63" s="118" t="str">
        <f ca="1">OFFSET(ORÇAMENTO!N$15,ROW(D63)-ROW(D$15),0)</f>
        <v>Serviço</v>
      </c>
      <c r="E63" s="119" t="str">
        <f ca="1">OFFSET(ORÇAMENTO!O$15,ROW(E63)-ROW(E$15),0)</f>
        <v>1.3.1.21.</v>
      </c>
      <c r="F63" s="172" t="str">
        <f ca="1">OFFSET(ORÇAMENTO!R$15,ROW(F63)-ROW(F$15),0)</f>
        <v>(abra o arquivo 'Referência 03-2024.xlsm)</v>
      </c>
      <c r="G63" s="173" t="str">
        <f ca="1">IF($D63&lt;&gt;"Serviço","",OFFSET(ORÇAMENTO!S$15,ROW(G63)-ROW(G$15),0))</f>
        <v>-</v>
      </c>
      <c r="H63" s="124">
        <f ca="1">IF($D63&lt;&gt;"Serviço",0,IF(ACOMPANHAMENTO="BM",ROUND(OFFSET(ORÇAMENTO!AJ$15,ROW(H63)-ROW(H$15),0),15-13*ORÇAMENTO!$AF$7),SUMPRODUCT(($Q$12:$AA$12&lt;&gt;"")*ROUND($Q63:$AA63,15-13*ORÇAMENTO!$AF$7))))</f>
        <v>2</v>
      </c>
      <c r="I63" s="561"/>
      <c r="K63" s="174"/>
      <c r="L63" s="175" t="s">
        <v>255</v>
      </c>
      <c r="M63" s="176">
        <f ca="1">IF($D63&lt;&gt;"Serviço","",IF(AUTOEVENTO="manual",$A63,IF(ISERROR(MATCH($A63,$A$15:OFFSET($A63,-1,0),0)),MAX($M$15:OFFSET(M63,-1,0))+1,INDEX($M$15:OFFSET(M63,-1,0),MATCH($A63,$A$15:OFFSET($A63,-1,0),0)))))</f>
        <v>4</v>
      </c>
      <c r="N63" s="177" t="str">
        <f ca="1">IF($D63&lt;&gt;"Serviço","",IF(AUTOEVENTO="Manual",IF($A63=0,"&lt;-- defina o número do agrupador",OFFSET(EVENTOS!$D$14,$A63,0)),OFFSET($F$15,$A63,0)))</f>
        <v>ENTRADA DE ENERGIA PADRÃO, MURETA E QGBT</v>
      </c>
      <c r="O63" s="178"/>
      <c r="Q63" s="178"/>
      <c r="R63" s="179"/>
      <c r="S63" s="179"/>
      <c r="T63" s="179"/>
      <c r="U63" s="179"/>
      <c r="V63" s="179"/>
      <c r="W63" s="179"/>
      <c r="X63" s="179"/>
      <c r="Y63" s="179"/>
      <c r="Z63" s="180"/>
      <c r="AB63" s="544">
        <f ca="1">IF(AND($D63="Serviço",AB$12&lt;&gt;0,$H63&gt;0,OR(AUTOEVENTO&lt;&gt;"manual",$M63&lt;&gt;1)),
IF(Import.TipoArredondamento&lt;&gt;"TransfereGOV",
ROUND(OFFSET($P63,0,AB$13),15-13*ORÇAMENTO!$AF$7)/$H63*OFFSET(ORÇAMENTO!$X$15,ROW(AB63)-ROW(AB$15),0),
ROUND(ROUND(OFFSET($P63,0,AB$13),15-13*ORÇAMENTO!$AF$7)*OFFSET(ORÇAMENTO!$W$15,ROW(AB63)-ROW(AB$15),0),15-13*ORÇAMENTO!$AF$11)),0)</f>
        <v>0</v>
      </c>
      <c r="AC63" s="545">
        <f ca="1">IF(AND($D63="Serviço",AC$12&lt;&gt;0,$H63&gt;0,OR(AUTOEVENTO&lt;&gt;"manual",$M63&lt;&gt;1)),
IF(Import.TipoArredondamento&lt;&gt;"TransfereGOV",
ROUND(OFFSET($P63,0,AC$13),15-13*ORÇAMENTO!$AF$7)/$H63*OFFSET(ORÇAMENTO!$X$15,ROW(AC63)-ROW(AC$15),0),
ROUND(ROUND(OFFSET($P63,0,AC$13),15-13*ORÇAMENTO!$AF$7)*OFFSET(ORÇAMENTO!$W$15,ROW(AC63)-ROW(AC$15),0),15-13*ORÇAMENTO!$AF$11)),0)</f>
        <v>0</v>
      </c>
      <c r="AD63" s="545">
        <f ca="1">IF(AND($D63="Serviço",AD$12&lt;&gt;0,$H63&gt;0,OR(AUTOEVENTO&lt;&gt;"manual",$M63&lt;&gt;1)),
IF(Import.TipoArredondamento&lt;&gt;"TransfereGOV",
ROUND(OFFSET($P63,0,AD$13),15-13*ORÇAMENTO!$AF$7)/$H63*OFFSET(ORÇAMENTO!$X$15,ROW(AD63)-ROW(AD$15),0),
ROUND(ROUND(OFFSET($P63,0,AD$13),15-13*ORÇAMENTO!$AF$7)*OFFSET(ORÇAMENTO!$W$15,ROW(AD63)-ROW(AD$15),0),15-13*ORÇAMENTO!$AF$11)),0)</f>
        <v>0</v>
      </c>
      <c r="AE63" s="545">
        <f ca="1">IF(AND($D63="Serviço",AE$12&lt;&gt;0,$H63&gt;0,OR(AUTOEVENTO&lt;&gt;"manual",$M63&lt;&gt;1)),
IF(Import.TipoArredondamento&lt;&gt;"TransfereGOV",
ROUND(OFFSET($P63,0,AE$13),15-13*ORÇAMENTO!$AF$7)/$H63*OFFSET(ORÇAMENTO!$X$15,ROW(AE63)-ROW(AE$15),0),
ROUND(ROUND(OFFSET($P63,0,AE$13),15-13*ORÇAMENTO!$AF$7)*OFFSET(ORÇAMENTO!$W$15,ROW(AE63)-ROW(AE$15),0),15-13*ORÇAMENTO!$AF$11)),0)</f>
        <v>0</v>
      </c>
      <c r="AF63" s="545">
        <f ca="1">IF(AND($D63="Serviço",AF$12&lt;&gt;0,$H63&gt;0,OR(AUTOEVENTO&lt;&gt;"manual",$M63&lt;&gt;1)),
IF(Import.TipoArredondamento&lt;&gt;"TransfereGOV",
ROUND(OFFSET($P63,0,AF$13),15-13*ORÇAMENTO!$AF$7)/$H63*OFFSET(ORÇAMENTO!$X$15,ROW(AF63)-ROW(AF$15),0),
ROUND(ROUND(OFFSET($P63,0,AF$13),15-13*ORÇAMENTO!$AF$7)*OFFSET(ORÇAMENTO!$W$15,ROW(AF63)-ROW(AF$15),0),15-13*ORÇAMENTO!$AF$11)),0)</f>
        <v>0</v>
      </c>
      <c r="AG63" s="545">
        <f ca="1">IF(AND($D63="Serviço",AG$12&lt;&gt;0,$H63&gt;0,OR(AUTOEVENTO&lt;&gt;"manual",$M63&lt;&gt;1)),
IF(Import.TipoArredondamento&lt;&gt;"TransfereGOV",
ROUND(OFFSET($P63,0,AG$13),15-13*ORÇAMENTO!$AF$7)/$H63*OFFSET(ORÇAMENTO!$X$15,ROW(AG63)-ROW(AG$15),0),
ROUND(ROUND(OFFSET($P63,0,AG$13),15-13*ORÇAMENTO!$AF$7)*OFFSET(ORÇAMENTO!$W$15,ROW(AG63)-ROW(AG$15),0),15-13*ORÇAMENTO!$AF$11)),0)</f>
        <v>0</v>
      </c>
      <c r="AH63" s="545">
        <f ca="1">IF(AND($D63="Serviço",AH$12&lt;&gt;0,$H63&gt;0,OR(AUTOEVENTO&lt;&gt;"manual",$M63&lt;&gt;1)),
IF(Import.TipoArredondamento&lt;&gt;"TransfereGOV",
ROUND(OFFSET($P63,0,AH$13),15-13*ORÇAMENTO!$AF$7)/$H63*OFFSET(ORÇAMENTO!$X$15,ROW(AH63)-ROW(AH$15),0),
ROUND(ROUND(OFFSET($P63,0,AH$13),15-13*ORÇAMENTO!$AF$7)*OFFSET(ORÇAMENTO!$W$15,ROW(AH63)-ROW(AH$15),0),15-13*ORÇAMENTO!$AF$11)),0)</f>
        <v>0</v>
      </c>
      <c r="AI63" s="545">
        <f ca="1">IF(AND($D63="Serviço",AI$12&lt;&gt;0,$H63&gt;0,OR(AUTOEVENTO&lt;&gt;"manual",$M63&lt;&gt;1)),
IF(Import.TipoArredondamento&lt;&gt;"TransfereGOV",
ROUND(OFFSET($P63,0,AI$13),15-13*ORÇAMENTO!$AF$7)/$H63*OFFSET(ORÇAMENTO!$X$15,ROW(AI63)-ROW(AI$15),0),
ROUND(ROUND(OFFSET($P63,0,AI$13),15-13*ORÇAMENTO!$AF$7)*OFFSET(ORÇAMENTO!$W$15,ROW(AI63)-ROW(AI$15),0),15-13*ORÇAMENTO!$AF$11)),0)</f>
        <v>0</v>
      </c>
      <c r="AJ63" s="545">
        <f ca="1">IF(AND($D63="Serviço",AJ$12&lt;&gt;0,$H63&gt;0,OR(AUTOEVENTO&lt;&gt;"manual",$M63&lt;&gt;1)),
IF(Import.TipoArredondamento&lt;&gt;"TransfereGOV",
ROUND(OFFSET($P63,0,AJ$13),15-13*ORÇAMENTO!$AF$7)/$H63*OFFSET(ORÇAMENTO!$X$15,ROW(AJ63)-ROW(AJ$15),0),
ROUND(ROUND(OFFSET($P63,0,AJ$13),15-13*ORÇAMENTO!$AF$7)*OFFSET(ORÇAMENTO!$W$15,ROW(AJ63)-ROW(AJ$15),0),15-13*ORÇAMENTO!$AF$11)),0)</f>
        <v>0</v>
      </c>
      <c r="AK63" s="546">
        <f ca="1">IF(AND($D63="Serviço",AK$12&lt;&gt;0,$H63&gt;0,OR(AUTOEVENTO&lt;&gt;"manual",$M63&lt;&gt;1)),
IF(Import.TipoArredondamento&lt;&gt;"TransfereGOV",
ROUND(OFFSET($P63,0,AK$13),15-13*ORÇAMENTO!$AF$7)/$H63*OFFSET(ORÇAMENTO!$X$15,ROW(AK63)-ROW(AK$15),0),
ROUND(ROUND(OFFSET($P63,0,AK$13),15-13*ORÇAMENTO!$AF$7)*OFFSET(ORÇAMENTO!$W$15,ROW(AK63)-ROW(AK$15),0),15-13*ORÇAMENTO!$AF$11)),0)</f>
        <v>0</v>
      </c>
      <c r="AM63" s="181">
        <f ca="1">IF($D63&lt;&gt;"Serviço",0,IF(AND(AUTOEVENTO="Manual",$M63=1),0,IF(OFFSET(CRONOPLE!$F$14,$M63,AM$13)="",10^12,OFFSET(CRONOPLE!$F$14,$M63,AM$13))))</f>
        <v>1000000000000</v>
      </c>
      <c r="AN63" s="181">
        <f ca="1">IF($D63&lt;&gt;"Serviço",0,IF(AND(AUTOEVENTO="Manual",$M63=1),0,IF(OFFSET(CRONOPLE!$F$14,$M63,AN$13)="",10^12,OFFSET(CRONOPLE!$F$14,$M63,AN$13))))</f>
        <v>1000000000000</v>
      </c>
      <c r="AO63" s="181">
        <f ca="1">IF($D63&lt;&gt;"Serviço",0,IF(AND(AUTOEVENTO="Manual",$M63=1),0,IF(OFFSET(CRONOPLE!$F$14,$M63,AO$13)="",10^12,OFFSET(CRONOPLE!$F$14,$M63,AO$13))))</f>
        <v>1000000000000</v>
      </c>
      <c r="AP63" s="181">
        <f ca="1">IF($D63&lt;&gt;"Serviço",0,IF(AND(AUTOEVENTO="Manual",$M63=1),0,IF(OFFSET(CRONOPLE!$F$14,$M63,AP$13)="",10^12,OFFSET(CRONOPLE!$F$14,$M63,AP$13))))</f>
        <v>1000000000000</v>
      </c>
      <c r="AQ63" s="181">
        <f ca="1">IF($D63&lt;&gt;"Serviço",0,IF(AND(AUTOEVENTO="Manual",$M63=1),0,IF(OFFSET(CRONOPLE!$F$14,$M63,AQ$13)="",10^12,OFFSET(CRONOPLE!$F$14,$M63,AQ$13))))</f>
        <v>1000000000000</v>
      </c>
      <c r="AR63" s="181">
        <f ca="1">IF($D63&lt;&gt;"Serviço",0,IF(AND(AUTOEVENTO="Manual",$M63=1),0,IF(OFFSET(CRONOPLE!$F$14,$M63,AR$13)="",10^12,OFFSET(CRONOPLE!$F$14,$M63,AR$13))))</f>
        <v>1000000000000</v>
      </c>
      <c r="AS63" s="181">
        <f ca="1">IF($D63&lt;&gt;"Serviço",0,IF(AND(AUTOEVENTO="Manual",$M63=1),0,IF(OFFSET(CRONOPLE!$F$14,$M63,AS$13)="",10^12,OFFSET(CRONOPLE!$F$14,$M63,AS$13))))</f>
        <v>1000000000000</v>
      </c>
      <c r="AT63" s="181">
        <f ca="1">IF($D63&lt;&gt;"Serviço",0,IF(AND(AUTOEVENTO="Manual",$M63=1),0,IF(OFFSET(CRONOPLE!$F$14,$M63,AT$13)="",10^12,OFFSET(CRONOPLE!$F$14,$M63,AT$13))))</f>
        <v>1000000000000</v>
      </c>
      <c r="AU63" s="181">
        <f ca="1">IF($D63&lt;&gt;"Serviço",0,IF(AND(AUTOEVENTO="Manual",$M63=1),0,IF(OFFSET(CRONOPLE!$F$14,$M63,AU$13)="",10^12,OFFSET(CRONOPLE!$F$14,$M63,AU$13))))</f>
        <v>1000000000000</v>
      </c>
      <c r="AV63" s="181">
        <f ca="1">IF($D63&lt;&gt;"Serviço",0,IF(AND(AUTOEVENTO="Manual",$M63=1),0,IF(OFFSET(CRONOPLE!$F$14,$M63,AV$13)="",10^12,OFFSET(CRONOPLE!$F$14,$M63,AV$13))))</f>
        <v>1000000000000</v>
      </c>
      <c r="AX63" s="182">
        <f ca="1">IF($D63&lt;&gt;"Serviço",0,IF(OR(AND(AUTOEVENTO="Manual",$M63=1),$M63&gt;(ROW(PLE.lastrow)-ROW(PLE.firstrow))),0,IF(OFFSET(PLE!$G$14,$M63,AX$13)="",10^12,OFFSET(PLE!$G$14,$M63,AX$13))))</f>
        <v>1000000000000</v>
      </c>
      <c r="AY63" s="182">
        <f ca="1">IF($D63&lt;&gt;"Serviço",0,IF(OR(AND(AUTOEVENTO="Manual",$M63=1),$M63&gt;(ROW(PLE.lastrow)-ROW(PLE.firstrow))),0,IF(OFFSET(PLE!$G$14,$M63,AY$13)="",10^12,OFFSET(PLE!$G$14,$M63,AY$13))))</f>
        <v>1000000000000</v>
      </c>
      <c r="AZ63" s="182">
        <f ca="1">IF($D63&lt;&gt;"Serviço",0,IF(OR(AND(AUTOEVENTO="Manual",$M63=1),$M63&gt;(ROW(PLE.lastrow)-ROW(PLE.firstrow))),0,IF(OFFSET(PLE!$G$14,$M63,AZ$13)="",10^12,OFFSET(PLE!$G$14,$M63,AZ$13))))</f>
        <v>1000000000000</v>
      </c>
      <c r="BA63" s="182">
        <f ca="1">IF($D63&lt;&gt;"Serviço",0,IF(OR(AND(AUTOEVENTO="Manual",$M63=1),$M63&gt;(ROW(PLE.lastrow)-ROW(PLE.firstrow))),0,IF(OFFSET(PLE!$G$14,$M63,BA$13)="",10^12,OFFSET(PLE!$G$14,$M63,BA$13))))</f>
        <v>1000000000000</v>
      </c>
      <c r="BB63" s="182">
        <f ca="1">IF($D63&lt;&gt;"Serviço",0,IF(OR(AND(AUTOEVENTO="Manual",$M63=1),$M63&gt;(ROW(PLE.lastrow)-ROW(PLE.firstrow))),0,IF(OFFSET(PLE!$G$14,$M63,BB$13)="",10^12,OFFSET(PLE!$G$14,$M63,BB$13))))</f>
        <v>1000000000000</v>
      </c>
      <c r="BC63" s="182">
        <f ca="1">IF($D63&lt;&gt;"Serviço",0,IF(OR(AND(AUTOEVENTO="Manual",$M63=1),$M63&gt;(ROW(PLE.lastrow)-ROW(PLE.firstrow))),0,IF(OFFSET(PLE!$G$14,$M63,BC$13)="",10^12,OFFSET(PLE!$G$14,$M63,BC$13))))</f>
        <v>1000000000000</v>
      </c>
      <c r="BD63" s="182">
        <f ca="1">IF($D63&lt;&gt;"Serviço",0,IF(OR(AND(AUTOEVENTO="Manual",$M63=1),$M63&gt;(ROW(PLE.lastrow)-ROW(PLE.firstrow))),0,IF(OFFSET(PLE!$G$14,$M63,BD$13)="",10^12,OFFSET(PLE!$G$14,$M63,BD$13))))</f>
        <v>1000000000000</v>
      </c>
      <c r="BE63" s="182">
        <f ca="1">IF($D63&lt;&gt;"Serviço",0,IF(OR(AND(AUTOEVENTO="Manual",$M63=1),$M63&gt;(ROW(PLE.lastrow)-ROW(PLE.firstrow))),0,IF(OFFSET(PLE!$G$14,$M63,BE$13)="",10^12,OFFSET(PLE!$G$14,$M63,BE$13))))</f>
        <v>1000000000000</v>
      </c>
      <c r="BF63" s="182">
        <f ca="1">IF($D63&lt;&gt;"Serviço",0,IF(OR(AND(AUTOEVENTO="Manual",$M63=1),$M63&gt;(ROW(PLE.lastrow)-ROW(PLE.firstrow))),0,IF(OFFSET(PLE!$G$14,$M63,BF$13)="",10^12,OFFSET(PLE!$G$14,$M63,BF$13))))</f>
        <v>1000000000000</v>
      </c>
      <c r="BG63" s="182">
        <f ca="1">IF($D63&lt;&gt;"Serviço",0,IF(OR(AND(AUTOEVENTO="Manual",$M63=1),$M63&gt;(ROW(PLE.lastrow)-ROW(PLE.firstrow))),0,IF(OFFSET(PLE!$G$14,$M63,BG$13)="",10^12,OFFSET(PLE!$G$14,$M63,BG$13))))</f>
        <v>1000000000000</v>
      </c>
    </row>
    <row r="64" spans="1:59" ht="12.75" x14ac:dyDescent="0.2">
      <c r="A64" s="7" t="str">
        <f t="shared" ca="1" si="8"/>
        <v>26</v>
      </c>
      <c r="B64" s="7">
        <f ca="1">OFFSET(ORÇAMENTO!C$15,ROW(B64)-ROW(B$15),0)</f>
        <v>3</v>
      </c>
      <c r="C64" s="7" t="str">
        <f ca="1">OFFSET(ORÇAMENTO!L$15,ROW(C64)-ROW(C$15),0)</f>
        <v>F</v>
      </c>
      <c r="D64" s="118" t="str">
        <f ca="1">OFFSET(ORÇAMENTO!N$15,ROW(D64)-ROW(D$15),0)</f>
        <v>Nível 3</v>
      </c>
      <c r="E64" s="119" t="str">
        <f ca="1">OFFSET(ORÇAMENTO!O$15,ROW(E64)-ROW(E$15),0)</f>
        <v>1.3.2.</v>
      </c>
      <c r="F64" s="172" t="str">
        <f ca="1">OFFSET(ORÇAMENTO!R$15,ROW(F64)-ROW(F$15),0)</f>
        <v>ATERRAMENTO</v>
      </c>
      <c r="G64" s="173" t="str">
        <f ca="1">IF($D64&lt;&gt;"Serviço","",OFFSET(ORÇAMENTO!S$15,ROW(G64)-ROW(G$15),0))</f>
        <v/>
      </c>
      <c r="H64" s="124">
        <f ca="1">IF($D64&lt;&gt;"Serviço",0,IF(ACOMPANHAMENTO="BM",ROUND(OFFSET(ORÇAMENTO!AJ$15,ROW(H64)-ROW(H$15),0),15-13*ORÇAMENTO!$AF$7),SUMPRODUCT(($Q$12:$AA$12&lt;&gt;"")*ROUND($Q64:$AA64,15-13*ORÇAMENTO!$AF$7))))</f>
        <v>0</v>
      </c>
      <c r="I64" s="561"/>
      <c r="K64" s="174"/>
      <c r="L64" s="175" t="s">
        <v>255</v>
      </c>
      <c r="M64" s="176" t="str">
        <f ca="1">IF($D64&lt;&gt;"Serviço","",IF(AUTOEVENTO="manual",$A64,IF(ISERROR(MATCH($A64,$A$15:OFFSET($A64,-1,0),0)),MAX($M$15:OFFSET(M64,-1,0))+1,INDEX($M$15:OFFSET(M64,-1,0),MATCH($A64,$A$15:OFFSET($A64,-1,0),0)))))</f>
        <v/>
      </c>
      <c r="N64" s="177" t="str">
        <f ca="1">IF($D64&lt;&gt;"Serviço","",IF(AUTOEVENTO="Manual",IF($A64=0,"&lt;-- defina o número do agrupador",OFFSET(EVENTOS!$D$14,$A64,0)),OFFSET($F$15,$A64,0)))</f>
        <v/>
      </c>
      <c r="O64" s="178"/>
      <c r="Q64" s="178"/>
      <c r="R64" s="179"/>
      <c r="S64" s="179"/>
      <c r="T64" s="179"/>
      <c r="U64" s="179"/>
      <c r="V64" s="179"/>
      <c r="W64" s="179"/>
      <c r="X64" s="179"/>
      <c r="Y64" s="179"/>
      <c r="Z64" s="180"/>
      <c r="AB64" s="544">
        <f ca="1">IF(AND($D64="Serviço",AB$12&lt;&gt;0,$H64&gt;0,OR(AUTOEVENTO&lt;&gt;"manual",$M64&lt;&gt;1)),
IF(Import.TipoArredondamento&lt;&gt;"TransfereGOV",
ROUND(OFFSET($P64,0,AB$13),15-13*ORÇAMENTO!$AF$7)/$H64*OFFSET(ORÇAMENTO!$X$15,ROW(AB64)-ROW(AB$15),0),
ROUND(ROUND(OFFSET($P64,0,AB$13),15-13*ORÇAMENTO!$AF$7)*OFFSET(ORÇAMENTO!$W$15,ROW(AB64)-ROW(AB$15),0),15-13*ORÇAMENTO!$AF$11)),0)</f>
        <v>0</v>
      </c>
      <c r="AC64" s="545">
        <f ca="1">IF(AND($D64="Serviço",AC$12&lt;&gt;0,$H64&gt;0,OR(AUTOEVENTO&lt;&gt;"manual",$M64&lt;&gt;1)),
IF(Import.TipoArredondamento&lt;&gt;"TransfereGOV",
ROUND(OFFSET($P64,0,AC$13),15-13*ORÇAMENTO!$AF$7)/$H64*OFFSET(ORÇAMENTO!$X$15,ROW(AC64)-ROW(AC$15),0),
ROUND(ROUND(OFFSET($P64,0,AC$13),15-13*ORÇAMENTO!$AF$7)*OFFSET(ORÇAMENTO!$W$15,ROW(AC64)-ROW(AC$15),0),15-13*ORÇAMENTO!$AF$11)),0)</f>
        <v>0</v>
      </c>
      <c r="AD64" s="545">
        <f ca="1">IF(AND($D64="Serviço",AD$12&lt;&gt;0,$H64&gt;0,OR(AUTOEVENTO&lt;&gt;"manual",$M64&lt;&gt;1)),
IF(Import.TipoArredondamento&lt;&gt;"TransfereGOV",
ROUND(OFFSET($P64,0,AD$13),15-13*ORÇAMENTO!$AF$7)/$H64*OFFSET(ORÇAMENTO!$X$15,ROW(AD64)-ROW(AD$15),0),
ROUND(ROUND(OFFSET($P64,0,AD$13),15-13*ORÇAMENTO!$AF$7)*OFFSET(ORÇAMENTO!$W$15,ROW(AD64)-ROW(AD$15),0),15-13*ORÇAMENTO!$AF$11)),0)</f>
        <v>0</v>
      </c>
      <c r="AE64" s="545">
        <f ca="1">IF(AND($D64="Serviço",AE$12&lt;&gt;0,$H64&gt;0,OR(AUTOEVENTO&lt;&gt;"manual",$M64&lt;&gt;1)),
IF(Import.TipoArredondamento&lt;&gt;"TransfereGOV",
ROUND(OFFSET($P64,0,AE$13),15-13*ORÇAMENTO!$AF$7)/$H64*OFFSET(ORÇAMENTO!$X$15,ROW(AE64)-ROW(AE$15),0),
ROUND(ROUND(OFFSET($P64,0,AE$13),15-13*ORÇAMENTO!$AF$7)*OFFSET(ORÇAMENTO!$W$15,ROW(AE64)-ROW(AE$15),0),15-13*ORÇAMENTO!$AF$11)),0)</f>
        <v>0</v>
      </c>
      <c r="AF64" s="545">
        <f ca="1">IF(AND($D64="Serviço",AF$12&lt;&gt;0,$H64&gt;0,OR(AUTOEVENTO&lt;&gt;"manual",$M64&lt;&gt;1)),
IF(Import.TipoArredondamento&lt;&gt;"TransfereGOV",
ROUND(OFFSET($P64,0,AF$13),15-13*ORÇAMENTO!$AF$7)/$H64*OFFSET(ORÇAMENTO!$X$15,ROW(AF64)-ROW(AF$15),0),
ROUND(ROUND(OFFSET($P64,0,AF$13),15-13*ORÇAMENTO!$AF$7)*OFFSET(ORÇAMENTO!$W$15,ROW(AF64)-ROW(AF$15),0),15-13*ORÇAMENTO!$AF$11)),0)</f>
        <v>0</v>
      </c>
      <c r="AG64" s="545">
        <f ca="1">IF(AND($D64="Serviço",AG$12&lt;&gt;0,$H64&gt;0,OR(AUTOEVENTO&lt;&gt;"manual",$M64&lt;&gt;1)),
IF(Import.TipoArredondamento&lt;&gt;"TransfereGOV",
ROUND(OFFSET($P64,0,AG$13),15-13*ORÇAMENTO!$AF$7)/$H64*OFFSET(ORÇAMENTO!$X$15,ROW(AG64)-ROW(AG$15),0),
ROUND(ROUND(OFFSET($P64,0,AG$13),15-13*ORÇAMENTO!$AF$7)*OFFSET(ORÇAMENTO!$W$15,ROW(AG64)-ROW(AG$15),0),15-13*ORÇAMENTO!$AF$11)),0)</f>
        <v>0</v>
      </c>
      <c r="AH64" s="545">
        <f ca="1">IF(AND($D64="Serviço",AH$12&lt;&gt;0,$H64&gt;0,OR(AUTOEVENTO&lt;&gt;"manual",$M64&lt;&gt;1)),
IF(Import.TipoArredondamento&lt;&gt;"TransfereGOV",
ROUND(OFFSET($P64,0,AH$13),15-13*ORÇAMENTO!$AF$7)/$H64*OFFSET(ORÇAMENTO!$X$15,ROW(AH64)-ROW(AH$15),0),
ROUND(ROUND(OFFSET($P64,0,AH$13),15-13*ORÇAMENTO!$AF$7)*OFFSET(ORÇAMENTO!$W$15,ROW(AH64)-ROW(AH$15),0),15-13*ORÇAMENTO!$AF$11)),0)</f>
        <v>0</v>
      </c>
      <c r="AI64" s="545">
        <f ca="1">IF(AND($D64="Serviço",AI$12&lt;&gt;0,$H64&gt;0,OR(AUTOEVENTO&lt;&gt;"manual",$M64&lt;&gt;1)),
IF(Import.TipoArredondamento&lt;&gt;"TransfereGOV",
ROUND(OFFSET($P64,0,AI$13),15-13*ORÇAMENTO!$AF$7)/$H64*OFFSET(ORÇAMENTO!$X$15,ROW(AI64)-ROW(AI$15),0),
ROUND(ROUND(OFFSET($P64,0,AI$13),15-13*ORÇAMENTO!$AF$7)*OFFSET(ORÇAMENTO!$W$15,ROW(AI64)-ROW(AI$15),0),15-13*ORÇAMENTO!$AF$11)),0)</f>
        <v>0</v>
      </c>
      <c r="AJ64" s="545">
        <f ca="1">IF(AND($D64="Serviço",AJ$12&lt;&gt;0,$H64&gt;0,OR(AUTOEVENTO&lt;&gt;"manual",$M64&lt;&gt;1)),
IF(Import.TipoArredondamento&lt;&gt;"TransfereGOV",
ROUND(OFFSET($P64,0,AJ$13),15-13*ORÇAMENTO!$AF$7)/$H64*OFFSET(ORÇAMENTO!$X$15,ROW(AJ64)-ROW(AJ$15),0),
ROUND(ROUND(OFFSET($P64,0,AJ$13),15-13*ORÇAMENTO!$AF$7)*OFFSET(ORÇAMENTO!$W$15,ROW(AJ64)-ROW(AJ$15),0),15-13*ORÇAMENTO!$AF$11)),0)</f>
        <v>0</v>
      </c>
      <c r="AK64" s="546">
        <f ca="1">IF(AND($D64="Serviço",AK$12&lt;&gt;0,$H64&gt;0,OR(AUTOEVENTO&lt;&gt;"manual",$M64&lt;&gt;1)),
IF(Import.TipoArredondamento&lt;&gt;"TransfereGOV",
ROUND(OFFSET($P64,0,AK$13),15-13*ORÇAMENTO!$AF$7)/$H64*OFFSET(ORÇAMENTO!$X$15,ROW(AK64)-ROW(AK$15),0),
ROUND(ROUND(OFFSET($P64,0,AK$13),15-13*ORÇAMENTO!$AF$7)*OFFSET(ORÇAMENTO!$W$15,ROW(AK64)-ROW(AK$15),0),15-13*ORÇAMENTO!$AF$11)),0)</f>
        <v>0</v>
      </c>
      <c r="AM64" s="181">
        <f ca="1">IF($D64&lt;&gt;"Serviço",0,IF(AND(AUTOEVENTO="Manual",$M64=1),0,IF(OFFSET(CRONOPLE!$F$14,$M64,AM$13)="",10^12,OFFSET(CRONOPLE!$F$14,$M64,AM$13))))</f>
        <v>0</v>
      </c>
      <c r="AN64" s="181">
        <f ca="1">IF($D64&lt;&gt;"Serviço",0,IF(AND(AUTOEVENTO="Manual",$M64=1),0,IF(OFFSET(CRONOPLE!$F$14,$M64,AN$13)="",10^12,OFFSET(CRONOPLE!$F$14,$M64,AN$13))))</f>
        <v>0</v>
      </c>
      <c r="AO64" s="181">
        <f ca="1">IF($D64&lt;&gt;"Serviço",0,IF(AND(AUTOEVENTO="Manual",$M64=1),0,IF(OFFSET(CRONOPLE!$F$14,$M64,AO$13)="",10^12,OFFSET(CRONOPLE!$F$14,$M64,AO$13))))</f>
        <v>0</v>
      </c>
      <c r="AP64" s="181">
        <f ca="1">IF($D64&lt;&gt;"Serviço",0,IF(AND(AUTOEVENTO="Manual",$M64=1),0,IF(OFFSET(CRONOPLE!$F$14,$M64,AP$13)="",10^12,OFFSET(CRONOPLE!$F$14,$M64,AP$13))))</f>
        <v>0</v>
      </c>
      <c r="AQ64" s="181">
        <f ca="1">IF($D64&lt;&gt;"Serviço",0,IF(AND(AUTOEVENTO="Manual",$M64=1),0,IF(OFFSET(CRONOPLE!$F$14,$M64,AQ$13)="",10^12,OFFSET(CRONOPLE!$F$14,$M64,AQ$13))))</f>
        <v>0</v>
      </c>
      <c r="AR64" s="181">
        <f ca="1">IF($D64&lt;&gt;"Serviço",0,IF(AND(AUTOEVENTO="Manual",$M64=1),0,IF(OFFSET(CRONOPLE!$F$14,$M64,AR$13)="",10^12,OFFSET(CRONOPLE!$F$14,$M64,AR$13))))</f>
        <v>0</v>
      </c>
      <c r="AS64" s="181">
        <f ca="1">IF($D64&lt;&gt;"Serviço",0,IF(AND(AUTOEVENTO="Manual",$M64=1),0,IF(OFFSET(CRONOPLE!$F$14,$M64,AS$13)="",10^12,OFFSET(CRONOPLE!$F$14,$M64,AS$13))))</f>
        <v>0</v>
      </c>
      <c r="AT64" s="181">
        <f ca="1">IF($D64&lt;&gt;"Serviço",0,IF(AND(AUTOEVENTO="Manual",$M64=1),0,IF(OFFSET(CRONOPLE!$F$14,$M64,AT$13)="",10^12,OFFSET(CRONOPLE!$F$14,$M64,AT$13))))</f>
        <v>0</v>
      </c>
      <c r="AU64" s="181">
        <f ca="1">IF($D64&lt;&gt;"Serviço",0,IF(AND(AUTOEVENTO="Manual",$M64=1),0,IF(OFFSET(CRONOPLE!$F$14,$M64,AU$13)="",10^12,OFFSET(CRONOPLE!$F$14,$M64,AU$13))))</f>
        <v>0</v>
      </c>
      <c r="AV64" s="181">
        <f ca="1">IF($D64&lt;&gt;"Serviço",0,IF(AND(AUTOEVENTO="Manual",$M64=1),0,IF(OFFSET(CRONOPLE!$F$14,$M64,AV$13)="",10^12,OFFSET(CRONOPLE!$F$14,$M64,AV$13))))</f>
        <v>0</v>
      </c>
      <c r="AX64" s="182">
        <f ca="1">IF($D64&lt;&gt;"Serviço",0,IF(OR(AND(AUTOEVENTO="Manual",$M64=1),$M64&gt;(ROW(PLE.lastrow)-ROW(PLE.firstrow))),0,IF(OFFSET(PLE!$G$14,$M64,AX$13)="",10^12,OFFSET(PLE!$G$14,$M64,AX$13))))</f>
        <v>0</v>
      </c>
      <c r="AY64" s="182">
        <f ca="1">IF($D64&lt;&gt;"Serviço",0,IF(OR(AND(AUTOEVENTO="Manual",$M64=1),$M64&gt;(ROW(PLE.lastrow)-ROW(PLE.firstrow))),0,IF(OFFSET(PLE!$G$14,$M64,AY$13)="",10^12,OFFSET(PLE!$G$14,$M64,AY$13))))</f>
        <v>0</v>
      </c>
      <c r="AZ64" s="182">
        <f ca="1">IF($D64&lt;&gt;"Serviço",0,IF(OR(AND(AUTOEVENTO="Manual",$M64=1),$M64&gt;(ROW(PLE.lastrow)-ROW(PLE.firstrow))),0,IF(OFFSET(PLE!$G$14,$M64,AZ$13)="",10^12,OFFSET(PLE!$G$14,$M64,AZ$13))))</f>
        <v>0</v>
      </c>
      <c r="BA64" s="182">
        <f ca="1">IF($D64&lt;&gt;"Serviço",0,IF(OR(AND(AUTOEVENTO="Manual",$M64=1),$M64&gt;(ROW(PLE.lastrow)-ROW(PLE.firstrow))),0,IF(OFFSET(PLE!$G$14,$M64,BA$13)="",10^12,OFFSET(PLE!$G$14,$M64,BA$13))))</f>
        <v>0</v>
      </c>
      <c r="BB64" s="182">
        <f ca="1">IF($D64&lt;&gt;"Serviço",0,IF(OR(AND(AUTOEVENTO="Manual",$M64=1),$M64&gt;(ROW(PLE.lastrow)-ROW(PLE.firstrow))),0,IF(OFFSET(PLE!$G$14,$M64,BB$13)="",10^12,OFFSET(PLE!$G$14,$M64,BB$13))))</f>
        <v>0</v>
      </c>
      <c r="BC64" s="182">
        <f ca="1">IF($D64&lt;&gt;"Serviço",0,IF(OR(AND(AUTOEVENTO="Manual",$M64=1),$M64&gt;(ROW(PLE.lastrow)-ROW(PLE.firstrow))),0,IF(OFFSET(PLE!$G$14,$M64,BC$13)="",10^12,OFFSET(PLE!$G$14,$M64,BC$13))))</f>
        <v>0</v>
      </c>
      <c r="BD64" s="182">
        <f ca="1">IF($D64&lt;&gt;"Serviço",0,IF(OR(AND(AUTOEVENTO="Manual",$M64=1),$M64&gt;(ROW(PLE.lastrow)-ROW(PLE.firstrow))),0,IF(OFFSET(PLE!$G$14,$M64,BD$13)="",10^12,OFFSET(PLE!$G$14,$M64,BD$13))))</f>
        <v>0</v>
      </c>
      <c r="BE64" s="182">
        <f ca="1">IF($D64&lt;&gt;"Serviço",0,IF(OR(AND(AUTOEVENTO="Manual",$M64=1),$M64&gt;(ROW(PLE.lastrow)-ROW(PLE.firstrow))),0,IF(OFFSET(PLE!$G$14,$M64,BE$13)="",10^12,OFFSET(PLE!$G$14,$M64,BE$13))))</f>
        <v>0</v>
      </c>
      <c r="BF64" s="182">
        <f ca="1">IF($D64&lt;&gt;"Serviço",0,IF(OR(AND(AUTOEVENTO="Manual",$M64=1),$M64&gt;(ROW(PLE.lastrow)-ROW(PLE.firstrow))),0,IF(OFFSET(PLE!$G$14,$M64,BF$13)="",10^12,OFFSET(PLE!$G$14,$M64,BF$13))))</f>
        <v>0</v>
      </c>
      <c r="BG64" s="182">
        <f ca="1">IF($D64&lt;&gt;"Serviço",0,IF(OR(AND(AUTOEVENTO="Manual",$M64=1),$M64&gt;(ROW(PLE.lastrow)-ROW(PLE.firstrow))),0,IF(OFFSET(PLE!$G$14,$M64,BG$13)="",10^12,OFFSET(PLE!$G$14,$M64,BG$13))))</f>
        <v>0</v>
      </c>
    </row>
    <row r="65" spans="1:59" ht="25.5" x14ac:dyDescent="0.2">
      <c r="A65" s="7" t="str">
        <f t="shared" ca="1" si="8"/>
        <v>26</v>
      </c>
      <c r="B65" s="7" t="str">
        <f ca="1">OFFSET(ORÇAMENTO!C$15,ROW(B65)-ROW(B$15),0)</f>
        <v>S</v>
      </c>
      <c r="C65" s="7" t="str">
        <f ca="1">OFFSET(ORÇAMENTO!L$15,ROW(C65)-ROW(C$15),0)</f>
        <v>F</v>
      </c>
      <c r="D65" s="118" t="str">
        <f ca="1">OFFSET(ORÇAMENTO!N$15,ROW(D65)-ROW(D$15),0)</f>
        <v>Serviço</v>
      </c>
      <c r="E65" s="119" t="str">
        <f ca="1">OFFSET(ORÇAMENTO!O$15,ROW(E65)-ROW(E$15),0)</f>
        <v>1.3.2.1.</v>
      </c>
      <c r="F65" s="172" t="str">
        <f ca="1">OFFSET(ORÇAMENTO!R$15,ROW(F65)-ROW(F$15),0)</f>
        <v>(abra o arquivo 'Referência 03-2024.xlsm)</v>
      </c>
      <c r="G65" s="173" t="str">
        <f ca="1">IF($D65&lt;&gt;"Serviço","",OFFSET(ORÇAMENTO!S$15,ROW(G65)-ROW(G$15),0))</f>
        <v>-</v>
      </c>
      <c r="H65" s="124">
        <f ca="1">IF($D65&lt;&gt;"Serviço",0,IF(ACOMPANHAMENTO="BM",ROUND(OFFSET(ORÇAMENTO!AJ$15,ROW(H65)-ROW(H$15),0),15-13*ORÇAMENTO!$AF$7),SUMPRODUCT(($Q$12:$AA$12&lt;&gt;"")*ROUND($Q65:$AA65,15-13*ORÇAMENTO!$AF$7))))</f>
        <v>0.72</v>
      </c>
      <c r="I65" s="561"/>
      <c r="K65" s="174"/>
      <c r="L65" s="175" t="s">
        <v>255</v>
      </c>
      <c r="M65" s="176">
        <f ca="1">IF($D65&lt;&gt;"Serviço","",IF(AUTOEVENTO="manual",$A65,IF(ISERROR(MATCH($A65,$A$15:OFFSET($A65,-1,0),0)),MAX($M$15:OFFSET(M65,-1,0))+1,INDEX($M$15:OFFSET(M65,-1,0),MATCH($A65,$A$15:OFFSET($A65,-1,0),0)))))</f>
        <v>4</v>
      </c>
      <c r="N65" s="177" t="str">
        <f ca="1">IF($D65&lt;&gt;"Serviço","",IF(AUTOEVENTO="Manual",IF($A65=0,"&lt;-- defina o número do agrupador",OFFSET(EVENTOS!$D$14,$A65,0)),OFFSET($F$15,$A65,0)))</f>
        <v>ENTRADA DE ENERGIA PADRÃO, MURETA E QGBT</v>
      </c>
      <c r="O65" s="178"/>
      <c r="Q65" s="178"/>
      <c r="R65" s="179"/>
      <c r="S65" s="179"/>
      <c r="T65" s="179"/>
      <c r="U65" s="179"/>
      <c r="V65" s="179"/>
      <c r="W65" s="179"/>
      <c r="X65" s="179"/>
      <c r="Y65" s="179"/>
      <c r="Z65" s="180"/>
      <c r="AB65" s="544">
        <f ca="1">IF(AND($D65="Serviço",AB$12&lt;&gt;0,$H65&gt;0,OR(AUTOEVENTO&lt;&gt;"manual",$M65&lt;&gt;1)),
IF(Import.TipoArredondamento&lt;&gt;"TransfereGOV",
ROUND(OFFSET($P65,0,AB$13),15-13*ORÇAMENTO!$AF$7)/$H65*OFFSET(ORÇAMENTO!$X$15,ROW(AB65)-ROW(AB$15),0),
ROUND(ROUND(OFFSET($P65,0,AB$13),15-13*ORÇAMENTO!$AF$7)*OFFSET(ORÇAMENTO!$W$15,ROW(AB65)-ROW(AB$15),0),15-13*ORÇAMENTO!$AF$11)),0)</f>
        <v>0</v>
      </c>
      <c r="AC65" s="545">
        <f ca="1">IF(AND($D65="Serviço",AC$12&lt;&gt;0,$H65&gt;0,OR(AUTOEVENTO&lt;&gt;"manual",$M65&lt;&gt;1)),
IF(Import.TipoArredondamento&lt;&gt;"TransfereGOV",
ROUND(OFFSET($P65,0,AC$13),15-13*ORÇAMENTO!$AF$7)/$H65*OFFSET(ORÇAMENTO!$X$15,ROW(AC65)-ROW(AC$15),0),
ROUND(ROUND(OFFSET($P65,0,AC$13),15-13*ORÇAMENTO!$AF$7)*OFFSET(ORÇAMENTO!$W$15,ROW(AC65)-ROW(AC$15),0),15-13*ORÇAMENTO!$AF$11)),0)</f>
        <v>0</v>
      </c>
      <c r="AD65" s="545">
        <f ca="1">IF(AND($D65="Serviço",AD$12&lt;&gt;0,$H65&gt;0,OR(AUTOEVENTO&lt;&gt;"manual",$M65&lt;&gt;1)),
IF(Import.TipoArredondamento&lt;&gt;"TransfereGOV",
ROUND(OFFSET($P65,0,AD$13),15-13*ORÇAMENTO!$AF$7)/$H65*OFFSET(ORÇAMENTO!$X$15,ROW(AD65)-ROW(AD$15),0),
ROUND(ROUND(OFFSET($P65,0,AD$13),15-13*ORÇAMENTO!$AF$7)*OFFSET(ORÇAMENTO!$W$15,ROW(AD65)-ROW(AD$15),0),15-13*ORÇAMENTO!$AF$11)),0)</f>
        <v>0</v>
      </c>
      <c r="AE65" s="545">
        <f ca="1">IF(AND($D65="Serviço",AE$12&lt;&gt;0,$H65&gt;0,OR(AUTOEVENTO&lt;&gt;"manual",$M65&lt;&gt;1)),
IF(Import.TipoArredondamento&lt;&gt;"TransfereGOV",
ROUND(OFFSET($P65,0,AE$13),15-13*ORÇAMENTO!$AF$7)/$H65*OFFSET(ORÇAMENTO!$X$15,ROW(AE65)-ROW(AE$15),0),
ROUND(ROUND(OFFSET($P65,0,AE$13),15-13*ORÇAMENTO!$AF$7)*OFFSET(ORÇAMENTO!$W$15,ROW(AE65)-ROW(AE$15),0),15-13*ORÇAMENTO!$AF$11)),0)</f>
        <v>0</v>
      </c>
      <c r="AF65" s="545">
        <f ca="1">IF(AND($D65="Serviço",AF$12&lt;&gt;0,$H65&gt;0,OR(AUTOEVENTO&lt;&gt;"manual",$M65&lt;&gt;1)),
IF(Import.TipoArredondamento&lt;&gt;"TransfereGOV",
ROUND(OFFSET($P65,0,AF$13),15-13*ORÇAMENTO!$AF$7)/$H65*OFFSET(ORÇAMENTO!$X$15,ROW(AF65)-ROW(AF$15),0),
ROUND(ROUND(OFFSET($P65,0,AF$13),15-13*ORÇAMENTO!$AF$7)*OFFSET(ORÇAMENTO!$W$15,ROW(AF65)-ROW(AF$15),0),15-13*ORÇAMENTO!$AF$11)),0)</f>
        <v>0</v>
      </c>
      <c r="AG65" s="545">
        <f ca="1">IF(AND($D65="Serviço",AG$12&lt;&gt;0,$H65&gt;0,OR(AUTOEVENTO&lt;&gt;"manual",$M65&lt;&gt;1)),
IF(Import.TipoArredondamento&lt;&gt;"TransfereGOV",
ROUND(OFFSET($P65,0,AG$13),15-13*ORÇAMENTO!$AF$7)/$H65*OFFSET(ORÇAMENTO!$X$15,ROW(AG65)-ROW(AG$15),0),
ROUND(ROUND(OFFSET($P65,0,AG$13),15-13*ORÇAMENTO!$AF$7)*OFFSET(ORÇAMENTO!$W$15,ROW(AG65)-ROW(AG$15),0),15-13*ORÇAMENTO!$AF$11)),0)</f>
        <v>0</v>
      </c>
      <c r="AH65" s="545">
        <f ca="1">IF(AND($D65="Serviço",AH$12&lt;&gt;0,$H65&gt;0,OR(AUTOEVENTO&lt;&gt;"manual",$M65&lt;&gt;1)),
IF(Import.TipoArredondamento&lt;&gt;"TransfereGOV",
ROUND(OFFSET($P65,0,AH$13),15-13*ORÇAMENTO!$AF$7)/$H65*OFFSET(ORÇAMENTO!$X$15,ROW(AH65)-ROW(AH$15),0),
ROUND(ROUND(OFFSET($P65,0,AH$13),15-13*ORÇAMENTO!$AF$7)*OFFSET(ORÇAMENTO!$W$15,ROW(AH65)-ROW(AH$15),0),15-13*ORÇAMENTO!$AF$11)),0)</f>
        <v>0</v>
      </c>
      <c r="AI65" s="545">
        <f ca="1">IF(AND($D65="Serviço",AI$12&lt;&gt;0,$H65&gt;0,OR(AUTOEVENTO&lt;&gt;"manual",$M65&lt;&gt;1)),
IF(Import.TipoArredondamento&lt;&gt;"TransfereGOV",
ROUND(OFFSET($P65,0,AI$13),15-13*ORÇAMENTO!$AF$7)/$H65*OFFSET(ORÇAMENTO!$X$15,ROW(AI65)-ROW(AI$15),0),
ROUND(ROUND(OFFSET($P65,0,AI$13),15-13*ORÇAMENTO!$AF$7)*OFFSET(ORÇAMENTO!$W$15,ROW(AI65)-ROW(AI$15),0),15-13*ORÇAMENTO!$AF$11)),0)</f>
        <v>0</v>
      </c>
      <c r="AJ65" s="545">
        <f ca="1">IF(AND($D65="Serviço",AJ$12&lt;&gt;0,$H65&gt;0,OR(AUTOEVENTO&lt;&gt;"manual",$M65&lt;&gt;1)),
IF(Import.TipoArredondamento&lt;&gt;"TransfereGOV",
ROUND(OFFSET($P65,0,AJ$13),15-13*ORÇAMENTO!$AF$7)/$H65*OFFSET(ORÇAMENTO!$X$15,ROW(AJ65)-ROW(AJ$15),0),
ROUND(ROUND(OFFSET($P65,0,AJ$13),15-13*ORÇAMENTO!$AF$7)*OFFSET(ORÇAMENTO!$W$15,ROW(AJ65)-ROW(AJ$15),0),15-13*ORÇAMENTO!$AF$11)),0)</f>
        <v>0</v>
      </c>
      <c r="AK65" s="546">
        <f ca="1">IF(AND($D65="Serviço",AK$12&lt;&gt;0,$H65&gt;0,OR(AUTOEVENTO&lt;&gt;"manual",$M65&lt;&gt;1)),
IF(Import.TipoArredondamento&lt;&gt;"TransfereGOV",
ROUND(OFFSET($P65,0,AK$13),15-13*ORÇAMENTO!$AF$7)/$H65*OFFSET(ORÇAMENTO!$X$15,ROW(AK65)-ROW(AK$15),0),
ROUND(ROUND(OFFSET($P65,0,AK$13),15-13*ORÇAMENTO!$AF$7)*OFFSET(ORÇAMENTO!$W$15,ROW(AK65)-ROW(AK$15),0),15-13*ORÇAMENTO!$AF$11)),0)</f>
        <v>0</v>
      </c>
      <c r="AM65" s="181">
        <f ca="1">IF($D65&lt;&gt;"Serviço",0,IF(AND(AUTOEVENTO="Manual",$M65=1),0,IF(OFFSET(CRONOPLE!$F$14,$M65,AM$13)="",10^12,OFFSET(CRONOPLE!$F$14,$M65,AM$13))))</f>
        <v>1000000000000</v>
      </c>
      <c r="AN65" s="181">
        <f ca="1">IF($D65&lt;&gt;"Serviço",0,IF(AND(AUTOEVENTO="Manual",$M65=1),0,IF(OFFSET(CRONOPLE!$F$14,$M65,AN$13)="",10^12,OFFSET(CRONOPLE!$F$14,$M65,AN$13))))</f>
        <v>1000000000000</v>
      </c>
      <c r="AO65" s="181">
        <f ca="1">IF($D65&lt;&gt;"Serviço",0,IF(AND(AUTOEVENTO="Manual",$M65=1),0,IF(OFFSET(CRONOPLE!$F$14,$M65,AO$13)="",10^12,OFFSET(CRONOPLE!$F$14,$M65,AO$13))))</f>
        <v>1000000000000</v>
      </c>
      <c r="AP65" s="181">
        <f ca="1">IF($D65&lt;&gt;"Serviço",0,IF(AND(AUTOEVENTO="Manual",$M65=1),0,IF(OFFSET(CRONOPLE!$F$14,$M65,AP$13)="",10^12,OFFSET(CRONOPLE!$F$14,$M65,AP$13))))</f>
        <v>1000000000000</v>
      </c>
      <c r="AQ65" s="181">
        <f ca="1">IF($D65&lt;&gt;"Serviço",0,IF(AND(AUTOEVENTO="Manual",$M65=1),0,IF(OFFSET(CRONOPLE!$F$14,$M65,AQ$13)="",10^12,OFFSET(CRONOPLE!$F$14,$M65,AQ$13))))</f>
        <v>1000000000000</v>
      </c>
      <c r="AR65" s="181">
        <f ca="1">IF($D65&lt;&gt;"Serviço",0,IF(AND(AUTOEVENTO="Manual",$M65=1),0,IF(OFFSET(CRONOPLE!$F$14,$M65,AR$13)="",10^12,OFFSET(CRONOPLE!$F$14,$M65,AR$13))))</f>
        <v>1000000000000</v>
      </c>
      <c r="AS65" s="181">
        <f ca="1">IF($D65&lt;&gt;"Serviço",0,IF(AND(AUTOEVENTO="Manual",$M65=1),0,IF(OFFSET(CRONOPLE!$F$14,$M65,AS$13)="",10^12,OFFSET(CRONOPLE!$F$14,$M65,AS$13))))</f>
        <v>1000000000000</v>
      </c>
      <c r="AT65" s="181">
        <f ca="1">IF($D65&lt;&gt;"Serviço",0,IF(AND(AUTOEVENTO="Manual",$M65=1),0,IF(OFFSET(CRONOPLE!$F$14,$M65,AT$13)="",10^12,OFFSET(CRONOPLE!$F$14,$M65,AT$13))))</f>
        <v>1000000000000</v>
      </c>
      <c r="AU65" s="181">
        <f ca="1">IF($D65&lt;&gt;"Serviço",0,IF(AND(AUTOEVENTO="Manual",$M65=1),0,IF(OFFSET(CRONOPLE!$F$14,$M65,AU$13)="",10^12,OFFSET(CRONOPLE!$F$14,$M65,AU$13))))</f>
        <v>1000000000000</v>
      </c>
      <c r="AV65" s="181">
        <f ca="1">IF($D65&lt;&gt;"Serviço",0,IF(AND(AUTOEVENTO="Manual",$M65=1),0,IF(OFFSET(CRONOPLE!$F$14,$M65,AV$13)="",10^12,OFFSET(CRONOPLE!$F$14,$M65,AV$13))))</f>
        <v>1000000000000</v>
      </c>
      <c r="AX65" s="182">
        <f ca="1">IF($D65&lt;&gt;"Serviço",0,IF(OR(AND(AUTOEVENTO="Manual",$M65=1),$M65&gt;(ROW(PLE.lastrow)-ROW(PLE.firstrow))),0,IF(OFFSET(PLE!$G$14,$M65,AX$13)="",10^12,OFFSET(PLE!$G$14,$M65,AX$13))))</f>
        <v>1000000000000</v>
      </c>
      <c r="AY65" s="182">
        <f ca="1">IF($D65&lt;&gt;"Serviço",0,IF(OR(AND(AUTOEVENTO="Manual",$M65=1),$M65&gt;(ROW(PLE.lastrow)-ROW(PLE.firstrow))),0,IF(OFFSET(PLE!$G$14,$M65,AY$13)="",10^12,OFFSET(PLE!$G$14,$M65,AY$13))))</f>
        <v>1000000000000</v>
      </c>
      <c r="AZ65" s="182">
        <f ca="1">IF($D65&lt;&gt;"Serviço",0,IF(OR(AND(AUTOEVENTO="Manual",$M65=1),$M65&gt;(ROW(PLE.lastrow)-ROW(PLE.firstrow))),0,IF(OFFSET(PLE!$G$14,$M65,AZ$13)="",10^12,OFFSET(PLE!$G$14,$M65,AZ$13))))</f>
        <v>1000000000000</v>
      </c>
      <c r="BA65" s="182">
        <f ca="1">IF($D65&lt;&gt;"Serviço",0,IF(OR(AND(AUTOEVENTO="Manual",$M65=1),$M65&gt;(ROW(PLE.lastrow)-ROW(PLE.firstrow))),0,IF(OFFSET(PLE!$G$14,$M65,BA$13)="",10^12,OFFSET(PLE!$G$14,$M65,BA$13))))</f>
        <v>1000000000000</v>
      </c>
      <c r="BB65" s="182">
        <f ca="1">IF($D65&lt;&gt;"Serviço",0,IF(OR(AND(AUTOEVENTO="Manual",$M65=1),$M65&gt;(ROW(PLE.lastrow)-ROW(PLE.firstrow))),0,IF(OFFSET(PLE!$G$14,$M65,BB$13)="",10^12,OFFSET(PLE!$G$14,$M65,BB$13))))</f>
        <v>1000000000000</v>
      </c>
      <c r="BC65" s="182">
        <f ca="1">IF($D65&lt;&gt;"Serviço",0,IF(OR(AND(AUTOEVENTO="Manual",$M65=1),$M65&gt;(ROW(PLE.lastrow)-ROW(PLE.firstrow))),0,IF(OFFSET(PLE!$G$14,$M65,BC$13)="",10^12,OFFSET(PLE!$G$14,$M65,BC$13))))</f>
        <v>1000000000000</v>
      </c>
      <c r="BD65" s="182">
        <f ca="1">IF($D65&lt;&gt;"Serviço",0,IF(OR(AND(AUTOEVENTO="Manual",$M65=1),$M65&gt;(ROW(PLE.lastrow)-ROW(PLE.firstrow))),0,IF(OFFSET(PLE!$G$14,$M65,BD$13)="",10^12,OFFSET(PLE!$G$14,$M65,BD$13))))</f>
        <v>1000000000000</v>
      </c>
      <c r="BE65" s="182">
        <f ca="1">IF($D65&lt;&gt;"Serviço",0,IF(OR(AND(AUTOEVENTO="Manual",$M65=1),$M65&gt;(ROW(PLE.lastrow)-ROW(PLE.firstrow))),0,IF(OFFSET(PLE!$G$14,$M65,BE$13)="",10^12,OFFSET(PLE!$G$14,$M65,BE$13))))</f>
        <v>1000000000000</v>
      </c>
      <c r="BF65" s="182">
        <f ca="1">IF($D65&lt;&gt;"Serviço",0,IF(OR(AND(AUTOEVENTO="Manual",$M65=1),$M65&gt;(ROW(PLE.lastrow)-ROW(PLE.firstrow))),0,IF(OFFSET(PLE!$G$14,$M65,BF$13)="",10^12,OFFSET(PLE!$G$14,$M65,BF$13))))</f>
        <v>1000000000000</v>
      </c>
      <c r="BG65" s="182">
        <f ca="1">IF($D65&lt;&gt;"Serviço",0,IF(OR(AND(AUTOEVENTO="Manual",$M65=1),$M65&gt;(ROW(PLE.lastrow)-ROW(PLE.firstrow))),0,IF(OFFSET(PLE!$G$14,$M65,BG$13)="",10^12,OFFSET(PLE!$G$14,$M65,BG$13))))</f>
        <v>1000000000000</v>
      </c>
    </row>
    <row r="66" spans="1:59" ht="25.5" x14ac:dyDescent="0.2">
      <c r="A66" s="7" t="str">
        <f t="shared" ca="1" si="8"/>
        <v>26</v>
      </c>
      <c r="B66" s="7" t="str">
        <f ca="1">OFFSET(ORÇAMENTO!C$15,ROW(B66)-ROW(B$15),0)</f>
        <v>S</v>
      </c>
      <c r="C66" s="7" t="str">
        <f ca="1">OFFSET(ORÇAMENTO!L$15,ROW(C66)-ROW(C$15),0)</f>
        <v>F</v>
      </c>
      <c r="D66" s="118" t="str">
        <f ca="1">OFFSET(ORÇAMENTO!N$15,ROW(D66)-ROW(D$15),0)</f>
        <v>Serviço</v>
      </c>
      <c r="E66" s="119" t="str">
        <f ca="1">OFFSET(ORÇAMENTO!O$15,ROW(E66)-ROW(E$15),0)</f>
        <v>1.3.2.2.</v>
      </c>
      <c r="F66" s="172" t="str">
        <f ca="1">OFFSET(ORÇAMENTO!R$15,ROW(F66)-ROW(F$15),0)</f>
        <v>(abra o arquivo 'Referência 03-2024.xlsm)</v>
      </c>
      <c r="G66" s="173" t="str">
        <f ca="1">IF($D66&lt;&gt;"Serviço","",OFFSET(ORÇAMENTO!S$15,ROW(G66)-ROW(G$15),0))</f>
        <v>-</v>
      </c>
      <c r="H66" s="124">
        <f ca="1">IF($D66&lt;&gt;"Serviço",0,IF(ACOMPANHAMENTO="BM",ROUND(OFFSET(ORÇAMENTO!AJ$15,ROW(H66)-ROW(H$15),0),15-13*ORÇAMENTO!$AF$7),SUMPRODUCT(($Q$12:$AA$12&lt;&gt;"")*ROUND($Q66:$AA66,15-13*ORÇAMENTO!$AF$7))))</f>
        <v>12</v>
      </c>
      <c r="I66" s="561"/>
      <c r="K66" s="174"/>
      <c r="L66" s="175" t="s">
        <v>255</v>
      </c>
      <c r="M66" s="176">
        <f ca="1">IF($D66&lt;&gt;"Serviço","",IF(AUTOEVENTO="manual",$A66,IF(ISERROR(MATCH($A66,$A$15:OFFSET($A66,-1,0),0)),MAX($M$15:OFFSET(M66,-1,0))+1,INDEX($M$15:OFFSET(M66,-1,0),MATCH($A66,$A$15:OFFSET($A66,-1,0),0)))))</f>
        <v>4</v>
      </c>
      <c r="N66" s="177" t="str">
        <f ca="1">IF($D66&lt;&gt;"Serviço","",IF(AUTOEVENTO="Manual",IF($A66=0,"&lt;-- defina o número do agrupador",OFFSET(EVENTOS!$D$14,$A66,0)),OFFSET($F$15,$A66,0)))</f>
        <v>ENTRADA DE ENERGIA PADRÃO, MURETA E QGBT</v>
      </c>
      <c r="O66" s="178"/>
      <c r="Q66" s="178"/>
      <c r="R66" s="179"/>
      <c r="S66" s="179"/>
      <c r="T66" s="179"/>
      <c r="U66" s="179"/>
      <c r="V66" s="179"/>
      <c r="W66" s="179"/>
      <c r="X66" s="179"/>
      <c r="Y66" s="179"/>
      <c r="Z66" s="180"/>
      <c r="AB66" s="544">
        <f ca="1">IF(AND($D66="Serviço",AB$12&lt;&gt;0,$H66&gt;0,OR(AUTOEVENTO&lt;&gt;"manual",$M66&lt;&gt;1)),
IF(Import.TipoArredondamento&lt;&gt;"TransfereGOV",
ROUND(OFFSET($P66,0,AB$13),15-13*ORÇAMENTO!$AF$7)/$H66*OFFSET(ORÇAMENTO!$X$15,ROW(AB66)-ROW(AB$15),0),
ROUND(ROUND(OFFSET($P66,0,AB$13),15-13*ORÇAMENTO!$AF$7)*OFFSET(ORÇAMENTO!$W$15,ROW(AB66)-ROW(AB$15),0),15-13*ORÇAMENTO!$AF$11)),0)</f>
        <v>0</v>
      </c>
      <c r="AC66" s="545">
        <f ca="1">IF(AND($D66="Serviço",AC$12&lt;&gt;0,$H66&gt;0,OR(AUTOEVENTO&lt;&gt;"manual",$M66&lt;&gt;1)),
IF(Import.TipoArredondamento&lt;&gt;"TransfereGOV",
ROUND(OFFSET($P66,0,AC$13),15-13*ORÇAMENTO!$AF$7)/$H66*OFFSET(ORÇAMENTO!$X$15,ROW(AC66)-ROW(AC$15),0),
ROUND(ROUND(OFFSET($P66,0,AC$13),15-13*ORÇAMENTO!$AF$7)*OFFSET(ORÇAMENTO!$W$15,ROW(AC66)-ROW(AC$15),0),15-13*ORÇAMENTO!$AF$11)),0)</f>
        <v>0</v>
      </c>
      <c r="AD66" s="545">
        <f ca="1">IF(AND($D66="Serviço",AD$12&lt;&gt;0,$H66&gt;0,OR(AUTOEVENTO&lt;&gt;"manual",$M66&lt;&gt;1)),
IF(Import.TipoArredondamento&lt;&gt;"TransfereGOV",
ROUND(OFFSET($P66,0,AD$13),15-13*ORÇAMENTO!$AF$7)/$H66*OFFSET(ORÇAMENTO!$X$15,ROW(AD66)-ROW(AD$15),0),
ROUND(ROUND(OFFSET($P66,0,AD$13),15-13*ORÇAMENTO!$AF$7)*OFFSET(ORÇAMENTO!$W$15,ROW(AD66)-ROW(AD$15),0),15-13*ORÇAMENTO!$AF$11)),0)</f>
        <v>0</v>
      </c>
      <c r="AE66" s="545">
        <f ca="1">IF(AND($D66="Serviço",AE$12&lt;&gt;0,$H66&gt;0,OR(AUTOEVENTO&lt;&gt;"manual",$M66&lt;&gt;1)),
IF(Import.TipoArredondamento&lt;&gt;"TransfereGOV",
ROUND(OFFSET($P66,0,AE$13),15-13*ORÇAMENTO!$AF$7)/$H66*OFFSET(ORÇAMENTO!$X$15,ROW(AE66)-ROW(AE$15),0),
ROUND(ROUND(OFFSET($P66,0,AE$13),15-13*ORÇAMENTO!$AF$7)*OFFSET(ORÇAMENTO!$W$15,ROW(AE66)-ROW(AE$15),0),15-13*ORÇAMENTO!$AF$11)),0)</f>
        <v>0</v>
      </c>
      <c r="AF66" s="545">
        <f ca="1">IF(AND($D66="Serviço",AF$12&lt;&gt;0,$H66&gt;0,OR(AUTOEVENTO&lt;&gt;"manual",$M66&lt;&gt;1)),
IF(Import.TipoArredondamento&lt;&gt;"TransfereGOV",
ROUND(OFFSET($P66,0,AF$13),15-13*ORÇAMENTO!$AF$7)/$H66*OFFSET(ORÇAMENTO!$X$15,ROW(AF66)-ROW(AF$15),0),
ROUND(ROUND(OFFSET($P66,0,AF$13),15-13*ORÇAMENTO!$AF$7)*OFFSET(ORÇAMENTO!$W$15,ROW(AF66)-ROW(AF$15),0),15-13*ORÇAMENTO!$AF$11)),0)</f>
        <v>0</v>
      </c>
      <c r="AG66" s="545">
        <f ca="1">IF(AND($D66="Serviço",AG$12&lt;&gt;0,$H66&gt;0,OR(AUTOEVENTO&lt;&gt;"manual",$M66&lt;&gt;1)),
IF(Import.TipoArredondamento&lt;&gt;"TransfereGOV",
ROUND(OFFSET($P66,0,AG$13),15-13*ORÇAMENTO!$AF$7)/$H66*OFFSET(ORÇAMENTO!$X$15,ROW(AG66)-ROW(AG$15),0),
ROUND(ROUND(OFFSET($P66,0,AG$13),15-13*ORÇAMENTO!$AF$7)*OFFSET(ORÇAMENTO!$W$15,ROW(AG66)-ROW(AG$15),0),15-13*ORÇAMENTO!$AF$11)),0)</f>
        <v>0</v>
      </c>
      <c r="AH66" s="545">
        <f ca="1">IF(AND($D66="Serviço",AH$12&lt;&gt;0,$H66&gt;0,OR(AUTOEVENTO&lt;&gt;"manual",$M66&lt;&gt;1)),
IF(Import.TipoArredondamento&lt;&gt;"TransfereGOV",
ROUND(OFFSET($P66,0,AH$13),15-13*ORÇAMENTO!$AF$7)/$H66*OFFSET(ORÇAMENTO!$X$15,ROW(AH66)-ROW(AH$15),0),
ROUND(ROUND(OFFSET($P66,0,AH$13),15-13*ORÇAMENTO!$AF$7)*OFFSET(ORÇAMENTO!$W$15,ROW(AH66)-ROW(AH$15),0),15-13*ORÇAMENTO!$AF$11)),0)</f>
        <v>0</v>
      </c>
      <c r="AI66" s="545">
        <f ca="1">IF(AND($D66="Serviço",AI$12&lt;&gt;0,$H66&gt;0,OR(AUTOEVENTO&lt;&gt;"manual",$M66&lt;&gt;1)),
IF(Import.TipoArredondamento&lt;&gt;"TransfereGOV",
ROUND(OFFSET($P66,0,AI$13),15-13*ORÇAMENTO!$AF$7)/$H66*OFFSET(ORÇAMENTO!$X$15,ROW(AI66)-ROW(AI$15),0),
ROUND(ROUND(OFFSET($P66,0,AI$13),15-13*ORÇAMENTO!$AF$7)*OFFSET(ORÇAMENTO!$W$15,ROW(AI66)-ROW(AI$15),0),15-13*ORÇAMENTO!$AF$11)),0)</f>
        <v>0</v>
      </c>
      <c r="AJ66" s="545">
        <f ca="1">IF(AND($D66="Serviço",AJ$12&lt;&gt;0,$H66&gt;0,OR(AUTOEVENTO&lt;&gt;"manual",$M66&lt;&gt;1)),
IF(Import.TipoArredondamento&lt;&gt;"TransfereGOV",
ROUND(OFFSET($P66,0,AJ$13),15-13*ORÇAMENTO!$AF$7)/$H66*OFFSET(ORÇAMENTO!$X$15,ROW(AJ66)-ROW(AJ$15),0),
ROUND(ROUND(OFFSET($P66,0,AJ$13),15-13*ORÇAMENTO!$AF$7)*OFFSET(ORÇAMENTO!$W$15,ROW(AJ66)-ROW(AJ$15),0),15-13*ORÇAMENTO!$AF$11)),0)</f>
        <v>0</v>
      </c>
      <c r="AK66" s="546">
        <f ca="1">IF(AND($D66="Serviço",AK$12&lt;&gt;0,$H66&gt;0,OR(AUTOEVENTO&lt;&gt;"manual",$M66&lt;&gt;1)),
IF(Import.TipoArredondamento&lt;&gt;"TransfereGOV",
ROUND(OFFSET($P66,0,AK$13),15-13*ORÇAMENTO!$AF$7)/$H66*OFFSET(ORÇAMENTO!$X$15,ROW(AK66)-ROW(AK$15),0),
ROUND(ROUND(OFFSET($P66,0,AK$13),15-13*ORÇAMENTO!$AF$7)*OFFSET(ORÇAMENTO!$W$15,ROW(AK66)-ROW(AK$15),0),15-13*ORÇAMENTO!$AF$11)),0)</f>
        <v>0</v>
      </c>
      <c r="AM66" s="181">
        <f ca="1">IF($D66&lt;&gt;"Serviço",0,IF(AND(AUTOEVENTO="Manual",$M66=1),0,IF(OFFSET(CRONOPLE!$F$14,$M66,AM$13)="",10^12,OFFSET(CRONOPLE!$F$14,$M66,AM$13))))</f>
        <v>1000000000000</v>
      </c>
      <c r="AN66" s="181">
        <f ca="1">IF($D66&lt;&gt;"Serviço",0,IF(AND(AUTOEVENTO="Manual",$M66=1),0,IF(OFFSET(CRONOPLE!$F$14,$M66,AN$13)="",10^12,OFFSET(CRONOPLE!$F$14,$M66,AN$13))))</f>
        <v>1000000000000</v>
      </c>
      <c r="AO66" s="181">
        <f ca="1">IF($D66&lt;&gt;"Serviço",0,IF(AND(AUTOEVENTO="Manual",$M66=1),0,IF(OFFSET(CRONOPLE!$F$14,$M66,AO$13)="",10^12,OFFSET(CRONOPLE!$F$14,$M66,AO$13))))</f>
        <v>1000000000000</v>
      </c>
      <c r="AP66" s="181">
        <f ca="1">IF($D66&lt;&gt;"Serviço",0,IF(AND(AUTOEVENTO="Manual",$M66=1),0,IF(OFFSET(CRONOPLE!$F$14,$M66,AP$13)="",10^12,OFFSET(CRONOPLE!$F$14,$M66,AP$13))))</f>
        <v>1000000000000</v>
      </c>
      <c r="AQ66" s="181">
        <f ca="1">IF($D66&lt;&gt;"Serviço",0,IF(AND(AUTOEVENTO="Manual",$M66=1),0,IF(OFFSET(CRONOPLE!$F$14,$M66,AQ$13)="",10^12,OFFSET(CRONOPLE!$F$14,$M66,AQ$13))))</f>
        <v>1000000000000</v>
      </c>
      <c r="AR66" s="181">
        <f ca="1">IF($D66&lt;&gt;"Serviço",0,IF(AND(AUTOEVENTO="Manual",$M66=1),0,IF(OFFSET(CRONOPLE!$F$14,$M66,AR$13)="",10^12,OFFSET(CRONOPLE!$F$14,$M66,AR$13))))</f>
        <v>1000000000000</v>
      </c>
      <c r="AS66" s="181">
        <f ca="1">IF($D66&lt;&gt;"Serviço",0,IF(AND(AUTOEVENTO="Manual",$M66=1),0,IF(OFFSET(CRONOPLE!$F$14,$M66,AS$13)="",10^12,OFFSET(CRONOPLE!$F$14,$M66,AS$13))))</f>
        <v>1000000000000</v>
      </c>
      <c r="AT66" s="181">
        <f ca="1">IF($D66&lt;&gt;"Serviço",0,IF(AND(AUTOEVENTO="Manual",$M66=1),0,IF(OFFSET(CRONOPLE!$F$14,$M66,AT$13)="",10^12,OFFSET(CRONOPLE!$F$14,$M66,AT$13))))</f>
        <v>1000000000000</v>
      </c>
      <c r="AU66" s="181">
        <f ca="1">IF($D66&lt;&gt;"Serviço",0,IF(AND(AUTOEVENTO="Manual",$M66=1),0,IF(OFFSET(CRONOPLE!$F$14,$M66,AU$13)="",10^12,OFFSET(CRONOPLE!$F$14,$M66,AU$13))))</f>
        <v>1000000000000</v>
      </c>
      <c r="AV66" s="181">
        <f ca="1">IF($D66&lt;&gt;"Serviço",0,IF(AND(AUTOEVENTO="Manual",$M66=1),0,IF(OFFSET(CRONOPLE!$F$14,$M66,AV$13)="",10^12,OFFSET(CRONOPLE!$F$14,$M66,AV$13))))</f>
        <v>1000000000000</v>
      </c>
      <c r="AX66" s="182">
        <f ca="1">IF($D66&lt;&gt;"Serviço",0,IF(OR(AND(AUTOEVENTO="Manual",$M66=1),$M66&gt;(ROW(PLE.lastrow)-ROW(PLE.firstrow))),0,IF(OFFSET(PLE!$G$14,$M66,AX$13)="",10^12,OFFSET(PLE!$G$14,$M66,AX$13))))</f>
        <v>1000000000000</v>
      </c>
      <c r="AY66" s="182">
        <f ca="1">IF($D66&lt;&gt;"Serviço",0,IF(OR(AND(AUTOEVENTO="Manual",$M66=1),$M66&gt;(ROW(PLE.lastrow)-ROW(PLE.firstrow))),0,IF(OFFSET(PLE!$G$14,$M66,AY$13)="",10^12,OFFSET(PLE!$G$14,$M66,AY$13))))</f>
        <v>1000000000000</v>
      </c>
      <c r="AZ66" s="182">
        <f ca="1">IF($D66&lt;&gt;"Serviço",0,IF(OR(AND(AUTOEVENTO="Manual",$M66=1),$M66&gt;(ROW(PLE.lastrow)-ROW(PLE.firstrow))),0,IF(OFFSET(PLE!$G$14,$M66,AZ$13)="",10^12,OFFSET(PLE!$G$14,$M66,AZ$13))))</f>
        <v>1000000000000</v>
      </c>
      <c r="BA66" s="182">
        <f ca="1">IF($D66&lt;&gt;"Serviço",0,IF(OR(AND(AUTOEVENTO="Manual",$M66=1),$M66&gt;(ROW(PLE.lastrow)-ROW(PLE.firstrow))),0,IF(OFFSET(PLE!$G$14,$M66,BA$13)="",10^12,OFFSET(PLE!$G$14,$M66,BA$13))))</f>
        <v>1000000000000</v>
      </c>
      <c r="BB66" s="182">
        <f ca="1">IF($D66&lt;&gt;"Serviço",0,IF(OR(AND(AUTOEVENTO="Manual",$M66=1),$M66&gt;(ROW(PLE.lastrow)-ROW(PLE.firstrow))),0,IF(OFFSET(PLE!$G$14,$M66,BB$13)="",10^12,OFFSET(PLE!$G$14,$M66,BB$13))))</f>
        <v>1000000000000</v>
      </c>
      <c r="BC66" s="182">
        <f ca="1">IF($D66&lt;&gt;"Serviço",0,IF(OR(AND(AUTOEVENTO="Manual",$M66=1),$M66&gt;(ROW(PLE.lastrow)-ROW(PLE.firstrow))),0,IF(OFFSET(PLE!$G$14,$M66,BC$13)="",10^12,OFFSET(PLE!$G$14,$M66,BC$13))))</f>
        <v>1000000000000</v>
      </c>
      <c r="BD66" s="182">
        <f ca="1">IF($D66&lt;&gt;"Serviço",0,IF(OR(AND(AUTOEVENTO="Manual",$M66=1),$M66&gt;(ROW(PLE.lastrow)-ROW(PLE.firstrow))),0,IF(OFFSET(PLE!$G$14,$M66,BD$13)="",10^12,OFFSET(PLE!$G$14,$M66,BD$13))))</f>
        <v>1000000000000</v>
      </c>
      <c r="BE66" s="182">
        <f ca="1">IF($D66&lt;&gt;"Serviço",0,IF(OR(AND(AUTOEVENTO="Manual",$M66=1),$M66&gt;(ROW(PLE.lastrow)-ROW(PLE.firstrow))),0,IF(OFFSET(PLE!$G$14,$M66,BE$13)="",10^12,OFFSET(PLE!$G$14,$M66,BE$13))))</f>
        <v>1000000000000</v>
      </c>
      <c r="BF66" s="182">
        <f ca="1">IF($D66&lt;&gt;"Serviço",0,IF(OR(AND(AUTOEVENTO="Manual",$M66=1),$M66&gt;(ROW(PLE.lastrow)-ROW(PLE.firstrow))),0,IF(OFFSET(PLE!$G$14,$M66,BF$13)="",10^12,OFFSET(PLE!$G$14,$M66,BF$13))))</f>
        <v>1000000000000</v>
      </c>
      <c r="BG66" s="182">
        <f ca="1">IF($D66&lt;&gt;"Serviço",0,IF(OR(AND(AUTOEVENTO="Manual",$M66=1),$M66&gt;(ROW(PLE.lastrow)-ROW(PLE.firstrow))),0,IF(OFFSET(PLE!$G$14,$M66,BG$13)="",10^12,OFFSET(PLE!$G$14,$M66,BG$13))))</f>
        <v>1000000000000</v>
      </c>
    </row>
    <row r="67" spans="1:59" ht="25.5" x14ac:dyDescent="0.2">
      <c r="A67" s="7" t="str">
        <f t="shared" ca="1" si="8"/>
        <v>26</v>
      </c>
      <c r="B67" s="7" t="str">
        <f ca="1">OFFSET(ORÇAMENTO!C$15,ROW(B67)-ROW(B$15),0)</f>
        <v>S</v>
      </c>
      <c r="C67" s="7" t="str">
        <f ca="1">OFFSET(ORÇAMENTO!L$15,ROW(C67)-ROW(C$15),0)</f>
        <v>F</v>
      </c>
      <c r="D67" s="118" t="str">
        <f ca="1">OFFSET(ORÇAMENTO!N$15,ROW(D67)-ROW(D$15),0)</f>
        <v>Serviço</v>
      </c>
      <c r="E67" s="119" t="str">
        <f ca="1">OFFSET(ORÇAMENTO!O$15,ROW(E67)-ROW(E$15),0)</f>
        <v>1.3.2.3.</v>
      </c>
      <c r="F67" s="172" t="str">
        <f ca="1">OFFSET(ORÇAMENTO!R$15,ROW(F67)-ROW(F$15),0)</f>
        <v>(abra o arquivo 'Referência 03-2024.xlsm)</v>
      </c>
      <c r="G67" s="173" t="str">
        <f ca="1">IF($D67&lt;&gt;"Serviço","",OFFSET(ORÇAMENTO!S$15,ROW(G67)-ROW(G$15),0))</f>
        <v>-</v>
      </c>
      <c r="H67" s="124">
        <f ca="1">IF($D67&lt;&gt;"Serviço",0,IF(ACOMPANHAMENTO="BM",ROUND(OFFSET(ORÇAMENTO!AJ$15,ROW(H67)-ROW(H$15),0),15-13*ORÇAMENTO!$AF$7),SUMPRODUCT(($Q$12:$AA$12&lt;&gt;"")*ROUND($Q67:$AA67,15-13*ORÇAMENTO!$AF$7))))</f>
        <v>4</v>
      </c>
      <c r="I67" s="561"/>
      <c r="K67" s="174"/>
      <c r="L67" s="175" t="s">
        <v>255</v>
      </c>
      <c r="M67" s="176">
        <f ca="1">IF($D67&lt;&gt;"Serviço","",IF(AUTOEVENTO="manual",$A67,IF(ISERROR(MATCH($A67,$A$15:OFFSET($A67,-1,0),0)),MAX($M$15:OFFSET(M67,-1,0))+1,INDEX($M$15:OFFSET(M67,-1,0),MATCH($A67,$A$15:OFFSET($A67,-1,0),0)))))</f>
        <v>4</v>
      </c>
      <c r="N67" s="177" t="str">
        <f ca="1">IF($D67&lt;&gt;"Serviço","",IF(AUTOEVENTO="Manual",IF($A67=0,"&lt;-- defina o número do agrupador",OFFSET(EVENTOS!$D$14,$A67,0)),OFFSET($F$15,$A67,0)))</f>
        <v>ENTRADA DE ENERGIA PADRÃO, MURETA E QGBT</v>
      </c>
      <c r="O67" s="178"/>
      <c r="Q67" s="178"/>
      <c r="R67" s="179"/>
      <c r="S67" s="179"/>
      <c r="T67" s="179"/>
      <c r="U67" s="179"/>
      <c r="V67" s="179"/>
      <c r="W67" s="179"/>
      <c r="X67" s="179"/>
      <c r="Y67" s="179"/>
      <c r="Z67" s="180"/>
      <c r="AB67" s="544">
        <f ca="1">IF(AND($D67="Serviço",AB$12&lt;&gt;0,$H67&gt;0,OR(AUTOEVENTO&lt;&gt;"manual",$M67&lt;&gt;1)),
IF(Import.TipoArredondamento&lt;&gt;"TransfereGOV",
ROUND(OFFSET($P67,0,AB$13),15-13*ORÇAMENTO!$AF$7)/$H67*OFFSET(ORÇAMENTO!$X$15,ROW(AB67)-ROW(AB$15),0),
ROUND(ROUND(OFFSET($P67,0,AB$13),15-13*ORÇAMENTO!$AF$7)*OFFSET(ORÇAMENTO!$W$15,ROW(AB67)-ROW(AB$15),0),15-13*ORÇAMENTO!$AF$11)),0)</f>
        <v>0</v>
      </c>
      <c r="AC67" s="545">
        <f ca="1">IF(AND($D67="Serviço",AC$12&lt;&gt;0,$H67&gt;0,OR(AUTOEVENTO&lt;&gt;"manual",$M67&lt;&gt;1)),
IF(Import.TipoArredondamento&lt;&gt;"TransfereGOV",
ROUND(OFFSET($P67,0,AC$13),15-13*ORÇAMENTO!$AF$7)/$H67*OFFSET(ORÇAMENTO!$X$15,ROW(AC67)-ROW(AC$15),0),
ROUND(ROUND(OFFSET($P67,0,AC$13),15-13*ORÇAMENTO!$AF$7)*OFFSET(ORÇAMENTO!$W$15,ROW(AC67)-ROW(AC$15),0),15-13*ORÇAMENTO!$AF$11)),0)</f>
        <v>0</v>
      </c>
      <c r="AD67" s="545">
        <f ca="1">IF(AND($D67="Serviço",AD$12&lt;&gt;0,$H67&gt;0,OR(AUTOEVENTO&lt;&gt;"manual",$M67&lt;&gt;1)),
IF(Import.TipoArredondamento&lt;&gt;"TransfereGOV",
ROUND(OFFSET($P67,0,AD$13),15-13*ORÇAMENTO!$AF$7)/$H67*OFFSET(ORÇAMENTO!$X$15,ROW(AD67)-ROW(AD$15),0),
ROUND(ROUND(OFFSET($P67,0,AD$13),15-13*ORÇAMENTO!$AF$7)*OFFSET(ORÇAMENTO!$W$15,ROW(AD67)-ROW(AD$15),0),15-13*ORÇAMENTO!$AF$11)),0)</f>
        <v>0</v>
      </c>
      <c r="AE67" s="545">
        <f ca="1">IF(AND($D67="Serviço",AE$12&lt;&gt;0,$H67&gt;0,OR(AUTOEVENTO&lt;&gt;"manual",$M67&lt;&gt;1)),
IF(Import.TipoArredondamento&lt;&gt;"TransfereGOV",
ROUND(OFFSET($P67,0,AE$13),15-13*ORÇAMENTO!$AF$7)/$H67*OFFSET(ORÇAMENTO!$X$15,ROW(AE67)-ROW(AE$15),0),
ROUND(ROUND(OFFSET($P67,0,AE$13),15-13*ORÇAMENTO!$AF$7)*OFFSET(ORÇAMENTO!$W$15,ROW(AE67)-ROW(AE$15),0),15-13*ORÇAMENTO!$AF$11)),0)</f>
        <v>0</v>
      </c>
      <c r="AF67" s="545">
        <f ca="1">IF(AND($D67="Serviço",AF$12&lt;&gt;0,$H67&gt;0,OR(AUTOEVENTO&lt;&gt;"manual",$M67&lt;&gt;1)),
IF(Import.TipoArredondamento&lt;&gt;"TransfereGOV",
ROUND(OFFSET($P67,0,AF$13),15-13*ORÇAMENTO!$AF$7)/$H67*OFFSET(ORÇAMENTO!$X$15,ROW(AF67)-ROW(AF$15),0),
ROUND(ROUND(OFFSET($P67,0,AF$13),15-13*ORÇAMENTO!$AF$7)*OFFSET(ORÇAMENTO!$W$15,ROW(AF67)-ROW(AF$15),0),15-13*ORÇAMENTO!$AF$11)),0)</f>
        <v>0</v>
      </c>
      <c r="AG67" s="545">
        <f ca="1">IF(AND($D67="Serviço",AG$12&lt;&gt;0,$H67&gt;0,OR(AUTOEVENTO&lt;&gt;"manual",$M67&lt;&gt;1)),
IF(Import.TipoArredondamento&lt;&gt;"TransfereGOV",
ROUND(OFFSET($P67,0,AG$13),15-13*ORÇAMENTO!$AF$7)/$H67*OFFSET(ORÇAMENTO!$X$15,ROW(AG67)-ROW(AG$15),0),
ROUND(ROUND(OFFSET($P67,0,AG$13),15-13*ORÇAMENTO!$AF$7)*OFFSET(ORÇAMENTO!$W$15,ROW(AG67)-ROW(AG$15),0),15-13*ORÇAMENTO!$AF$11)),0)</f>
        <v>0</v>
      </c>
      <c r="AH67" s="545">
        <f ca="1">IF(AND($D67="Serviço",AH$12&lt;&gt;0,$H67&gt;0,OR(AUTOEVENTO&lt;&gt;"manual",$M67&lt;&gt;1)),
IF(Import.TipoArredondamento&lt;&gt;"TransfereGOV",
ROUND(OFFSET($P67,0,AH$13),15-13*ORÇAMENTO!$AF$7)/$H67*OFFSET(ORÇAMENTO!$X$15,ROW(AH67)-ROW(AH$15),0),
ROUND(ROUND(OFFSET($P67,0,AH$13),15-13*ORÇAMENTO!$AF$7)*OFFSET(ORÇAMENTO!$W$15,ROW(AH67)-ROW(AH$15),0),15-13*ORÇAMENTO!$AF$11)),0)</f>
        <v>0</v>
      </c>
      <c r="AI67" s="545">
        <f ca="1">IF(AND($D67="Serviço",AI$12&lt;&gt;0,$H67&gt;0,OR(AUTOEVENTO&lt;&gt;"manual",$M67&lt;&gt;1)),
IF(Import.TipoArredondamento&lt;&gt;"TransfereGOV",
ROUND(OFFSET($P67,0,AI$13),15-13*ORÇAMENTO!$AF$7)/$H67*OFFSET(ORÇAMENTO!$X$15,ROW(AI67)-ROW(AI$15),0),
ROUND(ROUND(OFFSET($P67,0,AI$13),15-13*ORÇAMENTO!$AF$7)*OFFSET(ORÇAMENTO!$W$15,ROW(AI67)-ROW(AI$15),0),15-13*ORÇAMENTO!$AF$11)),0)</f>
        <v>0</v>
      </c>
      <c r="AJ67" s="545">
        <f ca="1">IF(AND($D67="Serviço",AJ$12&lt;&gt;0,$H67&gt;0,OR(AUTOEVENTO&lt;&gt;"manual",$M67&lt;&gt;1)),
IF(Import.TipoArredondamento&lt;&gt;"TransfereGOV",
ROUND(OFFSET($P67,0,AJ$13),15-13*ORÇAMENTO!$AF$7)/$H67*OFFSET(ORÇAMENTO!$X$15,ROW(AJ67)-ROW(AJ$15),0),
ROUND(ROUND(OFFSET($P67,0,AJ$13),15-13*ORÇAMENTO!$AF$7)*OFFSET(ORÇAMENTO!$W$15,ROW(AJ67)-ROW(AJ$15),0),15-13*ORÇAMENTO!$AF$11)),0)</f>
        <v>0</v>
      </c>
      <c r="AK67" s="546">
        <f ca="1">IF(AND($D67="Serviço",AK$12&lt;&gt;0,$H67&gt;0,OR(AUTOEVENTO&lt;&gt;"manual",$M67&lt;&gt;1)),
IF(Import.TipoArredondamento&lt;&gt;"TransfereGOV",
ROUND(OFFSET($P67,0,AK$13),15-13*ORÇAMENTO!$AF$7)/$H67*OFFSET(ORÇAMENTO!$X$15,ROW(AK67)-ROW(AK$15),0),
ROUND(ROUND(OFFSET($P67,0,AK$13),15-13*ORÇAMENTO!$AF$7)*OFFSET(ORÇAMENTO!$W$15,ROW(AK67)-ROW(AK$15),0),15-13*ORÇAMENTO!$AF$11)),0)</f>
        <v>0</v>
      </c>
      <c r="AM67" s="181">
        <f ca="1">IF($D67&lt;&gt;"Serviço",0,IF(AND(AUTOEVENTO="Manual",$M67=1),0,IF(OFFSET(CRONOPLE!$F$14,$M67,AM$13)="",10^12,OFFSET(CRONOPLE!$F$14,$M67,AM$13))))</f>
        <v>1000000000000</v>
      </c>
      <c r="AN67" s="181">
        <f ca="1">IF($D67&lt;&gt;"Serviço",0,IF(AND(AUTOEVENTO="Manual",$M67=1),0,IF(OFFSET(CRONOPLE!$F$14,$M67,AN$13)="",10^12,OFFSET(CRONOPLE!$F$14,$M67,AN$13))))</f>
        <v>1000000000000</v>
      </c>
      <c r="AO67" s="181">
        <f ca="1">IF($D67&lt;&gt;"Serviço",0,IF(AND(AUTOEVENTO="Manual",$M67=1),0,IF(OFFSET(CRONOPLE!$F$14,$M67,AO$13)="",10^12,OFFSET(CRONOPLE!$F$14,$M67,AO$13))))</f>
        <v>1000000000000</v>
      </c>
      <c r="AP67" s="181">
        <f ca="1">IF($D67&lt;&gt;"Serviço",0,IF(AND(AUTOEVENTO="Manual",$M67=1),0,IF(OFFSET(CRONOPLE!$F$14,$M67,AP$13)="",10^12,OFFSET(CRONOPLE!$F$14,$M67,AP$13))))</f>
        <v>1000000000000</v>
      </c>
      <c r="AQ67" s="181">
        <f ca="1">IF($D67&lt;&gt;"Serviço",0,IF(AND(AUTOEVENTO="Manual",$M67=1),0,IF(OFFSET(CRONOPLE!$F$14,$M67,AQ$13)="",10^12,OFFSET(CRONOPLE!$F$14,$M67,AQ$13))))</f>
        <v>1000000000000</v>
      </c>
      <c r="AR67" s="181">
        <f ca="1">IF($D67&lt;&gt;"Serviço",0,IF(AND(AUTOEVENTO="Manual",$M67=1),0,IF(OFFSET(CRONOPLE!$F$14,$M67,AR$13)="",10^12,OFFSET(CRONOPLE!$F$14,$M67,AR$13))))</f>
        <v>1000000000000</v>
      </c>
      <c r="AS67" s="181">
        <f ca="1">IF($D67&lt;&gt;"Serviço",0,IF(AND(AUTOEVENTO="Manual",$M67=1),0,IF(OFFSET(CRONOPLE!$F$14,$M67,AS$13)="",10^12,OFFSET(CRONOPLE!$F$14,$M67,AS$13))))</f>
        <v>1000000000000</v>
      </c>
      <c r="AT67" s="181">
        <f ca="1">IF($D67&lt;&gt;"Serviço",0,IF(AND(AUTOEVENTO="Manual",$M67=1),0,IF(OFFSET(CRONOPLE!$F$14,$M67,AT$13)="",10^12,OFFSET(CRONOPLE!$F$14,$M67,AT$13))))</f>
        <v>1000000000000</v>
      </c>
      <c r="AU67" s="181">
        <f ca="1">IF($D67&lt;&gt;"Serviço",0,IF(AND(AUTOEVENTO="Manual",$M67=1),0,IF(OFFSET(CRONOPLE!$F$14,$M67,AU$13)="",10^12,OFFSET(CRONOPLE!$F$14,$M67,AU$13))))</f>
        <v>1000000000000</v>
      </c>
      <c r="AV67" s="181">
        <f ca="1">IF($D67&lt;&gt;"Serviço",0,IF(AND(AUTOEVENTO="Manual",$M67=1),0,IF(OFFSET(CRONOPLE!$F$14,$M67,AV$13)="",10^12,OFFSET(CRONOPLE!$F$14,$M67,AV$13))))</f>
        <v>1000000000000</v>
      </c>
      <c r="AX67" s="182">
        <f ca="1">IF($D67&lt;&gt;"Serviço",0,IF(OR(AND(AUTOEVENTO="Manual",$M67=1),$M67&gt;(ROW(PLE.lastrow)-ROW(PLE.firstrow))),0,IF(OFFSET(PLE!$G$14,$M67,AX$13)="",10^12,OFFSET(PLE!$G$14,$M67,AX$13))))</f>
        <v>1000000000000</v>
      </c>
      <c r="AY67" s="182">
        <f ca="1">IF($D67&lt;&gt;"Serviço",0,IF(OR(AND(AUTOEVENTO="Manual",$M67=1),$M67&gt;(ROW(PLE.lastrow)-ROW(PLE.firstrow))),0,IF(OFFSET(PLE!$G$14,$M67,AY$13)="",10^12,OFFSET(PLE!$G$14,$M67,AY$13))))</f>
        <v>1000000000000</v>
      </c>
      <c r="AZ67" s="182">
        <f ca="1">IF($D67&lt;&gt;"Serviço",0,IF(OR(AND(AUTOEVENTO="Manual",$M67=1),$M67&gt;(ROW(PLE.lastrow)-ROW(PLE.firstrow))),0,IF(OFFSET(PLE!$G$14,$M67,AZ$13)="",10^12,OFFSET(PLE!$G$14,$M67,AZ$13))))</f>
        <v>1000000000000</v>
      </c>
      <c r="BA67" s="182">
        <f ca="1">IF($D67&lt;&gt;"Serviço",0,IF(OR(AND(AUTOEVENTO="Manual",$M67=1),$M67&gt;(ROW(PLE.lastrow)-ROW(PLE.firstrow))),0,IF(OFFSET(PLE!$G$14,$M67,BA$13)="",10^12,OFFSET(PLE!$G$14,$M67,BA$13))))</f>
        <v>1000000000000</v>
      </c>
      <c r="BB67" s="182">
        <f ca="1">IF($D67&lt;&gt;"Serviço",0,IF(OR(AND(AUTOEVENTO="Manual",$M67=1),$M67&gt;(ROW(PLE.lastrow)-ROW(PLE.firstrow))),0,IF(OFFSET(PLE!$G$14,$M67,BB$13)="",10^12,OFFSET(PLE!$G$14,$M67,BB$13))))</f>
        <v>1000000000000</v>
      </c>
      <c r="BC67" s="182">
        <f ca="1">IF($D67&lt;&gt;"Serviço",0,IF(OR(AND(AUTOEVENTO="Manual",$M67=1),$M67&gt;(ROW(PLE.lastrow)-ROW(PLE.firstrow))),0,IF(OFFSET(PLE!$G$14,$M67,BC$13)="",10^12,OFFSET(PLE!$G$14,$M67,BC$13))))</f>
        <v>1000000000000</v>
      </c>
      <c r="BD67" s="182">
        <f ca="1">IF($D67&lt;&gt;"Serviço",0,IF(OR(AND(AUTOEVENTO="Manual",$M67=1),$M67&gt;(ROW(PLE.lastrow)-ROW(PLE.firstrow))),0,IF(OFFSET(PLE!$G$14,$M67,BD$13)="",10^12,OFFSET(PLE!$G$14,$M67,BD$13))))</f>
        <v>1000000000000</v>
      </c>
      <c r="BE67" s="182">
        <f ca="1">IF($D67&lt;&gt;"Serviço",0,IF(OR(AND(AUTOEVENTO="Manual",$M67=1),$M67&gt;(ROW(PLE.lastrow)-ROW(PLE.firstrow))),0,IF(OFFSET(PLE!$G$14,$M67,BE$13)="",10^12,OFFSET(PLE!$G$14,$M67,BE$13))))</f>
        <v>1000000000000</v>
      </c>
      <c r="BF67" s="182">
        <f ca="1">IF($D67&lt;&gt;"Serviço",0,IF(OR(AND(AUTOEVENTO="Manual",$M67=1),$M67&gt;(ROW(PLE.lastrow)-ROW(PLE.firstrow))),0,IF(OFFSET(PLE!$G$14,$M67,BF$13)="",10^12,OFFSET(PLE!$G$14,$M67,BF$13))))</f>
        <v>1000000000000</v>
      </c>
      <c r="BG67" s="182">
        <f ca="1">IF($D67&lt;&gt;"Serviço",0,IF(OR(AND(AUTOEVENTO="Manual",$M67=1),$M67&gt;(ROW(PLE.lastrow)-ROW(PLE.firstrow))),0,IF(OFFSET(PLE!$G$14,$M67,BG$13)="",10^12,OFFSET(PLE!$G$14,$M67,BG$13))))</f>
        <v>1000000000000</v>
      </c>
    </row>
    <row r="68" spans="1:59" ht="25.5" x14ac:dyDescent="0.2">
      <c r="A68" s="7" t="str">
        <f t="shared" ca="1" si="8"/>
        <v>26</v>
      </c>
      <c r="B68" s="7" t="str">
        <f ca="1">OFFSET(ORÇAMENTO!C$15,ROW(B68)-ROW(B$15),0)</f>
        <v>S</v>
      </c>
      <c r="C68" s="7" t="str">
        <f ca="1">OFFSET(ORÇAMENTO!L$15,ROW(C68)-ROW(C$15),0)</f>
        <v>F</v>
      </c>
      <c r="D68" s="118" t="str">
        <f ca="1">OFFSET(ORÇAMENTO!N$15,ROW(D68)-ROW(D$15),0)</f>
        <v>Serviço</v>
      </c>
      <c r="E68" s="119" t="str">
        <f ca="1">OFFSET(ORÇAMENTO!O$15,ROW(E68)-ROW(E$15),0)</f>
        <v>1.3.2.4.</v>
      </c>
      <c r="F68" s="172" t="str">
        <f ca="1">OFFSET(ORÇAMENTO!R$15,ROW(F68)-ROW(F$15),0)</f>
        <v>(abra o arquivo 'Referência 03-2024.xlsm)</v>
      </c>
      <c r="G68" s="173" t="str">
        <f ca="1">IF($D68&lt;&gt;"Serviço","",OFFSET(ORÇAMENTO!S$15,ROW(G68)-ROW(G$15),0))</f>
        <v>-</v>
      </c>
      <c r="H68" s="124">
        <f ca="1">IF($D68&lt;&gt;"Serviço",0,IF(ACOMPANHAMENTO="BM",ROUND(OFFSET(ORÇAMENTO!AJ$15,ROW(H68)-ROW(H$15),0),15-13*ORÇAMENTO!$AF$7),SUMPRODUCT(($Q$12:$AA$12&lt;&gt;"")*ROUND($Q68:$AA68,15-13*ORÇAMENTO!$AF$7))))</f>
        <v>4</v>
      </c>
      <c r="I68" s="561"/>
      <c r="K68" s="174"/>
      <c r="L68" s="175" t="s">
        <v>255</v>
      </c>
      <c r="M68" s="176">
        <f ca="1">IF($D68&lt;&gt;"Serviço","",IF(AUTOEVENTO="manual",$A68,IF(ISERROR(MATCH($A68,$A$15:OFFSET($A68,-1,0),0)),MAX($M$15:OFFSET(M68,-1,0))+1,INDEX($M$15:OFFSET(M68,-1,0),MATCH($A68,$A$15:OFFSET($A68,-1,0),0)))))</f>
        <v>4</v>
      </c>
      <c r="N68" s="177" t="str">
        <f ca="1">IF($D68&lt;&gt;"Serviço","",IF(AUTOEVENTO="Manual",IF($A68=0,"&lt;-- defina o número do agrupador",OFFSET(EVENTOS!$D$14,$A68,0)),OFFSET($F$15,$A68,0)))</f>
        <v>ENTRADA DE ENERGIA PADRÃO, MURETA E QGBT</v>
      </c>
      <c r="O68" s="178"/>
      <c r="Q68" s="178"/>
      <c r="R68" s="179"/>
      <c r="S68" s="179"/>
      <c r="T68" s="179"/>
      <c r="U68" s="179"/>
      <c r="V68" s="179"/>
      <c r="W68" s="179"/>
      <c r="X68" s="179"/>
      <c r="Y68" s="179"/>
      <c r="Z68" s="180"/>
      <c r="AB68" s="544">
        <f ca="1">IF(AND($D68="Serviço",AB$12&lt;&gt;0,$H68&gt;0,OR(AUTOEVENTO&lt;&gt;"manual",$M68&lt;&gt;1)),
IF(Import.TipoArredondamento&lt;&gt;"TransfereGOV",
ROUND(OFFSET($P68,0,AB$13),15-13*ORÇAMENTO!$AF$7)/$H68*OFFSET(ORÇAMENTO!$X$15,ROW(AB68)-ROW(AB$15),0),
ROUND(ROUND(OFFSET($P68,0,AB$13),15-13*ORÇAMENTO!$AF$7)*OFFSET(ORÇAMENTO!$W$15,ROW(AB68)-ROW(AB$15),0),15-13*ORÇAMENTO!$AF$11)),0)</f>
        <v>0</v>
      </c>
      <c r="AC68" s="545">
        <f ca="1">IF(AND($D68="Serviço",AC$12&lt;&gt;0,$H68&gt;0,OR(AUTOEVENTO&lt;&gt;"manual",$M68&lt;&gt;1)),
IF(Import.TipoArredondamento&lt;&gt;"TransfereGOV",
ROUND(OFFSET($P68,0,AC$13),15-13*ORÇAMENTO!$AF$7)/$H68*OFFSET(ORÇAMENTO!$X$15,ROW(AC68)-ROW(AC$15),0),
ROUND(ROUND(OFFSET($P68,0,AC$13),15-13*ORÇAMENTO!$AF$7)*OFFSET(ORÇAMENTO!$W$15,ROW(AC68)-ROW(AC$15),0),15-13*ORÇAMENTO!$AF$11)),0)</f>
        <v>0</v>
      </c>
      <c r="AD68" s="545">
        <f ca="1">IF(AND($D68="Serviço",AD$12&lt;&gt;0,$H68&gt;0,OR(AUTOEVENTO&lt;&gt;"manual",$M68&lt;&gt;1)),
IF(Import.TipoArredondamento&lt;&gt;"TransfereGOV",
ROUND(OFFSET($P68,0,AD$13),15-13*ORÇAMENTO!$AF$7)/$H68*OFFSET(ORÇAMENTO!$X$15,ROW(AD68)-ROW(AD$15),0),
ROUND(ROUND(OFFSET($P68,0,AD$13),15-13*ORÇAMENTO!$AF$7)*OFFSET(ORÇAMENTO!$W$15,ROW(AD68)-ROW(AD$15),0),15-13*ORÇAMENTO!$AF$11)),0)</f>
        <v>0</v>
      </c>
      <c r="AE68" s="545">
        <f ca="1">IF(AND($D68="Serviço",AE$12&lt;&gt;0,$H68&gt;0,OR(AUTOEVENTO&lt;&gt;"manual",$M68&lt;&gt;1)),
IF(Import.TipoArredondamento&lt;&gt;"TransfereGOV",
ROUND(OFFSET($P68,0,AE$13),15-13*ORÇAMENTO!$AF$7)/$H68*OFFSET(ORÇAMENTO!$X$15,ROW(AE68)-ROW(AE$15),0),
ROUND(ROUND(OFFSET($P68,0,AE$13),15-13*ORÇAMENTO!$AF$7)*OFFSET(ORÇAMENTO!$W$15,ROW(AE68)-ROW(AE$15),0),15-13*ORÇAMENTO!$AF$11)),0)</f>
        <v>0</v>
      </c>
      <c r="AF68" s="545">
        <f ca="1">IF(AND($D68="Serviço",AF$12&lt;&gt;0,$H68&gt;0,OR(AUTOEVENTO&lt;&gt;"manual",$M68&lt;&gt;1)),
IF(Import.TipoArredondamento&lt;&gt;"TransfereGOV",
ROUND(OFFSET($P68,0,AF$13),15-13*ORÇAMENTO!$AF$7)/$H68*OFFSET(ORÇAMENTO!$X$15,ROW(AF68)-ROW(AF$15),0),
ROUND(ROUND(OFFSET($P68,0,AF$13),15-13*ORÇAMENTO!$AF$7)*OFFSET(ORÇAMENTO!$W$15,ROW(AF68)-ROW(AF$15),0),15-13*ORÇAMENTO!$AF$11)),0)</f>
        <v>0</v>
      </c>
      <c r="AG68" s="545">
        <f ca="1">IF(AND($D68="Serviço",AG$12&lt;&gt;0,$H68&gt;0,OR(AUTOEVENTO&lt;&gt;"manual",$M68&lt;&gt;1)),
IF(Import.TipoArredondamento&lt;&gt;"TransfereGOV",
ROUND(OFFSET($P68,0,AG$13),15-13*ORÇAMENTO!$AF$7)/$H68*OFFSET(ORÇAMENTO!$X$15,ROW(AG68)-ROW(AG$15),0),
ROUND(ROUND(OFFSET($P68,0,AG$13),15-13*ORÇAMENTO!$AF$7)*OFFSET(ORÇAMENTO!$W$15,ROW(AG68)-ROW(AG$15),0),15-13*ORÇAMENTO!$AF$11)),0)</f>
        <v>0</v>
      </c>
      <c r="AH68" s="545">
        <f ca="1">IF(AND($D68="Serviço",AH$12&lt;&gt;0,$H68&gt;0,OR(AUTOEVENTO&lt;&gt;"manual",$M68&lt;&gt;1)),
IF(Import.TipoArredondamento&lt;&gt;"TransfereGOV",
ROUND(OFFSET($P68,0,AH$13),15-13*ORÇAMENTO!$AF$7)/$H68*OFFSET(ORÇAMENTO!$X$15,ROW(AH68)-ROW(AH$15),0),
ROUND(ROUND(OFFSET($P68,0,AH$13),15-13*ORÇAMENTO!$AF$7)*OFFSET(ORÇAMENTO!$W$15,ROW(AH68)-ROW(AH$15),0),15-13*ORÇAMENTO!$AF$11)),0)</f>
        <v>0</v>
      </c>
      <c r="AI68" s="545">
        <f ca="1">IF(AND($D68="Serviço",AI$12&lt;&gt;0,$H68&gt;0,OR(AUTOEVENTO&lt;&gt;"manual",$M68&lt;&gt;1)),
IF(Import.TipoArredondamento&lt;&gt;"TransfereGOV",
ROUND(OFFSET($P68,0,AI$13),15-13*ORÇAMENTO!$AF$7)/$H68*OFFSET(ORÇAMENTO!$X$15,ROW(AI68)-ROW(AI$15),0),
ROUND(ROUND(OFFSET($P68,0,AI$13),15-13*ORÇAMENTO!$AF$7)*OFFSET(ORÇAMENTO!$W$15,ROW(AI68)-ROW(AI$15),0),15-13*ORÇAMENTO!$AF$11)),0)</f>
        <v>0</v>
      </c>
      <c r="AJ68" s="545">
        <f ca="1">IF(AND($D68="Serviço",AJ$12&lt;&gt;0,$H68&gt;0,OR(AUTOEVENTO&lt;&gt;"manual",$M68&lt;&gt;1)),
IF(Import.TipoArredondamento&lt;&gt;"TransfereGOV",
ROUND(OFFSET($P68,0,AJ$13),15-13*ORÇAMENTO!$AF$7)/$H68*OFFSET(ORÇAMENTO!$X$15,ROW(AJ68)-ROW(AJ$15),0),
ROUND(ROUND(OFFSET($P68,0,AJ$13),15-13*ORÇAMENTO!$AF$7)*OFFSET(ORÇAMENTO!$W$15,ROW(AJ68)-ROW(AJ$15),0),15-13*ORÇAMENTO!$AF$11)),0)</f>
        <v>0</v>
      </c>
      <c r="AK68" s="546">
        <f ca="1">IF(AND($D68="Serviço",AK$12&lt;&gt;0,$H68&gt;0,OR(AUTOEVENTO&lt;&gt;"manual",$M68&lt;&gt;1)),
IF(Import.TipoArredondamento&lt;&gt;"TransfereGOV",
ROUND(OFFSET($P68,0,AK$13),15-13*ORÇAMENTO!$AF$7)/$H68*OFFSET(ORÇAMENTO!$X$15,ROW(AK68)-ROW(AK$15),0),
ROUND(ROUND(OFFSET($P68,0,AK$13),15-13*ORÇAMENTO!$AF$7)*OFFSET(ORÇAMENTO!$W$15,ROW(AK68)-ROW(AK$15),0),15-13*ORÇAMENTO!$AF$11)),0)</f>
        <v>0</v>
      </c>
      <c r="AM68" s="181">
        <f ca="1">IF($D68&lt;&gt;"Serviço",0,IF(AND(AUTOEVENTO="Manual",$M68=1),0,IF(OFFSET(CRONOPLE!$F$14,$M68,AM$13)="",10^12,OFFSET(CRONOPLE!$F$14,$M68,AM$13))))</f>
        <v>1000000000000</v>
      </c>
      <c r="AN68" s="181">
        <f ca="1">IF($D68&lt;&gt;"Serviço",0,IF(AND(AUTOEVENTO="Manual",$M68=1),0,IF(OFFSET(CRONOPLE!$F$14,$M68,AN$13)="",10^12,OFFSET(CRONOPLE!$F$14,$M68,AN$13))))</f>
        <v>1000000000000</v>
      </c>
      <c r="AO68" s="181">
        <f ca="1">IF($D68&lt;&gt;"Serviço",0,IF(AND(AUTOEVENTO="Manual",$M68=1),0,IF(OFFSET(CRONOPLE!$F$14,$M68,AO$13)="",10^12,OFFSET(CRONOPLE!$F$14,$M68,AO$13))))</f>
        <v>1000000000000</v>
      </c>
      <c r="AP68" s="181">
        <f ca="1">IF($D68&lt;&gt;"Serviço",0,IF(AND(AUTOEVENTO="Manual",$M68=1),0,IF(OFFSET(CRONOPLE!$F$14,$M68,AP$13)="",10^12,OFFSET(CRONOPLE!$F$14,$M68,AP$13))))</f>
        <v>1000000000000</v>
      </c>
      <c r="AQ68" s="181">
        <f ca="1">IF($D68&lt;&gt;"Serviço",0,IF(AND(AUTOEVENTO="Manual",$M68=1),0,IF(OFFSET(CRONOPLE!$F$14,$M68,AQ$13)="",10^12,OFFSET(CRONOPLE!$F$14,$M68,AQ$13))))</f>
        <v>1000000000000</v>
      </c>
      <c r="AR68" s="181">
        <f ca="1">IF($D68&lt;&gt;"Serviço",0,IF(AND(AUTOEVENTO="Manual",$M68=1),0,IF(OFFSET(CRONOPLE!$F$14,$M68,AR$13)="",10^12,OFFSET(CRONOPLE!$F$14,$M68,AR$13))))</f>
        <v>1000000000000</v>
      </c>
      <c r="AS68" s="181">
        <f ca="1">IF($D68&lt;&gt;"Serviço",0,IF(AND(AUTOEVENTO="Manual",$M68=1),0,IF(OFFSET(CRONOPLE!$F$14,$M68,AS$13)="",10^12,OFFSET(CRONOPLE!$F$14,$M68,AS$13))))</f>
        <v>1000000000000</v>
      </c>
      <c r="AT68" s="181">
        <f ca="1">IF($D68&lt;&gt;"Serviço",0,IF(AND(AUTOEVENTO="Manual",$M68=1),0,IF(OFFSET(CRONOPLE!$F$14,$M68,AT$13)="",10^12,OFFSET(CRONOPLE!$F$14,$M68,AT$13))))</f>
        <v>1000000000000</v>
      </c>
      <c r="AU68" s="181">
        <f ca="1">IF($D68&lt;&gt;"Serviço",0,IF(AND(AUTOEVENTO="Manual",$M68=1),0,IF(OFFSET(CRONOPLE!$F$14,$M68,AU$13)="",10^12,OFFSET(CRONOPLE!$F$14,$M68,AU$13))))</f>
        <v>1000000000000</v>
      </c>
      <c r="AV68" s="181">
        <f ca="1">IF($D68&lt;&gt;"Serviço",0,IF(AND(AUTOEVENTO="Manual",$M68=1),0,IF(OFFSET(CRONOPLE!$F$14,$M68,AV$13)="",10^12,OFFSET(CRONOPLE!$F$14,$M68,AV$13))))</f>
        <v>1000000000000</v>
      </c>
      <c r="AX68" s="182">
        <f ca="1">IF($D68&lt;&gt;"Serviço",0,IF(OR(AND(AUTOEVENTO="Manual",$M68=1),$M68&gt;(ROW(PLE.lastrow)-ROW(PLE.firstrow))),0,IF(OFFSET(PLE!$G$14,$M68,AX$13)="",10^12,OFFSET(PLE!$G$14,$M68,AX$13))))</f>
        <v>1000000000000</v>
      </c>
      <c r="AY68" s="182">
        <f ca="1">IF($D68&lt;&gt;"Serviço",0,IF(OR(AND(AUTOEVENTO="Manual",$M68=1),$M68&gt;(ROW(PLE.lastrow)-ROW(PLE.firstrow))),0,IF(OFFSET(PLE!$G$14,$M68,AY$13)="",10^12,OFFSET(PLE!$G$14,$M68,AY$13))))</f>
        <v>1000000000000</v>
      </c>
      <c r="AZ68" s="182">
        <f ca="1">IF($D68&lt;&gt;"Serviço",0,IF(OR(AND(AUTOEVENTO="Manual",$M68=1),$M68&gt;(ROW(PLE.lastrow)-ROW(PLE.firstrow))),0,IF(OFFSET(PLE!$G$14,$M68,AZ$13)="",10^12,OFFSET(PLE!$G$14,$M68,AZ$13))))</f>
        <v>1000000000000</v>
      </c>
      <c r="BA68" s="182">
        <f ca="1">IF($D68&lt;&gt;"Serviço",0,IF(OR(AND(AUTOEVENTO="Manual",$M68=1),$M68&gt;(ROW(PLE.lastrow)-ROW(PLE.firstrow))),0,IF(OFFSET(PLE!$G$14,$M68,BA$13)="",10^12,OFFSET(PLE!$G$14,$M68,BA$13))))</f>
        <v>1000000000000</v>
      </c>
      <c r="BB68" s="182">
        <f ca="1">IF($D68&lt;&gt;"Serviço",0,IF(OR(AND(AUTOEVENTO="Manual",$M68=1),$M68&gt;(ROW(PLE.lastrow)-ROW(PLE.firstrow))),0,IF(OFFSET(PLE!$G$14,$M68,BB$13)="",10^12,OFFSET(PLE!$G$14,$M68,BB$13))))</f>
        <v>1000000000000</v>
      </c>
      <c r="BC68" s="182">
        <f ca="1">IF($D68&lt;&gt;"Serviço",0,IF(OR(AND(AUTOEVENTO="Manual",$M68=1),$M68&gt;(ROW(PLE.lastrow)-ROW(PLE.firstrow))),0,IF(OFFSET(PLE!$G$14,$M68,BC$13)="",10^12,OFFSET(PLE!$G$14,$M68,BC$13))))</f>
        <v>1000000000000</v>
      </c>
      <c r="BD68" s="182">
        <f ca="1">IF($D68&lt;&gt;"Serviço",0,IF(OR(AND(AUTOEVENTO="Manual",$M68=1),$M68&gt;(ROW(PLE.lastrow)-ROW(PLE.firstrow))),0,IF(OFFSET(PLE!$G$14,$M68,BD$13)="",10^12,OFFSET(PLE!$G$14,$M68,BD$13))))</f>
        <v>1000000000000</v>
      </c>
      <c r="BE68" s="182">
        <f ca="1">IF($D68&lt;&gt;"Serviço",0,IF(OR(AND(AUTOEVENTO="Manual",$M68=1),$M68&gt;(ROW(PLE.lastrow)-ROW(PLE.firstrow))),0,IF(OFFSET(PLE!$G$14,$M68,BE$13)="",10^12,OFFSET(PLE!$G$14,$M68,BE$13))))</f>
        <v>1000000000000</v>
      </c>
      <c r="BF68" s="182">
        <f ca="1">IF($D68&lt;&gt;"Serviço",0,IF(OR(AND(AUTOEVENTO="Manual",$M68=1),$M68&gt;(ROW(PLE.lastrow)-ROW(PLE.firstrow))),0,IF(OFFSET(PLE!$G$14,$M68,BF$13)="",10^12,OFFSET(PLE!$G$14,$M68,BF$13))))</f>
        <v>1000000000000</v>
      </c>
      <c r="BG68" s="182">
        <f ca="1">IF($D68&lt;&gt;"Serviço",0,IF(OR(AND(AUTOEVENTO="Manual",$M68=1),$M68&gt;(ROW(PLE.lastrow)-ROW(PLE.firstrow))),0,IF(OFFSET(PLE!$G$14,$M68,BG$13)="",10^12,OFFSET(PLE!$G$14,$M68,BG$13))))</f>
        <v>1000000000000</v>
      </c>
    </row>
    <row r="69" spans="1:59" ht="25.5" x14ac:dyDescent="0.2">
      <c r="A69" s="7" t="str">
        <f t="shared" ca="1" si="8"/>
        <v>54.</v>
      </c>
      <c r="B69" s="7">
        <f ca="1">OFFSET(ORÇAMENTO!C$15,ROW(B69)-ROW(B$15),0)</f>
        <v>2</v>
      </c>
      <c r="C69" s="7" t="str">
        <f ca="1">OFFSET(ORÇAMENTO!L$15,ROW(C69)-ROW(C$15),0)</f>
        <v>F</v>
      </c>
      <c r="D69" s="118" t="str">
        <f ca="1">OFFSET(ORÇAMENTO!N$15,ROW(D69)-ROW(D$15),0)</f>
        <v>Nível 2</v>
      </c>
      <c r="E69" s="119" t="str">
        <f ca="1">OFFSET(ORÇAMENTO!O$15,ROW(E69)-ROW(E$15),0)</f>
        <v>1.4.</v>
      </c>
      <c r="F69" s="172" t="str">
        <f ca="1">OFFSET(ORÇAMENTO!R$15,ROW(F69)-ROW(F$15),0)</f>
        <v>INSTALAÇÕES DE ILUMINAÇÃO COM POSTEAMENTO E LUMINÁRIAS 100W</v>
      </c>
      <c r="G69" s="173" t="str">
        <f ca="1">IF($D69&lt;&gt;"Serviço","",OFFSET(ORÇAMENTO!S$15,ROW(G69)-ROW(G$15),0))</f>
        <v/>
      </c>
      <c r="H69" s="124">
        <f ca="1">IF($D69&lt;&gt;"Serviço",0,IF(ACOMPANHAMENTO="BM",ROUND(OFFSET(ORÇAMENTO!AJ$15,ROW(H69)-ROW(H$15),0),15-13*ORÇAMENTO!$AF$7),SUMPRODUCT(($Q$12:$AA$12&lt;&gt;"")*ROUND($Q69:$AA69,15-13*ORÇAMENTO!$AF$7))))</f>
        <v>0</v>
      </c>
      <c r="I69" s="561"/>
      <c r="K69" s="174"/>
      <c r="L69" s="175" t="s">
        <v>255</v>
      </c>
      <c r="M69" s="176" t="str">
        <f ca="1">IF($D69&lt;&gt;"Serviço","",IF(AUTOEVENTO="manual",$A69,IF(ISERROR(MATCH($A69,$A$15:OFFSET($A69,-1,0),0)),MAX($M$15:OFFSET(M69,-1,0))+1,INDEX($M$15:OFFSET(M69,-1,0),MATCH($A69,$A$15:OFFSET($A69,-1,0),0)))))</f>
        <v/>
      </c>
      <c r="N69" s="177" t="str">
        <f ca="1">IF($D69&lt;&gt;"Serviço","",IF(AUTOEVENTO="Manual",IF($A69=0,"&lt;-- defina o número do agrupador",OFFSET(EVENTOS!$D$14,$A69,0)),OFFSET($F$15,$A69,0)))</f>
        <v/>
      </c>
      <c r="O69" s="178"/>
      <c r="Q69" s="178"/>
      <c r="R69" s="179"/>
      <c r="S69" s="179"/>
      <c r="T69" s="179"/>
      <c r="U69" s="179"/>
      <c r="V69" s="179"/>
      <c r="W69" s="179"/>
      <c r="X69" s="179"/>
      <c r="Y69" s="179"/>
      <c r="Z69" s="180"/>
      <c r="AB69" s="544">
        <f ca="1">IF(AND($D69="Serviço",AB$12&lt;&gt;0,$H69&gt;0,OR(AUTOEVENTO&lt;&gt;"manual",$M69&lt;&gt;1)),
IF(Import.TipoArredondamento&lt;&gt;"TransfereGOV",
ROUND(OFFSET($P69,0,AB$13),15-13*ORÇAMENTO!$AF$7)/$H69*OFFSET(ORÇAMENTO!$X$15,ROW(AB69)-ROW(AB$15),0),
ROUND(ROUND(OFFSET($P69,0,AB$13),15-13*ORÇAMENTO!$AF$7)*OFFSET(ORÇAMENTO!$W$15,ROW(AB69)-ROW(AB$15),0),15-13*ORÇAMENTO!$AF$11)),0)</f>
        <v>0</v>
      </c>
      <c r="AC69" s="545">
        <f ca="1">IF(AND($D69="Serviço",AC$12&lt;&gt;0,$H69&gt;0,OR(AUTOEVENTO&lt;&gt;"manual",$M69&lt;&gt;1)),
IF(Import.TipoArredondamento&lt;&gt;"TransfereGOV",
ROUND(OFFSET($P69,0,AC$13),15-13*ORÇAMENTO!$AF$7)/$H69*OFFSET(ORÇAMENTO!$X$15,ROW(AC69)-ROW(AC$15),0),
ROUND(ROUND(OFFSET($P69,0,AC$13),15-13*ORÇAMENTO!$AF$7)*OFFSET(ORÇAMENTO!$W$15,ROW(AC69)-ROW(AC$15),0),15-13*ORÇAMENTO!$AF$11)),0)</f>
        <v>0</v>
      </c>
      <c r="AD69" s="545">
        <f ca="1">IF(AND($D69="Serviço",AD$12&lt;&gt;0,$H69&gt;0,OR(AUTOEVENTO&lt;&gt;"manual",$M69&lt;&gt;1)),
IF(Import.TipoArredondamento&lt;&gt;"TransfereGOV",
ROUND(OFFSET($P69,0,AD$13),15-13*ORÇAMENTO!$AF$7)/$H69*OFFSET(ORÇAMENTO!$X$15,ROW(AD69)-ROW(AD$15),0),
ROUND(ROUND(OFFSET($P69,0,AD$13),15-13*ORÇAMENTO!$AF$7)*OFFSET(ORÇAMENTO!$W$15,ROW(AD69)-ROW(AD$15),0),15-13*ORÇAMENTO!$AF$11)),0)</f>
        <v>0</v>
      </c>
      <c r="AE69" s="545">
        <f ca="1">IF(AND($D69="Serviço",AE$12&lt;&gt;0,$H69&gt;0,OR(AUTOEVENTO&lt;&gt;"manual",$M69&lt;&gt;1)),
IF(Import.TipoArredondamento&lt;&gt;"TransfereGOV",
ROUND(OFFSET($P69,0,AE$13),15-13*ORÇAMENTO!$AF$7)/$H69*OFFSET(ORÇAMENTO!$X$15,ROW(AE69)-ROW(AE$15),0),
ROUND(ROUND(OFFSET($P69,0,AE$13),15-13*ORÇAMENTO!$AF$7)*OFFSET(ORÇAMENTO!$W$15,ROW(AE69)-ROW(AE$15),0),15-13*ORÇAMENTO!$AF$11)),0)</f>
        <v>0</v>
      </c>
      <c r="AF69" s="545">
        <f ca="1">IF(AND($D69="Serviço",AF$12&lt;&gt;0,$H69&gt;0,OR(AUTOEVENTO&lt;&gt;"manual",$M69&lt;&gt;1)),
IF(Import.TipoArredondamento&lt;&gt;"TransfereGOV",
ROUND(OFFSET($P69,0,AF$13),15-13*ORÇAMENTO!$AF$7)/$H69*OFFSET(ORÇAMENTO!$X$15,ROW(AF69)-ROW(AF$15),0),
ROUND(ROUND(OFFSET($P69,0,AF$13),15-13*ORÇAMENTO!$AF$7)*OFFSET(ORÇAMENTO!$W$15,ROW(AF69)-ROW(AF$15),0),15-13*ORÇAMENTO!$AF$11)),0)</f>
        <v>0</v>
      </c>
      <c r="AG69" s="545">
        <f ca="1">IF(AND($D69="Serviço",AG$12&lt;&gt;0,$H69&gt;0,OR(AUTOEVENTO&lt;&gt;"manual",$M69&lt;&gt;1)),
IF(Import.TipoArredondamento&lt;&gt;"TransfereGOV",
ROUND(OFFSET($P69,0,AG$13),15-13*ORÇAMENTO!$AF$7)/$H69*OFFSET(ORÇAMENTO!$X$15,ROW(AG69)-ROW(AG$15),0),
ROUND(ROUND(OFFSET($P69,0,AG$13),15-13*ORÇAMENTO!$AF$7)*OFFSET(ORÇAMENTO!$W$15,ROW(AG69)-ROW(AG$15),0),15-13*ORÇAMENTO!$AF$11)),0)</f>
        <v>0</v>
      </c>
      <c r="AH69" s="545">
        <f ca="1">IF(AND($D69="Serviço",AH$12&lt;&gt;0,$H69&gt;0,OR(AUTOEVENTO&lt;&gt;"manual",$M69&lt;&gt;1)),
IF(Import.TipoArredondamento&lt;&gt;"TransfereGOV",
ROUND(OFFSET($P69,0,AH$13),15-13*ORÇAMENTO!$AF$7)/$H69*OFFSET(ORÇAMENTO!$X$15,ROW(AH69)-ROW(AH$15),0),
ROUND(ROUND(OFFSET($P69,0,AH$13),15-13*ORÇAMENTO!$AF$7)*OFFSET(ORÇAMENTO!$W$15,ROW(AH69)-ROW(AH$15),0),15-13*ORÇAMENTO!$AF$11)),0)</f>
        <v>0</v>
      </c>
      <c r="AI69" s="545">
        <f ca="1">IF(AND($D69="Serviço",AI$12&lt;&gt;0,$H69&gt;0,OR(AUTOEVENTO&lt;&gt;"manual",$M69&lt;&gt;1)),
IF(Import.TipoArredondamento&lt;&gt;"TransfereGOV",
ROUND(OFFSET($P69,0,AI$13),15-13*ORÇAMENTO!$AF$7)/$H69*OFFSET(ORÇAMENTO!$X$15,ROW(AI69)-ROW(AI$15),0),
ROUND(ROUND(OFFSET($P69,0,AI$13),15-13*ORÇAMENTO!$AF$7)*OFFSET(ORÇAMENTO!$W$15,ROW(AI69)-ROW(AI$15),0),15-13*ORÇAMENTO!$AF$11)),0)</f>
        <v>0</v>
      </c>
      <c r="AJ69" s="545">
        <f ca="1">IF(AND($D69="Serviço",AJ$12&lt;&gt;0,$H69&gt;0,OR(AUTOEVENTO&lt;&gt;"manual",$M69&lt;&gt;1)),
IF(Import.TipoArredondamento&lt;&gt;"TransfereGOV",
ROUND(OFFSET($P69,0,AJ$13),15-13*ORÇAMENTO!$AF$7)/$H69*OFFSET(ORÇAMENTO!$X$15,ROW(AJ69)-ROW(AJ$15),0),
ROUND(ROUND(OFFSET($P69,0,AJ$13),15-13*ORÇAMENTO!$AF$7)*OFFSET(ORÇAMENTO!$W$15,ROW(AJ69)-ROW(AJ$15),0),15-13*ORÇAMENTO!$AF$11)),0)</f>
        <v>0</v>
      </c>
      <c r="AK69" s="546">
        <f ca="1">IF(AND($D69="Serviço",AK$12&lt;&gt;0,$H69&gt;0,OR(AUTOEVENTO&lt;&gt;"manual",$M69&lt;&gt;1)),
IF(Import.TipoArredondamento&lt;&gt;"TransfereGOV",
ROUND(OFFSET($P69,0,AK$13),15-13*ORÇAMENTO!$AF$7)/$H69*OFFSET(ORÇAMENTO!$X$15,ROW(AK69)-ROW(AK$15),0),
ROUND(ROUND(OFFSET($P69,0,AK$13),15-13*ORÇAMENTO!$AF$7)*OFFSET(ORÇAMENTO!$W$15,ROW(AK69)-ROW(AK$15),0),15-13*ORÇAMENTO!$AF$11)),0)</f>
        <v>0</v>
      </c>
      <c r="AM69" s="181">
        <f ca="1">IF($D69&lt;&gt;"Serviço",0,IF(AND(AUTOEVENTO="Manual",$M69=1),0,IF(OFFSET(CRONOPLE!$F$14,$M69,AM$13)="",10^12,OFFSET(CRONOPLE!$F$14,$M69,AM$13))))</f>
        <v>0</v>
      </c>
      <c r="AN69" s="181">
        <f ca="1">IF($D69&lt;&gt;"Serviço",0,IF(AND(AUTOEVENTO="Manual",$M69=1),0,IF(OFFSET(CRONOPLE!$F$14,$M69,AN$13)="",10^12,OFFSET(CRONOPLE!$F$14,$M69,AN$13))))</f>
        <v>0</v>
      </c>
      <c r="AO69" s="181">
        <f ca="1">IF($D69&lt;&gt;"Serviço",0,IF(AND(AUTOEVENTO="Manual",$M69=1),0,IF(OFFSET(CRONOPLE!$F$14,$M69,AO$13)="",10^12,OFFSET(CRONOPLE!$F$14,$M69,AO$13))))</f>
        <v>0</v>
      </c>
      <c r="AP69" s="181">
        <f ca="1">IF($D69&lt;&gt;"Serviço",0,IF(AND(AUTOEVENTO="Manual",$M69=1),0,IF(OFFSET(CRONOPLE!$F$14,$M69,AP$13)="",10^12,OFFSET(CRONOPLE!$F$14,$M69,AP$13))))</f>
        <v>0</v>
      </c>
      <c r="AQ69" s="181">
        <f ca="1">IF($D69&lt;&gt;"Serviço",0,IF(AND(AUTOEVENTO="Manual",$M69=1),0,IF(OFFSET(CRONOPLE!$F$14,$M69,AQ$13)="",10^12,OFFSET(CRONOPLE!$F$14,$M69,AQ$13))))</f>
        <v>0</v>
      </c>
      <c r="AR69" s="181">
        <f ca="1">IF($D69&lt;&gt;"Serviço",0,IF(AND(AUTOEVENTO="Manual",$M69=1),0,IF(OFFSET(CRONOPLE!$F$14,$M69,AR$13)="",10^12,OFFSET(CRONOPLE!$F$14,$M69,AR$13))))</f>
        <v>0</v>
      </c>
      <c r="AS69" s="181">
        <f ca="1">IF($D69&lt;&gt;"Serviço",0,IF(AND(AUTOEVENTO="Manual",$M69=1),0,IF(OFFSET(CRONOPLE!$F$14,$M69,AS$13)="",10^12,OFFSET(CRONOPLE!$F$14,$M69,AS$13))))</f>
        <v>0</v>
      </c>
      <c r="AT69" s="181">
        <f ca="1">IF($D69&lt;&gt;"Serviço",0,IF(AND(AUTOEVENTO="Manual",$M69=1),0,IF(OFFSET(CRONOPLE!$F$14,$M69,AT$13)="",10^12,OFFSET(CRONOPLE!$F$14,$M69,AT$13))))</f>
        <v>0</v>
      </c>
      <c r="AU69" s="181">
        <f ca="1">IF($D69&lt;&gt;"Serviço",0,IF(AND(AUTOEVENTO="Manual",$M69=1),0,IF(OFFSET(CRONOPLE!$F$14,$M69,AU$13)="",10^12,OFFSET(CRONOPLE!$F$14,$M69,AU$13))))</f>
        <v>0</v>
      </c>
      <c r="AV69" s="181">
        <f ca="1">IF($D69&lt;&gt;"Serviço",0,IF(AND(AUTOEVENTO="Manual",$M69=1),0,IF(OFFSET(CRONOPLE!$F$14,$M69,AV$13)="",10^12,OFFSET(CRONOPLE!$F$14,$M69,AV$13))))</f>
        <v>0</v>
      </c>
      <c r="AX69" s="182">
        <f ca="1">IF($D69&lt;&gt;"Serviço",0,IF(OR(AND(AUTOEVENTO="Manual",$M69=1),$M69&gt;(ROW(PLE.lastrow)-ROW(PLE.firstrow))),0,IF(OFFSET(PLE!$G$14,$M69,AX$13)="",10^12,OFFSET(PLE!$G$14,$M69,AX$13))))</f>
        <v>0</v>
      </c>
      <c r="AY69" s="182">
        <f ca="1">IF($D69&lt;&gt;"Serviço",0,IF(OR(AND(AUTOEVENTO="Manual",$M69=1),$M69&gt;(ROW(PLE.lastrow)-ROW(PLE.firstrow))),0,IF(OFFSET(PLE!$G$14,$M69,AY$13)="",10^12,OFFSET(PLE!$G$14,$M69,AY$13))))</f>
        <v>0</v>
      </c>
      <c r="AZ69" s="182">
        <f ca="1">IF($D69&lt;&gt;"Serviço",0,IF(OR(AND(AUTOEVENTO="Manual",$M69=1),$M69&gt;(ROW(PLE.lastrow)-ROW(PLE.firstrow))),0,IF(OFFSET(PLE!$G$14,$M69,AZ$13)="",10^12,OFFSET(PLE!$G$14,$M69,AZ$13))))</f>
        <v>0</v>
      </c>
      <c r="BA69" s="182">
        <f ca="1">IF($D69&lt;&gt;"Serviço",0,IF(OR(AND(AUTOEVENTO="Manual",$M69=1),$M69&gt;(ROW(PLE.lastrow)-ROW(PLE.firstrow))),0,IF(OFFSET(PLE!$G$14,$M69,BA$13)="",10^12,OFFSET(PLE!$G$14,$M69,BA$13))))</f>
        <v>0</v>
      </c>
      <c r="BB69" s="182">
        <f ca="1">IF($D69&lt;&gt;"Serviço",0,IF(OR(AND(AUTOEVENTO="Manual",$M69=1),$M69&gt;(ROW(PLE.lastrow)-ROW(PLE.firstrow))),0,IF(OFFSET(PLE!$G$14,$M69,BB$13)="",10^12,OFFSET(PLE!$G$14,$M69,BB$13))))</f>
        <v>0</v>
      </c>
      <c r="BC69" s="182">
        <f ca="1">IF($D69&lt;&gt;"Serviço",0,IF(OR(AND(AUTOEVENTO="Manual",$M69=1),$M69&gt;(ROW(PLE.lastrow)-ROW(PLE.firstrow))),0,IF(OFFSET(PLE!$G$14,$M69,BC$13)="",10^12,OFFSET(PLE!$G$14,$M69,BC$13))))</f>
        <v>0</v>
      </c>
      <c r="BD69" s="182">
        <f ca="1">IF($D69&lt;&gt;"Serviço",0,IF(OR(AND(AUTOEVENTO="Manual",$M69=1),$M69&gt;(ROW(PLE.lastrow)-ROW(PLE.firstrow))),0,IF(OFFSET(PLE!$G$14,$M69,BD$13)="",10^12,OFFSET(PLE!$G$14,$M69,BD$13))))</f>
        <v>0</v>
      </c>
      <c r="BE69" s="182">
        <f ca="1">IF($D69&lt;&gt;"Serviço",0,IF(OR(AND(AUTOEVENTO="Manual",$M69=1),$M69&gt;(ROW(PLE.lastrow)-ROW(PLE.firstrow))),0,IF(OFFSET(PLE!$G$14,$M69,BE$13)="",10^12,OFFSET(PLE!$G$14,$M69,BE$13))))</f>
        <v>0</v>
      </c>
      <c r="BF69" s="182">
        <f ca="1">IF($D69&lt;&gt;"Serviço",0,IF(OR(AND(AUTOEVENTO="Manual",$M69=1),$M69&gt;(ROW(PLE.lastrow)-ROW(PLE.firstrow))),0,IF(OFFSET(PLE!$G$14,$M69,BF$13)="",10^12,OFFSET(PLE!$G$14,$M69,BF$13))))</f>
        <v>0</v>
      </c>
      <c r="BG69" s="182">
        <f ca="1">IF($D69&lt;&gt;"Serviço",0,IF(OR(AND(AUTOEVENTO="Manual",$M69=1),$M69&gt;(ROW(PLE.lastrow)-ROW(PLE.firstrow))),0,IF(OFFSET(PLE!$G$14,$M69,BG$13)="",10^12,OFFSET(PLE!$G$14,$M69,BG$13))))</f>
        <v>0</v>
      </c>
    </row>
    <row r="70" spans="1:59" ht="63.75" x14ac:dyDescent="0.2">
      <c r="A70" s="7" t="str">
        <f t="shared" ca="1" si="8"/>
        <v>54</v>
      </c>
      <c r="B70" s="7" t="str">
        <f ca="1">OFFSET(ORÇAMENTO!C$15,ROW(B70)-ROW(B$15),0)</f>
        <v>S</v>
      </c>
      <c r="C70" s="7" t="str">
        <f ca="1">OFFSET(ORÇAMENTO!L$15,ROW(C70)-ROW(C$15),0)</f>
        <v>F</v>
      </c>
      <c r="D70" s="118" t="str">
        <f ca="1">OFFSET(ORÇAMENTO!N$15,ROW(D70)-ROW(D$15),0)</f>
        <v>Serviço</v>
      </c>
      <c r="E70" s="119" t="str">
        <f ca="1">OFFSET(ORÇAMENTO!O$15,ROW(E70)-ROW(E$15),0)</f>
        <v>1.4.0.1.</v>
      </c>
      <c r="F70" s="172" t="str">
        <f ca="1">OFFSET(ORÇAMENTO!R$15,ROW(F70)-ROW(F$15),0)</f>
        <v>(abra o arquivo 'Referência 03-2024.xlsm)</v>
      </c>
      <c r="G70" s="173" t="str">
        <f ca="1">IF($D70&lt;&gt;"Serviço","",OFFSET(ORÇAMENTO!S$15,ROW(G70)-ROW(G$15),0))</f>
        <v>-</v>
      </c>
      <c r="H70" s="124">
        <f ca="1">IF($D70&lt;&gt;"Serviço",0,IF(ACOMPANHAMENTO="BM",ROUND(OFFSET(ORÇAMENTO!AJ$15,ROW(H70)-ROW(H$15),0),15-13*ORÇAMENTO!$AF$7),SUMPRODUCT(($Q$12:$AA$12&lt;&gt;"")*ROUND($Q70:$AA70,15-13*ORÇAMENTO!$AF$7))))</f>
        <v>12</v>
      </c>
      <c r="I70" s="561"/>
      <c r="K70" s="174"/>
      <c r="L70" s="175" t="s">
        <v>255</v>
      </c>
      <c r="M70" s="176">
        <f ca="1">IF($D70&lt;&gt;"Serviço","",IF(AUTOEVENTO="manual",$A70,IF(ISERROR(MATCH($A70,$A$15:OFFSET($A70,-1,0),0)),MAX($M$15:OFFSET(M70,-1,0))+1,INDEX($M$15:OFFSET(M70,-1,0),MATCH($A70,$A$15:OFFSET($A70,-1,0),0)))))</f>
        <v>5</v>
      </c>
      <c r="N70" s="177" t="str">
        <f ca="1">IF($D70&lt;&gt;"Serviço","",IF(AUTOEVENTO="Manual",IF($A70=0,"&lt;-- defina o número do agrupador",OFFSET(EVENTOS!$D$14,$A70,0)),OFFSET($F$15,$A70,0)))</f>
        <v>INSTALAÇÕES DE ILUMINAÇÃO COM POSTEAMENTO E LUMINÁRIAS 100W</v>
      </c>
      <c r="O70" s="178"/>
      <c r="Q70" s="178"/>
      <c r="R70" s="179"/>
      <c r="S70" s="179"/>
      <c r="T70" s="179"/>
      <c r="U70" s="179"/>
      <c r="V70" s="179"/>
      <c r="W70" s="179"/>
      <c r="X70" s="179"/>
      <c r="Y70" s="179"/>
      <c r="Z70" s="180"/>
      <c r="AB70" s="544">
        <f ca="1">IF(AND($D70="Serviço",AB$12&lt;&gt;0,$H70&gt;0,OR(AUTOEVENTO&lt;&gt;"manual",$M70&lt;&gt;1)),
IF(Import.TipoArredondamento&lt;&gt;"TransfereGOV",
ROUND(OFFSET($P70,0,AB$13),15-13*ORÇAMENTO!$AF$7)/$H70*OFFSET(ORÇAMENTO!$X$15,ROW(AB70)-ROW(AB$15),0),
ROUND(ROUND(OFFSET($P70,0,AB$13),15-13*ORÇAMENTO!$AF$7)*OFFSET(ORÇAMENTO!$W$15,ROW(AB70)-ROW(AB$15),0),15-13*ORÇAMENTO!$AF$11)),0)</f>
        <v>0</v>
      </c>
      <c r="AC70" s="545">
        <f ca="1">IF(AND($D70="Serviço",AC$12&lt;&gt;0,$H70&gt;0,OR(AUTOEVENTO&lt;&gt;"manual",$M70&lt;&gt;1)),
IF(Import.TipoArredondamento&lt;&gt;"TransfereGOV",
ROUND(OFFSET($P70,0,AC$13),15-13*ORÇAMENTO!$AF$7)/$H70*OFFSET(ORÇAMENTO!$X$15,ROW(AC70)-ROW(AC$15),0),
ROUND(ROUND(OFFSET($P70,0,AC$13),15-13*ORÇAMENTO!$AF$7)*OFFSET(ORÇAMENTO!$W$15,ROW(AC70)-ROW(AC$15),0),15-13*ORÇAMENTO!$AF$11)),0)</f>
        <v>0</v>
      </c>
      <c r="AD70" s="545">
        <f ca="1">IF(AND($D70="Serviço",AD$12&lt;&gt;0,$H70&gt;0,OR(AUTOEVENTO&lt;&gt;"manual",$M70&lt;&gt;1)),
IF(Import.TipoArredondamento&lt;&gt;"TransfereGOV",
ROUND(OFFSET($P70,0,AD$13),15-13*ORÇAMENTO!$AF$7)/$H70*OFFSET(ORÇAMENTO!$X$15,ROW(AD70)-ROW(AD$15),0),
ROUND(ROUND(OFFSET($P70,0,AD$13),15-13*ORÇAMENTO!$AF$7)*OFFSET(ORÇAMENTO!$W$15,ROW(AD70)-ROW(AD$15),0),15-13*ORÇAMENTO!$AF$11)),0)</f>
        <v>0</v>
      </c>
      <c r="AE70" s="545">
        <f ca="1">IF(AND($D70="Serviço",AE$12&lt;&gt;0,$H70&gt;0,OR(AUTOEVENTO&lt;&gt;"manual",$M70&lt;&gt;1)),
IF(Import.TipoArredondamento&lt;&gt;"TransfereGOV",
ROUND(OFFSET($P70,0,AE$13),15-13*ORÇAMENTO!$AF$7)/$H70*OFFSET(ORÇAMENTO!$X$15,ROW(AE70)-ROW(AE$15),0),
ROUND(ROUND(OFFSET($P70,0,AE$13),15-13*ORÇAMENTO!$AF$7)*OFFSET(ORÇAMENTO!$W$15,ROW(AE70)-ROW(AE$15),0),15-13*ORÇAMENTO!$AF$11)),0)</f>
        <v>0</v>
      </c>
      <c r="AF70" s="545">
        <f ca="1">IF(AND($D70="Serviço",AF$12&lt;&gt;0,$H70&gt;0,OR(AUTOEVENTO&lt;&gt;"manual",$M70&lt;&gt;1)),
IF(Import.TipoArredondamento&lt;&gt;"TransfereGOV",
ROUND(OFFSET($P70,0,AF$13),15-13*ORÇAMENTO!$AF$7)/$H70*OFFSET(ORÇAMENTO!$X$15,ROW(AF70)-ROW(AF$15),0),
ROUND(ROUND(OFFSET($P70,0,AF$13),15-13*ORÇAMENTO!$AF$7)*OFFSET(ORÇAMENTO!$W$15,ROW(AF70)-ROW(AF$15),0),15-13*ORÇAMENTO!$AF$11)),0)</f>
        <v>0</v>
      </c>
      <c r="AG70" s="545">
        <f ca="1">IF(AND($D70="Serviço",AG$12&lt;&gt;0,$H70&gt;0,OR(AUTOEVENTO&lt;&gt;"manual",$M70&lt;&gt;1)),
IF(Import.TipoArredondamento&lt;&gt;"TransfereGOV",
ROUND(OFFSET($P70,0,AG$13),15-13*ORÇAMENTO!$AF$7)/$H70*OFFSET(ORÇAMENTO!$X$15,ROW(AG70)-ROW(AG$15),0),
ROUND(ROUND(OFFSET($P70,0,AG$13),15-13*ORÇAMENTO!$AF$7)*OFFSET(ORÇAMENTO!$W$15,ROW(AG70)-ROW(AG$15),0),15-13*ORÇAMENTO!$AF$11)),0)</f>
        <v>0</v>
      </c>
      <c r="AH70" s="545">
        <f ca="1">IF(AND($D70="Serviço",AH$12&lt;&gt;0,$H70&gt;0,OR(AUTOEVENTO&lt;&gt;"manual",$M70&lt;&gt;1)),
IF(Import.TipoArredondamento&lt;&gt;"TransfereGOV",
ROUND(OFFSET($P70,0,AH$13),15-13*ORÇAMENTO!$AF$7)/$H70*OFFSET(ORÇAMENTO!$X$15,ROW(AH70)-ROW(AH$15),0),
ROUND(ROUND(OFFSET($P70,0,AH$13),15-13*ORÇAMENTO!$AF$7)*OFFSET(ORÇAMENTO!$W$15,ROW(AH70)-ROW(AH$15),0),15-13*ORÇAMENTO!$AF$11)),0)</f>
        <v>0</v>
      </c>
      <c r="AI70" s="545">
        <f ca="1">IF(AND($D70="Serviço",AI$12&lt;&gt;0,$H70&gt;0,OR(AUTOEVENTO&lt;&gt;"manual",$M70&lt;&gt;1)),
IF(Import.TipoArredondamento&lt;&gt;"TransfereGOV",
ROUND(OFFSET($P70,0,AI$13),15-13*ORÇAMENTO!$AF$7)/$H70*OFFSET(ORÇAMENTO!$X$15,ROW(AI70)-ROW(AI$15),0),
ROUND(ROUND(OFFSET($P70,0,AI$13),15-13*ORÇAMENTO!$AF$7)*OFFSET(ORÇAMENTO!$W$15,ROW(AI70)-ROW(AI$15),0),15-13*ORÇAMENTO!$AF$11)),0)</f>
        <v>0</v>
      </c>
      <c r="AJ70" s="545">
        <f ca="1">IF(AND($D70="Serviço",AJ$12&lt;&gt;0,$H70&gt;0,OR(AUTOEVENTO&lt;&gt;"manual",$M70&lt;&gt;1)),
IF(Import.TipoArredondamento&lt;&gt;"TransfereGOV",
ROUND(OFFSET($P70,0,AJ$13),15-13*ORÇAMENTO!$AF$7)/$H70*OFFSET(ORÇAMENTO!$X$15,ROW(AJ70)-ROW(AJ$15),0),
ROUND(ROUND(OFFSET($P70,0,AJ$13),15-13*ORÇAMENTO!$AF$7)*OFFSET(ORÇAMENTO!$W$15,ROW(AJ70)-ROW(AJ$15),0),15-13*ORÇAMENTO!$AF$11)),0)</f>
        <v>0</v>
      </c>
      <c r="AK70" s="546">
        <f ca="1">IF(AND($D70="Serviço",AK$12&lt;&gt;0,$H70&gt;0,OR(AUTOEVENTO&lt;&gt;"manual",$M70&lt;&gt;1)),
IF(Import.TipoArredondamento&lt;&gt;"TransfereGOV",
ROUND(OFFSET($P70,0,AK$13),15-13*ORÇAMENTO!$AF$7)/$H70*OFFSET(ORÇAMENTO!$X$15,ROW(AK70)-ROW(AK$15),0),
ROUND(ROUND(OFFSET($P70,0,AK$13),15-13*ORÇAMENTO!$AF$7)*OFFSET(ORÇAMENTO!$W$15,ROW(AK70)-ROW(AK$15),0),15-13*ORÇAMENTO!$AF$11)),0)</f>
        <v>0</v>
      </c>
      <c r="AM70" s="181">
        <f ca="1">IF($D70&lt;&gt;"Serviço",0,IF(AND(AUTOEVENTO="Manual",$M70=1),0,IF(OFFSET(CRONOPLE!$F$14,$M70,AM$13)="",10^12,OFFSET(CRONOPLE!$F$14,$M70,AM$13))))</f>
        <v>1000000000000</v>
      </c>
      <c r="AN70" s="181">
        <f ca="1">IF($D70&lt;&gt;"Serviço",0,IF(AND(AUTOEVENTO="Manual",$M70=1),0,IF(OFFSET(CRONOPLE!$F$14,$M70,AN$13)="",10^12,OFFSET(CRONOPLE!$F$14,$M70,AN$13))))</f>
        <v>1000000000000</v>
      </c>
      <c r="AO70" s="181">
        <f ca="1">IF($D70&lt;&gt;"Serviço",0,IF(AND(AUTOEVENTO="Manual",$M70=1),0,IF(OFFSET(CRONOPLE!$F$14,$M70,AO$13)="",10^12,OFFSET(CRONOPLE!$F$14,$M70,AO$13))))</f>
        <v>1000000000000</v>
      </c>
      <c r="AP70" s="181">
        <f ca="1">IF($D70&lt;&gt;"Serviço",0,IF(AND(AUTOEVENTO="Manual",$M70=1),0,IF(OFFSET(CRONOPLE!$F$14,$M70,AP$13)="",10^12,OFFSET(CRONOPLE!$F$14,$M70,AP$13))))</f>
        <v>1000000000000</v>
      </c>
      <c r="AQ70" s="181">
        <f ca="1">IF($D70&lt;&gt;"Serviço",0,IF(AND(AUTOEVENTO="Manual",$M70=1),0,IF(OFFSET(CRONOPLE!$F$14,$M70,AQ$13)="",10^12,OFFSET(CRONOPLE!$F$14,$M70,AQ$13))))</f>
        <v>1000000000000</v>
      </c>
      <c r="AR70" s="181">
        <f ca="1">IF($D70&lt;&gt;"Serviço",0,IF(AND(AUTOEVENTO="Manual",$M70=1),0,IF(OFFSET(CRONOPLE!$F$14,$M70,AR$13)="",10^12,OFFSET(CRONOPLE!$F$14,$M70,AR$13))))</f>
        <v>1000000000000</v>
      </c>
      <c r="AS70" s="181">
        <f ca="1">IF($D70&lt;&gt;"Serviço",0,IF(AND(AUTOEVENTO="Manual",$M70=1),0,IF(OFFSET(CRONOPLE!$F$14,$M70,AS$13)="",10^12,OFFSET(CRONOPLE!$F$14,$M70,AS$13))))</f>
        <v>1000000000000</v>
      </c>
      <c r="AT70" s="181">
        <f ca="1">IF($D70&lt;&gt;"Serviço",0,IF(AND(AUTOEVENTO="Manual",$M70=1),0,IF(OFFSET(CRONOPLE!$F$14,$M70,AT$13)="",10^12,OFFSET(CRONOPLE!$F$14,$M70,AT$13))))</f>
        <v>1000000000000</v>
      </c>
      <c r="AU70" s="181">
        <f ca="1">IF($D70&lt;&gt;"Serviço",0,IF(AND(AUTOEVENTO="Manual",$M70=1),0,IF(OFFSET(CRONOPLE!$F$14,$M70,AU$13)="",10^12,OFFSET(CRONOPLE!$F$14,$M70,AU$13))))</f>
        <v>1000000000000</v>
      </c>
      <c r="AV70" s="181">
        <f ca="1">IF($D70&lt;&gt;"Serviço",0,IF(AND(AUTOEVENTO="Manual",$M70=1),0,IF(OFFSET(CRONOPLE!$F$14,$M70,AV$13)="",10^12,OFFSET(CRONOPLE!$F$14,$M70,AV$13))))</f>
        <v>1000000000000</v>
      </c>
      <c r="AX70" s="182">
        <f ca="1">IF($D70&lt;&gt;"Serviço",0,IF(OR(AND(AUTOEVENTO="Manual",$M70=1),$M70&gt;(ROW(PLE.lastrow)-ROW(PLE.firstrow))),0,IF(OFFSET(PLE!$G$14,$M70,AX$13)="",10^12,OFFSET(PLE!$G$14,$M70,AX$13))))</f>
        <v>1000000000000</v>
      </c>
      <c r="AY70" s="182">
        <f ca="1">IF($D70&lt;&gt;"Serviço",0,IF(OR(AND(AUTOEVENTO="Manual",$M70=1),$M70&gt;(ROW(PLE.lastrow)-ROW(PLE.firstrow))),0,IF(OFFSET(PLE!$G$14,$M70,AY$13)="",10^12,OFFSET(PLE!$G$14,$M70,AY$13))))</f>
        <v>1000000000000</v>
      </c>
      <c r="AZ70" s="182">
        <f ca="1">IF($D70&lt;&gt;"Serviço",0,IF(OR(AND(AUTOEVENTO="Manual",$M70=1),$M70&gt;(ROW(PLE.lastrow)-ROW(PLE.firstrow))),0,IF(OFFSET(PLE!$G$14,$M70,AZ$13)="",10^12,OFFSET(PLE!$G$14,$M70,AZ$13))))</f>
        <v>1000000000000</v>
      </c>
      <c r="BA70" s="182">
        <f ca="1">IF($D70&lt;&gt;"Serviço",0,IF(OR(AND(AUTOEVENTO="Manual",$M70=1),$M70&gt;(ROW(PLE.lastrow)-ROW(PLE.firstrow))),0,IF(OFFSET(PLE!$G$14,$M70,BA$13)="",10^12,OFFSET(PLE!$G$14,$M70,BA$13))))</f>
        <v>1000000000000</v>
      </c>
      <c r="BB70" s="182">
        <f ca="1">IF($D70&lt;&gt;"Serviço",0,IF(OR(AND(AUTOEVENTO="Manual",$M70=1),$M70&gt;(ROW(PLE.lastrow)-ROW(PLE.firstrow))),0,IF(OFFSET(PLE!$G$14,$M70,BB$13)="",10^12,OFFSET(PLE!$G$14,$M70,BB$13))))</f>
        <v>1000000000000</v>
      </c>
      <c r="BC70" s="182">
        <f ca="1">IF($D70&lt;&gt;"Serviço",0,IF(OR(AND(AUTOEVENTO="Manual",$M70=1),$M70&gt;(ROW(PLE.lastrow)-ROW(PLE.firstrow))),0,IF(OFFSET(PLE!$G$14,$M70,BC$13)="",10^12,OFFSET(PLE!$G$14,$M70,BC$13))))</f>
        <v>1000000000000</v>
      </c>
      <c r="BD70" s="182">
        <f ca="1">IF($D70&lt;&gt;"Serviço",0,IF(OR(AND(AUTOEVENTO="Manual",$M70=1),$M70&gt;(ROW(PLE.lastrow)-ROW(PLE.firstrow))),0,IF(OFFSET(PLE!$G$14,$M70,BD$13)="",10^12,OFFSET(PLE!$G$14,$M70,BD$13))))</f>
        <v>1000000000000</v>
      </c>
      <c r="BE70" s="182">
        <f ca="1">IF($D70&lt;&gt;"Serviço",0,IF(OR(AND(AUTOEVENTO="Manual",$M70=1),$M70&gt;(ROW(PLE.lastrow)-ROW(PLE.firstrow))),0,IF(OFFSET(PLE!$G$14,$M70,BE$13)="",10^12,OFFSET(PLE!$G$14,$M70,BE$13))))</f>
        <v>1000000000000</v>
      </c>
      <c r="BF70" s="182">
        <f ca="1">IF($D70&lt;&gt;"Serviço",0,IF(OR(AND(AUTOEVENTO="Manual",$M70=1),$M70&gt;(ROW(PLE.lastrow)-ROW(PLE.firstrow))),0,IF(OFFSET(PLE!$G$14,$M70,BF$13)="",10^12,OFFSET(PLE!$G$14,$M70,BF$13))))</f>
        <v>1000000000000</v>
      </c>
      <c r="BG70" s="182">
        <f ca="1">IF($D70&lt;&gt;"Serviço",0,IF(OR(AND(AUTOEVENTO="Manual",$M70=1),$M70&gt;(ROW(PLE.lastrow)-ROW(PLE.firstrow))),0,IF(OFFSET(PLE!$G$14,$M70,BG$13)="",10^12,OFFSET(PLE!$G$14,$M70,BG$13))))</f>
        <v>1000000000000</v>
      </c>
    </row>
    <row r="71" spans="1:59" ht="51" x14ac:dyDescent="0.2">
      <c r="A71" s="7" t="str">
        <f t="shared" ca="1" si="8"/>
        <v>54</v>
      </c>
      <c r="B71" s="7" t="str">
        <f ca="1">OFFSET(ORÇAMENTO!C$15,ROW(B71)-ROW(B$15),0)</f>
        <v>S</v>
      </c>
      <c r="C71" s="7" t="str">
        <f ca="1">OFFSET(ORÇAMENTO!L$15,ROW(C71)-ROW(C$15),0)</f>
        <v>F</v>
      </c>
      <c r="D71" s="118" t="str">
        <f ca="1">OFFSET(ORÇAMENTO!N$15,ROW(D71)-ROW(D$15),0)</f>
        <v>Serviço</v>
      </c>
      <c r="E71" s="119" t="str">
        <f ca="1">OFFSET(ORÇAMENTO!O$15,ROW(E71)-ROW(E$15),0)</f>
        <v>1.4.0.2.</v>
      </c>
      <c r="F71" s="172" t="str">
        <f ca="1">OFFSET(ORÇAMENTO!R$15,ROW(F71)-ROW(F$15),0)</f>
        <v>(abra o arquivo 'Referência 03-2024.xlsm)</v>
      </c>
      <c r="G71" s="173" t="str">
        <f ca="1">IF($D71&lt;&gt;"Serviço","",OFFSET(ORÇAMENTO!S$15,ROW(G71)-ROW(G$15),0))</f>
        <v>-</v>
      </c>
      <c r="H71" s="124">
        <f ca="1">IF($D71&lt;&gt;"Serviço",0,IF(ACOMPANHAMENTO="BM",ROUND(OFFSET(ORÇAMENTO!AJ$15,ROW(H71)-ROW(H$15),0),15-13*ORÇAMENTO!$AF$7),SUMPRODUCT(($Q$12:$AA$12&lt;&gt;"")*ROUND($Q71:$AA71,15-13*ORÇAMENTO!$AF$7))))</f>
        <v>5</v>
      </c>
      <c r="I71" s="561"/>
      <c r="K71" s="174"/>
      <c r="L71" s="175" t="s">
        <v>255</v>
      </c>
      <c r="M71" s="176">
        <f ca="1">IF($D71&lt;&gt;"Serviço","",IF(AUTOEVENTO="manual",$A71,IF(ISERROR(MATCH($A71,$A$15:OFFSET($A71,-1,0),0)),MAX($M$15:OFFSET(M71,-1,0))+1,INDEX($M$15:OFFSET(M71,-1,0),MATCH($A71,$A$15:OFFSET($A71,-1,0),0)))))</f>
        <v>5</v>
      </c>
      <c r="N71" s="177" t="str">
        <f ca="1">IF($D71&lt;&gt;"Serviço","",IF(AUTOEVENTO="Manual",IF($A71=0,"&lt;-- defina o número do agrupador",OFFSET(EVENTOS!$D$14,$A71,0)),OFFSET($F$15,$A71,0)))</f>
        <v>INSTALAÇÕES DE ILUMINAÇÃO COM POSTEAMENTO E LUMINÁRIAS 100W</v>
      </c>
      <c r="O71" s="178"/>
      <c r="Q71" s="178"/>
      <c r="R71" s="179"/>
      <c r="S71" s="179"/>
      <c r="T71" s="179"/>
      <c r="U71" s="179"/>
      <c r="V71" s="179"/>
      <c r="W71" s="179"/>
      <c r="X71" s="179"/>
      <c r="Y71" s="179"/>
      <c r="Z71" s="180"/>
      <c r="AB71" s="544">
        <f ca="1">IF(AND($D71="Serviço",AB$12&lt;&gt;0,$H71&gt;0,OR(AUTOEVENTO&lt;&gt;"manual",$M71&lt;&gt;1)),
IF(Import.TipoArredondamento&lt;&gt;"TransfereGOV",
ROUND(OFFSET($P71,0,AB$13),15-13*ORÇAMENTO!$AF$7)/$H71*OFFSET(ORÇAMENTO!$X$15,ROW(AB71)-ROW(AB$15),0),
ROUND(ROUND(OFFSET($P71,0,AB$13),15-13*ORÇAMENTO!$AF$7)*OFFSET(ORÇAMENTO!$W$15,ROW(AB71)-ROW(AB$15),0),15-13*ORÇAMENTO!$AF$11)),0)</f>
        <v>0</v>
      </c>
      <c r="AC71" s="545">
        <f ca="1">IF(AND($D71="Serviço",AC$12&lt;&gt;0,$H71&gt;0,OR(AUTOEVENTO&lt;&gt;"manual",$M71&lt;&gt;1)),
IF(Import.TipoArredondamento&lt;&gt;"TransfereGOV",
ROUND(OFFSET($P71,0,AC$13),15-13*ORÇAMENTO!$AF$7)/$H71*OFFSET(ORÇAMENTO!$X$15,ROW(AC71)-ROW(AC$15),0),
ROUND(ROUND(OFFSET($P71,0,AC$13),15-13*ORÇAMENTO!$AF$7)*OFFSET(ORÇAMENTO!$W$15,ROW(AC71)-ROW(AC$15),0),15-13*ORÇAMENTO!$AF$11)),0)</f>
        <v>0</v>
      </c>
      <c r="AD71" s="545">
        <f ca="1">IF(AND($D71="Serviço",AD$12&lt;&gt;0,$H71&gt;0,OR(AUTOEVENTO&lt;&gt;"manual",$M71&lt;&gt;1)),
IF(Import.TipoArredondamento&lt;&gt;"TransfereGOV",
ROUND(OFFSET($P71,0,AD$13),15-13*ORÇAMENTO!$AF$7)/$H71*OFFSET(ORÇAMENTO!$X$15,ROW(AD71)-ROW(AD$15),0),
ROUND(ROUND(OFFSET($P71,0,AD$13),15-13*ORÇAMENTO!$AF$7)*OFFSET(ORÇAMENTO!$W$15,ROW(AD71)-ROW(AD$15),0),15-13*ORÇAMENTO!$AF$11)),0)</f>
        <v>0</v>
      </c>
      <c r="AE71" s="545">
        <f ca="1">IF(AND($D71="Serviço",AE$12&lt;&gt;0,$H71&gt;0,OR(AUTOEVENTO&lt;&gt;"manual",$M71&lt;&gt;1)),
IF(Import.TipoArredondamento&lt;&gt;"TransfereGOV",
ROUND(OFFSET($P71,0,AE$13),15-13*ORÇAMENTO!$AF$7)/$H71*OFFSET(ORÇAMENTO!$X$15,ROW(AE71)-ROW(AE$15),0),
ROUND(ROUND(OFFSET($P71,0,AE$13),15-13*ORÇAMENTO!$AF$7)*OFFSET(ORÇAMENTO!$W$15,ROW(AE71)-ROW(AE$15),0),15-13*ORÇAMENTO!$AF$11)),0)</f>
        <v>0</v>
      </c>
      <c r="AF71" s="545">
        <f ca="1">IF(AND($D71="Serviço",AF$12&lt;&gt;0,$H71&gt;0,OR(AUTOEVENTO&lt;&gt;"manual",$M71&lt;&gt;1)),
IF(Import.TipoArredondamento&lt;&gt;"TransfereGOV",
ROUND(OFFSET($P71,0,AF$13),15-13*ORÇAMENTO!$AF$7)/$H71*OFFSET(ORÇAMENTO!$X$15,ROW(AF71)-ROW(AF$15),0),
ROUND(ROUND(OFFSET($P71,0,AF$13),15-13*ORÇAMENTO!$AF$7)*OFFSET(ORÇAMENTO!$W$15,ROW(AF71)-ROW(AF$15),0),15-13*ORÇAMENTO!$AF$11)),0)</f>
        <v>0</v>
      </c>
      <c r="AG71" s="545">
        <f ca="1">IF(AND($D71="Serviço",AG$12&lt;&gt;0,$H71&gt;0,OR(AUTOEVENTO&lt;&gt;"manual",$M71&lt;&gt;1)),
IF(Import.TipoArredondamento&lt;&gt;"TransfereGOV",
ROUND(OFFSET($P71,0,AG$13),15-13*ORÇAMENTO!$AF$7)/$H71*OFFSET(ORÇAMENTO!$X$15,ROW(AG71)-ROW(AG$15),0),
ROUND(ROUND(OFFSET($P71,0,AG$13),15-13*ORÇAMENTO!$AF$7)*OFFSET(ORÇAMENTO!$W$15,ROW(AG71)-ROW(AG$15),0),15-13*ORÇAMENTO!$AF$11)),0)</f>
        <v>0</v>
      </c>
      <c r="AH71" s="545">
        <f ca="1">IF(AND($D71="Serviço",AH$12&lt;&gt;0,$H71&gt;0,OR(AUTOEVENTO&lt;&gt;"manual",$M71&lt;&gt;1)),
IF(Import.TipoArredondamento&lt;&gt;"TransfereGOV",
ROUND(OFFSET($P71,0,AH$13),15-13*ORÇAMENTO!$AF$7)/$H71*OFFSET(ORÇAMENTO!$X$15,ROW(AH71)-ROW(AH$15),0),
ROUND(ROUND(OFFSET($P71,0,AH$13),15-13*ORÇAMENTO!$AF$7)*OFFSET(ORÇAMENTO!$W$15,ROW(AH71)-ROW(AH$15),0),15-13*ORÇAMENTO!$AF$11)),0)</f>
        <v>0</v>
      </c>
      <c r="AI71" s="545">
        <f ca="1">IF(AND($D71="Serviço",AI$12&lt;&gt;0,$H71&gt;0,OR(AUTOEVENTO&lt;&gt;"manual",$M71&lt;&gt;1)),
IF(Import.TipoArredondamento&lt;&gt;"TransfereGOV",
ROUND(OFFSET($P71,0,AI$13),15-13*ORÇAMENTO!$AF$7)/$H71*OFFSET(ORÇAMENTO!$X$15,ROW(AI71)-ROW(AI$15),0),
ROUND(ROUND(OFFSET($P71,0,AI$13),15-13*ORÇAMENTO!$AF$7)*OFFSET(ORÇAMENTO!$W$15,ROW(AI71)-ROW(AI$15),0),15-13*ORÇAMENTO!$AF$11)),0)</f>
        <v>0</v>
      </c>
      <c r="AJ71" s="545">
        <f ca="1">IF(AND($D71="Serviço",AJ$12&lt;&gt;0,$H71&gt;0,OR(AUTOEVENTO&lt;&gt;"manual",$M71&lt;&gt;1)),
IF(Import.TipoArredondamento&lt;&gt;"TransfereGOV",
ROUND(OFFSET($P71,0,AJ$13),15-13*ORÇAMENTO!$AF$7)/$H71*OFFSET(ORÇAMENTO!$X$15,ROW(AJ71)-ROW(AJ$15),0),
ROUND(ROUND(OFFSET($P71,0,AJ$13),15-13*ORÇAMENTO!$AF$7)*OFFSET(ORÇAMENTO!$W$15,ROW(AJ71)-ROW(AJ$15),0),15-13*ORÇAMENTO!$AF$11)),0)</f>
        <v>0</v>
      </c>
      <c r="AK71" s="546">
        <f ca="1">IF(AND($D71="Serviço",AK$12&lt;&gt;0,$H71&gt;0,OR(AUTOEVENTO&lt;&gt;"manual",$M71&lt;&gt;1)),
IF(Import.TipoArredondamento&lt;&gt;"TransfereGOV",
ROUND(OFFSET($P71,0,AK$13),15-13*ORÇAMENTO!$AF$7)/$H71*OFFSET(ORÇAMENTO!$X$15,ROW(AK71)-ROW(AK$15),0),
ROUND(ROUND(OFFSET($P71,0,AK$13),15-13*ORÇAMENTO!$AF$7)*OFFSET(ORÇAMENTO!$W$15,ROW(AK71)-ROW(AK$15),0),15-13*ORÇAMENTO!$AF$11)),0)</f>
        <v>0</v>
      </c>
      <c r="AM71" s="181">
        <f ca="1">IF($D71&lt;&gt;"Serviço",0,IF(AND(AUTOEVENTO="Manual",$M71=1),0,IF(OFFSET(CRONOPLE!$F$14,$M71,AM$13)="",10^12,OFFSET(CRONOPLE!$F$14,$M71,AM$13))))</f>
        <v>1000000000000</v>
      </c>
      <c r="AN71" s="181">
        <f ca="1">IF($D71&lt;&gt;"Serviço",0,IF(AND(AUTOEVENTO="Manual",$M71=1),0,IF(OFFSET(CRONOPLE!$F$14,$M71,AN$13)="",10^12,OFFSET(CRONOPLE!$F$14,$M71,AN$13))))</f>
        <v>1000000000000</v>
      </c>
      <c r="AO71" s="181">
        <f ca="1">IF($D71&lt;&gt;"Serviço",0,IF(AND(AUTOEVENTO="Manual",$M71=1),0,IF(OFFSET(CRONOPLE!$F$14,$M71,AO$13)="",10^12,OFFSET(CRONOPLE!$F$14,$M71,AO$13))))</f>
        <v>1000000000000</v>
      </c>
      <c r="AP71" s="181">
        <f ca="1">IF($D71&lt;&gt;"Serviço",0,IF(AND(AUTOEVENTO="Manual",$M71=1),0,IF(OFFSET(CRONOPLE!$F$14,$M71,AP$13)="",10^12,OFFSET(CRONOPLE!$F$14,$M71,AP$13))))</f>
        <v>1000000000000</v>
      </c>
      <c r="AQ71" s="181">
        <f ca="1">IF($D71&lt;&gt;"Serviço",0,IF(AND(AUTOEVENTO="Manual",$M71=1),0,IF(OFFSET(CRONOPLE!$F$14,$M71,AQ$13)="",10^12,OFFSET(CRONOPLE!$F$14,$M71,AQ$13))))</f>
        <v>1000000000000</v>
      </c>
      <c r="AR71" s="181">
        <f ca="1">IF($D71&lt;&gt;"Serviço",0,IF(AND(AUTOEVENTO="Manual",$M71=1),0,IF(OFFSET(CRONOPLE!$F$14,$M71,AR$13)="",10^12,OFFSET(CRONOPLE!$F$14,$M71,AR$13))))</f>
        <v>1000000000000</v>
      </c>
      <c r="AS71" s="181">
        <f ca="1">IF($D71&lt;&gt;"Serviço",0,IF(AND(AUTOEVENTO="Manual",$M71=1),0,IF(OFFSET(CRONOPLE!$F$14,$M71,AS$13)="",10^12,OFFSET(CRONOPLE!$F$14,$M71,AS$13))))</f>
        <v>1000000000000</v>
      </c>
      <c r="AT71" s="181">
        <f ca="1">IF($D71&lt;&gt;"Serviço",0,IF(AND(AUTOEVENTO="Manual",$M71=1),0,IF(OFFSET(CRONOPLE!$F$14,$M71,AT$13)="",10^12,OFFSET(CRONOPLE!$F$14,$M71,AT$13))))</f>
        <v>1000000000000</v>
      </c>
      <c r="AU71" s="181">
        <f ca="1">IF($D71&lt;&gt;"Serviço",0,IF(AND(AUTOEVENTO="Manual",$M71=1),0,IF(OFFSET(CRONOPLE!$F$14,$M71,AU$13)="",10^12,OFFSET(CRONOPLE!$F$14,$M71,AU$13))))</f>
        <v>1000000000000</v>
      </c>
      <c r="AV71" s="181">
        <f ca="1">IF($D71&lt;&gt;"Serviço",0,IF(AND(AUTOEVENTO="Manual",$M71=1),0,IF(OFFSET(CRONOPLE!$F$14,$M71,AV$13)="",10^12,OFFSET(CRONOPLE!$F$14,$M71,AV$13))))</f>
        <v>1000000000000</v>
      </c>
      <c r="AX71" s="182">
        <f ca="1">IF($D71&lt;&gt;"Serviço",0,IF(OR(AND(AUTOEVENTO="Manual",$M71=1),$M71&gt;(ROW(PLE.lastrow)-ROW(PLE.firstrow))),0,IF(OFFSET(PLE!$G$14,$M71,AX$13)="",10^12,OFFSET(PLE!$G$14,$M71,AX$13))))</f>
        <v>1000000000000</v>
      </c>
      <c r="AY71" s="182">
        <f ca="1">IF($D71&lt;&gt;"Serviço",0,IF(OR(AND(AUTOEVENTO="Manual",$M71=1),$M71&gt;(ROW(PLE.lastrow)-ROW(PLE.firstrow))),0,IF(OFFSET(PLE!$G$14,$M71,AY$13)="",10^12,OFFSET(PLE!$G$14,$M71,AY$13))))</f>
        <v>1000000000000</v>
      </c>
      <c r="AZ71" s="182">
        <f ca="1">IF($D71&lt;&gt;"Serviço",0,IF(OR(AND(AUTOEVENTO="Manual",$M71=1),$M71&gt;(ROW(PLE.lastrow)-ROW(PLE.firstrow))),0,IF(OFFSET(PLE!$G$14,$M71,AZ$13)="",10^12,OFFSET(PLE!$G$14,$M71,AZ$13))))</f>
        <v>1000000000000</v>
      </c>
      <c r="BA71" s="182">
        <f ca="1">IF($D71&lt;&gt;"Serviço",0,IF(OR(AND(AUTOEVENTO="Manual",$M71=1),$M71&gt;(ROW(PLE.lastrow)-ROW(PLE.firstrow))),0,IF(OFFSET(PLE!$G$14,$M71,BA$13)="",10^12,OFFSET(PLE!$G$14,$M71,BA$13))))</f>
        <v>1000000000000</v>
      </c>
      <c r="BB71" s="182">
        <f ca="1">IF($D71&lt;&gt;"Serviço",0,IF(OR(AND(AUTOEVENTO="Manual",$M71=1),$M71&gt;(ROW(PLE.lastrow)-ROW(PLE.firstrow))),0,IF(OFFSET(PLE!$G$14,$M71,BB$13)="",10^12,OFFSET(PLE!$G$14,$M71,BB$13))))</f>
        <v>1000000000000</v>
      </c>
      <c r="BC71" s="182">
        <f ca="1">IF($D71&lt;&gt;"Serviço",0,IF(OR(AND(AUTOEVENTO="Manual",$M71=1),$M71&gt;(ROW(PLE.lastrow)-ROW(PLE.firstrow))),0,IF(OFFSET(PLE!$G$14,$M71,BC$13)="",10^12,OFFSET(PLE!$G$14,$M71,BC$13))))</f>
        <v>1000000000000</v>
      </c>
      <c r="BD71" s="182">
        <f ca="1">IF($D71&lt;&gt;"Serviço",0,IF(OR(AND(AUTOEVENTO="Manual",$M71=1),$M71&gt;(ROW(PLE.lastrow)-ROW(PLE.firstrow))),0,IF(OFFSET(PLE!$G$14,$M71,BD$13)="",10^12,OFFSET(PLE!$G$14,$M71,BD$13))))</f>
        <v>1000000000000</v>
      </c>
      <c r="BE71" s="182">
        <f ca="1">IF($D71&lt;&gt;"Serviço",0,IF(OR(AND(AUTOEVENTO="Manual",$M71=1),$M71&gt;(ROW(PLE.lastrow)-ROW(PLE.firstrow))),0,IF(OFFSET(PLE!$G$14,$M71,BE$13)="",10^12,OFFSET(PLE!$G$14,$M71,BE$13))))</f>
        <v>1000000000000</v>
      </c>
      <c r="BF71" s="182">
        <f ca="1">IF($D71&lt;&gt;"Serviço",0,IF(OR(AND(AUTOEVENTO="Manual",$M71=1),$M71&gt;(ROW(PLE.lastrow)-ROW(PLE.firstrow))),0,IF(OFFSET(PLE!$G$14,$M71,BF$13)="",10^12,OFFSET(PLE!$G$14,$M71,BF$13))))</f>
        <v>1000000000000</v>
      </c>
      <c r="BG71" s="182">
        <f ca="1">IF($D71&lt;&gt;"Serviço",0,IF(OR(AND(AUTOEVENTO="Manual",$M71=1),$M71&gt;(ROW(PLE.lastrow)-ROW(PLE.firstrow))),0,IF(OFFSET(PLE!$G$14,$M71,BG$13)="",10^12,OFFSET(PLE!$G$14,$M71,BG$13))))</f>
        <v>1000000000000</v>
      </c>
    </row>
    <row r="72" spans="1:59" ht="51" x14ac:dyDescent="0.2">
      <c r="A72" s="7" t="str">
        <f t="shared" ca="1" si="8"/>
        <v>54</v>
      </c>
      <c r="B72" s="7" t="str">
        <f ca="1">OFFSET(ORÇAMENTO!C$15,ROW(B72)-ROW(B$15),0)</f>
        <v>S</v>
      </c>
      <c r="C72" s="7" t="str">
        <f ca="1">OFFSET(ORÇAMENTO!L$15,ROW(C72)-ROW(C$15),0)</f>
        <v>F</v>
      </c>
      <c r="D72" s="118" t="str">
        <f ca="1">OFFSET(ORÇAMENTO!N$15,ROW(D72)-ROW(D$15),0)</f>
        <v>Serviço</v>
      </c>
      <c r="E72" s="119" t="str">
        <f ca="1">OFFSET(ORÇAMENTO!O$15,ROW(E72)-ROW(E$15),0)</f>
        <v>1.4.0.3.</v>
      </c>
      <c r="F72" s="172" t="str">
        <f ca="1">OFFSET(ORÇAMENTO!R$15,ROW(F72)-ROW(F$15),0)</f>
        <v>(abra o arquivo 'Referência 03-2024.xlsm)</v>
      </c>
      <c r="G72" s="173" t="str">
        <f ca="1">IF($D72&lt;&gt;"Serviço","",OFFSET(ORÇAMENTO!S$15,ROW(G72)-ROW(G$15),0))</f>
        <v>-</v>
      </c>
      <c r="H72" s="124">
        <f ca="1">IF($D72&lt;&gt;"Serviço",0,IF(ACOMPANHAMENTO="BM",ROUND(OFFSET(ORÇAMENTO!AJ$15,ROW(H72)-ROW(H$15),0),15-13*ORÇAMENTO!$AF$7),SUMPRODUCT(($Q$12:$AA$12&lt;&gt;"")*ROUND($Q72:$AA72,15-13*ORÇAMENTO!$AF$7))))</f>
        <v>6</v>
      </c>
      <c r="I72" s="561"/>
      <c r="K72" s="174"/>
      <c r="L72" s="175" t="s">
        <v>255</v>
      </c>
      <c r="M72" s="176">
        <f ca="1">IF($D72&lt;&gt;"Serviço","",IF(AUTOEVENTO="manual",$A72,IF(ISERROR(MATCH($A72,$A$15:OFFSET($A72,-1,0),0)),MAX($M$15:OFFSET(M72,-1,0))+1,INDEX($M$15:OFFSET(M72,-1,0),MATCH($A72,$A$15:OFFSET($A72,-1,0),0)))))</f>
        <v>5</v>
      </c>
      <c r="N72" s="177" t="str">
        <f ca="1">IF($D72&lt;&gt;"Serviço","",IF(AUTOEVENTO="Manual",IF($A72=0,"&lt;-- defina o número do agrupador",OFFSET(EVENTOS!$D$14,$A72,0)),OFFSET($F$15,$A72,0)))</f>
        <v>INSTALAÇÕES DE ILUMINAÇÃO COM POSTEAMENTO E LUMINÁRIAS 100W</v>
      </c>
      <c r="O72" s="178"/>
      <c r="Q72" s="178"/>
      <c r="R72" s="179"/>
      <c r="S72" s="179"/>
      <c r="T72" s="179"/>
      <c r="U72" s="179"/>
      <c r="V72" s="179"/>
      <c r="W72" s="179"/>
      <c r="X72" s="179"/>
      <c r="Y72" s="179"/>
      <c r="Z72" s="180"/>
      <c r="AB72" s="544">
        <f ca="1">IF(AND($D72="Serviço",AB$12&lt;&gt;0,$H72&gt;0,OR(AUTOEVENTO&lt;&gt;"manual",$M72&lt;&gt;1)),
IF(Import.TipoArredondamento&lt;&gt;"TransfereGOV",
ROUND(OFFSET($P72,0,AB$13),15-13*ORÇAMENTO!$AF$7)/$H72*OFFSET(ORÇAMENTO!$X$15,ROW(AB72)-ROW(AB$15),0),
ROUND(ROUND(OFFSET($P72,0,AB$13),15-13*ORÇAMENTO!$AF$7)*OFFSET(ORÇAMENTO!$W$15,ROW(AB72)-ROW(AB$15),0),15-13*ORÇAMENTO!$AF$11)),0)</f>
        <v>0</v>
      </c>
      <c r="AC72" s="545">
        <f ca="1">IF(AND($D72="Serviço",AC$12&lt;&gt;0,$H72&gt;0,OR(AUTOEVENTO&lt;&gt;"manual",$M72&lt;&gt;1)),
IF(Import.TipoArredondamento&lt;&gt;"TransfereGOV",
ROUND(OFFSET($P72,0,AC$13),15-13*ORÇAMENTO!$AF$7)/$H72*OFFSET(ORÇAMENTO!$X$15,ROW(AC72)-ROW(AC$15),0),
ROUND(ROUND(OFFSET($P72,0,AC$13),15-13*ORÇAMENTO!$AF$7)*OFFSET(ORÇAMENTO!$W$15,ROW(AC72)-ROW(AC$15),0),15-13*ORÇAMENTO!$AF$11)),0)</f>
        <v>0</v>
      </c>
      <c r="AD72" s="545">
        <f ca="1">IF(AND($D72="Serviço",AD$12&lt;&gt;0,$H72&gt;0,OR(AUTOEVENTO&lt;&gt;"manual",$M72&lt;&gt;1)),
IF(Import.TipoArredondamento&lt;&gt;"TransfereGOV",
ROUND(OFFSET($P72,0,AD$13),15-13*ORÇAMENTO!$AF$7)/$H72*OFFSET(ORÇAMENTO!$X$15,ROW(AD72)-ROW(AD$15),0),
ROUND(ROUND(OFFSET($P72,0,AD$13),15-13*ORÇAMENTO!$AF$7)*OFFSET(ORÇAMENTO!$W$15,ROW(AD72)-ROW(AD$15),0),15-13*ORÇAMENTO!$AF$11)),0)</f>
        <v>0</v>
      </c>
      <c r="AE72" s="545">
        <f ca="1">IF(AND($D72="Serviço",AE$12&lt;&gt;0,$H72&gt;0,OR(AUTOEVENTO&lt;&gt;"manual",$M72&lt;&gt;1)),
IF(Import.TipoArredondamento&lt;&gt;"TransfereGOV",
ROUND(OFFSET($P72,0,AE$13),15-13*ORÇAMENTO!$AF$7)/$H72*OFFSET(ORÇAMENTO!$X$15,ROW(AE72)-ROW(AE$15),0),
ROUND(ROUND(OFFSET($P72,0,AE$13),15-13*ORÇAMENTO!$AF$7)*OFFSET(ORÇAMENTO!$W$15,ROW(AE72)-ROW(AE$15),0),15-13*ORÇAMENTO!$AF$11)),0)</f>
        <v>0</v>
      </c>
      <c r="AF72" s="545">
        <f ca="1">IF(AND($D72="Serviço",AF$12&lt;&gt;0,$H72&gt;0,OR(AUTOEVENTO&lt;&gt;"manual",$M72&lt;&gt;1)),
IF(Import.TipoArredondamento&lt;&gt;"TransfereGOV",
ROUND(OFFSET($P72,0,AF$13),15-13*ORÇAMENTO!$AF$7)/$H72*OFFSET(ORÇAMENTO!$X$15,ROW(AF72)-ROW(AF$15),0),
ROUND(ROUND(OFFSET($P72,0,AF$13),15-13*ORÇAMENTO!$AF$7)*OFFSET(ORÇAMENTO!$W$15,ROW(AF72)-ROW(AF$15),0),15-13*ORÇAMENTO!$AF$11)),0)</f>
        <v>0</v>
      </c>
      <c r="AG72" s="545">
        <f ca="1">IF(AND($D72="Serviço",AG$12&lt;&gt;0,$H72&gt;0,OR(AUTOEVENTO&lt;&gt;"manual",$M72&lt;&gt;1)),
IF(Import.TipoArredondamento&lt;&gt;"TransfereGOV",
ROUND(OFFSET($P72,0,AG$13),15-13*ORÇAMENTO!$AF$7)/$H72*OFFSET(ORÇAMENTO!$X$15,ROW(AG72)-ROW(AG$15),0),
ROUND(ROUND(OFFSET($P72,0,AG$13),15-13*ORÇAMENTO!$AF$7)*OFFSET(ORÇAMENTO!$W$15,ROW(AG72)-ROW(AG$15),0),15-13*ORÇAMENTO!$AF$11)),0)</f>
        <v>0</v>
      </c>
      <c r="AH72" s="545">
        <f ca="1">IF(AND($D72="Serviço",AH$12&lt;&gt;0,$H72&gt;0,OR(AUTOEVENTO&lt;&gt;"manual",$M72&lt;&gt;1)),
IF(Import.TipoArredondamento&lt;&gt;"TransfereGOV",
ROUND(OFFSET($P72,0,AH$13),15-13*ORÇAMENTO!$AF$7)/$H72*OFFSET(ORÇAMENTO!$X$15,ROW(AH72)-ROW(AH$15),0),
ROUND(ROUND(OFFSET($P72,0,AH$13),15-13*ORÇAMENTO!$AF$7)*OFFSET(ORÇAMENTO!$W$15,ROW(AH72)-ROW(AH$15),0),15-13*ORÇAMENTO!$AF$11)),0)</f>
        <v>0</v>
      </c>
      <c r="AI72" s="545">
        <f ca="1">IF(AND($D72="Serviço",AI$12&lt;&gt;0,$H72&gt;0,OR(AUTOEVENTO&lt;&gt;"manual",$M72&lt;&gt;1)),
IF(Import.TipoArredondamento&lt;&gt;"TransfereGOV",
ROUND(OFFSET($P72,0,AI$13),15-13*ORÇAMENTO!$AF$7)/$H72*OFFSET(ORÇAMENTO!$X$15,ROW(AI72)-ROW(AI$15),0),
ROUND(ROUND(OFFSET($P72,0,AI$13),15-13*ORÇAMENTO!$AF$7)*OFFSET(ORÇAMENTO!$W$15,ROW(AI72)-ROW(AI$15),0),15-13*ORÇAMENTO!$AF$11)),0)</f>
        <v>0</v>
      </c>
      <c r="AJ72" s="545">
        <f ca="1">IF(AND($D72="Serviço",AJ$12&lt;&gt;0,$H72&gt;0,OR(AUTOEVENTO&lt;&gt;"manual",$M72&lt;&gt;1)),
IF(Import.TipoArredondamento&lt;&gt;"TransfereGOV",
ROUND(OFFSET($P72,0,AJ$13),15-13*ORÇAMENTO!$AF$7)/$H72*OFFSET(ORÇAMENTO!$X$15,ROW(AJ72)-ROW(AJ$15),0),
ROUND(ROUND(OFFSET($P72,0,AJ$13),15-13*ORÇAMENTO!$AF$7)*OFFSET(ORÇAMENTO!$W$15,ROW(AJ72)-ROW(AJ$15),0),15-13*ORÇAMENTO!$AF$11)),0)</f>
        <v>0</v>
      </c>
      <c r="AK72" s="546">
        <f ca="1">IF(AND($D72="Serviço",AK$12&lt;&gt;0,$H72&gt;0,OR(AUTOEVENTO&lt;&gt;"manual",$M72&lt;&gt;1)),
IF(Import.TipoArredondamento&lt;&gt;"TransfereGOV",
ROUND(OFFSET($P72,0,AK$13),15-13*ORÇAMENTO!$AF$7)/$H72*OFFSET(ORÇAMENTO!$X$15,ROW(AK72)-ROW(AK$15),0),
ROUND(ROUND(OFFSET($P72,0,AK$13),15-13*ORÇAMENTO!$AF$7)*OFFSET(ORÇAMENTO!$W$15,ROW(AK72)-ROW(AK$15),0),15-13*ORÇAMENTO!$AF$11)),0)</f>
        <v>0</v>
      </c>
      <c r="AM72" s="181">
        <f ca="1">IF($D72&lt;&gt;"Serviço",0,IF(AND(AUTOEVENTO="Manual",$M72=1),0,IF(OFFSET(CRONOPLE!$F$14,$M72,AM$13)="",10^12,OFFSET(CRONOPLE!$F$14,$M72,AM$13))))</f>
        <v>1000000000000</v>
      </c>
      <c r="AN72" s="181">
        <f ca="1">IF($D72&lt;&gt;"Serviço",0,IF(AND(AUTOEVENTO="Manual",$M72=1),0,IF(OFFSET(CRONOPLE!$F$14,$M72,AN$13)="",10^12,OFFSET(CRONOPLE!$F$14,$M72,AN$13))))</f>
        <v>1000000000000</v>
      </c>
      <c r="AO72" s="181">
        <f ca="1">IF($D72&lt;&gt;"Serviço",0,IF(AND(AUTOEVENTO="Manual",$M72=1),0,IF(OFFSET(CRONOPLE!$F$14,$M72,AO$13)="",10^12,OFFSET(CRONOPLE!$F$14,$M72,AO$13))))</f>
        <v>1000000000000</v>
      </c>
      <c r="AP72" s="181">
        <f ca="1">IF($D72&lt;&gt;"Serviço",0,IF(AND(AUTOEVENTO="Manual",$M72=1),0,IF(OFFSET(CRONOPLE!$F$14,$M72,AP$13)="",10^12,OFFSET(CRONOPLE!$F$14,$M72,AP$13))))</f>
        <v>1000000000000</v>
      </c>
      <c r="AQ72" s="181">
        <f ca="1">IF($D72&lt;&gt;"Serviço",0,IF(AND(AUTOEVENTO="Manual",$M72=1),0,IF(OFFSET(CRONOPLE!$F$14,$M72,AQ$13)="",10^12,OFFSET(CRONOPLE!$F$14,$M72,AQ$13))))</f>
        <v>1000000000000</v>
      </c>
      <c r="AR72" s="181">
        <f ca="1">IF($D72&lt;&gt;"Serviço",0,IF(AND(AUTOEVENTO="Manual",$M72=1),0,IF(OFFSET(CRONOPLE!$F$14,$M72,AR$13)="",10^12,OFFSET(CRONOPLE!$F$14,$M72,AR$13))))</f>
        <v>1000000000000</v>
      </c>
      <c r="AS72" s="181">
        <f ca="1">IF($D72&lt;&gt;"Serviço",0,IF(AND(AUTOEVENTO="Manual",$M72=1),0,IF(OFFSET(CRONOPLE!$F$14,$M72,AS$13)="",10^12,OFFSET(CRONOPLE!$F$14,$M72,AS$13))))</f>
        <v>1000000000000</v>
      </c>
      <c r="AT72" s="181">
        <f ca="1">IF($D72&lt;&gt;"Serviço",0,IF(AND(AUTOEVENTO="Manual",$M72=1),0,IF(OFFSET(CRONOPLE!$F$14,$M72,AT$13)="",10^12,OFFSET(CRONOPLE!$F$14,$M72,AT$13))))</f>
        <v>1000000000000</v>
      </c>
      <c r="AU72" s="181">
        <f ca="1">IF($D72&lt;&gt;"Serviço",0,IF(AND(AUTOEVENTO="Manual",$M72=1),0,IF(OFFSET(CRONOPLE!$F$14,$M72,AU$13)="",10^12,OFFSET(CRONOPLE!$F$14,$M72,AU$13))))</f>
        <v>1000000000000</v>
      </c>
      <c r="AV72" s="181">
        <f ca="1">IF($D72&lt;&gt;"Serviço",0,IF(AND(AUTOEVENTO="Manual",$M72=1),0,IF(OFFSET(CRONOPLE!$F$14,$M72,AV$13)="",10^12,OFFSET(CRONOPLE!$F$14,$M72,AV$13))))</f>
        <v>1000000000000</v>
      </c>
      <c r="AX72" s="182">
        <f ca="1">IF($D72&lt;&gt;"Serviço",0,IF(OR(AND(AUTOEVENTO="Manual",$M72=1),$M72&gt;(ROW(PLE.lastrow)-ROW(PLE.firstrow))),0,IF(OFFSET(PLE!$G$14,$M72,AX$13)="",10^12,OFFSET(PLE!$G$14,$M72,AX$13))))</f>
        <v>1000000000000</v>
      </c>
      <c r="AY72" s="182">
        <f ca="1">IF($D72&lt;&gt;"Serviço",0,IF(OR(AND(AUTOEVENTO="Manual",$M72=1),$M72&gt;(ROW(PLE.lastrow)-ROW(PLE.firstrow))),0,IF(OFFSET(PLE!$G$14,$M72,AY$13)="",10^12,OFFSET(PLE!$G$14,$M72,AY$13))))</f>
        <v>1000000000000</v>
      </c>
      <c r="AZ72" s="182">
        <f ca="1">IF($D72&lt;&gt;"Serviço",0,IF(OR(AND(AUTOEVENTO="Manual",$M72=1),$M72&gt;(ROW(PLE.lastrow)-ROW(PLE.firstrow))),0,IF(OFFSET(PLE!$G$14,$M72,AZ$13)="",10^12,OFFSET(PLE!$G$14,$M72,AZ$13))))</f>
        <v>1000000000000</v>
      </c>
      <c r="BA72" s="182">
        <f ca="1">IF($D72&lt;&gt;"Serviço",0,IF(OR(AND(AUTOEVENTO="Manual",$M72=1),$M72&gt;(ROW(PLE.lastrow)-ROW(PLE.firstrow))),0,IF(OFFSET(PLE!$G$14,$M72,BA$13)="",10^12,OFFSET(PLE!$G$14,$M72,BA$13))))</f>
        <v>1000000000000</v>
      </c>
      <c r="BB72" s="182">
        <f ca="1">IF($D72&lt;&gt;"Serviço",0,IF(OR(AND(AUTOEVENTO="Manual",$M72=1),$M72&gt;(ROW(PLE.lastrow)-ROW(PLE.firstrow))),0,IF(OFFSET(PLE!$G$14,$M72,BB$13)="",10^12,OFFSET(PLE!$G$14,$M72,BB$13))))</f>
        <v>1000000000000</v>
      </c>
      <c r="BC72" s="182">
        <f ca="1">IF($D72&lt;&gt;"Serviço",0,IF(OR(AND(AUTOEVENTO="Manual",$M72=1),$M72&gt;(ROW(PLE.lastrow)-ROW(PLE.firstrow))),0,IF(OFFSET(PLE!$G$14,$M72,BC$13)="",10^12,OFFSET(PLE!$G$14,$M72,BC$13))))</f>
        <v>1000000000000</v>
      </c>
      <c r="BD72" s="182">
        <f ca="1">IF($D72&lt;&gt;"Serviço",0,IF(OR(AND(AUTOEVENTO="Manual",$M72=1),$M72&gt;(ROW(PLE.lastrow)-ROW(PLE.firstrow))),0,IF(OFFSET(PLE!$G$14,$M72,BD$13)="",10^12,OFFSET(PLE!$G$14,$M72,BD$13))))</f>
        <v>1000000000000</v>
      </c>
      <c r="BE72" s="182">
        <f ca="1">IF($D72&lt;&gt;"Serviço",0,IF(OR(AND(AUTOEVENTO="Manual",$M72=1),$M72&gt;(ROW(PLE.lastrow)-ROW(PLE.firstrow))),0,IF(OFFSET(PLE!$G$14,$M72,BE$13)="",10^12,OFFSET(PLE!$G$14,$M72,BE$13))))</f>
        <v>1000000000000</v>
      </c>
      <c r="BF72" s="182">
        <f ca="1">IF($D72&lt;&gt;"Serviço",0,IF(OR(AND(AUTOEVENTO="Manual",$M72=1),$M72&gt;(ROW(PLE.lastrow)-ROW(PLE.firstrow))),0,IF(OFFSET(PLE!$G$14,$M72,BF$13)="",10^12,OFFSET(PLE!$G$14,$M72,BF$13))))</f>
        <v>1000000000000</v>
      </c>
      <c r="BG72" s="182">
        <f ca="1">IF($D72&lt;&gt;"Serviço",0,IF(OR(AND(AUTOEVENTO="Manual",$M72=1),$M72&gt;(ROW(PLE.lastrow)-ROW(PLE.firstrow))),0,IF(OFFSET(PLE!$G$14,$M72,BG$13)="",10^12,OFFSET(PLE!$G$14,$M72,BG$13))))</f>
        <v>1000000000000</v>
      </c>
    </row>
    <row r="73" spans="1:59" ht="51" x14ac:dyDescent="0.2">
      <c r="A73" s="7" t="str">
        <f t="shared" ca="1" si="8"/>
        <v>54</v>
      </c>
      <c r="B73" s="7" t="str">
        <f ca="1">OFFSET(ORÇAMENTO!C$15,ROW(B73)-ROW(B$15),0)</f>
        <v>S</v>
      </c>
      <c r="C73" s="7" t="str">
        <f ca="1">OFFSET(ORÇAMENTO!L$15,ROW(C73)-ROW(C$15),0)</f>
        <v>F</v>
      </c>
      <c r="D73" s="118" t="str">
        <f ca="1">OFFSET(ORÇAMENTO!N$15,ROW(D73)-ROW(D$15),0)</f>
        <v>Serviço</v>
      </c>
      <c r="E73" s="119" t="str">
        <f ca="1">OFFSET(ORÇAMENTO!O$15,ROW(E73)-ROW(E$15),0)</f>
        <v>1.4.0.4.</v>
      </c>
      <c r="F73" s="172" t="str">
        <f ca="1">OFFSET(ORÇAMENTO!R$15,ROW(F73)-ROW(F$15),0)</f>
        <v>(abra o arquivo 'Referência 03-2024.xlsm)</v>
      </c>
      <c r="G73" s="173" t="str">
        <f ca="1">IF($D73&lt;&gt;"Serviço","",OFFSET(ORÇAMENTO!S$15,ROW(G73)-ROW(G$15),0))</f>
        <v>-</v>
      </c>
      <c r="H73" s="124">
        <f ca="1">IF($D73&lt;&gt;"Serviço",0,IF(ACOMPANHAMENTO="BM",ROUND(OFFSET(ORÇAMENTO!AJ$15,ROW(H73)-ROW(H$15),0),15-13*ORÇAMENTO!$AF$7),SUMPRODUCT(($Q$12:$AA$12&lt;&gt;"")*ROUND($Q73:$AA73,15-13*ORÇAMENTO!$AF$7))))</f>
        <v>1</v>
      </c>
      <c r="I73" s="561"/>
      <c r="K73" s="174"/>
      <c r="L73" s="175" t="s">
        <v>255</v>
      </c>
      <c r="M73" s="176">
        <f ca="1">IF($D73&lt;&gt;"Serviço","",IF(AUTOEVENTO="manual",$A73,IF(ISERROR(MATCH($A73,$A$15:OFFSET($A73,-1,0),0)),MAX($M$15:OFFSET(M73,-1,0))+1,INDEX($M$15:OFFSET(M73,-1,0),MATCH($A73,$A$15:OFFSET($A73,-1,0),0)))))</f>
        <v>5</v>
      </c>
      <c r="N73" s="177" t="str">
        <f ca="1">IF($D73&lt;&gt;"Serviço","",IF(AUTOEVENTO="Manual",IF($A73=0,"&lt;-- defina o número do agrupador",OFFSET(EVENTOS!$D$14,$A73,0)),OFFSET($F$15,$A73,0)))</f>
        <v>INSTALAÇÕES DE ILUMINAÇÃO COM POSTEAMENTO E LUMINÁRIAS 100W</v>
      </c>
      <c r="O73" s="178"/>
      <c r="Q73" s="178"/>
      <c r="R73" s="179"/>
      <c r="S73" s="179"/>
      <c r="T73" s="179"/>
      <c r="U73" s="179"/>
      <c r="V73" s="179"/>
      <c r="W73" s="179"/>
      <c r="X73" s="179"/>
      <c r="Y73" s="179"/>
      <c r="Z73" s="180"/>
      <c r="AB73" s="544">
        <f ca="1">IF(AND($D73="Serviço",AB$12&lt;&gt;0,$H73&gt;0,OR(AUTOEVENTO&lt;&gt;"manual",$M73&lt;&gt;1)),
IF(Import.TipoArredondamento&lt;&gt;"TransfereGOV",
ROUND(OFFSET($P73,0,AB$13),15-13*ORÇAMENTO!$AF$7)/$H73*OFFSET(ORÇAMENTO!$X$15,ROW(AB73)-ROW(AB$15),0),
ROUND(ROUND(OFFSET($P73,0,AB$13),15-13*ORÇAMENTO!$AF$7)*OFFSET(ORÇAMENTO!$W$15,ROW(AB73)-ROW(AB$15),0),15-13*ORÇAMENTO!$AF$11)),0)</f>
        <v>0</v>
      </c>
      <c r="AC73" s="545">
        <f ca="1">IF(AND($D73="Serviço",AC$12&lt;&gt;0,$H73&gt;0,OR(AUTOEVENTO&lt;&gt;"manual",$M73&lt;&gt;1)),
IF(Import.TipoArredondamento&lt;&gt;"TransfereGOV",
ROUND(OFFSET($P73,0,AC$13),15-13*ORÇAMENTO!$AF$7)/$H73*OFFSET(ORÇAMENTO!$X$15,ROW(AC73)-ROW(AC$15),0),
ROUND(ROUND(OFFSET($P73,0,AC$13),15-13*ORÇAMENTO!$AF$7)*OFFSET(ORÇAMENTO!$W$15,ROW(AC73)-ROW(AC$15),0),15-13*ORÇAMENTO!$AF$11)),0)</f>
        <v>0</v>
      </c>
      <c r="AD73" s="545">
        <f ca="1">IF(AND($D73="Serviço",AD$12&lt;&gt;0,$H73&gt;0,OR(AUTOEVENTO&lt;&gt;"manual",$M73&lt;&gt;1)),
IF(Import.TipoArredondamento&lt;&gt;"TransfereGOV",
ROUND(OFFSET($P73,0,AD$13),15-13*ORÇAMENTO!$AF$7)/$H73*OFFSET(ORÇAMENTO!$X$15,ROW(AD73)-ROW(AD$15),0),
ROUND(ROUND(OFFSET($P73,0,AD$13),15-13*ORÇAMENTO!$AF$7)*OFFSET(ORÇAMENTO!$W$15,ROW(AD73)-ROW(AD$15),0),15-13*ORÇAMENTO!$AF$11)),0)</f>
        <v>0</v>
      </c>
      <c r="AE73" s="545">
        <f ca="1">IF(AND($D73="Serviço",AE$12&lt;&gt;0,$H73&gt;0,OR(AUTOEVENTO&lt;&gt;"manual",$M73&lt;&gt;1)),
IF(Import.TipoArredondamento&lt;&gt;"TransfereGOV",
ROUND(OFFSET($P73,0,AE$13),15-13*ORÇAMENTO!$AF$7)/$H73*OFFSET(ORÇAMENTO!$X$15,ROW(AE73)-ROW(AE$15),0),
ROUND(ROUND(OFFSET($P73,0,AE$13),15-13*ORÇAMENTO!$AF$7)*OFFSET(ORÇAMENTO!$W$15,ROW(AE73)-ROW(AE$15),0),15-13*ORÇAMENTO!$AF$11)),0)</f>
        <v>0</v>
      </c>
      <c r="AF73" s="545">
        <f ca="1">IF(AND($D73="Serviço",AF$12&lt;&gt;0,$H73&gt;0,OR(AUTOEVENTO&lt;&gt;"manual",$M73&lt;&gt;1)),
IF(Import.TipoArredondamento&lt;&gt;"TransfereGOV",
ROUND(OFFSET($P73,0,AF$13),15-13*ORÇAMENTO!$AF$7)/$H73*OFFSET(ORÇAMENTO!$X$15,ROW(AF73)-ROW(AF$15),0),
ROUND(ROUND(OFFSET($P73,0,AF$13),15-13*ORÇAMENTO!$AF$7)*OFFSET(ORÇAMENTO!$W$15,ROW(AF73)-ROW(AF$15),0),15-13*ORÇAMENTO!$AF$11)),0)</f>
        <v>0</v>
      </c>
      <c r="AG73" s="545">
        <f ca="1">IF(AND($D73="Serviço",AG$12&lt;&gt;0,$H73&gt;0,OR(AUTOEVENTO&lt;&gt;"manual",$M73&lt;&gt;1)),
IF(Import.TipoArredondamento&lt;&gt;"TransfereGOV",
ROUND(OFFSET($P73,0,AG$13),15-13*ORÇAMENTO!$AF$7)/$H73*OFFSET(ORÇAMENTO!$X$15,ROW(AG73)-ROW(AG$15),0),
ROUND(ROUND(OFFSET($P73,0,AG$13),15-13*ORÇAMENTO!$AF$7)*OFFSET(ORÇAMENTO!$W$15,ROW(AG73)-ROW(AG$15),0),15-13*ORÇAMENTO!$AF$11)),0)</f>
        <v>0</v>
      </c>
      <c r="AH73" s="545">
        <f ca="1">IF(AND($D73="Serviço",AH$12&lt;&gt;0,$H73&gt;0,OR(AUTOEVENTO&lt;&gt;"manual",$M73&lt;&gt;1)),
IF(Import.TipoArredondamento&lt;&gt;"TransfereGOV",
ROUND(OFFSET($P73,0,AH$13),15-13*ORÇAMENTO!$AF$7)/$H73*OFFSET(ORÇAMENTO!$X$15,ROW(AH73)-ROW(AH$15),0),
ROUND(ROUND(OFFSET($P73,0,AH$13),15-13*ORÇAMENTO!$AF$7)*OFFSET(ORÇAMENTO!$W$15,ROW(AH73)-ROW(AH$15),0),15-13*ORÇAMENTO!$AF$11)),0)</f>
        <v>0</v>
      </c>
      <c r="AI73" s="545">
        <f ca="1">IF(AND($D73="Serviço",AI$12&lt;&gt;0,$H73&gt;0,OR(AUTOEVENTO&lt;&gt;"manual",$M73&lt;&gt;1)),
IF(Import.TipoArredondamento&lt;&gt;"TransfereGOV",
ROUND(OFFSET($P73,0,AI$13),15-13*ORÇAMENTO!$AF$7)/$H73*OFFSET(ORÇAMENTO!$X$15,ROW(AI73)-ROW(AI$15),0),
ROUND(ROUND(OFFSET($P73,0,AI$13),15-13*ORÇAMENTO!$AF$7)*OFFSET(ORÇAMENTO!$W$15,ROW(AI73)-ROW(AI$15),0),15-13*ORÇAMENTO!$AF$11)),0)</f>
        <v>0</v>
      </c>
      <c r="AJ73" s="545">
        <f ca="1">IF(AND($D73="Serviço",AJ$12&lt;&gt;0,$H73&gt;0,OR(AUTOEVENTO&lt;&gt;"manual",$M73&lt;&gt;1)),
IF(Import.TipoArredondamento&lt;&gt;"TransfereGOV",
ROUND(OFFSET($P73,0,AJ$13),15-13*ORÇAMENTO!$AF$7)/$H73*OFFSET(ORÇAMENTO!$X$15,ROW(AJ73)-ROW(AJ$15),0),
ROUND(ROUND(OFFSET($P73,0,AJ$13),15-13*ORÇAMENTO!$AF$7)*OFFSET(ORÇAMENTO!$W$15,ROW(AJ73)-ROW(AJ$15),0),15-13*ORÇAMENTO!$AF$11)),0)</f>
        <v>0</v>
      </c>
      <c r="AK73" s="546">
        <f ca="1">IF(AND($D73="Serviço",AK$12&lt;&gt;0,$H73&gt;0,OR(AUTOEVENTO&lt;&gt;"manual",$M73&lt;&gt;1)),
IF(Import.TipoArredondamento&lt;&gt;"TransfereGOV",
ROUND(OFFSET($P73,0,AK$13),15-13*ORÇAMENTO!$AF$7)/$H73*OFFSET(ORÇAMENTO!$X$15,ROW(AK73)-ROW(AK$15),0),
ROUND(ROUND(OFFSET($P73,0,AK$13),15-13*ORÇAMENTO!$AF$7)*OFFSET(ORÇAMENTO!$W$15,ROW(AK73)-ROW(AK$15),0),15-13*ORÇAMENTO!$AF$11)),0)</f>
        <v>0</v>
      </c>
      <c r="AM73" s="181">
        <f ca="1">IF($D73&lt;&gt;"Serviço",0,IF(AND(AUTOEVENTO="Manual",$M73=1),0,IF(OFFSET(CRONOPLE!$F$14,$M73,AM$13)="",10^12,OFFSET(CRONOPLE!$F$14,$M73,AM$13))))</f>
        <v>1000000000000</v>
      </c>
      <c r="AN73" s="181">
        <f ca="1">IF($D73&lt;&gt;"Serviço",0,IF(AND(AUTOEVENTO="Manual",$M73=1),0,IF(OFFSET(CRONOPLE!$F$14,$M73,AN$13)="",10^12,OFFSET(CRONOPLE!$F$14,$M73,AN$13))))</f>
        <v>1000000000000</v>
      </c>
      <c r="AO73" s="181">
        <f ca="1">IF($D73&lt;&gt;"Serviço",0,IF(AND(AUTOEVENTO="Manual",$M73=1),0,IF(OFFSET(CRONOPLE!$F$14,$M73,AO$13)="",10^12,OFFSET(CRONOPLE!$F$14,$M73,AO$13))))</f>
        <v>1000000000000</v>
      </c>
      <c r="AP73" s="181">
        <f ca="1">IF($D73&lt;&gt;"Serviço",0,IF(AND(AUTOEVENTO="Manual",$M73=1),0,IF(OFFSET(CRONOPLE!$F$14,$M73,AP$13)="",10^12,OFFSET(CRONOPLE!$F$14,$M73,AP$13))))</f>
        <v>1000000000000</v>
      </c>
      <c r="AQ73" s="181">
        <f ca="1">IF($D73&lt;&gt;"Serviço",0,IF(AND(AUTOEVENTO="Manual",$M73=1),0,IF(OFFSET(CRONOPLE!$F$14,$M73,AQ$13)="",10^12,OFFSET(CRONOPLE!$F$14,$M73,AQ$13))))</f>
        <v>1000000000000</v>
      </c>
      <c r="AR73" s="181">
        <f ca="1">IF($D73&lt;&gt;"Serviço",0,IF(AND(AUTOEVENTO="Manual",$M73=1),0,IF(OFFSET(CRONOPLE!$F$14,$M73,AR$13)="",10^12,OFFSET(CRONOPLE!$F$14,$M73,AR$13))))</f>
        <v>1000000000000</v>
      </c>
      <c r="AS73" s="181">
        <f ca="1">IF($D73&lt;&gt;"Serviço",0,IF(AND(AUTOEVENTO="Manual",$M73=1),0,IF(OFFSET(CRONOPLE!$F$14,$M73,AS$13)="",10^12,OFFSET(CRONOPLE!$F$14,$M73,AS$13))))</f>
        <v>1000000000000</v>
      </c>
      <c r="AT73" s="181">
        <f ca="1">IF($D73&lt;&gt;"Serviço",0,IF(AND(AUTOEVENTO="Manual",$M73=1),0,IF(OFFSET(CRONOPLE!$F$14,$M73,AT$13)="",10^12,OFFSET(CRONOPLE!$F$14,$M73,AT$13))))</f>
        <v>1000000000000</v>
      </c>
      <c r="AU73" s="181">
        <f ca="1">IF($D73&lt;&gt;"Serviço",0,IF(AND(AUTOEVENTO="Manual",$M73=1),0,IF(OFFSET(CRONOPLE!$F$14,$M73,AU$13)="",10^12,OFFSET(CRONOPLE!$F$14,$M73,AU$13))))</f>
        <v>1000000000000</v>
      </c>
      <c r="AV73" s="181">
        <f ca="1">IF($D73&lt;&gt;"Serviço",0,IF(AND(AUTOEVENTO="Manual",$M73=1),0,IF(OFFSET(CRONOPLE!$F$14,$M73,AV$13)="",10^12,OFFSET(CRONOPLE!$F$14,$M73,AV$13))))</f>
        <v>1000000000000</v>
      </c>
      <c r="AX73" s="182">
        <f ca="1">IF($D73&lt;&gt;"Serviço",0,IF(OR(AND(AUTOEVENTO="Manual",$M73=1),$M73&gt;(ROW(PLE.lastrow)-ROW(PLE.firstrow))),0,IF(OFFSET(PLE!$G$14,$M73,AX$13)="",10^12,OFFSET(PLE!$G$14,$M73,AX$13))))</f>
        <v>1000000000000</v>
      </c>
      <c r="AY73" s="182">
        <f ca="1">IF($D73&lt;&gt;"Serviço",0,IF(OR(AND(AUTOEVENTO="Manual",$M73=1),$M73&gt;(ROW(PLE.lastrow)-ROW(PLE.firstrow))),0,IF(OFFSET(PLE!$G$14,$M73,AY$13)="",10^12,OFFSET(PLE!$G$14,$M73,AY$13))))</f>
        <v>1000000000000</v>
      </c>
      <c r="AZ73" s="182">
        <f ca="1">IF($D73&lt;&gt;"Serviço",0,IF(OR(AND(AUTOEVENTO="Manual",$M73=1),$M73&gt;(ROW(PLE.lastrow)-ROW(PLE.firstrow))),0,IF(OFFSET(PLE!$G$14,$M73,AZ$13)="",10^12,OFFSET(PLE!$G$14,$M73,AZ$13))))</f>
        <v>1000000000000</v>
      </c>
      <c r="BA73" s="182">
        <f ca="1">IF($D73&lt;&gt;"Serviço",0,IF(OR(AND(AUTOEVENTO="Manual",$M73=1),$M73&gt;(ROW(PLE.lastrow)-ROW(PLE.firstrow))),0,IF(OFFSET(PLE!$G$14,$M73,BA$13)="",10^12,OFFSET(PLE!$G$14,$M73,BA$13))))</f>
        <v>1000000000000</v>
      </c>
      <c r="BB73" s="182">
        <f ca="1">IF($D73&lt;&gt;"Serviço",0,IF(OR(AND(AUTOEVENTO="Manual",$M73=1),$M73&gt;(ROW(PLE.lastrow)-ROW(PLE.firstrow))),0,IF(OFFSET(PLE!$G$14,$M73,BB$13)="",10^12,OFFSET(PLE!$G$14,$M73,BB$13))))</f>
        <v>1000000000000</v>
      </c>
      <c r="BC73" s="182">
        <f ca="1">IF($D73&lt;&gt;"Serviço",0,IF(OR(AND(AUTOEVENTO="Manual",$M73=1),$M73&gt;(ROW(PLE.lastrow)-ROW(PLE.firstrow))),0,IF(OFFSET(PLE!$G$14,$M73,BC$13)="",10^12,OFFSET(PLE!$G$14,$M73,BC$13))))</f>
        <v>1000000000000</v>
      </c>
      <c r="BD73" s="182">
        <f ca="1">IF($D73&lt;&gt;"Serviço",0,IF(OR(AND(AUTOEVENTO="Manual",$M73=1),$M73&gt;(ROW(PLE.lastrow)-ROW(PLE.firstrow))),0,IF(OFFSET(PLE!$G$14,$M73,BD$13)="",10^12,OFFSET(PLE!$G$14,$M73,BD$13))))</f>
        <v>1000000000000</v>
      </c>
      <c r="BE73" s="182">
        <f ca="1">IF($D73&lt;&gt;"Serviço",0,IF(OR(AND(AUTOEVENTO="Manual",$M73=1),$M73&gt;(ROW(PLE.lastrow)-ROW(PLE.firstrow))),0,IF(OFFSET(PLE!$G$14,$M73,BE$13)="",10^12,OFFSET(PLE!$G$14,$M73,BE$13))))</f>
        <v>1000000000000</v>
      </c>
      <c r="BF73" s="182">
        <f ca="1">IF($D73&lt;&gt;"Serviço",0,IF(OR(AND(AUTOEVENTO="Manual",$M73=1),$M73&gt;(ROW(PLE.lastrow)-ROW(PLE.firstrow))),0,IF(OFFSET(PLE!$G$14,$M73,BF$13)="",10^12,OFFSET(PLE!$G$14,$M73,BF$13))))</f>
        <v>1000000000000</v>
      </c>
      <c r="BG73" s="182">
        <f ca="1">IF($D73&lt;&gt;"Serviço",0,IF(OR(AND(AUTOEVENTO="Manual",$M73=1),$M73&gt;(ROW(PLE.lastrow)-ROW(PLE.firstrow))),0,IF(OFFSET(PLE!$G$14,$M73,BG$13)="",10^12,OFFSET(PLE!$G$14,$M73,BG$13))))</f>
        <v>1000000000000</v>
      </c>
    </row>
    <row r="74" spans="1:59" ht="38.25" x14ac:dyDescent="0.2">
      <c r="A74" s="7" t="str">
        <f t="shared" ca="1" si="8"/>
        <v>54</v>
      </c>
      <c r="B74" s="7" t="str">
        <f ca="1">OFFSET(ORÇAMENTO!C$15,ROW(B74)-ROW(B$15),0)</f>
        <v>S</v>
      </c>
      <c r="C74" s="7" t="str">
        <f ca="1">OFFSET(ORÇAMENTO!L$15,ROW(C74)-ROW(C$15),0)</f>
        <v>F</v>
      </c>
      <c r="D74" s="118" t="str">
        <f ca="1">OFFSET(ORÇAMENTO!N$15,ROW(D74)-ROW(D$15),0)</f>
        <v>Serviço</v>
      </c>
      <c r="E74" s="119" t="str">
        <f ca="1">OFFSET(ORÇAMENTO!O$15,ROW(E74)-ROW(E$15),0)</f>
        <v>1.4.0.5.</v>
      </c>
      <c r="F74" s="172" t="str">
        <f ca="1">OFFSET(ORÇAMENTO!R$15,ROW(F74)-ROW(F$15),0)</f>
        <v>(abra o arquivo 'Referência 03-2024.xlsm)</v>
      </c>
      <c r="G74" s="173" t="str">
        <f ca="1">IF($D74&lt;&gt;"Serviço","",OFFSET(ORÇAMENTO!S$15,ROW(G74)-ROW(G$15),0))</f>
        <v>-</v>
      </c>
      <c r="H74" s="124">
        <f ca="1">IF($D74&lt;&gt;"Serviço",0,IF(ACOMPANHAMENTO="BM",ROUND(OFFSET(ORÇAMENTO!AJ$15,ROW(H74)-ROW(H$15),0),15-13*ORÇAMENTO!$AF$7),SUMPRODUCT(($Q$12:$AA$12&lt;&gt;"")*ROUND($Q74:$AA74,15-13*ORÇAMENTO!$AF$7))))</f>
        <v>12</v>
      </c>
      <c r="I74" s="561"/>
      <c r="K74" s="174"/>
      <c r="L74" s="175" t="s">
        <v>255</v>
      </c>
      <c r="M74" s="176">
        <f ca="1">IF($D74&lt;&gt;"Serviço","",IF(AUTOEVENTO="manual",$A74,IF(ISERROR(MATCH($A74,$A$15:OFFSET($A74,-1,0),0)),MAX($M$15:OFFSET(M74,-1,0))+1,INDEX($M$15:OFFSET(M74,-1,0),MATCH($A74,$A$15:OFFSET($A74,-1,0),0)))))</f>
        <v>5</v>
      </c>
      <c r="N74" s="177" t="str">
        <f ca="1">IF($D74&lt;&gt;"Serviço","",IF(AUTOEVENTO="Manual",IF($A74=0,"&lt;-- defina o número do agrupador",OFFSET(EVENTOS!$D$14,$A74,0)),OFFSET($F$15,$A74,0)))</f>
        <v>INSTALAÇÕES DE ILUMINAÇÃO COM POSTEAMENTO E LUMINÁRIAS 100W</v>
      </c>
      <c r="O74" s="178"/>
      <c r="Q74" s="178"/>
      <c r="R74" s="179"/>
      <c r="S74" s="179"/>
      <c r="T74" s="179"/>
      <c r="U74" s="179"/>
      <c r="V74" s="179"/>
      <c r="W74" s="179"/>
      <c r="X74" s="179"/>
      <c r="Y74" s="179"/>
      <c r="Z74" s="180"/>
      <c r="AB74" s="544">
        <f ca="1">IF(AND($D74="Serviço",AB$12&lt;&gt;0,$H74&gt;0,OR(AUTOEVENTO&lt;&gt;"manual",$M74&lt;&gt;1)),
IF(Import.TipoArredondamento&lt;&gt;"TransfereGOV",
ROUND(OFFSET($P74,0,AB$13),15-13*ORÇAMENTO!$AF$7)/$H74*OFFSET(ORÇAMENTO!$X$15,ROW(AB74)-ROW(AB$15),0),
ROUND(ROUND(OFFSET($P74,0,AB$13),15-13*ORÇAMENTO!$AF$7)*OFFSET(ORÇAMENTO!$W$15,ROW(AB74)-ROW(AB$15),0),15-13*ORÇAMENTO!$AF$11)),0)</f>
        <v>0</v>
      </c>
      <c r="AC74" s="545">
        <f ca="1">IF(AND($D74="Serviço",AC$12&lt;&gt;0,$H74&gt;0,OR(AUTOEVENTO&lt;&gt;"manual",$M74&lt;&gt;1)),
IF(Import.TipoArredondamento&lt;&gt;"TransfereGOV",
ROUND(OFFSET($P74,0,AC$13),15-13*ORÇAMENTO!$AF$7)/$H74*OFFSET(ORÇAMENTO!$X$15,ROW(AC74)-ROW(AC$15),0),
ROUND(ROUND(OFFSET($P74,0,AC$13),15-13*ORÇAMENTO!$AF$7)*OFFSET(ORÇAMENTO!$W$15,ROW(AC74)-ROW(AC$15),0),15-13*ORÇAMENTO!$AF$11)),0)</f>
        <v>0</v>
      </c>
      <c r="AD74" s="545">
        <f ca="1">IF(AND($D74="Serviço",AD$12&lt;&gt;0,$H74&gt;0,OR(AUTOEVENTO&lt;&gt;"manual",$M74&lt;&gt;1)),
IF(Import.TipoArredondamento&lt;&gt;"TransfereGOV",
ROUND(OFFSET($P74,0,AD$13),15-13*ORÇAMENTO!$AF$7)/$H74*OFFSET(ORÇAMENTO!$X$15,ROW(AD74)-ROW(AD$15),0),
ROUND(ROUND(OFFSET($P74,0,AD$13),15-13*ORÇAMENTO!$AF$7)*OFFSET(ORÇAMENTO!$W$15,ROW(AD74)-ROW(AD$15),0),15-13*ORÇAMENTO!$AF$11)),0)</f>
        <v>0</v>
      </c>
      <c r="AE74" s="545">
        <f ca="1">IF(AND($D74="Serviço",AE$12&lt;&gt;0,$H74&gt;0,OR(AUTOEVENTO&lt;&gt;"manual",$M74&lt;&gt;1)),
IF(Import.TipoArredondamento&lt;&gt;"TransfereGOV",
ROUND(OFFSET($P74,0,AE$13),15-13*ORÇAMENTO!$AF$7)/$H74*OFFSET(ORÇAMENTO!$X$15,ROW(AE74)-ROW(AE$15),0),
ROUND(ROUND(OFFSET($P74,0,AE$13),15-13*ORÇAMENTO!$AF$7)*OFFSET(ORÇAMENTO!$W$15,ROW(AE74)-ROW(AE$15),0),15-13*ORÇAMENTO!$AF$11)),0)</f>
        <v>0</v>
      </c>
      <c r="AF74" s="545">
        <f ca="1">IF(AND($D74="Serviço",AF$12&lt;&gt;0,$H74&gt;0,OR(AUTOEVENTO&lt;&gt;"manual",$M74&lt;&gt;1)),
IF(Import.TipoArredondamento&lt;&gt;"TransfereGOV",
ROUND(OFFSET($P74,0,AF$13),15-13*ORÇAMENTO!$AF$7)/$H74*OFFSET(ORÇAMENTO!$X$15,ROW(AF74)-ROW(AF$15),0),
ROUND(ROUND(OFFSET($P74,0,AF$13),15-13*ORÇAMENTO!$AF$7)*OFFSET(ORÇAMENTO!$W$15,ROW(AF74)-ROW(AF$15),0),15-13*ORÇAMENTO!$AF$11)),0)</f>
        <v>0</v>
      </c>
      <c r="AG74" s="545">
        <f ca="1">IF(AND($D74="Serviço",AG$12&lt;&gt;0,$H74&gt;0,OR(AUTOEVENTO&lt;&gt;"manual",$M74&lt;&gt;1)),
IF(Import.TipoArredondamento&lt;&gt;"TransfereGOV",
ROUND(OFFSET($P74,0,AG$13),15-13*ORÇAMENTO!$AF$7)/$H74*OFFSET(ORÇAMENTO!$X$15,ROW(AG74)-ROW(AG$15),0),
ROUND(ROUND(OFFSET($P74,0,AG$13),15-13*ORÇAMENTO!$AF$7)*OFFSET(ORÇAMENTO!$W$15,ROW(AG74)-ROW(AG$15),0),15-13*ORÇAMENTO!$AF$11)),0)</f>
        <v>0</v>
      </c>
      <c r="AH74" s="545">
        <f ca="1">IF(AND($D74="Serviço",AH$12&lt;&gt;0,$H74&gt;0,OR(AUTOEVENTO&lt;&gt;"manual",$M74&lt;&gt;1)),
IF(Import.TipoArredondamento&lt;&gt;"TransfereGOV",
ROUND(OFFSET($P74,0,AH$13),15-13*ORÇAMENTO!$AF$7)/$H74*OFFSET(ORÇAMENTO!$X$15,ROW(AH74)-ROW(AH$15),0),
ROUND(ROUND(OFFSET($P74,0,AH$13),15-13*ORÇAMENTO!$AF$7)*OFFSET(ORÇAMENTO!$W$15,ROW(AH74)-ROW(AH$15),0),15-13*ORÇAMENTO!$AF$11)),0)</f>
        <v>0</v>
      </c>
      <c r="AI74" s="545">
        <f ca="1">IF(AND($D74="Serviço",AI$12&lt;&gt;0,$H74&gt;0,OR(AUTOEVENTO&lt;&gt;"manual",$M74&lt;&gt;1)),
IF(Import.TipoArredondamento&lt;&gt;"TransfereGOV",
ROUND(OFFSET($P74,0,AI$13),15-13*ORÇAMENTO!$AF$7)/$H74*OFFSET(ORÇAMENTO!$X$15,ROW(AI74)-ROW(AI$15),0),
ROUND(ROUND(OFFSET($P74,0,AI$13),15-13*ORÇAMENTO!$AF$7)*OFFSET(ORÇAMENTO!$W$15,ROW(AI74)-ROW(AI$15),0),15-13*ORÇAMENTO!$AF$11)),0)</f>
        <v>0</v>
      </c>
      <c r="AJ74" s="545">
        <f ca="1">IF(AND($D74="Serviço",AJ$12&lt;&gt;0,$H74&gt;0,OR(AUTOEVENTO&lt;&gt;"manual",$M74&lt;&gt;1)),
IF(Import.TipoArredondamento&lt;&gt;"TransfereGOV",
ROUND(OFFSET($P74,0,AJ$13),15-13*ORÇAMENTO!$AF$7)/$H74*OFFSET(ORÇAMENTO!$X$15,ROW(AJ74)-ROW(AJ$15),0),
ROUND(ROUND(OFFSET($P74,0,AJ$13),15-13*ORÇAMENTO!$AF$7)*OFFSET(ORÇAMENTO!$W$15,ROW(AJ74)-ROW(AJ$15),0),15-13*ORÇAMENTO!$AF$11)),0)</f>
        <v>0</v>
      </c>
      <c r="AK74" s="546">
        <f ca="1">IF(AND($D74="Serviço",AK$12&lt;&gt;0,$H74&gt;0,OR(AUTOEVENTO&lt;&gt;"manual",$M74&lt;&gt;1)),
IF(Import.TipoArredondamento&lt;&gt;"TransfereGOV",
ROUND(OFFSET($P74,0,AK$13),15-13*ORÇAMENTO!$AF$7)/$H74*OFFSET(ORÇAMENTO!$X$15,ROW(AK74)-ROW(AK$15),0),
ROUND(ROUND(OFFSET($P74,0,AK$13),15-13*ORÇAMENTO!$AF$7)*OFFSET(ORÇAMENTO!$W$15,ROW(AK74)-ROW(AK$15),0),15-13*ORÇAMENTO!$AF$11)),0)</f>
        <v>0</v>
      </c>
      <c r="AM74" s="181">
        <f ca="1">IF($D74&lt;&gt;"Serviço",0,IF(AND(AUTOEVENTO="Manual",$M74=1),0,IF(OFFSET(CRONOPLE!$F$14,$M74,AM$13)="",10^12,OFFSET(CRONOPLE!$F$14,$M74,AM$13))))</f>
        <v>1000000000000</v>
      </c>
      <c r="AN74" s="181">
        <f ca="1">IF($D74&lt;&gt;"Serviço",0,IF(AND(AUTOEVENTO="Manual",$M74=1),0,IF(OFFSET(CRONOPLE!$F$14,$M74,AN$13)="",10^12,OFFSET(CRONOPLE!$F$14,$M74,AN$13))))</f>
        <v>1000000000000</v>
      </c>
      <c r="AO74" s="181">
        <f ca="1">IF($D74&lt;&gt;"Serviço",0,IF(AND(AUTOEVENTO="Manual",$M74=1),0,IF(OFFSET(CRONOPLE!$F$14,$M74,AO$13)="",10^12,OFFSET(CRONOPLE!$F$14,$M74,AO$13))))</f>
        <v>1000000000000</v>
      </c>
      <c r="AP74" s="181">
        <f ca="1">IF($D74&lt;&gt;"Serviço",0,IF(AND(AUTOEVENTO="Manual",$M74=1),0,IF(OFFSET(CRONOPLE!$F$14,$M74,AP$13)="",10^12,OFFSET(CRONOPLE!$F$14,$M74,AP$13))))</f>
        <v>1000000000000</v>
      </c>
      <c r="AQ74" s="181">
        <f ca="1">IF($D74&lt;&gt;"Serviço",0,IF(AND(AUTOEVENTO="Manual",$M74=1),0,IF(OFFSET(CRONOPLE!$F$14,$M74,AQ$13)="",10^12,OFFSET(CRONOPLE!$F$14,$M74,AQ$13))))</f>
        <v>1000000000000</v>
      </c>
      <c r="AR74" s="181">
        <f ca="1">IF($D74&lt;&gt;"Serviço",0,IF(AND(AUTOEVENTO="Manual",$M74=1),0,IF(OFFSET(CRONOPLE!$F$14,$M74,AR$13)="",10^12,OFFSET(CRONOPLE!$F$14,$M74,AR$13))))</f>
        <v>1000000000000</v>
      </c>
      <c r="AS74" s="181">
        <f ca="1">IF($D74&lt;&gt;"Serviço",0,IF(AND(AUTOEVENTO="Manual",$M74=1),0,IF(OFFSET(CRONOPLE!$F$14,$M74,AS$13)="",10^12,OFFSET(CRONOPLE!$F$14,$M74,AS$13))))</f>
        <v>1000000000000</v>
      </c>
      <c r="AT74" s="181">
        <f ca="1">IF($D74&lt;&gt;"Serviço",0,IF(AND(AUTOEVENTO="Manual",$M74=1),0,IF(OFFSET(CRONOPLE!$F$14,$M74,AT$13)="",10^12,OFFSET(CRONOPLE!$F$14,$M74,AT$13))))</f>
        <v>1000000000000</v>
      </c>
      <c r="AU74" s="181">
        <f ca="1">IF($D74&lt;&gt;"Serviço",0,IF(AND(AUTOEVENTO="Manual",$M74=1),0,IF(OFFSET(CRONOPLE!$F$14,$M74,AU$13)="",10^12,OFFSET(CRONOPLE!$F$14,$M74,AU$13))))</f>
        <v>1000000000000</v>
      </c>
      <c r="AV74" s="181">
        <f ca="1">IF($D74&lt;&gt;"Serviço",0,IF(AND(AUTOEVENTO="Manual",$M74=1),0,IF(OFFSET(CRONOPLE!$F$14,$M74,AV$13)="",10^12,OFFSET(CRONOPLE!$F$14,$M74,AV$13))))</f>
        <v>1000000000000</v>
      </c>
      <c r="AX74" s="182">
        <f ca="1">IF($D74&lt;&gt;"Serviço",0,IF(OR(AND(AUTOEVENTO="Manual",$M74=1),$M74&gt;(ROW(PLE.lastrow)-ROW(PLE.firstrow))),0,IF(OFFSET(PLE!$G$14,$M74,AX$13)="",10^12,OFFSET(PLE!$G$14,$M74,AX$13))))</f>
        <v>1000000000000</v>
      </c>
      <c r="AY74" s="182">
        <f ca="1">IF($D74&lt;&gt;"Serviço",0,IF(OR(AND(AUTOEVENTO="Manual",$M74=1),$M74&gt;(ROW(PLE.lastrow)-ROW(PLE.firstrow))),0,IF(OFFSET(PLE!$G$14,$M74,AY$13)="",10^12,OFFSET(PLE!$G$14,$M74,AY$13))))</f>
        <v>1000000000000</v>
      </c>
      <c r="AZ74" s="182">
        <f ca="1">IF($D74&lt;&gt;"Serviço",0,IF(OR(AND(AUTOEVENTO="Manual",$M74=1),$M74&gt;(ROW(PLE.lastrow)-ROW(PLE.firstrow))),0,IF(OFFSET(PLE!$G$14,$M74,AZ$13)="",10^12,OFFSET(PLE!$G$14,$M74,AZ$13))))</f>
        <v>1000000000000</v>
      </c>
      <c r="BA74" s="182">
        <f ca="1">IF($D74&lt;&gt;"Serviço",0,IF(OR(AND(AUTOEVENTO="Manual",$M74=1),$M74&gt;(ROW(PLE.lastrow)-ROW(PLE.firstrow))),0,IF(OFFSET(PLE!$G$14,$M74,BA$13)="",10^12,OFFSET(PLE!$G$14,$M74,BA$13))))</f>
        <v>1000000000000</v>
      </c>
      <c r="BB74" s="182">
        <f ca="1">IF($D74&lt;&gt;"Serviço",0,IF(OR(AND(AUTOEVENTO="Manual",$M74=1),$M74&gt;(ROW(PLE.lastrow)-ROW(PLE.firstrow))),0,IF(OFFSET(PLE!$G$14,$M74,BB$13)="",10^12,OFFSET(PLE!$G$14,$M74,BB$13))))</f>
        <v>1000000000000</v>
      </c>
      <c r="BC74" s="182">
        <f ca="1">IF($D74&lt;&gt;"Serviço",0,IF(OR(AND(AUTOEVENTO="Manual",$M74=1),$M74&gt;(ROW(PLE.lastrow)-ROW(PLE.firstrow))),0,IF(OFFSET(PLE!$G$14,$M74,BC$13)="",10^12,OFFSET(PLE!$G$14,$M74,BC$13))))</f>
        <v>1000000000000</v>
      </c>
      <c r="BD74" s="182">
        <f ca="1">IF($D74&lt;&gt;"Serviço",0,IF(OR(AND(AUTOEVENTO="Manual",$M74=1),$M74&gt;(ROW(PLE.lastrow)-ROW(PLE.firstrow))),0,IF(OFFSET(PLE!$G$14,$M74,BD$13)="",10^12,OFFSET(PLE!$G$14,$M74,BD$13))))</f>
        <v>1000000000000</v>
      </c>
      <c r="BE74" s="182">
        <f ca="1">IF($D74&lt;&gt;"Serviço",0,IF(OR(AND(AUTOEVENTO="Manual",$M74=1),$M74&gt;(ROW(PLE.lastrow)-ROW(PLE.firstrow))),0,IF(OFFSET(PLE!$G$14,$M74,BE$13)="",10^12,OFFSET(PLE!$G$14,$M74,BE$13))))</f>
        <v>1000000000000</v>
      </c>
      <c r="BF74" s="182">
        <f ca="1">IF($D74&lt;&gt;"Serviço",0,IF(OR(AND(AUTOEVENTO="Manual",$M74=1),$M74&gt;(ROW(PLE.lastrow)-ROW(PLE.firstrow))),0,IF(OFFSET(PLE!$G$14,$M74,BF$13)="",10^12,OFFSET(PLE!$G$14,$M74,BF$13))))</f>
        <v>1000000000000</v>
      </c>
      <c r="BG74" s="182">
        <f ca="1">IF($D74&lt;&gt;"Serviço",0,IF(OR(AND(AUTOEVENTO="Manual",$M74=1),$M74&gt;(ROW(PLE.lastrow)-ROW(PLE.firstrow))),0,IF(OFFSET(PLE!$G$14,$M74,BG$13)="",10^12,OFFSET(PLE!$G$14,$M74,BG$13))))</f>
        <v>1000000000000</v>
      </c>
    </row>
    <row r="75" spans="1:59" ht="63.75" x14ac:dyDescent="0.2">
      <c r="A75" s="7" t="str">
        <f t="shared" ca="1" si="8"/>
        <v>54</v>
      </c>
      <c r="B75" s="7" t="str">
        <f ca="1">OFFSET(ORÇAMENTO!C$15,ROW(B75)-ROW(B$15),0)</f>
        <v>S</v>
      </c>
      <c r="C75" s="7" t="str">
        <f ca="1">OFFSET(ORÇAMENTO!L$15,ROW(C75)-ROW(C$15),0)</f>
        <v>F</v>
      </c>
      <c r="D75" s="118" t="str">
        <f ca="1">OFFSET(ORÇAMENTO!N$15,ROW(D75)-ROW(D$15),0)</f>
        <v>Serviço</v>
      </c>
      <c r="E75" s="119" t="str">
        <f ca="1">OFFSET(ORÇAMENTO!O$15,ROW(E75)-ROW(E$15),0)</f>
        <v>1.4.0.6.</v>
      </c>
      <c r="F75" s="172" t="str">
        <f ca="1">OFFSET(ORÇAMENTO!R$15,ROW(F75)-ROW(F$15),0)</f>
        <v>(abra o arquivo 'Referência 03-2024.xlsm)</v>
      </c>
      <c r="G75" s="173" t="str">
        <f ca="1">IF($D75&lt;&gt;"Serviço","",OFFSET(ORÇAMENTO!S$15,ROW(G75)-ROW(G$15),0))</f>
        <v>-</v>
      </c>
      <c r="H75" s="124">
        <f ca="1">IF($D75&lt;&gt;"Serviço",0,IF(ACOMPANHAMENTO="BM",ROUND(OFFSET(ORÇAMENTO!AJ$15,ROW(H75)-ROW(H$15),0),15-13*ORÇAMENTO!$AF$7),SUMPRODUCT(($Q$12:$AA$12&lt;&gt;"")*ROUND($Q75:$AA75,15-13*ORÇAMENTO!$AF$7))))</f>
        <v>48.4</v>
      </c>
      <c r="I75" s="561"/>
      <c r="K75" s="174"/>
      <c r="L75" s="175" t="s">
        <v>255</v>
      </c>
      <c r="M75" s="176">
        <f ca="1">IF($D75&lt;&gt;"Serviço","",IF(AUTOEVENTO="manual",$A75,IF(ISERROR(MATCH($A75,$A$15:OFFSET($A75,-1,0),0)),MAX($M$15:OFFSET(M75,-1,0))+1,INDEX($M$15:OFFSET(M75,-1,0),MATCH($A75,$A$15:OFFSET($A75,-1,0),0)))))</f>
        <v>5</v>
      </c>
      <c r="N75" s="177" t="str">
        <f ca="1">IF($D75&lt;&gt;"Serviço","",IF(AUTOEVENTO="Manual",IF($A75=0,"&lt;-- defina o número do agrupador",OFFSET(EVENTOS!$D$14,$A75,0)),OFFSET($F$15,$A75,0)))</f>
        <v>INSTALAÇÕES DE ILUMINAÇÃO COM POSTEAMENTO E LUMINÁRIAS 100W</v>
      </c>
      <c r="O75" s="178"/>
      <c r="Q75" s="178"/>
      <c r="R75" s="179"/>
      <c r="S75" s="179"/>
      <c r="T75" s="179"/>
      <c r="U75" s="179"/>
      <c r="V75" s="179"/>
      <c r="W75" s="179"/>
      <c r="X75" s="179"/>
      <c r="Y75" s="179"/>
      <c r="Z75" s="180"/>
      <c r="AB75" s="544">
        <f ca="1">IF(AND($D75="Serviço",AB$12&lt;&gt;0,$H75&gt;0,OR(AUTOEVENTO&lt;&gt;"manual",$M75&lt;&gt;1)),
IF(Import.TipoArredondamento&lt;&gt;"TransfereGOV",
ROUND(OFFSET($P75,0,AB$13),15-13*ORÇAMENTO!$AF$7)/$H75*OFFSET(ORÇAMENTO!$X$15,ROW(AB75)-ROW(AB$15),0),
ROUND(ROUND(OFFSET($P75,0,AB$13),15-13*ORÇAMENTO!$AF$7)*OFFSET(ORÇAMENTO!$W$15,ROW(AB75)-ROW(AB$15),0),15-13*ORÇAMENTO!$AF$11)),0)</f>
        <v>0</v>
      </c>
      <c r="AC75" s="545">
        <f ca="1">IF(AND($D75="Serviço",AC$12&lt;&gt;0,$H75&gt;0,OR(AUTOEVENTO&lt;&gt;"manual",$M75&lt;&gt;1)),
IF(Import.TipoArredondamento&lt;&gt;"TransfereGOV",
ROUND(OFFSET($P75,0,AC$13),15-13*ORÇAMENTO!$AF$7)/$H75*OFFSET(ORÇAMENTO!$X$15,ROW(AC75)-ROW(AC$15),0),
ROUND(ROUND(OFFSET($P75,0,AC$13),15-13*ORÇAMENTO!$AF$7)*OFFSET(ORÇAMENTO!$W$15,ROW(AC75)-ROW(AC$15),0),15-13*ORÇAMENTO!$AF$11)),0)</f>
        <v>0</v>
      </c>
      <c r="AD75" s="545">
        <f ca="1">IF(AND($D75="Serviço",AD$12&lt;&gt;0,$H75&gt;0,OR(AUTOEVENTO&lt;&gt;"manual",$M75&lt;&gt;1)),
IF(Import.TipoArredondamento&lt;&gt;"TransfereGOV",
ROUND(OFFSET($P75,0,AD$13),15-13*ORÇAMENTO!$AF$7)/$H75*OFFSET(ORÇAMENTO!$X$15,ROW(AD75)-ROW(AD$15),0),
ROUND(ROUND(OFFSET($P75,0,AD$13),15-13*ORÇAMENTO!$AF$7)*OFFSET(ORÇAMENTO!$W$15,ROW(AD75)-ROW(AD$15),0),15-13*ORÇAMENTO!$AF$11)),0)</f>
        <v>0</v>
      </c>
      <c r="AE75" s="545">
        <f ca="1">IF(AND($D75="Serviço",AE$12&lt;&gt;0,$H75&gt;0,OR(AUTOEVENTO&lt;&gt;"manual",$M75&lt;&gt;1)),
IF(Import.TipoArredondamento&lt;&gt;"TransfereGOV",
ROUND(OFFSET($P75,0,AE$13),15-13*ORÇAMENTO!$AF$7)/$H75*OFFSET(ORÇAMENTO!$X$15,ROW(AE75)-ROW(AE$15),0),
ROUND(ROUND(OFFSET($P75,0,AE$13),15-13*ORÇAMENTO!$AF$7)*OFFSET(ORÇAMENTO!$W$15,ROW(AE75)-ROW(AE$15),0),15-13*ORÇAMENTO!$AF$11)),0)</f>
        <v>0</v>
      </c>
      <c r="AF75" s="545">
        <f ca="1">IF(AND($D75="Serviço",AF$12&lt;&gt;0,$H75&gt;0,OR(AUTOEVENTO&lt;&gt;"manual",$M75&lt;&gt;1)),
IF(Import.TipoArredondamento&lt;&gt;"TransfereGOV",
ROUND(OFFSET($P75,0,AF$13),15-13*ORÇAMENTO!$AF$7)/$H75*OFFSET(ORÇAMENTO!$X$15,ROW(AF75)-ROW(AF$15),0),
ROUND(ROUND(OFFSET($P75,0,AF$13),15-13*ORÇAMENTO!$AF$7)*OFFSET(ORÇAMENTO!$W$15,ROW(AF75)-ROW(AF$15),0),15-13*ORÇAMENTO!$AF$11)),0)</f>
        <v>0</v>
      </c>
      <c r="AG75" s="545">
        <f ca="1">IF(AND($D75="Serviço",AG$12&lt;&gt;0,$H75&gt;0,OR(AUTOEVENTO&lt;&gt;"manual",$M75&lt;&gt;1)),
IF(Import.TipoArredondamento&lt;&gt;"TransfereGOV",
ROUND(OFFSET($P75,0,AG$13),15-13*ORÇAMENTO!$AF$7)/$H75*OFFSET(ORÇAMENTO!$X$15,ROW(AG75)-ROW(AG$15),0),
ROUND(ROUND(OFFSET($P75,0,AG$13),15-13*ORÇAMENTO!$AF$7)*OFFSET(ORÇAMENTO!$W$15,ROW(AG75)-ROW(AG$15),0),15-13*ORÇAMENTO!$AF$11)),0)</f>
        <v>0</v>
      </c>
      <c r="AH75" s="545">
        <f ca="1">IF(AND($D75="Serviço",AH$12&lt;&gt;0,$H75&gt;0,OR(AUTOEVENTO&lt;&gt;"manual",$M75&lt;&gt;1)),
IF(Import.TipoArredondamento&lt;&gt;"TransfereGOV",
ROUND(OFFSET($P75,0,AH$13),15-13*ORÇAMENTO!$AF$7)/$H75*OFFSET(ORÇAMENTO!$X$15,ROW(AH75)-ROW(AH$15),0),
ROUND(ROUND(OFFSET($P75,0,AH$13),15-13*ORÇAMENTO!$AF$7)*OFFSET(ORÇAMENTO!$W$15,ROW(AH75)-ROW(AH$15),0),15-13*ORÇAMENTO!$AF$11)),0)</f>
        <v>0</v>
      </c>
      <c r="AI75" s="545">
        <f ca="1">IF(AND($D75="Serviço",AI$12&lt;&gt;0,$H75&gt;0,OR(AUTOEVENTO&lt;&gt;"manual",$M75&lt;&gt;1)),
IF(Import.TipoArredondamento&lt;&gt;"TransfereGOV",
ROUND(OFFSET($P75,0,AI$13),15-13*ORÇAMENTO!$AF$7)/$H75*OFFSET(ORÇAMENTO!$X$15,ROW(AI75)-ROW(AI$15),0),
ROUND(ROUND(OFFSET($P75,0,AI$13),15-13*ORÇAMENTO!$AF$7)*OFFSET(ORÇAMENTO!$W$15,ROW(AI75)-ROW(AI$15),0),15-13*ORÇAMENTO!$AF$11)),0)</f>
        <v>0</v>
      </c>
      <c r="AJ75" s="545">
        <f ca="1">IF(AND($D75="Serviço",AJ$12&lt;&gt;0,$H75&gt;0,OR(AUTOEVENTO&lt;&gt;"manual",$M75&lt;&gt;1)),
IF(Import.TipoArredondamento&lt;&gt;"TransfereGOV",
ROUND(OFFSET($P75,0,AJ$13),15-13*ORÇAMENTO!$AF$7)/$H75*OFFSET(ORÇAMENTO!$X$15,ROW(AJ75)-ROW(AJ$15),0),
ROUND(ROUND(OFFSET($P75,0,AJ$13),15-13*ORÇAMENTO!$AF$7)*OFFSET(ORÇAMENTO!$W$15,ROW(AJ75)-ROW(AJ$15),0),15-13*ORÇAMENTO!$AF$11)),0)</f>
        <v>0</v>
      </c>
      <c r="AK75" s="546">
        <f ca="1">IF(AND($D75="Serviço",AK$12&lt;&gt;0,$H75&gt;0,OR(AUTOEVENTO&lt;&gt;"manual",$M75&lt;&gt;1)),
IF(Import.TipoArredondamento&lt;&gt;"TransfereGOV",
ROUND(OFFSET($P75,0,AK$13),15-13*ORÇAMENTO!$AF$7)/$H75*OFFSET(ORÇAMENTO!$X$15,ROW(AK75)-ROW(AK$15),0),
ROUND(ROUND(OFFSET($P75,0,AK$13),15-13*ORÇAMENTO!$AF$7)*OFFSET(ORÇAMENTO!$W$15,ROW(AK75)-ROW(AK$15),0),15-13*ORÇAMENTO!$AF$11)),0)</f>
        <v>0</v>
      </c>
      <c r="AM75" s="181">
        <f ca="1">IF($D75&lt;&gt;"Serviço",0,IF(AND(AUTOEVENTO="Manual",$M75=1),0,IF(OFFSET(CRONOPLE!$F$14,$M75,AM$13)="",10^12,OFFSET(CRONOPLE!$F$14,$M75,AM$13))))</f>
        <v>1000000000000</v>
      </c>
      <c r="AN75" s="181">
        <f ca="1">IF($D75&lt;&gt;"Serviço",0,IF(AND(AUTOEVENTO="Manual",$M75=1),0,IF(OFFSET(CRONOPLE!$F$14,$M75,AN$13)="",10^12,OFFSET(CRONOPLE!$F$14,$M75,AN$13))))</f>
        <v>1000000000000</v>
      </c>
      <c r="AO75" s="181">
        <f ca="1">IF($D75&lt;&gt;"Serviço",0,IF(AND(AUTOEVENTO="Manual",$M75=1),0,IF(OFFSET(CRONOPLE!$F$14,$M75,AO$13)="",10^12,OFFSET(CRONOPLE!$F$14,$M75,AO$13))))</f>
        <v>1000000000000</v>
      </c>
      <c r="AP75" s="181">
        <f ca="1">IF($D75&lt;&gt;"Serviço",0,IF(AND(AUTOEVENTO="Manual",$M75=1),0,IF(OFFSET(CRONOPLE!$F$14,$M75,AP$13)="",10^12,OFFSET(CRONOPLE!$F$14,$M75,AP$13))))</f>
        <v>1000000000000</v>
      </c>
      <c r="AQ75" s="181">
        <f ca="1">IF($D75&lt;&gt;"Serviço",0,IF(AND(AUTOEVENTO="Manual",$M75=1),0,IF(OFFSET(CRONOPLE!$F$14,$M75,AQ$13)="",10^12,OFFSET(CRONOPLE!$F$14,$M75,AQ$13))))</f>
        <v>1000000000000</v>
      </c>
      <c r="AR75" s="181">
        <f ca="1">IF($D75&lt;&gt;"Serviço",0,IF(AND(AUTOEVENTO="Manual",$M75=1),0,IF(OFFSET(CRONOPLE!$F$14,$M75,AR$13)="",10^12,OFFSET(CRONOPLE!$F$14,$M75,AR$13))))</f>
        <v>1000000000000</v>
      </c>
      <c r="AS75" s="181">
        <f ca="1">IF($D75&lt;&gt;"Serviço",0,IF(AND(AUTOEVENTO="Manual",$M75=1),0,IF(OFFSET(CRONOPLE!$F$14,$M75,AS$13)="",10^12,OFFSET(CRONOPLE!$F$14,$M75,AS$13))))</f>
        <v>1000000000000</v>
      </c>
      <c r="AT75" s="181">
        <f ca="1">IF($D75&lt;&gt;"Serviço",0,IF(AND(AUTOEVENTO="Manual",$M75=1),0,IF(OFFSET(CRONOPLE!$F$14,$M75,AT$13)="",10^12,OFFSET(CRONOPLE!$F$14,$M75,AT$13))))</f>
        <v>1000000000000</v>
      </c>
      <c r="AU75" s="181">
        <f ca="1">IF($D75&lt;&gt;"Serviço",0,IF(AND(AUTOEVENTO="Manual",$M75=1),0,IF(OFFSET(CRONOPLE!$F$14,$M75,AU$13)="",10^12,OFFSET(CRONOPLE!$F$14,$M75,AU$13))))</f>
        <v>1000000000000</v>
      </c>
      <c r="AV75" s="181">
        <f ca="1">IF($D75&lt;&gt;"Serviço",0,IF(AND(AUTOEVENTO="Manual",$M75=1),0,IF(OFFSET(CRONOPLE!$F$14,$M75,AV$13)="",10^12,OFFSET(CRONOPLE!$F$14,$M75,AV$13))))</f>
        <v>1000000000000</v>
      </c>
      <c r="AX75" s="182">
        <f ca="1">IF($D75&lt;&gt;"Serviço",0,IF(OR(AND(AUTOEVENTO="Manual",$M75=1),$M75&gt;(ROW(PLE.lastrow)-ROW(PLE.firstrow))),0,IF(OFFSET(PLE!$G$14,$M75,AX$13)="",10^12,OFFSET(PLE!$G$14,$M75,AX$13))))</f>
        <v>1000000000000</v>
      </c>
      <c r="AY75" s="182">
        <f ca="1">IF($D75&lt;&gt;"Serviço",0,IF(OR(AND(AUTOEVENTO="Manual",$M75=1),$M75&gt;(ROW(PLE.lastrow)-ROW(PLE.firstrow))),0,IF(OFFSET(PLE!$G$14,$M75,AY$13)="",10^12,OFFSET(PLE!$G$14,$M75,AY$13))))</f>
        <v>1000000000000</v>
      </c>
      <c r="AZ75" s="182">
        <f ca="1">IF($D75&lt;&gt;"Serviço",0,IF(OR(AND(AUTOEVENTO="Manual",$M75=1),$M75&gt;(ROW(PLE.lastrow)-ROW(PLE.firstrow))),0,IF(OFFSET(PLE!$G$14,$M75,AZ$13)="",10^12,OFFSET(PLE!$G$14,$M75,AZ$13))))</f>
        <v>1000000000000</v>
      </c>
      <c r="BA75" s="182">
        <f ca="1">IF($D75&lt;&gt;"Serviço",0,IF(OR(AND(AUTOEVENTO="Manual",$M75=1),$M75&gt;(ROW(PLE.lastrow)-ROW(PLE.firstrow))),0,IF(OFFSET(PLE!$G$14,$M75,BA$13)="",10^12,OFFSET(PLE!$G$14,$M75,BA$13))))</f>
        <v>1000000000000</v>
      </c>
      <c r="BB75" s="182">
        <f ca="1">IF($D75&lt;&gt;"Serviço",0,IF(OR(AND(AUTOEVENTO="Manual",$M75=1),$M75&gt;(ROW(PLE.lastrow)-ROW(PLE.firstrow))),0,IF(OFFSET(PLE!$G$14,$M75,BB$13)="",10^12,OFFSET(PLE!$G$14,$M75,BB$13))))</f>
        <v>1000000000000</v>
      </c>
      <c r="BC75" s="182">
        <f ca="1">IF($D75&lt;&gt;"Serviço",0,IF(OR(AND(AUTOEVENTO="Manual",$M75=1),$M75&gt;(ROW(PLE.lastrow)-ROW(PLE.firstrow))),0,IF(OFFSET(PLE!$G$14,$M75,BC$13)="",10^12,OFFSET(PLE!$G$14,$M75,BC$13))))</f>
        <v>1000000000000</v>
      </c>
      <c r="BD75" s="182">
        <f ca="1">IF($D75&lt;&gt;"Serviço",0,IF(OR(AND(AUTOEVENTO="Manual",$M75=1),$M75&gt;(ROW(PLE.lastrow)-ROW(PLE.firstrow))),0,IF(OFFSET(PLE!$G$14,$M75,BD$13)="",10^12,OFFSET(PLE!$G$14,$M75,BD$13))))</f>
        <v>1000000000000</v>
      </c>
      <c r="BE75" s="182">
        <f ca="1">IF($D75&lt;&gt;"Serviço",0,IF(OR(AND(AUTOEVENTO="Manual",$M75=1),$M75&gt;(ROW(PLE.lastrow)-ROW(PLE.firstrow))),0,IF(OFFSET(PLE!$G$14,$M75,BE$13)="",10^12,OFFSET(PLE!$G$14,$M75,BE$13))))</f>
        <v>1000000000000</v>
      </c>
      <c r="BF75" s="182">
        <f ca="1">IF($D75&lt;&gt;"Serviço",0,IF(OR(AND(AUTOEVENTO="Manual",$M75=1),$M75&gt;(ROW(PLE.lastrow)-ROW(PLE.firstrow))),0,IF(OFFSET(PLE!$G$14,$M75,BF$13)="",10^12,OFFSET(PLE!$G$14,$M75,BF$13))))</f>
        <v>1000000000000</v>
      </c>
      <c r="BG75" s="182">
        <f ca="1">IF($D75&lt;&gt;"Serviço",0,IF(OR(AND(AUTOEVENTO="Manual",$M75=1),$M75&gt;(ROW(PLE.lastrow)-ROW(PLE.firstrow))),0,IF(OFFSET(PLE!$G$14,$M75,BG$13)="",10^12,OFFSET(PLE!$G$14,$M75,BG$13))))</f>
        <v>1000000000000</v>
      </c>
    </row>
    <row r="76" spans="1:59" ht="51" x14ac:dyDescent="0.2">
      <c r="A76" s="7" t="str">
        <f t="shared" ca="1" si="8"/>
        <v>54</v>
      </c>
      <c r="B76" s="7" t="str">
        <f ca="1">OFFSET(ORÇAMENTO!C$15,ROW(B76)-ROW(B$15),0)</f>
        <v>S</v>
      </c>
      <c r="C76" s="7" t="str">
        <f ca="1">OFFSET(ORÇAMENTO!L$15,ROW(C76)-ROW(C$15),0)</f>
        <v>F</v>
      </c>
      <c r="D76" s="118" t="str">
        <f ca="1">OFFSET(ORÇAMENTO!N$15,ROW(D76)-ROW(D$15),0)</f>
        <v>Serviço</v>
      </c>
      <c r="E76" s="119" t="str">
        <f ca="1">OFFSET(ORÇAMENTO!O$15,ROW(E76)-ROW(E$15),0)</f>
        <v>1.4.0.7.</v>
      </c>
      <c r="F76" s="172" t="str">
        <f ca="1">OFFSET(ORÇAMENTO!R$15,ROW(F76)-ROW(F$15),0)</f>
        <v>(abra o arquivo 'Referência 03-2024.xlsm)</v>
      </c>
      <c r="G76" s="173" t="str">
        <f ca="1">IF($D76&lt;&gt;"Serviço","",OFFSET(ORÇAMENTO!S$15,ROW(G76)-ROW(G$15),0))</f>
        <v>-</v>
      </c>
      <c r="H76" s="124">
        <f ca="1">IF($D76&lt;&gt;"Serviço",0,IF(ACOMPANHAMENTO="BM",ROUND(OFFSET(ORÇAMENTO!AJ$15,ROW(H76)-ROW(H$15),0),15-13*ORÇAMENTO!$AF$7),SUMPRODUCT(($Q$12:$AA$12&lt;&gt;"")*ROUND($Q76:$AA76,15-13*ORÇAMENTO!$AF$7))))</f>
        <v>45</v>
      </c>
      <c r="I76" s="561"/>
      <c r="K76" s="174"/>
      <c r="L76" s="175" t="s">
        <v>255</v>
      </c>
      <c r="M76" s="176">
        <f ca="1">IF($D76&lt;&gt;"Serviço","",IF(AUTOEVENTO="manual",$A76,IF(ISERROR(MATCH($A76,$A$15:OFFSET($A76,-1,0),0)),MAX($M$15:OFFSET(M76,-1,0))+1,INDEX($M$15:OFFSET(M76,-1,0),MATCH($A76,$A$15:OFFSET($A76,-1,0),0)))))</f>
        <v>5</v>
      </c>
      <c r="N76" s="177" t="str">
        <f ca="1">IF($D76&lt;&gt;"Serviço","",IF(AUTOEVENTO="Manual",IF($A76=0,"&lt;-- defina o número do agrupador",OFFSET(EVENTOS!$D$14,$A76,0)),OFFSET($F$15,$A76,0)))</f>
        <v>INSTALAÇÕES DE ILUMINAÇÃO COM POSTEAMENTO E LUMINÁRIAS 100W</v>
      </c>
      <c r="O76" s="178"/>
      <c r="Q76" s="178"/>
      <c r="R76" s="179"/>
      <c r="S76" s="179"/>
      <c r="T76" s="179"/>
      <c r="U76" s="179"/>
      <c r="V76" s="179"/>
      <c r="W76" s="179"/>
      <c r="X76" s="179"/>
      <c r="Y76" s="179"/>
      <c r="Z76" s="180"/>
      <c r="AB76" s="544">
        <f ca="1">IF(AND($D76="Serviço",AB$12&lt;&gt;0,$H76&gt;0,OR(AUTOEVENTO&lt;&gt;"manual",$M76&lt;&gt;1)),
IF(Import.TipoArredondamento&lt;&gt;"TransfereGOV",
ROUND(OFFSET($P76,0,AB$13),15-13*ORÇAMENTO!$AF$7)/$H76*OFFSET(ORÇAMENTO!$X$15,ROW(AB76)-ROW(AB$15),0),
ROUND(ROUND(OFFSET($P76,0,AB$13),15-13*ORÇAMENTO!$AF$7)*OFFSET(ORÇAMENTO!$W$15,ROW(AB76)-ROW(AB$15),0),15-13*ORÇAMENTO!$AF$11)),0)</f>
        <v>0</v>
      </c>
      <c r="AC76" s="545">
        <f ca="1">IF(AND($D76="Serviço",AC$12&lt;&gt;0,$H76&gt;0,OR(AUTOEVENTO&lt;&gt;"manual",$M76&lt;&gt;1)),
IF(Import.TipoArredondamento&lt;&gt;"TransfereGOV",
ROUND(OFFSET($P76,0,AC$13),15-13*ORÇAMENTO!$AF$7)/$H76*OFFSET(ORÇAMENTO!$X$15,ROW(AC76)-ROW(AC$15),0),
ROUND(ROUND(OFFSET($P76,0,AC$13),15-13*ORÇAMENTO!$AF$7)*OFFSET(ORÇAMENTO!$W$15,ROW(AC76)-ROW(AC$15),0),15-13*ORÇAMENTO!$AF$11)),0)</f>
        <v>0</v>
      </c>
      <c r="AD76" s="545">
        <f ca="1">IF(AND($D76="Serviço",AD$12&lt;&gt;0,$H76&gt;0,OR(AUTOEVENTO&lt;&gt;"manual",$M76&lt;&gt;1)),
IF(Import.TipoArredondamento&lt;&gt;"TransfereGOV",
ROUND(OFFSET($P76,0,AD$13),15-13*ORÇAMENTO!$AF$7)/$H76*OFFSET(ORÇAMENTO!$X$15,ROW(AD76)-ROW(AD$15),0),
ROUND(ROUND(OFFSET($P76,0,AD$13),15-13*ORÇAMENTO!$AF$7)*OFFSET(ORÇAMENTO!$W$15,ROW(AD76)-ROW(AD$15),0),15-13*ORÇAMENTO!$AF$11)),0)</f>
        <v>0</v>
      </c>
      <c r="AE76" s="545">
        <f ca="1">IF(AND($D76="Serviço",AE$12&lt;&gt;0,$H76&gt;0,OR(AUTOEVENTO&lt;&gt;"manual",$M76&lt;&gt;1)),
IF(Import.TipoArredondamento&lt;&gt;"TransfereGOV",
ROUND(OFFSET($P76,0,AE$13),15-13*ORÇAMENTO!$AF$7)/$H76*OFFSET(ORÇAMENTO!$X$15,ROW(AE76)-ROW(AE$15),0),
ROUND(ROUND(OFFSET($P76,0,AE$13),15-13*ORÇAMENTO!$AF$7)*OFFSET(ORÇAMENTO!$W$15,ROW(AE76)-ROW(AE$15),0),15-13*ORÇAMENTO!$AF$11)),0)</f>
        <v>0</v>
      </c>
      <c r="AF76" s="545">
        <f ca="1">IF(AND($D76="Serviço",AF$12&lt;&gt;0,$H76&gt;0,OR(AUTOEVENTO&lt;&gt;"manual",$M76&lt;&gt;1)),
IF(Import.TipoArredondamento&lt;&gt;"TransfereGOV",
ROUND(OFFSET($P76,0,AF$13),15-13*ORÇAMENTO!$AF$7)/$H76*OFFSET(ORÇAMENTO!$X$15,ROW(AF76)-ROW(AF$15),0),
ROUND(ROUND(OFFSET($P76,0,AF$13),15-13*ORÇAMENTO!$AF$7)*OFFSET(ORÇAMENTO!$W$15,ROW(AF76)-ROW(AF$15),0),15-13*ORÇAMENTO!$AF$11)),0)</f>
        <v>0</v>
      </c>
      <c r="AG76" s="545">
        <f ca="1">IF(AND($D76="Serviço",AG$12&lt;&gt;0,$H76&gt;0,OR(AUTOEVENTO&lt;&gt;"manual",$M76&lt;&gt;1)),
IF(Import.TipoArredondamento&lt;&gt;"TransfereGOV",
ROUND(OFFSET($P76,0,AG$13),15-13*ORÇAMENTO!$AF$7)/$H76*OFFSET(ORÇAMENTO!$X$15,ROW(AG76)-ROW(AG$15),0),
ROUND(ROUND(OFFSET($P76,0,AG$13),15-13*ORÇAMENTO!$AF$7)*OFFSET(ORÇAMENTO!$W$15,ROW(AG76)-ROW(AG$15),0),15-13*ORÇAMENTO!$AF$11)),0)</f>
        <v>0</v>
      </c>
      <c r="AH76" s="545">
        <f ca="1">IF(AND($D76="Serviço",AH$12&lt;&gt;0,$H76&gt;0,OR(AUTOEVENTO&lt;&gt;"manual",$M76&lt;&gt;1)),
IF(Import.TipoArredondamento&lt;&gt;"TransfereGOV",
ROUND(OFFSET($P76,0,AH$13),15-13*ORÇAMENTO!$AF$7)/$H76*OFFSET(ORÇAMENTO!$X$15,ROW(AH76)-ROW(AH$15),0),
ROUND(ROUND(OFFSET($P76,0,AH$13),15-13*ORÇAMENTO!$AF$7)*OFFSET(ORÇAMENTO!$W$15,ROW(AH76)-ROW(AH$15),0),15-13*ORÇAMENTO!$AF$11)),0)</f>
        <v>0</v>
      </c>
      <c r="AI76" s="545">
        <f ca="1">IF(AND($D76="Serviço",AI$12&lt;&gt;0,$H76&gt;0,OR(AUTOEVENTO&lt;&gt;"manual",$M76&lt;&gt;1)),
IF(Import.TipoArredondamento&lt;&gt;"TransfereGOV",
ROUND(OFFSET($P76,0,AI$13),15-13*ORÇAMENTO!$AF$7)/$H76*OFFSET(ORÇAMENTO!$X$15,ROW(AI76)-ROW(AI$15),0),
ROUND(ROUND(OFFSET($P76,0,AI$13),15-13*ORÇAMENTO!$AF$7)*OFFSET(ORÇAMENTO!$W$15,ROW(AI76)-ROW(AI$15),0),15-13*ORÇAMENTO!$AF$11)),0)</f>
        <v>0</v>
      </c>
      <c r="AJ76" s="545">
        <f ca="1">IF(AND($D76="Serviço",AJ$12&lt;&gt;0,$H76&gt;0,OR(AUTOEVENTO&lt;&gt;"manual",$M76&lt;&gt;1)),
IF(Import.TipoArredondamento&lt;&gt;"TransfereGOV",
ROUND(OFFSET($P76,0,AJ$13),15-13*ORÇAMENTO!$AF$7)/$H76*OFFSET(ORÇAMENTO!$X$15,ROW(AJ76)-ROW(AJ$15),0),
ROUND(ROUND(OFFSET($P76,0,AJ$13),15-13*ORÇAMENTO!$AF$7)*OFFSET(ORÇAMENTO!$W$15,ROW(AJ76)-ROW(AJ$15),0),15-13*ORÇAMENTO!$AF$11)),0)</f>
        <v>0</v>
      </c>
      <c r="AK76" s="546">
        <f ca="1">IF(AND($D76="Serviço",AK$12&lt;&gt;0,$H76&gt;0,OR(AUTOEVENTO&lt;&gt;"manual",$M76&lt;&gt;1)),
IF(Import.TipoArredondamento&lt;&gt;"TransfereGOV",
ROUND(OFFSET($P76,0,AK$13),15-13*ORÇAMENTO!$AF$7)/$H76*OFFSET(ORÇAMENTO!$X$15,ROW(AK76)-ROW(AK$15),0),
ROUND(ROUND(OFFSET($P76,0,AK$13),15-13*ORÇAMENTO!$AF$7)*OFFSET(ORÇAMENTO!$W$15,ROW(AK76)-ROW(AK$15),0),15-13*ORÇAMENTO!$AF$11)),0)</f>
        <v>0</v>
      </c>
      <c r="AM76" s="181">
        <f ca="1">IF($D76&lt;&gt;"Serviço",0,IF(AND(AUTOEVENTO="Manual",$M76=1),0,IF(OFFSET(CRONOPLE!$F$14,$M76,AM$13)="",10^12,OFFSET(CRONOPLE!$F$14,$M76,AM$13))))</f>
        <v>1000000000000</v>
      </c>
      <c r="AN76" s="181">
        <f ca="1">IF($D76&lt;&gt;"Serviço",0,IF(AND(AUTOEVENTO="Manual",$M76=1),0,IF(OFFSET(CRONOPLE!$F$14,$M76,AN$13)="",10^12,OFFSET(CRONOPLE!$F$14,$M76,AN$13))))</f>
        <v>1000000000000</v>
      </c>
      <c r="AO76" s="181">
        <f ca="1">IF($D76&lt;&gt;"Serviço",0,IF(AND(AUTOEVENTO="Manual",$M76=1),0,IF(OFFSET(CRONOPLE!$F$14,$M76,AO$13)="",10^12,OFFSET(CRONOPLE!$F$14,$M76,AO$13))))</f>
        <v>1000000000000</v>
      </c>
      <c r="AP76" s="181">
        <f ca="1">IF($D76&lt;&gt;"Serviço",0,IF(AND(AUTOEVENTO="Manual",$M76=1),0,IF(OFFSET(CRONOPLE!$F$14,$M76,AP$13)="",10^12,OFFSET(CRONOPLE!$F$14,$M76,AP$13))))</f>
        <v>1000000000000</v>
      </c>
      <c r="AQ76" s="181">
        <f ca="1">IF($D76&lt;&gt;"Serviço",0,IF(AND(AUTOEVENTO="Manual",$M76=1),0,IF(OFFSET(CRONOPLE!$F$14,$M76,AQ$13)="",10^12,OFFSET(CRONOPLE!$F$14,$M76,AQ$13))))</f>
        <v>1000000000000</v>
      </c>
      <c r="AR76" s="181">
        <f ca="1">IF($D76&lt;&gt;"Serviço",0,IF(AND(AUTOEVENTO="Manual",$M76=1),0,IF(OFFSET(CRONOPLE!$F$14,$M76,AR$13)="",10^12,OFFSET(CRONOPLE!$F$14,$M76,AR$13))))</f>
        <v>1000000000000</v>
      </c>
      <c r="AS76" s="181">
        <f ca="1">IF($D76&lt;&gt;"Serviço",0,IF(AND(AUTOEVENTO="Manual",$M76=1),0,IF(OFFSET(CRONOPLE!$F$14,$M76,AS$13)="",10^12,OFFSET(CRONOPLE!$F$14,$M76,AS$13))))</f>
        <v>1000000000000</v>
      </c>
      <c r="AT76" s="181">
        <f ca="1">IF($D76&lt;&gt;"Serviço",0,IF(AND(AUTOEVENTO="Manual",$M76=1),0,IF(OFFSET(CRONOPLE!$F$14,$M76,AT$13)="",10^12,OFFSET(CRONOPLE!$F$14,$M76,AT$13))))</f>
        <v>1000000000000</v>
      </c>
      <c r="AU76" s="181">
        <f ca="1">IF($D76&lt;&gt;"Serviço",0,IF(AND(AUTOEVENTO="Manual",$M76=1),0,IF(OFFSET(CRONOPLE!$F$14,$M76,AU$13)="",10^12,OFFSET(CRONOPLE!$F$14,$M76,AU$13))))</f>
        <v>1000000000000</v>
      </c>
      <c r="AV76" s="181">
        <f ca="1">IF($D76&lt;&gt;"Serviço",0,IF(AND(AUTOEVENTO="Manual",$M76=1),0,IF(OFFSET(CRONOPLE!$F$14,$M76,AV$13)="",10^12,OFFSET(CRONOPLE!$F$14,$M76,AV$13))))</f>
        <v>1000000000000</v>
      </c>
      <c r="AX76" s="182">
        <f ca="1">IF($D76&lt;&gt;"Serviço",0,IF(OR(AND(AUTOEVENTO="Manual",$M76=1),$M76&gt;(ROW(PLE.lastrow)-ROW(PLE.firstrow))),0,IF(OFFSET(PLE!$G$14,$M76,AX$13)="",10^12,OFFSET(PLE!$G$14,$M76,AX$13))))</f>
        <v>1000000000000</v>
      </c>
      <c r="AY76" s="182">
        <f ca="1">IF($D76&lt;&gt;"Serviço",0,IF(OR(AND(AUTOEVENTO="Manual",$M76=1),$M76&gt;(ROW(PLE.lastrow)-ROW(PLE.firstrow))),0,IF(OFFSET(PLE!$G$14,$M76,AY$13)="",10^12,OFFSET(PLE!$G$14,$M76,AY$13))))</f>
        <v>1000000000000</v>
      </c>
      <c r="AZ76" s="182">
        <f ca="1">IF($D76&lt;&gt;"Serviço",0,IF(OR(AND(AUTOEVENTO="Manual",$M76=1),$M76&gt;(ROW(PLE.lastrow)-ROW(PLE.firstrow))),0,IF(OFFSET(PLE!$G$14,$M76,AZ$13)="",10^12,OFFSET(PLE!$G$14,$M76,AZ$13))))</f>
        <v>1000000000000</v>
      </c>
      <c r="BA76" s="182">
        <f ca="1">IF($D76&lt;&gt;"Serviço",0,IF(OR(AND(AUTOEVENTO="Manual",$M76=1),$M76&gt;(ROW(PLE.lastrow)-ROW(PLE.firstrow))),0,IF(OFFSET(PLE!$G$14,$M76,BA$13)="",10^12,OFFSET(PLE!$G$14,$M76,BA$13))))</f>
        <v>1000000000000</v>
      </c>
      <c r="BB76" s="182">
        <f ca="1">IF($D76&lt;&gt;"Serviço",0,IF(OR(AND(AUTOEVENTO="Manual",$M76=1),$M76&gt;(ROW(PLE.lastrow)-ROW(PLE.firstrow))),0,IF(OFFSET(PLE!$G$14,$M76,BB$13)="",10^12,OFFSET(PLE!$G$14,$M76,BB$13))))</f>
        <v>1000000000000</v>
      </c>
      <c r="BC76" s="182">
        <f ca="1">IF($D76&lt;&gt;"Serviço",0,IF(OR(AND(AUTOEVENTO="Manual",$M76=1),$M76&gt;(ROW(PLE.lastrow)-ROW(PLE.firstrow))),0,IF(OFFSET(PLE!$G$14,$M76,BC$13)="",10^12,OFFSET(PLE!$G$14,$M76,BC$13))))</f>
        <v>1000000000000</v>
      </c>
      <c r="BD76" s="182">
        <f ca="1">IF($D76&lt;&gt;"Serviço",0,IF(OR(AND(AUTOEVENTO="Manual",$M76=1),$M76&gt;(ROW(PLE.lastrow)-ROW(PLE.firstrow))),0,IF(OFFSET(PLE!$G$14,$M76,BD$13)="",10^12,OFFSET(PLE!$G$14,$M76,BD$13))))</f>
        <v>1000000000000</v>
      </c>
      <c r="BE76" s="182">
        <f ca="1">IF($D76&lt;&gt;"Serviço",0,IF(OR(AND(AUTOEVENTO="Manual",$M76=1),$M76&gt;(ROW(PLE.lastrow)-ROW(PLE.firstrow))),0,IF(OFFSET(PLE!$G$14,$M76,BE$13)="",10^12,OFFSET(PLE!$G$14,$M76,BE$13))))</f>
        <v>1000000000000</v>
      </c>
      <c r="BF76" s="182">
        <f ca="1">IF($D76&lt;&gt;"Serviço",0,IF(OR(AND(AUTOEVENTO="Manual",$M76=1),$M76&gt;(ROW(PLE.lastrow)-ROW(PLE.firstrow))),0,IF(OFFSET(PLE!$G$14,$M76,BF$13)="",10^12,OFFSET(PLE!$G$14,$M76,BF$13))))</f>
        <v>1000000000000</v>
      </c>
      <c r="BG76" s="182">
        <f ca="1">IF($D76&lt;&gt;"Serviço",0,IF(OR(AND(AUTOEVENTO="Manual",$M76=1),$M76&gt;(ROW(PLE.lastrow)-ROW(PLE.firstrow))),0,IF(OFFSET(PLE!$G$14,$M76,BG$13)="",10^12,OFFSET(PLE!$G$14,$M76,BG$13))))</f>
        <v>1000000000000</v>
      </c>
    </row>
    <row r="77" spans="1:59" ht="38.25" x14ac:dyDescent="0.2">
      <c r="A77" s="7" t="str">
        <f t="shared" ca="1" si="8"/>
        <v>54</v>
      </c>
      <c r="B77" s="7" t="str">
        <f ca="1">OFFSET(ORÇAMENTO!C$15,ROW(B77)-ROW(B$15),0)</f>
        <v>S</v>
      </c>
      <c r="C77" s="7" t="str">
        <f ca="1">OFFSET(ORÇAMENTO!L$15,ROW(C77)-ROW(C$15),0)</f>
        <v>F</v>
      </c>
      <c r="D77" s="118" t="str">
        <f ca="1">OFFSET(ORÇAMENTO!N$15,ROW(D77)-ROW(D$15),0)</f>
        <v>Serviço</v>
      </c>
      <c r="E77" s="119" t="str">
        <f ca="1">OFFSET(ORÇAMENTO!O$15,ROW(E77)-ROW(E$15),0)</f>
        <v>1.4.0.8.</v>
      </c>
      <c r="F77" s="172" t="str">
        <f ca="1">OFFSET(ORÇAMENTO!R$15,ROW(F77)-ROW(F$15),0)</f>
        <v>(abra o arquivo 'Referência 03-2024.xlsm)</v>
      </c>
      <c r="G77" s="173" t="str">
        <f ca="1">IF($D77&lt;&gt;"Serviço","",OFFSET(ORÇAMENTO!S$15,ROW(G77)-ROW(G$15),0))</f>
        <v>-</v>
      </c>
      <c r="H77" s="124">
        <f ca="1">IF($D77&lt;&gt;"Serviço",0,IF(ACOMPANHAMENTO="BM",ROUND(OFFSET(ORÇAMENTO!AJ$15,ROW(H77)-ROW(H$15),0),15-13*ORÇAMENTO!$AF$7),SUMPRODUCT(($Q$12:$AA$12&lt;&gt;"")*ROUND($Q77:$AA77,15-13*ORÇAMENTO!$AF$7))))</f>
        <v>193.6</v>
      </c>
      <c r="I77" s="561"/>
      <c r="K77" s="174"/>
      <c r="L77" s="175" t="s">
        <v>255</v>
      </c>
      <c r="M77" s="176">
        <f ca="1">IF($D77&lt;&gt;"Serviço","",IF(AUTOEVENTO="manual",$A77,IF(ISERROR(MATCH($A77,$A$15:OFFSET($A77,-1,0),0)),MAX($M$15:OFFSET(M77,-1,0))+1,INDEX($M$15:OFFSET(M77,-1,0),MATCH($A77,$A$15:OFFSET($A77,-1,0),0)))))</f>
        <v>5</v>
      </c>
      <c r="N77" s="177" t="str">
        <f ca="1">IF($D77&lt;&gt;"Serviço","",IF(AUTOEVENTO="Manual",IF($A77=0,"&lt;-- defina o número do agrupador",OFFSET(EVENTOS!$D$14,$A77,0)),OFFSET($F$15,$A77,0)))</f>
        <v>INSTALAÇÕES DE ILUMINAÇÃO COM POSTEAMENTO E LUMINÁRIAS 100W</v>
      </c>
      <c r="O77" s="178"/>
      <c r="Q77" s="178"/>
      <c r="R77" s="179"/>
      <c r="S77" s="179"/>
      <c r="T77" s="179"/>
      <c r="U77" s="179"/>
      <c r="V77" s="179"/>
      <c r="W77" s="179"/>
      <c r="X77" s="179"/>
      <c r="Y77" s="179"/>
      <c r="Z77" s="180"/>
      <c r="AB77" s="544">
        <f ca="1">IF(AND($D77="Serviço",AB$12&lt;&gt;0,$H77&gt;0,OR(AUTOEVENTO&lt;&gt;"manual",$M77&lt;&gt;1)),
IF(Import.TipoArredondamento&lt;&gt;"TransfereGOV",
ROUND(OFFSET($P77,0,AB$13),15-13*ORÇAMENTO!$AF$7)/$H77*OFFSET(ORÇAMENTO!$X$15,ROW(AB77)-ROW(AB$15),0),
ROUND(ROUND(OFFSET($P77,0,AB$13),15-13*ORÇAMENTO!$AF$7)*OFFSET(ORÇAMENTO!$W$15,ROW(AB77)-ROW(AB$15),0),15-13*ORÇAMENTO!$AF$11)),0)</f>
        <v>0</v>
      </c>
      <c r="AC77" s="545">
        <f ca="1">IF(AND($D77="Serviço",AC$12&lt;&gt;0,$H77&gt;0,OR(AUTOEVENTO&lt;&gt;"manual",$M77&lt;&gt;1)),
IF(Import.TipoArredondamento&lt;&gt;"TransfereGOV",
ROUND(OFFSET($P77,0,AC$13),15-13*ORÇAMENTO!$AF$7)/$H77*OFFSET(ORÇAMENTO!$X$15,ROW(AC77)-ROW(AC$15),0),
ROUND(ROUND(OFFSET($P77,0,AC$13),15-13*ORÇAMENTO!$AF$7)*OFFSET(ORÇAMENTO!$W$15,ROW(AC77)-ROW(AC$15),0),15-13*ORÇAMENTO!$AF$11)),0)</f>
        <v>0</v>
      </c>
      <c r="AD77" s="545">
        <f ca="1">IF(AND($D77="Serviço",AD$12&lt;&gt;0,$H77&gt;0,OR(AUTOEVENTO&lt;&gt;"manual",$M77&lt;&gt;1)),
IF(Import.TipoArredondamento&lt;&gt;"TransfereGOV",
ROUND(OFFSET($P77,0,AD$13),15-13*ORÇAMENTO!$AF$7)/$H77*OFFSET(ORÇAMENTO!$X$15,ROW(AD77)-ROW(AD$15),0),
ROUND(ROUND(OFFSET($P77,0,AD$13),15-13*ORÇAMENTO!$AF$7)*OFFSET(ORÇAMENTO!$W$15,ROW(AD77)-ROW(AD$15),0),15-13*ORÇAMENTO!$AF$11)),0)</f>
        <v>0</v>
      </c>
      <c r="AE77" s="545">
        <f ca="1">IF(AND($D77="Serviço",AE$12&lt;&gt;0,$H77&gt;0,OR(AUTOEVENTO&lt;&gt;"manual",$M77&lt;&gt;1)),
IF(Import.TipoArredondamento&lt;&gt;"TransfereGOV",
ROUND(OFFSET($P77,0,AE$13),15-13*ORÇAMENTO!$AF$7)/$H77*OFFSET(ORÇAMENTO!$X$15,ROW(AE77)-ROW(AE$15),0),
ROUND(ROUND(OFFSET($P77,0,AE$13),15-13*ORÇAMENTO!$AF$7)*OFFSET(ORÇAMENTO!$W$15,ROW(AE77)-ROW(AE$15),0),15-13*ORÇAMENTO!$AF$11)),0)</f>
        <v>0</v>
      </c>
      <c r="AF77" s="545">
        <f ca="1">IF(AND($D77="Serviço",AF$12&lt;&gt;0,$H77&gt;0,OR(AUTOEVENTO&lt;&gt;"manual",$M77&lt;&gt;1)),
IF(Import.TipoArredondamento&lt;&gt;"TransfereGOV",
ROUND(OFFSET($P77,0,AF$13),15-13*ORÇAMENTO!$AF$7)/$H77*OFFSET(ORÇAMENTO!$X$15,ROW(AF77)-ROW(AF$15),0),
ROUND(ROUND(OFFSET($P77,0,AF$13),15-13*ORÇAMENTO!$AF$7)*OFFSET(ORÇAMENTO!$W$15,ROW(AF77)-ROW(AF$15),0),15-13*ORÇAMENTO!$AF$11)),0)</f>
        <v>0</v>
      </c>
      <c r="AG77" s="545">
        <f ca="1">IF(AND($D77="Serviço",AG$12&lt;&gt;0,$H77&gt;0,OR(AUTOEVENTO&lt;&gt;"manual",$M77&lt;&gt;1)),
IF(Import.TipoArredondamento&lt;&gt;"TransfereGOV",
ROUND(OFFSET($P77,0,AG$13),15-13*ORÇAMENTO!$AF$7)/$H77*OFFSET(ORÇAMENTO!$X$15,ROW(AG77)-ROW(AG$15),0),
ROUND(ROUND(OFFSET($P77,0,AG$13),15-13*ORÇAMENTO!$AF$7)*OFFSET(ORÇAMENTO!$W$15,ROW(AG77)-ROW(AG$15),0),15-13*ORÇAMENTO!$AF$11)),0)</f>
        <v>0</v>
      </c>
      <c r="AH77" s="545">
        <f ca="1">IF(AND($D77="Serviço",AH$12&lt;&gt;0,$H77&gt;0,OR(AUTOEVENTO&lt;&gt;"manual",$M77&lt;&gt;1)),
IF(Import.TipoArredondamento&lt;&gt;"TransfereGOV",
ROUND(OFFSET($P77,0,AH$13),15-13*ORÇAMENTO!$AF$7)/$H77*OFFSET(ORÇAMENTO!$X$15,ROW(AH77)-ROW(AH$15),0),
ROUND(ROUND(OFFSET($P77,0,AH$13),15-13*ORÇAMENTO!$AF$7)*OFFSET(ORÇAMENTO!$W$15,ROW(AH77)-ROW(AH$15),0),15-13*ORÇAMENTO!$AF$11)),0)</f>
        <v>0</v>
      </c>
      <c r="AI77" s="545">
        <f ca="1">IF(AND($D77="Serviço",AI$12&lt;&gt;0,$H77&gt;0,OR(AUTOEVENTO&lt;&gt;"manual",$M77&lt;&gt;1)),
IF(Import.TipoArredondamento&lt;&gt;"TransfereGOV",
ROUND(OFFSET($P77,0,AI$13),15-13*ORÇAMENTO!$AF$7)/$H77*OFFSET(ORÇAMENTO!$X$15,ROW(AI77)-ROW(AI$15),0),
ROUND(ROUND(OFFSET($P77,0,AI$13),15-13*ORÇAMENTO!$AF$7)*OFFSET(ORÇAMENTO!$W$15,ROW(AI77)-ROW(AI$15),0),15-13*ORÇAMENTO!$AF$11)),0)</f>
        <v>0</v>
      </c>
      <c r="AJ77" s="545">
        <f ca="1">IF(AND($D77="Serviço",AJ$12&lt;&gt;0,$H77&gt;0,OR(AUTOEVENTO&lt;&gt;"manual",$M77&lt;&gt;1)),
IF(Import.TipoArredondamento&lt;&gt;"TransfereGOV",
ROUND(OFFSET($P77,0,AJ$13),15-13*ORÇAMENTO!$AF$7)/$H77*OFFSET(ORÇAMENTO!$X$15,ROW(AJ77)-ROW(AJ$15),0),
ROUND(ROUND(OFFSET($P77,0,AJ$13),15-13*ORÇAMENTO!$AF$7)*OFFSET(ORÇAMENTO!$W$15,ROW(AJ77)-ROW(AJ$15),0),15-13*ORÇAMENTO!$AF$11)),0)</f>
        <v>0</v>
      </c>
      <c r="AK77" s="546">
        <f ca="1">IF(AND($D77="Serviço",AK$12&lt;&gt;0,$H77&gt;0,OR(AUTOEVENTO&lt;&gt;"manual",$M77&lt;&gt;1)),
IF(Import.TipoArredondamento&lt;&gt;"TransfereGOV",
ROUND(OFFSET($P77,0,AK$13),15-13*ORÇAMENTO!$AF$7)/$H77*OFFSET(ORÇAMENTO!$X$15,ROW(AK77)-ROW(AK$15),0),
ROUND(ROUND(OFFSET($P77,0,AK$13),15-13*ORÇAMENTO!$AF$7)*OFFSET(ORÇAMENTO!$W$15,ROW(AK77)-ROW(AK$15),0),15-13*ORÇAMENTO!$AF$11)),0)</f>
        <v>0</v>
      </c>
      <c r="AM77" s="181">
        <f ca="1">IF($D77&lt;&gt;"Serviço",0,IF(AND(AUTOEVENTO="Manual",$M77=1),0,IF(OFFSET(CRONOPLE!$F$14,$M77,AM$13)="",10^12,OFFSET(CRONOPLE!$F$14,$M77,AM$13))))</f>
        <v>1000000000000</v>
      </c>
      <c r="AN77" s="181">
        <f ca="1">IF($D77&lt;&gt;"Serviço",0,IF(AND(AUTOEVENTO="Manual",$M77=1),0,IF(OFFSET(CRONOPLE!$F$14,$M77,AN$13)="",10^12,OFFSET(CRONOPLE!$F$14,$M77,AN$13))))</f>
        <v>1000000000000</v>
      </c>
      <c r="AO77" s="181">
        <f ca="1">IF($D77&lt;&gt;"Serviço",0,IF(AND(AUTOEVENTO="Manual",$M77=1),0,IF(OFFSET(CRONOPLE!$F$14,$M77,AO$13)="",10^12,OFFSET(CRONOPLE!$F$14,$M77,AO$13))))</f>
        <v>1000000000000</v>
      </c>
      <c r="AP77" s="181">
        <f ca="1">IF($D77&lt;&gt;"Serviço",0,IF(AND(AUTOEVENTO="Manual",$M77=1),0,IF(OFFSET(CRONOPLE!$F$14,$M77,AP$13)="",10^12,OFFSET(CRONOPLE!$F$14,$M77,AP$13))))</f>
        <v>1000000000000</v>
      </c>
      <c r="AQ77" s="181">
        <f ca="1">IF($D77&lt;&gt;"Serviço",0,IF(AND(AUTOEVENTO="Manual",$M77=1),0,IF(OFFSET(CRONOPLE!$F$14,$M77,AQ$13)="",10^12,OFFSET(CRONOPLE!$F$14,$M77,AQ$13))))</f>
        <v>1000000000000</v>
      </c>
      <c r="AR77" s="181">
        <f ca="1">IF($D77&lt;&gt;"Serviço",0,IF(AND(AUTOEVENTO="Manual",$M77=1),0,IF(OFFSET(CRONOPLE!$F$14,$M77,AR$13)="",10^12,OFFSET(CRONOPLE!$F$14,$M77,AR$13))))</f>
        <v>1000000000000</v>
      </c>
      <c r="AS77" s="181">
        <f ca="1">IF($D77&lt;&gt;"Serviço",0,IF(AND(AUTOEVENTO="Manual",$M77=1),0,IF(OFFSET(CRONOPLE!$F$14,$M77,AS$13)="",10^12,OFFSET(CRONOPLE!$F$14,$M77,AS$13))))</f>
        <v>1000000000000</v>
      </c>
      <c r="AT77" s="181">
        <f ca="1">IF($D77&lt;&gt;"Serviço",0,IF(AND(AUTOEVENTO="Manual",$M77=1),0,IF(OFFSET(CRONOPLE!$F$14,$M77,AT$13)="",10^12,OFFSET(CRONOPLE!$F$14,$M77,AT$13))))</f>
        <v>1000000000000</v>
      </c>
      <c r="AU77" s="181">
        <f ca="1">IF($D77&lt;&gt;"Serviço",0,IF(AND(AUTOEVENTO="Manual",$M77=1),0,IF(OFFSET(CRONOPLE!$F$14,$M77,AU$13)="",10^12,OFFSET(CRONOPLE!$F$14,$M77,AU$13))))</f>
        <v>1000000000000</v>
      </c>
      <c r="AV77" s="181">
        <f ca="1">IF($D77&lt;&gt;"Serviço",0,IF(AND(AUTOEVENTO="Manual",$M77=1),0,IF(OFFSET(CRONOPLE!$F$14,$M77,AV$13)="",10^12,OFFSET(CRONOPLE!$F$14,$M77,AV$13))))</f>
        <v>1000000000000</v>
      </c>
      <c r="AX77" s="182">
        <f ca="1">IF($D77&lt;&gt;"Serviço",0,IF(OR(AND(AUTOEVENTO="Manual",$M77=1),$M77&gt;(ROW(PLE.lastrow)-ROW(PLE.firstrow))),0,IF(OFFSET(PLE!$G$14,$M77,AX$13)="",10^12,OFFSET(PLE!$G$14,$M77,AX$13))))</f>
        <v>1000000000000</v>
      </c>
      <c r="AY77" s="182">
        <f ca="1">IF($D77&lt;&gt;"Serviço",0,IF(OR(AND(AUTOEVENTO="Manual",$M77=1),$M77&gt;(ROW(PLE.lastrow)-ROW(PLE.firstrow))),0,IF(OFFSET(PLE!$G$14,$M77,AY$13)="",10^12,OFFSET(PLE!$G$14,$M77,AY$13))))</f>
        <v>1000000000000</v>
      </c>
      <c r="AZ77" s="182">
        <f ca="1">IF($D77&lt;&gt;"Serviço",0,IF(OR(AND(AUTOEVENTO="Manual",$M77=1),$M77&gt;(ROW(PLE.lastrow)-ROW(PLE.firstrow))),0,IF(OFFSET(PLE!$G$14,$M77,AZ$13)="",10^12,OFFSET(PLE!$G$14,$M77,AZ$13))))</f>
        <v>1000000000000</v>
      </c>
      <c r="BA77" s="182">
        <f ca="1">IF($D77&lt;&gt;"Serviço",0,IF(OR(AND(AUTOEVENTO="Manual",$M77=1),$M77&gt;(ROW(PLE.lastrow)-ROW(PLE.firstrow))),0,IF(OFFSET(PLE!$G$14,$M77,BA$13)="",10^12,OFFSET(PLE!$G$14,$M77,BA$13))))</f>
        <v>1000000000000</v>
      </c>
      <c r="BB77" s="182">
        <f ca="1">IF($D77&lt;&gt;"Serviço",0,IF(OR(AND(AUTOEVENTO="Manual",$M77=1),$M77&gt;(ROW(PLE.lastrow)-ROW(PLE.firstrow))),0,IF(OFFSET(PLE!$G$14,$M77,BB$13)="",10^12,OFFSET(PLE!$G$14,$M77,BB$13))))</f>
        <v>1000000000000</v>
      </c>
      <c r="BC77" s="182">
        <f ca="1">IF($D77&lt;&gt;"Serviço",0,IF(OR(AND(AUTOEVENTO="Manual",$M77=1),$M77&gt;(ROW(PLE.lastrow)-ROW(PLE.firstrow))),0,IF(OFFSET(PLE!$G$14,$M77,BC$13)="",10^12,OFFSET(PLE!$G$14,$M77,BC$13))))</f>
        <v>1000000000000</v>
      </c>
      <c r="BD77" s="182">
        <f ca="1">IF($D77&lt;&gt;"Serviço",0,IF(OR(AND(AUTOEVENTO="Manual",$M77=1),$M77&gt;(ROW(PLE.lastrow)-ROW(PLE.firstrow))),0,IF(OFFSET(PLE!$G$14,$M77,BD$13)="",10^12,OFFSET(PLE!$G$14,$M77,BD$13))))</f>
        <v>1000000000000</v>
      </c>
      <c r="BE77" s="182">
        <f ca="1">IF($D77&lt;&gt;"Serviço",0,IF(OR(AND(AUTOEVENTO="Manual",$M77=1),$M77&gt;(ROW(PLE.lastrow)-ROW(PLE.firstrow))),0,IF(OFFSET(PLE!$G$14,$M77,BE$13)="",10^12,OFFSET(PLE!$G$14,$M77,BE$13))))</f>
        <v>1000000000000</v>
      </c>
      <c r="BF77" s="182">
        <f ca="1">IF($D77&lt;&gt;"Serviço",0,IF(OR(AND(AUTOEVENTO="Manual",$M77=1),$M77&gt;(ROW(PLE.lastrow)-ROW(PLE.firstrow))),0,IF(OFFSET(PLE!$G$14,$M77,BF$13)="",10^12,OFFSET(PLE!$G$14,$M77,BF$13))))</f>
        <v>1000000000000</v>
      </c>
      <c r="BG77" s="182">
        <f ca="1">IF($D77&lt;&gt;"Serviço",0,IF(OR(AND(AUTOEVENTO="Manual",$M77=1),$M77&gt;(ROW(PLE.lastrow)-ROW(PLE.firstrow))),0,IF(OFFSET(PLE!$G$14,$M77,BG$13)="",10^12,OFFSET(PLE!$G$14,$M77,BG$13))))</f>
        <v>1000000000000</v>
      </c>
    </row>
    <row r="78" spans="1:59" ht="38.25" x14ac:dyDescent="0.2">
      <c r="A78" s="7" t="str">
        <f t="shared" ca="1" si="8"/>
        <v>54</v>
      </c>
      <c r="B78" s="7" t="str">
        <f ca="1">OFFSET(ORÇAMENTO!C$15,ROW(B78)-ROW(B$15),0)</f>
        <v>S</v>
      </c>
      <c r="C78" s="7" t="str">
        <f ca="1">OFFSET(ORÇAMENTO!L$15,ROW(C78)-ROW(C$15),0)</f>
        <v>F</v>
      </c>
      <c r="D78" s="118" t="str">
        <f ca="1">OFFSET(ORÇAMENTO!N$15,ROW(D78)-ROW(D$15),0)</f>
        <v>Serviço</v>
      </c>
      <c r="E78" s="119" t="str">
        <f ca="1">OFFSET(ORÇAMENTO!O$15,ROW(E78)-ROW(E$15),0)</f>
        <v>1.4.0.9.</v>
      </c>
      <c r="F78" s="172" t="str">
        <f ca="1">OFFSET(ORÇAMENTO!R$15,ROW(F78)-ROW(F$15),0)</f>
        <v>(abra o arquivo 'Referência 03-2024.xlsm)</v>
      </c>
      <c r="G78" s="173" t="str">
        <f ca="1">IF($D78&lt;&gt;"Serviço","",OFFSET(ORÇAMENTO!S$15,ROW(G78)-ROW(G$15),0))</f>
        <v>-</v>
      </c>
      <c r="H78" s="124">
        <f ca="1">IF($D78&lt;&gt;"Serviço",0,IF(ACOMPANHAMENTO="BM",ROUND(OFFSET(ORÇAMENTO!AJ$15,ROW(H78)-ROW(H$15),0),15-13*ORÇAMENTO!$AF$7),SUMPRODUCT(($Q$12:$AA$12&lt;&gt;"")*ROUND($Q78:$AA78,15-13*ORÇAMENTO!$AF$7))))</f>
        <v>213.6</v>
      </c>
      <c r="I78" s="561"/>
      <c r="K78" s="174"/>
      <c r="L78" s="175" t="s">
        <v>255</v>
      </c>
      <c r="M78" s="176">
        <f ca="1">IF($D78&lt;&gt;"Serviço","",IF(AUTOEVENTO="manual",$A78,IF(ISERROR(MATCH($A78,$A$15:OFFSET($A78,-1,0),0)),MAX($M$15:OFFSET(M78,-1,0))+1,INDEX($M$15:OFFSET(M78,-1,0),MATCH($A78,$A$15:OFFSET($A78,-1,0),0)))))</f>
        <v>5</v>
      </c>
      <c r="N78" s="177" t="str">
        <f ca="1">IF($D78&lt;&gt;"Serviço","",IF(AUTOEVENTO="Manual",IF($A78=0,"&lt;-- defina o número do agrupador",OFFSET(EVENTOS!$D$14,$A78,0)),OFFSET($F$15,$A78,0)))</f>
        <v>INSTALAÇÕES DE ILUMINAÇÃO COM POSTEAMENTO E LUMINÁRIAS 100W</v>
      </c>
      <c r="O78" s="178"/>
      <c r="Q78" s="178"/>
      <c r="R78" s="179"/>
      <c r="S78" s="179"/>
      <c r="T78" s="179"/>
      <c r="U78" s="179"/>
      <c r="V78" s="179"/>
      <c r="W78" s="179"/>
      <c r="X78" s="179"/>
      <c r="Y78" s="179"/>
      <c r="Z78" s="180"/>
      <c r="AB78" s="544">
        <f ca="1">IF(AND($D78="Serviço",AB$12&lt;&gt;0,$H78&gt;0,OR(AUTOEVENTO&lt;&gt;"manual",$M78&lt;&gt;1)),
IF(Import.TipoArredondamento&lt;&gt;"TransfereGOV",
ROUND(OFFSET($P78,0,AB$13),15-13*ORÇAMENTO!$AF$7)/$H78*OFFSET(ORÇAMENTO!$X$15,ROW(AB78)-ROW(AB$15),0),
ROUND(ROUND(OFFSET($P78,0,AB$13),15-13*ORÇAMENTO!$AF$7)*OFFSET(ORÇAMENTO!$W$15,ROW(AB78)-ROW(AB$15),0),15-13*ORÇAMENTO!$AF$11)),0)</f>
        <v>0</v>
      </c>
      <c r="AC78" s="545">
        <f ca="1">IF(AND($D78="Serviço",AC$12&lt;&gt;0,$H78&gt;0,OR(AUTOEVENTO&lt;&gt;"manual",$M78&lt;&gt;1)),
IF(Import.TipoArredondamento&lt;&gt;"TransfereGOV",
ROUND(OFFSET($P78,0,AC$13),15-13*ORÇAMENTO!$AF$7)/$H78*OFFSET(ORÇAMENTO!$X$15,ROW(AC78)-ROW(AC$15),0),
ROUND(ROUND(OFFSET($P78,0,AC$13),15-13*ORÇAMENTO!$AF$7)*OFFSET(ORÇAMENTO!$W$15,ROW(AC78)-ROW(AC$15),0),15-13*ORÇAMENTO!$AF$11)),0)</f>
        <v>0</v>
      </c>
      <c r="AD78" s="545">
        <f ca="1">IF(AND($D78="Serviço",AD$12&lt;&gt;0,$H78&gt;0,OR(AUTOEVENTO&lt;&gt;"manual",$M78&lt;&gt;1)),
IF(Import.TipoArredondamento&lt;&gt;"TransfereGOV",
ROUND(OFFSET($P78,0,AD$13),15-13*ORÇAMENTO!$AF$7)/$H78*OFFSET(ORÇAMENTO!$X$15,ROW(AD78)-ROW(AD$15),0),
ROUND(ROUND(OFFSET($P78,0,AD$13),15-13*ORÇAMENTO!$AF$7)*OFFSET(ORÇAMENTO!$W$15,ROW(AD78)-ROW(AD$15),0),15-13*ORÇAMENTO!$AF$11)),0)</f>
        <v>0</v>
      </c>
      <c r="AE78" s="545">
        <f ca="1">IF(AND($D78="Serviço",AE$12&lt;&gt;0,$H78&gt;0,OR(AUTOEVENTO&lt;&gt;"manual",$M78&lt;&gt;1)),
IF(Import.TipoArredondamento&lt;&gt;"TransfereGOV",
ROUND(OFFSET($P78,0,AE$13),15-13*ORÇAMENTO!$AF$7)/$H78*OFFSET(ORÇAMENTO!$X$15,ROW(AE78)-ROW(AE$15),0),
ROUND(ROUND(OFFSET($P78,0,AE$13),15-13*ORÇAMENTO!$AF$7)*OFFSET(ORÇAMENTO!$W$15,ROW(AE78)-ROW(AE$15),0),15-13*ORÇAMENTO!$AF$11)),0)</f>
        <v>0</v>
      </c>
      <c r="AF78" s="545">
        <f ca="1">IF(AND($D78="Serviço",AF$12&lt;&gt;0,$H78&gt;0,OR(AUTOEVENTO&lt;&gt;"manual",$M78&lt;&gt;1)),
IF(Import.TipoArredondamento&lt;&gt;"TransfereGOV",
ROUND(OFFSET($P78,0,AF$13),15-13*ORÇAMENTO!$AF$7)/$H78*OFFSET(ORÇAMENTO!$X$15,ROW(AF78)-ROW(AF$15),0),
ROUND(ROUND(OFFSET($P78,0,AF$13),15-13*ORÇAMENTO!$AF$7)*OFFSET(ORÇAMENTO!$W$15,ROW(AF78)-ROW(AF$15),0),15-13*ORÇAMENTO!$AF$11)),0)</f>
        <v>0</v>
      </c>
      <c r="AG78" s="545">
        <f ca="1">IF(AND($D78="Serviço",AG$12&lt;&gt;0,$H78&gt;0,OR(AUTOEVENTO&lt;&gt;"manual",$M78&lt;&gt;1)),
IF(Import.TipoArredondamento&lt;&gt;"TransfereGOV",
ROUND(OFFSET($P78,0,AG$13),15-13*ORÇAMENTO!$AF$7)/$H78*OFFSET(ORÇAMENTO!$X$15,ROW(AG78)-ROW(AG$15),0),
ROUND(ROUND(OFFSET($P78,0,AG$13),15-13*ORÇAMENTO!$AF$7)*OFFSET(ORÇAMENTO!$W$15,ROW(AG78)-ROW(AG$15),0),15-13*ORÇAMENTO!$AF$11)),0)</f>
        <v>0</v>
      </c>
      <c r="AH78" s="545">
        <f ca="1">IF(AND($D78="Serviço",AH$12&lt;&gt;0,$H78&gt;0,OR(AUTOEVENTO&lt;&gt;"manual",$M78&lt;&gt;1)),
IF(Import.TipoArredondamento&lt;&gt;"TransfereGOV",
ROUND(OFFSET($P78,0,AH$13),15-13*ORÇAMENTO!$AF$7)/$H78*OFFSET(ORÇAMENTO!$X$15,ROW(AH78)-ROW(AH$15),0),
ROUND(ROUND(OFFSET($P78,0,AH$13),15-13*ORÇAMENTO!$AF$7)*OFFSET(ORÇAMENTO!$W$15,ROW(AH78)-ROW(AH$15),0),15-13*ORÇAMENTO!$AF$11)),0)</f>
        <v>0</v>
      </c>
      <c r="AI78" s="545">
        <f ca="1">IF(AND($D78="Serviço",AI$12&lt;&gt;0,$H78&gt;0,OR(AUTOEVENTO&lt;&gt;"manual",$M78&lt;&gt;1)),
IF(Import.TipoArredondamento&lt;&gt;"TransfereGOV",
ROUND(OFFSET($P78,0,AI$13),15-13*ORÇAMENTO!$AF$7)/$H78*OFFSET(ORÇAMENTO!$X$15,ROW(AI78)-ROW(AI$15),0),
ROUND(ROUND(OFFSET($P78,0,AI$13),15-13*ORÇAMENTO!$AF$7)*OFFSET(ORÇAMENTO!$W$15,ROW(AI78)-ROW(AI$15),0),15-13*ORÇAMENTO!$AF$11)),0)</f>
        <v>0</v>
      </c>
      <c r="AJ78" s="545">
        <f ca="1">IF(AND($D78="Serviço",AJ$12&lt;&gt;0,$H78&gt;0,OR(AUTOEVENTO&lt;&gt;"manual",$M78&lt;&gt;1)),
IF(Import.TipoArredondamento&lt;&gt;"TransfereGOV",
ROUND(OFFSET($P78,0,AJ$13),15-13*ORÇAMENTO!$AF$7)/$H78*OFFSET(ORÇAMENTO!$X$15,ROW(AJ78)-ROW(AJ$15),0),
ROUND(ROUND(OFFSET($P78,0,AJ$13),15-13*ORÇAMENTO!$AF$7)*OFFSET(ORÇAMENTO!$W$15,ROW(AJ78)-ROW(AJ$15),0),15-13*ORÇAMENTO!$AF$11)),0)</f>
        <v>0</v>
      </c>
      <c r="AK78" s="546">
        <f ca="1">IF(AND($D78="Serviço",AK$12&lt;&gt;0,$H78&gt;0,OR(AUTOEVENTO&lt;&gt;"manual",$M78&lt;&gt;1)),
IF(Import.TipoArredondamento&lt;&gt;"TransfereGOV",
ROUND(OFFSET($P78,0,AK$13),15-13*ORÇAMENTO!$AF$7)/$H78*OFFSET(ORÇAMENTO!$X$15,ROW(AK78)-ROW(AK$15),0),
ROUND(ROUND(OFFSET($P78,0,AK$13),15-13*ORÇAMENTO!$AF$7)*OFFSET(ORÇAMENTO!$W$15,ROW(AK78)-ROW(AK$15),0),15-13*ORÇAMENTO!$AF$11)),0)</f>
        <v>0</v>
      </c>
      <c r="AM78" s="181">
        <f ca="1">IF($D78&lt;&gt;"Serviço",0,IF(AND(AUTOEVENTO="Manual",$M78=1),0,IF(OFFSET(CRONOPLE!$F$14,$M78,AM$13)="",10^12,OFFSET(CRONOPLE!$F$14,$M78,AM$13))))</f>
        <v>1000000000000</v>
      </c>
      <c r="AN78" s="181">
        <f ca="1">IF($D78&lt;&gt;"Serviço",0,IF(AND(AUTOEVENTO="Manual",$M78=1),0,IF(OFFSET(CRONOPLE!$F$14,$M78,AN$13)="",10^12,OFFSET(CRONOPLE!$F$14,$M78,AN$13))))</f>
        <v>1000000000000</v>
      </c>
      <c r="AO78" s="181">
        <f ca="1">IF($D78&lt;&gt;"Serviço",0,IF(AND(AUTOEVENTO="Manual",$M78=1),0,IF(OFFSET(CRONOPLE!$F$14,$M78,AO$13)="",10^12,OFFSET(CRONOPLE!$F$14,$M78,AO$13))))</f>
        <v>1000000000000</v>
      </c>
      <c r="AP78" s="181">
        <f ca="1">IF($D78&lt;&gt;"Serviço",0,IF(AND(AUTOEVENTO="Manual",$M78=1),0,IF(OFFSET(CRONOPLE!$F$14,$M78,AP$13)="",10^12,OFFSET(CRONOPLE!$F$14,$M78,AP$13))))</f>
        <v>1000000000000</v>
      </c>
      <c r="AQ78" s="181">
        <f ca="1">IF($D78&lt;&gt;"Serviço",0,IF(AND(AUTOEVENTO="Manual",$M78=1),0,IF(OFFSET(CRONOPLE!$F$14,$M78,AQ$13)="",10^12,OFFSET(CRONOPLE!$F$14,$M78,AQ$13))))</f>
        <v>1000000000000</v>
      </c>
      <c r="AR78" s="181">
        <f ca="1">IF($D78&lt;&gt;"Serviço",0,IF(AND(AUTOEVENTO="Manual",$M78=1),0,IF(OFFSET(CRONOPLE!$F$14,$M78,AR$13)="",10^12,OFFSET(CRONOPLE!$F$14,$M78,AR$13))))</f>
        <v>1000000000000</v>
      </c>
      <c r="AS78" s="181">
        <f ca="1">IF($D78&lt;&gt;"Serviço",0,IF(AND(AUTOEVENTO="Manual",$M78=1),0,IF(OFFSET(CRONOPLE!$F$14,$M78,AS$13)="",10^12,OFFSET(CRONOPLE!$F$14,$M78,AS$13))))</f>
        <v>1000000000000</v>
      </c>
      <c r="AT78" s="181">
        <f ca="1">IF($D78&lt;&gt;"Serviço",0,IF(AND(AUTOEVENTO="Manual",$M78=1),0,IF(OFFSET(CRONOPLE!$F$14,$M78,AT$13)="",10^12,OFFSET(CRONOPLE!$F$14,$M78,AT$13))))</f>
        <v>1000000000000</v>
      </c>
      <c r="AU78" s="181">
        <f ca="1">IF($D78&lt;&gt;"Serviço",0,IF(AND(AUTOEVENTO="Manual",$M78=1),0,IF(OFFSET(CRONOPLE!$F$14,$M78,AU$13)="",10^12,OFFSET(CRONOPLE!$F$14,$M78,AU$13))))</f>
        <v>1000000000000</v>
      </c>
      <c r="AV78" s="181">
        <f ca="1">IF($D78&lt;&gt;"Serviço",0,IF(AND(AUTOEVENTO="Manual",$M78=1),0,IF(OFFSET(CRONOPLE!$F$14,$M78,AV$13)="",10^12,OFFSET(CRONOPLE!$F$14,$M78,AV$13))))</f>
        <v>1000000000000</v>
      </c>
      <c r="AX78" s="182">
        <f ca="1">IF($D78&lt;&gt;"Serviço",0,IF(OR(AND(AUTOEVENTO="Manual",$M78=1),$M78&gt;(ROW(PLE.lastrow)-ROW(PLE.firstrow))),0,IF(OFFSET(PLE!$G$14,$M78,AX$13)="",10^12,OFFSET(PLE!$G$14,$M78,AX$13))))</f>
        <v>1000000000000</v>
      </c>
      <c r="AY78" s="182">
        <f ca="1">IF($D78&lt;&gt;"Serviço",0,IF(OR(AND(AUTOEVENTO="Manual",$M78=1),$M78&gt;(ROW(PLE.lastrow)-ROW(PLE.firstrow))),0,IF(OFFSET(PLE!$G$14,$M78,AY$13)="",10^12,OFFSET(PLE!$G$14,$M78,AY$13))))</f>
        <v>1000000000000</v>
      </c>
      <c r="AZ78" s="182">
        <f ca="1">IF($D78&lt;&gt;"Serviço",0,IF(OR(AND(AUTOEVENTO="Manual",$M78=1),$M78&gt;(ROW(PLE.lastrow)-ROW(PLE.firstrow))),0,IF(OFFSET(PLE!$G$14,$M78,AZ$13)="",10^12,OFFSET(PLE!$G$14,$M78,AZ$13))))</f>
        <v>1000000000000</v>
      </c>
      <c r="BA78" s="182">
        <f ca="1">IF($D78&lt;&gt;"Serviço",0,IF(OR(AND(AUTOEVENTO="Manual",$M78=1),$M78&gt;(ROW(PLE.lastrow)-ROW(PLE.firstrow))),0,IF(OFFSET(PLE!$G$14,$M78,BA$13)="",10^12,OFFSET(PLE!$G$14,$M78,BA$13))))</f>
        <v>1000000000000</v>
      </c>
      <c r="BB78" s="182">
        <f ca="1">IF($D78&lt;&gt;"Serviço",0,IF(OR(AND(AUTOEVENTO="Manual",$M78=1),$M78&gt;(ROW(PLE.lastrow)-ROW(PLE.firstrow))),0,IF(OFFSET(PLE!$G$14,$M78,BB$13)="",10^12,OFFSET(PLE!$G$14,$M78,BB$13))))</f>
        <v>1000000000000</v>
      </c>
      <c r="BC78" s="182">
        <f ca="1">IF($D78&lt;&gt;"Serviço",0,IF(OR(AND(AUTOEVENTO="Manual",$M78=1),$M78&gt;(ROW(PLE.lastrow)-ROW(PLE.firstrow))),0,IF(OFFSET(PLE!$G$14,$M78,BC$13)="",10^12,OFFSET(PLE!$G$14,$M78,BC$13))))</f>
        <v>1000000000000</v>
      </c>
      <c r="BD78" s="182">
        <f ca="1">IF($D78&lt;&gt;"Serviço",0,IF(OR(AND(AUTOEVENTO="Manual",$M78=1),$M78&gt;(ROW(PLE.lastrow)-ROW(PLE.firstrow))),0,IF(OFFSET(PLE!$G$14,$M78,BD$13)="",10^12,OFFSET(PLE!$G$14,$M78,BD$13))))</f>
        <v>1000000000000</v>
      </c>
      <c r="BE78" s="182">
        <f ca="1">IF($D78&lt;&gt;"Serviço",0,IF(OR(AND(AUTOEVENTO="Manual",$M78=1),$M78&gt;(ROW(PLE.lastrow)-ROW(PLE.firstrow))),0,IF(OFFSET(PLE!$G$14,$M78,BE$13)="",10^12,OFFSET(PLE!$G$14,$M78,BE$13))))</f>
        <v>1000000000000</v>
      </c>
      <c r="BF78" s="182">
        <f ca="1">IF($D78&lt;&gt;"Serviço",0,IF(OR(AND(AUTOEVENTO="Manual",$M78=1),$M78&gt;(ROW(PLE.lastrow)-ROW(PLE.firstrow))),0,IF(OFFSET(PLE!$G$14,$M78,BF$13)="",10^12,OFFSET(PLE!$G$14,$M78,BF$13))))</f>
        <v>1000000000000</v>
      </c>
      <c r="BG78" s="182">
        <f ca="1">IF($D78&lt;&gt;"Serviço",0,IF(OR(AND(AUTOEVENTO="Manual",$M78=1),$M78&gt;(ROW(PLE.lastrow)-ROW(PLE.firstrow))),0,IF(OFFSET(PLE!$G$14,$M78,BG$13)="",10^12,OFFSET(PLE!$G$14,$M78,BG$13))))</f>
        <v>1000000000000</v>
      </c>
    </row>
    <row r="79" spans="1:59" ht="38.25" x14ac:dyDescent="0.2">
      <c r="A79" s="7" t="str">
        <f t="shared" ca="1" si="8"/>
        <v>54</v>
      </c>
      <c r="B79" s="7" t="str">
        <f ca="1">OFFSET(ORÇAMENTO!C$15,ROW(B79)-ROW(B$15),0)</f>
        <v>S</v>
      </c>
      <c r="C79" s="7" t="str">
        <f ca="1">OFFSET(ORÇAMENTO!L$15,ROW(C79)-ROW(C$15),0)</f>
        <v>F</v>
      </c>
      <c r="D79" s="118" t="str">
        <f ca="1">OFFSET(ORÇAMENTO!N$15,ROW(D79)-ROW(D$15),0)</f>
        <v>Serviço</v>
      </c>
      <c r="E79" s="119" t="str">
        <f ca="1">OFFSET(ORÇAMENTO!O$15,ROW(E79)-ROW(E$15),0)</f>
        <v>1.4.0.10.</v>
      </c>
      <c r="F79" s="172" t="str">
        <f ca="1">OFFSET(ORÇAMENTO!R$15,ROW(F79)-ROW(F$15),0)</f>
        <v>(abra o arquivo 'Referência 03-2024.xlsm)</v>
      </c>
      <c r="G79" s="173" t="str">
        <f ca="1">IF($D79&lt;&gt;"Serviço","",OFFSET(ORÇAMENTO!S$15,ROW(G79)-ROW(G$15),0))</f>
        <v>-</v>
      </c>
      <c r="H79" s="124">
        <f ca="1">IF($D79&lt;&gt;"Serviço",0,IF(ACOMPANHAMENTO="BM",ROUND(OFFSET(ORÇAMENTO!AJ$15,ROW(H79)-ROW(H$15),0),15-13*ORÇAMENTO!$AF$7),SUMPRODUCT(($Q$12:$AA$12&lt;&gt;"")*ROUND($Q79:$AA79,15-13*ORÇAMENTO!$AF$7))))</f>
        <v>50</v>
      </c>
      <c r="I79" s="561"/>
      <c r="K79" s="174"/>
      <c r="L79" s="175" t="s">
        <v>255</v>
      </c>
      <c r="M79" s="176">
        <f ca="1">IF($D79&lt;&gt;"Serviço","",IF(AUTOEVENTO="manual",$A79,IF(ISERROR(MATCH($A79,$A$15:OFFSET($A79,-1,0),0)),MAX($M$15:OFFSET(M79,-1,0))+1,INDEX($M$15:OFFSET(M79,-1,0),MATCH($A79,$A$15:OFFSET($A79,-1,0),0)))))</f>
        <v>5</v>
      </c>
      <c r="N79" s="177" t="str">
        <f ca="1">IF($D79&lt;&gt;"Serviço","",IF(AUTOEVENTO="Manual",IF($A79=0,"&lt;-- defina o número do agrupador",OFFSET(EVENTOS!$D$14,$A79,0)),OFFSET($F$15,$A79,0)))</f>
        <v>INSTALAÇÕES DE ILUMINAÇÃO COM POSTEAMENTO E LUMINÁRIAS 100W</v>
      </c>
      <c r="O79" s="178"/>
      <c r="Q79" s="178"/>
      <c r="R79" s="179"/>
      <c r="S79" s="179"/>
      <c r="T79" s="179"/>
      <c r="U79" s="179"/>
      <c r="V79" s="179"/>
      <c r="W79" s="179"/>
      <c r="X79" s="179"/>
      <c r="Y79" s="179"/>
      <c r="Z79" s="180"/>
      <c r="AB79" s="544">
        <f ca="1">IF(AND($D79="Serviço",AB$12&lt;&gt;0,$H79&gt;0,OR(AUTOEVENTO&lt;&gt;"manual",$M79&lt;&gt;1)),
IF(Import.TipoArredondamento&lt;&gt;"TransfereGOV",
ROUND(OFFSET($P79,0,AB$13),15-13*ORÇAMENTO!$AF$7)/$H79*OFFSET(ORÇAMENTO!$X$15,ROW(AB79)-ROW(AB$15),0),
ROUND(ROUND(OFFSET($P79,0,AB$13),15-13*ORÇAMENTO!$AF$7)*OFFSET(ORÇAMENTO!$W$15,ROW(AB79)-ROW(AB$15),0),15-13*ORÇAMENTO!$AF$11)),0)</f>
        <v>0</v>
      </c>
      <c r="AC79" s="545">
        <f ca="1">IF(AND($D79="Serviço",AC$12&lt;&gt;0,$H79&gt;0,OR(AUTOEVENTO&lt;&gt;"manual",$M79&lt;&gt;1)),
IF(Import.TipoArredondamento&lt;&gt;"TransfereGOV",
ROUND(OFFSET($P79,0,AC$13),15-13*ORÇAMENTO!$AF$7)/$H79*OFFSET(ORÇAMENTO!$X$15,ROW(AC79)-ROW(AC$15),0),
ROUND(ROUND(OFFSET($P79,0,AC$13),15-13*ORÇAMENTO!$AF$7)*OFFSET(ORÇAMENTO!$W$15,ROW(AC79)-ROW(AC$15),0),15-13*ORÇAMENTO!$AF$11)),0)</f>
        <v>0</v>
      </c>
      <c r="AD79" s="545">
        <f ca="1">IF(AND($D79="Serviço",AD$12&lt;&gt;0,$H79&gt;0,OR(AUTOEVENTO&lt;&gt;"manual",$M79&lt;&gt;1)),
IF(Import.TipoArredondamento&lt;&gt;"TransfereGOV",
ROUND(OFFSET($P79,0,AD$13),15-13*ORÇAMENTO!$AF$7)/$H79*OFFSET(ORÇAMENTO!$X$15,ROW(AD79)-ROW(AD$15),0),
ROUND(ROUND(OFFSET($P79,0,AD$13),15-13*ORÇAMENTO!$AF$7)*OFFSET(ORÇAMENTO!$W$15,ROW(AD79)-ROW(AD$15),0),15-13*ORÇAMENTO!$AF$11)),0)</f>
        <v>0</v>
      </c>
      <c r="AE79" s="545">
        <f ca="1">IF(AND($D79="Serviço",AE$12&lt;&gt;0,$H79&gt;0,OR(AUTOEVENTO&lt;&gt;"manual",$M79&lt;&gt;1)),
IF(Import.TipoArredondamento&lt;&gt;"TransfereGOV",
ROUND(OFFSET($P79,0,AE$13),15-13*ORÇAMENTO!$AF$7)/$H79*OFFSET(ORÇAMENTO!$X$15,ROW(AE79)-ROW(AE$15),0),
ROUND(ROUND(OFFSET($P79,0,AE$13),15-13*ORÇAMENTO!$AF$7)*OFFSET(ORÇAMENTO!$W$15,ROW(AE79)-ROW(AE$15),0),15-13*ORÇAMENTO!$AF$11)),0)</f>
        <v>0</v>
      </c>
      <c r="AF79" s="545">
        <f ca="1">IF(AND($D79="Serviço",AF$12&lt;&gt;0,$H79&gt;0,OR(AUTOEVENTO&lt;&gt;"manual",$M79&lt;&gt;1)),
IF(Import.TipoArredondamento&lt;&gt;"TransfereGOV",
ROUND(OFFSET($P79,0,AF$13),15-13*ORÇAMENTO!$AF$7)/$H79*OFFSET(ORÇAMENTO!$X$15,ROW(AF79)-ROW(AF$15),0),
ROUND(ROUND(OFFSET($P79,0,AF$13),15-13*ORÇAMENTO!$AF$7)*OFFSET(ORÇAMENTO!$W$15,ROW(AF79)-ROW(AF$15),0),15-13*ORÇAMENTO!$AF$11)),0)</f>
        <v>0</v>
      </c>
      <c r="AG79" s="545">
        <f ca="1">IF(AND($D79="Serviço",AG$12&lt;&gt;0,$H79&gt;0,OR(AUTOEVENTO&lt;&gt;"manual",$M79&lt;&gt;1)),
IF(Import.TipoArredondamento&lt;&gt;"TransfereGOV",
ROUND(OFFSET($P79,0,AG$13),15-13*ORÇAMENTO!$AF$7)/$H79*OFFSET(ORÇAMENTO!$X$15,ROW(AG79)-ROW(AG$15),0),
ROUND(ROUND(OFFSET($P79,0,AG$13),15-13*ORÇAMENTO!$AF$7)*OFFSET(ORÇAMENTO!$W$15,ROW(AG79)-ROW(AG$15),0),15-13*ORÇAMENTO!$AF$11)),0)</f>
        <v>0</v>
      </c>
      <c r="AH79" s="545">
        <f ca="1">IF(AND($D79="Serviço",AH$12&lt;&gt;0,$H79&gt;0,OR(AUTOEVENTO&lt;&gt;"manual",$M79&lt;&gt;1)),
IF(Import.TipoArredondamento&lt;&gt;"TransfereGOV",
ROUND(OFFSET($P79,0,AH$13),15-13*ORÇAMENTO!$AF$7)/$H79*OFFSET(ORÇAMENTO!$X$15,ROW(AH79)-ROW(AH$15),0),
ROUND(ROUND(OFFSET($P79,0,AH$13),15-13*ORÇAMENTO!$AF$7)*OFFSET(ORÇAMENTO!$W$15,ROW(AH79)-ROW(AH$15),0),15-13*ORÇAMENTO!$AF$11)),0)</f>
        <v>0</v>
      </c>
      <c r="AI79" s="545">
        <f ca="1">IF(AND($D79="Serviço",AI$12&lt;&gt;0,$H79&gt;0,OR(AUTOEVENTO&lt;&gt;"manual",$M79&lt;&gt;1)),
IF(Import.TipoArredondamento&lt;&gt;"TransfereGOV",
ROUND(OFFSET($P79,0,AI$13),15-13*ORÇAMENTO!$AF$7)/$H79*OFFSET(ORÇAMENTO!$X$15,ROW(AI79)-ROW(AI$15),0),
ROUND(ROUND(OFFSET($P79,0,AI$13),15-13*ORÇAMENTO!$AF$7)*OFFSET(ORÇAMENTO!$W$15,ROW(AI79)-ROW(AI$15),0),15-13*ORÇAMENTO!$AF$11)),0)</f>
        <v>0</v>
      </c>
      <c r="AJ79" s="545">
        <f ca="1">IF(AND($D79="Serviço",AJ$12&lt;&gt;0,$H79&gt;0,OR(AUTOEVENTO&lt;&gt;"manual",$M79&lt;&gt;1)),
IF(Import.TipoArredondamento&lt;&gt;"TransfereGOV",
ROUND(OFFSET($P79,0,AJ$13),15-13*ORÇAMENTO!$AF$7)/$H79*OFFSET(ORÇAMENTO!$X$15,ROW(AJ79)-ROW(AJ$15),0),
ROUND(ROUND(OFFSET($P79,0,AJ$13),15-13*ORÇAMENTO!$AF$7)*OFFSET(ORÇAMENTO!$W$15,ROW(AJ79)-ROW(AJ$15),0),15-13*ORÇAMENTO!$AF$11)),0)</f>
        <v>0</v>
      </c>
      <c r="AK79" s="546">
        <f ca="1">IF(AND($D79="Serviço",AK$12&lt;&gt;0,$H79&gt;0,OR(AUTOEVENTO&lt;&gt;"manual",$M79&lt;&gt;1)),
IF(Import.TipoArredondamento&lt;&gt;"TransfereGOV",
ROUND(OFFSET($P79,0,AK$13),15-13*ORÇAMENTO!$AF$7)/$H79*OFFSET(ORÇAMENTO!$X$15,ROW(AK79)-ROW(AK$15),0),
ROUND(ROUND(OFFSET($P79,0,AK$13),15-13*ORÇAMENTO!$AF$7)*OFFSET(ORÇAMENTO!$W$15,ROW(AK79)-ROW(AK$15),0),15-13*ORÇAMENTO!$AF$11)),0)</f>
        <v>0</v>
      </c>
      <c r="AM79" s="181">
        <f ca="1">IF($D79&lt;&gt;"Serviço",0,IF(AND(AUTOEVENTO="Manual",$M79=1),0,IF(OFFSET(CRONOPLE!$F$14,$M79,AM$13)="",10^12,OFFSET(CRONOPLE!$F$14,$M79,AM$13))))</f>
        <v>1000000000000</v>
      </c>
      <c r="AN79" s="181">
        <f ca="1">IF($D79&lt;&gt;"Serviço",0,IF(AND(AUTOEVENTO="Manual",$M79=1),0,IF(OFFSET(CRONOPLE!$F$14,$M79,AN$13)="",10^12,OFFSET(CRONOPLE!$F$14,$M79,AN$13))))</f>
        <v>1000000000000</v>
      </c>
      <c r="AO79" s="181">
        <f ca="1">IF($D79&lt;&gt;"Serviço",0,IF(AND(AUTOEVENTO="Manual",$M79=1),0,IF(OFFSET(CRONOPLE!$F$14,$M79,AO$13)="",10^12,OFFSET(CRONOPLE!$F$14,$M79,AO$13))))</f>
        <v>1000000000000</v>
      </c>
      <c r="AP79" s="181">
        <f ca="1">IF($D79&lt;&gt;"Serviço",0,IF(AND(AUTOEVENTO="Manual",$M79=1),0,IF(OFFSET(CRONOPLE!$F$14,$M79,AP$13)="",10^12,OFFSET(CRONOPLE!$F$14,$M79,AP$13))))</f>
        <v>1000000000000</v>
      </c>
      <c r="AQ79" s="181">
        <f ca="1">IF($D79&lt;&gt;"Serviço",0,IF(AND(AUTOEVENTO="Manual",$M79=1),0,IF(OFFSET(CRONOPLE!$F$14,$M79,AQ$13)="",10^12,OFFSET(CRONOPLE!$F$14,$M79,AQ$13))))</f>
        <v>1000000000000</v>
      </c>
      <c r="AR79" s="181">
        <f ca="1">IF($D79&lt;&gt;"Serviço",0,IF(AND(AUTOEVENTO="Manual",$M79=1),0,IF(OFFSET(CRONOPLE!$F$14,$M79,AR$13)="",10^12,OFFSET(CRONOPLE!$F$14,$M79,AR$13))))</f>
        <v>1000000000000</v>
      </c>
      <c r="AS79" s="181">
        <f ca="1">IF($D79&lt;&gt;"Serviço",0,IF(AND(AUTOEVENTO="Manual",$M79=1),0,IF(OFFSET(CRONOPLE!$F$14,$M79,AS$13)="",10^12,OFFSET(CRONOPLE!$F$14,$M79,AS$13))))</f>
        <v>1000000000000</v>
      </c>
      <c r="AT79" s="181">
        <f ca="1">IF($D79&lt;&gt;"Serviço",0,IF(AND(AUTOEVENTO="Manual",$M79=1),0,IF(OFFSET(CRONOPLE!$F$14,$M79,AT$13)="",10^12,OFFSET(CRONOPLE!$F$14,$M79,AT$13))))</f>
        <v>1000000000000</v>
      </c>
      <c r="AU79" s="181">
        <f ca="1">IF($D79&lt;&gt;"Serviço",0,IF(AND(AUTOEVENTO="Manual",$M79=1),0,IF(OFFSET(CRONOPLE!$F$14,$M79,AU$13)="",10^12,OFFSET(CRONOPLE!$F$14,$M79,AU$13))))</f>
        <v>1000000000000</v>
      </c>
      <c r="AV79" s="181">
        <f ca="1">IF($D79&lt;&gt;"Serviço",0,IF(AND(AUTOEVENTO="Manual",$M79=1),0,IF(OFFSET(CRONOPLE!$F$14,$M79,AV$13)="",10^12,OFFSET(CRONOPLE!$F$14,$M79,AV$13))))</f>
        <v>1000000000000</v>
      </c>
      <c r="AX79" s="182">
        <f ca="1">IF($D79&lt;&gt;"Serviço",0,IF(OR(AND(AUTOEVENTO="Manual",$M79=1),$M79&gt;(ROW(PLE.lastrow)-ROW(PLE.firstrow))),0,IF(OFFSET(PLE!$G$14,$M79,AX$13)="",10^12,OFFSET(PLE!$G$14,$M79,AX$13))))</f>
        <v>1000000000000</v>
      </c>
      <c r="AY79" s="182">
        <f ca="1">IF($D79&lt;&gt;"Serviço",0,IF(OR(AND(AUTOEVENTO="Manual",$M79=1),$M79&gt;(ROW(PLE.lastrow)-ROW(PLE.firstrow))),0,IF(OFFSET(PLE!$G$14,$M79,AY$13)="",10^12,OFFSET(PLE!$G$14,$M79,AY$13))))</f>
        <v>1000000000000</v>
      </c>
      <c r="AZ79" s="182">
        <f ca="1">IF($D79&lt;&gt;"Serviço",0,IF(OR(AND(AUTOEVENTO="Manual",$M79=1),$M79&gt;(ROW(PLE.lastrow)-ROW(PLE.firstrow))),0,IF(OFFSET(PLE!$G$14,$M79,AZ$13)="",10^12,OFFSET(PLE!$G$14,$M79,AZ$13))))</f>
        <v>1000000000000</v>
      </c>
      <c r="BA79" s="182">
        <f ca="1">IF($D79&lt;&gt;"Serviço",0,IF(OR(AND(AUTOEVENTO="Manual",$M79=1),$M79&gt;(ROW(PLE.lastrow)-ROW(PLE.firstrow))),0,IF(OFFSET(PLE!$G$14,$M79,BA$13)="",10^12,OFFSET(PLE!$G$14,$M79,BA$13))))</f>
        <v>1000000000000</v>
      </c>
      <c r="BB79" s="182">
        <f ca="1">IF($D79&lt;&gt;"Serviço",0,IF(OR(AND(AUTOEVENTO="Manual",$M79=1),$M79&gt;(ROW(PLE.lastrow)-ROW(PLE.firstrow))),0,IF(OFFSET(PLE!$G$14,$M79,BB$13)="",10^12,OFFSET(PLE!$G$14,$M79,BB$13))))</f>
        <v>1000000000000</v>
      </c>
      <c r="BC79" s="182">
        <f ca="1">IF($D79&lt;&gt;"Serviço",0,IF(OR(AND(AUTOEVENTO="Manual",$M79=1),$M79&gt;(ROW(PLE.lastrow)-ROW(PLE.firstrow))),0,IF(OFFSET(PLE!$G$14,$M79,BC$13)="",10^12,OFFSET(PLE!$G$14,$M79,BC$13))))</f>
        <v>1000000000000</v>
      </c>
      <c r="BD79" s="182">
        <f ca="1">IF($D79&lt;&gt;"Serviço",0,IF(OR(AND(AUTOEVENTO="Manual",$M79=1),$M79&gt;(ROW(PLE.lastrow)-ROW(PLE.firstrow))),0,IF(OFFSET(PLE!$G$14,$M79,BD$13)="",10^12,OFFSET(PLE!$G$14,$M79,BD$13))))</f>
        <v>1000000000000</v>
      </c>
      <c r="BE79" s="182">
        <f ca="1">IF($D79&lt;&gt;"Serviço",0,IF(OR(AND(AUTOEVENTO="Manual",$M79=1),$M79&gt;(ROW(PLE.lastrow)-ROW(PLE.firstrow))),0,IF(OFFSET(PLE!$G$14,$M79,BE$13)="",10^12,OFFSET(PLE!$G$14,$M79,BE$13))))</f>
        <v>1000000000000</v>
      </c>
      <c r="BF79" s="182">
        <f ca="1">IF($D79&lt;&gt;"Serviço",0,IF(OR(AND(AUTOEVENTO="Manual",$M79=1),$M79&gt;(ROW(PLE.lastrow)-ROW(PLE.firstrow))),0,IF(OFFSET(PLE!$G$14,$M79,BF$13)="",10^12,OFFSET(PLE!$G$14,$M79,BF$13))))</f>
        <v>1000000000000</v>
      </c>
      <c r="BG79" s="182">
        <f ca="1">IF($D79&lt;&gt;"Serviço",0,IF(OR(AND(AUTOEVENTO="Manual",$M79=1),$M79&gt;(ROW(PLE.lastrow)-ROW(PLE.firstrow))),0,IF(OFFSET(PLE!$G$14,$M79,BG$13)="",10^12,OFFSET(PLE!$G$14,$M79,BG$13))))</f>
        <v>1000000000000</v>
      </c>
    </row>
    <row r="80" spans="1:59" ht="38.25" x14ac:dyDescent="0.2">
      <c r="A80" s="7" t="str">
        <f t="shared" ca="1" si="8"/>
        <v>54</v>
      </c>
      <c r="B80" s="7" t="str">
        <f ca="1">OFFSET(ORÇAMENTO!C$15,ROW(B80)-ROW(B$15),0)</f>
        <v>S</v>
      </c>
      <c r="C80" s="7" t="str">
        <f ca="1">OFFSET(ORÇAMENTO!L$15,ROW(C80)-ROW(C$15),0)</f>
        <v>F</v>
      </c>
      <c r="D80" s="118" t="str">
        <f ca="1">OFFSET(ORÇAMENTO!N$15,ROW(D80)-ROW(D$15),0)</f>
        <v>Serviço</v>
      </c>
      <c r="E80" s="119" t="str">
        <f ca="1">OFFSET(ORÇAMENTO!O$15,ROW(E80)-ROW(E$15),0)</f>
        <v>1.4.0.11.</v>
      </c>
      <c r="F80" s="172" t="str">
        <f ca="1">OFFSET(ORÇAMENTO!R$15,ROW(F80)-ROW(F$15),0)</f>
        <v>(abra o arquivo 'Referência 03-2024.xlsm)</v>
      </c>
      <c r="G80" s="173" t="str">
        <f ca="1">IF($D80&lt;&gt;"Serviço","",OFFSET(ORÇAMENTO!S$15,ROW(G80)-ROW(G$15),0))</f>
        <v>-</v>
      </c>
      <c r="H80" s="124">
        <f ca="1">IF($D80&lt;&gt;"Serviço",0,IF(ACOMPANHAMENTO="BM",ROUND(OFFSET(ORÇAMENTO!AJ$15,ROW(H80)-ROW(H$15),0),15-13*ORÇAMENTO!$AF$7),SUMPRODUCT(($Q$12:$AA$12&lt;&gt;"")*ROUND($Q80:$AA80,15-13*ORÇAMENTO!$AF$7))))</f>
        <v>12</v>
      </c>
      <c r="I80" s="561"/>
      <c r="K80" s="174"/>
      <c r="L80" s="175" t="s">
        <v>255</v>
      </c>
      <c r="M80" s="176">
        <f ca="1">IF($D80&lt;&gt;"Serviço","",IF(AUTOEVENTO="manual",$A80,IF(ISERROR(MATCH($A80,$A$15:OFFSET($A80,-1,0),0)),MAX($M$15:OFFSET(M80,-1,0))+1,INDEX($M$15:OFFSET(M80,-1,0),MATCH($A80,$A$15:OFFSET($A80,-1,0),0)))))</f>
        <v>5</v>
      </c>
      <c r="N80" s="177" t="str">
        <f ca="1">IF($D80&lt;&gt;"Serviço","",IF(AUTOEVENTO="Manual",IF($A80=0,"&lt;-- defina o número do agrupador",OFFSET(EVENTOS!$D$14,$A80,0)),OFFSET($F$15,$A80,0)))</f>
        <v>INSTALAÇÕES DE ILUMINAÇÃO COM POSTEAMENTO E LUMINÁRIAS 100W</v>
      </c>
      <c r="O80" s="178"/>
      <c r="Q80" s="178"/>
      <c r="R80" s="179"/>
      <c r="S80" s="179"/>
      <c r="T80" s="179"/>
      <c r="U80" s="179"/>
      <c r="V80" s="179"/>
      <c r="W80" s="179"/>
      <c r="X80" s="179"/>
      <c r="Y80" s="179"/>
      <c r="Z80" s="180"/>
      <c r="AB80" s="544">
        <f ca="1">IF(AND($D80="Serviço",AB$12&lt;&gt;0,$H80&gt;0,OR(AUTOEVENTO&lt;&gt;"manual",$M80&lt;&gt;1)),
IF(Import.TipoArredondamento&lt;&gt;"TransfereGOV",
ROUND(OFFSET($P80,0,AB$13),15-13*ORÇAMENTO!$AF$7)/$H80*OFFSET(ORÇAMENTO!$X$15,ROW(AB80)-ROW(AB$15),0),
ROUND(ROUND(OFFSET($P80,0,AB$13),15-13*ORÇAMENTO!$AF$7)*OFFSET(ORÇAMENTO!$W$15,ROW(AB80)-ROW(AB$15),0),15-13*ORÇAMENTO!$AF$11)),0)</f>
        <v>0</v>
      </c>
      <c r="AC80" s="545">
        <f ca="1">IF(AND($D80="Serviço",AC$12&lt;&gt;0,$H80&gt;0,OR(AUTOEVENTO&lt;&gt;"manual",$M80&lt;&gt;1)),
IF(Import.TipoArredondamento&lt;&gt;"TransfereGOV",
ROUND(OFFSET($P80,0,AC$13),15-13*ORÇAMENTO!$AF$7)/$H80*OFFSET(ORÇAMENTO!$X$15,ROW(AC80)-ROW(AC$15),0),
ROUND(ROUND(OFFSET($P80,0,AC$13),15-13*ORÇAMENTO!$AF$7)*OFFSET(ORÇAMENTO!$W$15,ROW(AC80)-ROW(AC$15),0),15-13*ORÇAMENTO!$AF$11)),0)</f>
        <v>0</v>
      </c>
      <c r="AD80" s="545">
        <f ca="1">IF(AND($D80="Serviço",AD$12&lt;&gt;0,$H80&gt;0,OR(AUTOEVENTO&lt;&gt;"manual",$M80&lt;&gt;1)),
IF(Import.TipoArredondamento&lt;&gt;"TransfereGOV",
ROUND(OFFSET($P80,0,AD$13),15-13*ORÇAMENTO!$AF$7)/$H80*OFFSET(ORÇAMENTO!$X$15,ROW(AD80)-ROW(AD$15),0),
ROUND(ROUND(OFFSET($P80,0,AD$13),15-13*ORÇAMENTO!$AF$7)*OFFSET(ORÇAMENTO!$W$15,ROW(AD80)-ROW(AD$15),0),15-13*ORÇAMENTO!$AF$11)),0)</f>
        <v>0</v>
      </c>
      <c r="AE80" s="545">
        <f ca="1">IF(AND($D80="Serviço",AE$12&lt;&gt;0,$H80&gt;0,OR(AUTOEVENTO&lt;&gt;"manual",$M80&lt;&gt;1)),
IF(Import.TipoArredondamento&lt;&gt;"TransfereGOV",
ROUND(OFFSET($P80,0,AE$13),15-13*ORÇAMENTO!$AF$7)/$H80*OFFSET(ORÇAMENTO!$X$15,ROW(AE80)-ROW(AE$15),0),
ROUND(ROUND(OFFSET($P80,0,AE$13),15-13*ORÇAMENTO!$AF$7)*OFFSET(ORÇAMENTO!$W$15,ROW(AE80)-ROW(AE$15),0),15-13*ORÇAMENTO!$AF$11)),0)</f>
        <v>0</v>
      </c>
      <c r="AF80" s="545">
        <f ca="1">IF(AND($D80="Serviço",AF$12&lt;&gt;0,$H80&gt;0,OR(AUTOEVENTO&lt;&gt;"manual",$M80&lt;&gt;1)),
IF(Import.TipoArredondamento&lt;&gt;"TransfereGOV",
ROUND(OFFSET($P80,0,AF$13),15-13*ORÇAMENTO!$AF$7)/$H80*OFFSET(ORÇAMENTO!$X$15,ROW(AF80)-ROW(AF$15),0),
ROUND(ROUND(OFFSET($P80,0,AF$13),15-13*ORÇAMENTO!$AF$7)*OFFSET(ORÇAMENTO!$W$15,ROW(AF80)-ROW(AF$15),0),15-13*ORÇAMENTO!$AF$11)),0)</f>
        <v>0</v>
      </c>
      <c r="AG80" s="545">
        <f ca="1">IF(AND($D80="Serviço",AG$12&lt;&gt;0,$H80&gt;0,OR(AUTOEVENTO&lt;&gt;"manual",$M80&lt;&gt;1)),
IF(Import.TipoArredondamento&lt;&gt;"TransfereGOV",
ROUND(OFFSET($P80,0,AG$13),15-13*ORÇAMENTO!$AF$7)/$H80*OFFSET(ORÇAMENTO!$X$15,ROW(AG80)-ROW(AG$15),0),
ROUND(ROUND(OFFSET($P80,0,AG$13),15-13*ORÇAMENTO!$AF$7)*OFFSET(ORÇAMENTO!$W$15,ROW(AG80)-ROW(AG$15),0),15-13*ORÇAMENTO!$AF$11)),0)</f>
        <v>0</v>
      </c>
      <c r="AH80" s="545">
        <f ca="1">IF(AND($D80="Serviço",AH$12&lt;&gt;0,$H80&gt;0,OR(AUTOEVENTO&lt;&gt;"manual",$M80&lt;&gt;1)),
IF(Import.TipoArredondamento&lt;&gt;"TransfereGOV",
ROUND(OFFSET($P80,0,AH$13),15-13*ORÇAMENTO!$AF$7)/$H80*OFFSET(ORÇAMENTO!$X$15,ROW(AH80)-ROW(AH$15),0),
ROUND(ROUND(OFFSET($P80,0,AH$13),15-13*ORÇAMENTO!$AF$7)*OFFSET(ORÇAMENTO!$W$15,ROW(AH80)-ROW(AH$15),0),15-13*ORÇAMENTO!$AF$11)),0)</f>
        <v>0</v>
      </c>
      <c r="AI80" s="545">
        <f ca="1">IF(AND($D80="Serviço",AI$12&lt;&gt;0,$H80&gt;0,OR(AUTOEVENTO&lt;&gt;"manual",$M80&lt;&gt;1)),
IF(Import.TipoArredondamento&lt;&gt;"TransfereGOV",
ROUND(OFFSET($P80,0,AI$13),15-13*ORÇAMENTO!$AF$7)/$H80*OFFSET(ORÇAMENTO!$X$15,ROW(AI80)-ROW(AI$15),0),
ROUND(ROUND(OFFSET($P80,0,AI$13),15-13*ORÇAMENTO!$AF$7)*OFFSET(ORÇAMENTO!$W$15,ROW(AI80)-ROW(AI$15),0),15-13*ORÇAMENTO!$AF$11)),0)</f>
        <v>0</v>
      </c>
      <c r="AJ80" s="545">
        <f ca="1">IF(AND($D80="Serviço",AJ$12&lt;&gt;0,$H80&gt;0,OR(AUTOEVENTO&lt;&gt;"manual",$M80&lt;&gt;1)),
IF(Import.TipoArredondamento&lt;&gt;"TransfereGOV",
ROUND(OFFSET($P80,0,AJ$13),15-13*ORÇAMENTO!$AF$7)/$H80*OFFSET(ORÇAMENTO!$X$15,ROW(AJ80)-ROW(AJ$15),0),
ROUND(ROUND(OFFSET($P80,0,AJ$13),15-13*ORÇAMENTO!$AF$7)*OFFSET(ORÇAMENTO!$W$15,ROW(AJ80)-ROW(AJ$15),0),15-13*ORÇAMENTO!$AF$11)),0)</f>
        <v>0</v>
      </c>
      <c r="AK80" s="546">
        <f ca="1">IF(AND($D80="Serviço",AK$12&lt;&gt;0,$H80&gt;0,OR(AUTOEVENTO&lt;&gt;"manual",$M80&lt;&gt;1)),
IF(Import.TipoArredondamento&lt;&gt;"TransfereGOV",
ROUND(OFFSET($P80,0,AK$13),15-13*ORÇAMENTO!$AF$7)/$H80*OFFSET(ORÇAMENTO!$X$15,ROW(AK80)-ROW(AK$15),0),
ROUND(ROUND(OFFSET($P80,0,AK$13),15-13*ORÇAMENTO!$AF$7)*OFFSET(ORÇAMENTO!$W$15,ROW(AK80)-ROW(AK$15),0),15-13*ORÇAMENTO!$AF$11)),0)</f>
        <v>0</v>
      </c>
      <c r="AM80" s="181">
        <f ca="1">IF($D80&lt;&gt;"Serviço",0,IF(AND(AUTOEVENTO="Manual",$M80=1),0,IF(OFFSET(CRONOPLE!$F$14,$M80,AM$13)="",10^12,OFFSET(CRONOPLE!$F$14,$M80,AM$13))))</f>
        <v>1000000000000</v>
      </c>
      <c r="AN80" s="181">
        <f ca="1">IF($D80&lt;&gt;"Serviço",0,IF(AND(AUTOEVENTO="Manual",$M80=1),0,IF(OFFSET(CRONOPLE!$F$14,$M80,AN$13)="",10^12,OFFSET(CRONOPLE!$F$14,$M80,AN$13))))</f>
        <v>1000000000000</v>
      </c>
      <c r="AO80" s="181">
        <f ca="1">IF($D80&lt;&gt;"Serviço",0,IF(AND(AUTOEVENTO="Manual",$M80=1),0,IF(OFFSET(CRONOPLE!$F$14,$M80,AO$13)="",10^12,OFFSET(CRONOPLE!$F$14,$M80,AO$13))))</f>
        <v>1000000000000</v>
      </c>
      <c r="AP80" s="181">
        <f ca="1">IF($D80&lt;&gt;"Serviço",0,IF(AND(AUTOEVENTO="Manual",$M80=1),0,IF(OFFSET(CRONOPLE!$F$14,$M80,AP$13)="",10^12,OFFSET(CRONOPLE!$F$14,$M80,AP$13))))</f>
        <v>1000000000000</v>
      </c>
      <c r="AQ80" s="181">
        <f ca="1">IF($D80&lt;&gt;"Serviço",0,IF(AND(AUTOEVENTO="Manual",$M80=1),0,IF(OFFSET(CRONOPLE!$F$14,$M80,AQ$13)="",10^12,OFFSET(CRONOPLE!$F$14,$M80,AQ$13))))</f>
        <v>1000000000000</v>
      </c>
      <c r="AR80" s="181">
        <f ca="1">IF($D80&lt;&gt;"Serviço",0,IF(AND(AUTOEVENTO="Manual",$M80=1),0,IF(OFFSET(CRONOPLE!$F$14,$M80,AR$13)="",10^12,OFFSET(CRONOPLE!$F$14,$M80,AR$13))))</f>
        <v>1000000000000</v>
      </c>
      <c r="AS80" s="181">
        <f ca="1">IF($D80&lt;&gt;"Serviço",0,IF(AND(AUTOEVENTO="Manual",$M80=1),0,IF(OFFSET(CRONOPLE!$F$14,$M80,AS$13)="",10^12,OFFSET(CRONOPLE!$F$14,$M80,AS$13))))</f>
        <v>1000000000000</v>
      </c>
      <c r="AT80" s="181">
        <f ca="1">IF($D80&lt;&gt;"Serviço",0,IF(AND(AUTOEVENTO="Manual",$M80=1),0,IF(OFFSET(CRONOPLE!$F$14,$M80,AT$13)="",10^12,OFFSET(CRONOPLE!$F$14,$M80,AT$13))))</f>
        <v>1000000000000</v>
      </c>
      <c r="AU80" s="181">
        <f ca="1">IF($D80&lt;&gt;"Serviço",0,IF(AND(AUTOEVENTO="Manual",$M80=1),0,IF(OFFSET(CRONOPLE!$F$14,$M80,AU$13)="",10^12,OFFSET(CRONOPLE!$F$14,$M80,AU$13))))</f>
        <v>1000000000000</v>
      </c>
      <c r="AV80" s="181">
        <f ca="1">IF($D80&lt;&gt;"Serviço",0,IF(AND(AUTOEVENTO="Manual",$M80=1),0,IF(OFFSET(CRONOPLE!$F$14,$M80,AV$13)="",10^12,OFFSET(CRONOPLE!$F$14,$M80,AV$13))))</f>
        <v>1000000000000</v>
      </c>
      <c r="AX80" s="182">
        <f ca="1">IF($D80&lt;&gt;"Serviço",0,IF(OR(AND(AUTOEVENTO="Manual",$M80=1),$M80&gt;(ROW(PLE.lastrow)-ROW(PLE.firstrow))),0,IF(OFFSET(PLE!$G$14,$M80,AX$13)="",10^12,OFFSET(PLE!$G$14,$M80,AX$13))))</f>
        <v>1000000000000</v>
      </c>
      <c r="AY80" s="182">
        <f ca="1">IF($D80&lt;&gt;"Serviço",0,IF(OR(AND(AUTOEVENTO="Manual",$M80=1),$M80&gt;(ROW(PLE.lastrow)-ROW(PLE.firstrow))),0,IF(OFFSET(PLE!$G$14,$M80,AY$13)="",10^12,OFFSET(PLE!$G$14,$M80,AY$13))))</f>
        <v>1000000000000</v>
      </c>
      <c r="AZ80" s="182">
        <f ca="1">IF($D80&lt;&gt;"Serviço",0,IF(OR(AND(AUTOEVENTO="Manual",$M80=1),$M80&gt;(ROW(PLE.lastrow)-ROW(PLE.firstrow))),0,IF(OFFSET(PLE!$G$14,$M80,AZ$13)="",10^12,OFFSET(PLE!$G$14,$M80,AZ$13))))</f>
        <v>1000000000000</v>
      </c>
      <c r="BA80" s="182">
        <f ca="1">IF($D80&lt;&gt;"Serviço",0,IF(OR(AND(AUTOEVENTO="Manual",$M80=1),$M80&gt;(ROW(PLE.lastrow)-ROW(PLE.firstrow))),0,IF(OFFSET(PLE!$G$14,$M80,BA$13)="",10^12,OFFSET(PLE!$G$14,$M80,BA$13))))</f>
        <v>1000000000000</v>
      </c>
      <c r="BB80" s="182">
        <f ca="1">IF($D80&lt;&gt;"Serviço",0,IF(OR(AND(AUTOEVENTO="Manual",$M80=1),$M80&gt;(ROW(PLE.lastrow)-ROW(PLE.firstrow))),0,IF(OFFSET(PLE!$G$14,$M80,BB$13)="",10^12,OFFSET(PLE!$G$14,$M80,BB$13))))</f>
        <v>1000000000000</v>
      </c>
      <c r="BC80" s="182">
        <f ca="1">IF($D80&lt;&gt;"Serviço",0,IF(OR(AND(AUTOEVENTO="Manual",$M80=1),$M80&gt;(ROW(PLE.lastrow)-ROW(PLE.firstrow))),0,IF(OFFSET(PLE!$G$14,$M80,BC$13)="",10^12,OFFSET(PLE!$G$14,$M80,BC$13))))</f>
        <v>1000000000000</v>
      </c>
      <c r="BD80" s="182">
        <f ca="1">IF($D80&lt;&gt;"Serviço",0,IF(OR(AND(AUTOEVENTO="Manual",$M80=1),$M80&gt;(ROW(PLE.lastrow)-ROW(PLE.firstrow))),0,IF(OFFSET(PLE!$G$14,$M80,BD$13)="",10^12,OFFSET(PLE!$G$14,$M80,BD$13))))</f>
        <v>1000000000000</v>
      </c>
      <c r="BE80" s="182">
        <f ca="1">IF($D80&lt;&gt;"Serviço",0,IF(OR(AND(AUTOEVENTO="Manual",$M80=1),$M80&gt;(ROW(PLE.lastrow)-ROW(PLE.firstrow))),0,IF(OFFSET(PLE!$G$14,$M80,BE$13)="",10^12,OFFSET(PLE!$G$14,$M80,BE$13))))</f>
        <v>1000000000000</v>
      </c>
      <c r="BF80" s="182">
        <f ca="1">IF($D80&lt;&gt;"Serviço",0,IF(OR(AND(AUTOEVENTO="Manual",$M80=1),$M80&gt;(ROW(PLE.lastrow)-ROW(PLE.firstrow))),0,IF(OFFSET(PLE!$G$14,$M80,BF$13)="",10^12,OFFSET(PLE!$G$14,$M80,BF$13))))</f>
        <v>1000000000000</v>
      </c>
      <c r="BG80" s="182">
        <f ca="1">IF($D80&lt;&gt;"Serviço",0,IF(OR(AND(AUTOEVENTO="Manual",$M80=1),$M80&gt;(ROW(PLE.lastrow)-ROW(PLE.firstrow))),0,IF(OFFSET(PLE!$G$14,$M80,BG$13)="",10^12,OFFSET(PLE!$G$14,$M80,BG$13))))</f>
        <v>1000000000000</v>
      </c>
    </row>
    <row r="81" spans="1:59" ht="12.75" x14ac:dyDescent="0.2">
      <c r="A81" s="7" t="str">
        <f t="shared" ca="1" si="8"/>
        <v>66.</v>
      </c>
      <c r="B81" s="7">
        <f ca="1">OFFSET(ORÇAMENTO!C$15,ROW(B81)-ROW(B$15),0)</f>
        <v>2</v>
      </c>
      <c r="C81" s="7" t="str">
        <f ca="1">OFFSET(ORÇAMENTO!L$15,ROW(C81)-ROW(C$15),0)</f>
        <v>F</v>
      </c>
      <c r="D81" s="118" t="str">
        <f ca="1">OFFSET(ORÇAMENTO!N$15,ROW(D81)-ROW(D$15),0)</f>
        <v>Nível 2</v>
      </c>
      <c r="E81" s="119" t="str">
        <f ca="1">OFFSET(ORÇAMENTO!O$15,ROW(E81)-ROW(E$15),0)</f>
        <v>1.5.</v>
      </c>
      <c r="F81" s="172" t="str">
        <f ca="1">OFFSET(ORÇAMENTO!R$15,ROW(F81)-ROW(F$15),0)</f>
        <v>MONITORAMENTO EXTERNO, REDE SUBTERRÂNEA (ENTERRADA)</v>
      </c>
      <c r="G81" s="173" t="str">
        <f ca="1">IF($D81&lt;&gt;"Serviço","",OFFSET(ORÇAMENTO!S$15,ROW(G81)-ROW(G$15),0))</f>
        <v/>
      </c>
      <c r="H81" s="124">
        <f ca="1">IF($D81&lt;&gt;"Serviço",0,IF(ACOMPANHAMENTO="BM",ROUND(OFFSET(ORÇAMENTO!AJ$15,ROW(H81)-ROW(H$15),0),15-13*ORÇAMENTO!$AF$7),SUMPRODUCT(($Q$12:$AA$12&lt;&gt;"")*ROUND($Q81:$AA81,15-13*ORÇAMENTO!$AF$7))))</f>
        <v>0</v>
      </c>
      <c r="I81" s="561"/>
      <c r="K81" s="174"/>
      <c r="L81" s="175" t="s">
        <v>255</v>
      </c>
      <c r="M81" s="176" t="str">
        <f ca="1">IF($D81&lt;&gt;"Serviço","",IF(AUTOEVENTO="manual",$A81,IF(ISERROR(MATCH($A81,$A$15:OFFSET($A81,-1,0),0)),MAX($M$15:OFFSET(M81,-1,0))+1,INDEX($M$15:OFFSET(M81,-1,0),MATCH($A81,$A$15:OFFSET($A81,-1,0),0)))))</f>
        <v/>
      </c>
      <c r="N81" s="177" t="str">
        <f ca="1">IF($D81&lt;&gt;"Serviço","",IF(AUTOEVENTO="Manual",IF($A81=0,"&lt;-- defina o número do agrupador",OFFSET(EVENTOS!$D$14,$A81,0)),OFFSET($F$15,$A81,0)))</f>
        <v/>
      </c>
      <c r="O81" s="178"/>
      <c r="Q81" s="178"/>
      <c r="R81" s="179"/>
      <c r="S81" s="179"/>
      <c r="T81" s="179"/>
      <c r="U81" s="179"/>
      <c r="V81" s="179"/>
      <c r="W81" s="179"/>
      <c r="X81" s="179"/>
      <c r="Y81" s="179"/>
      <c r="Z81" s="180"/>
      <c r="AB81" s="544">
        <f ca="1">IF(AND($D81="Serviço",AB$12&lt;&gt;0,$H81&gt;0,OR(AUTOEVENTO&lt;&gt;"manual",$M81&lt;&gt;1)),
IF(Import.TipoArredondamento&lt;&gt;"TransfereGOV",
ROUND(OFFSET($P81,0,AB$13),15-13*ORÇAMENTO!$AF$7)/$H81*OFFSET(ORÇAMENTO!$X$15,ROW(AB81)-ROW(AB$15),0),
ROUND(ROUND(OFFSET($P81,0,AB$13),15-13*ORÇAMENTO!$AF$7)*OFFSET(ORÇAMENTO!$W$15,ROW(AB81)-ROW(AB$15),0),15-13*ORÇAMENTO!$AF$11)),0)</f>
        <v>0</v>
      </c>
      <c r="AC81" s="545">
        <f ca="1">IF(AND($D81="Serviço",AC$12&lt;&gt;0,$H81&gt;0,OR(AUTOEVENTO&lt;&gt;"manual",$M81&lt;&gt;1)),
IF(Import.TipoArredondamento&lt;&gt;"TransfereGOV",
ROUND(OFFSET($P81,0,AC$13),15-13*ORÇAMENTO!$AF$7)/$H81*OFFSET(ORÇAMENTO!$X$15,ROW(AC81)-ROW(AC$15),0),
ROUND(ROUND(OFFSET($P81,0,AC$13),15-13*ORÇAMENTO!$AF$7)*OFFSET(ORÇAMENTO!$W$15,ROW(AC81)-ROW(AC$15),0),15-13*ORÇAMENTO!$AF$11)),0)</f>
        <v>0</v>
      </c>
      <c r="AD81" s="545">
        <f ca="1">IF(AND($D81="Serviço",AD$12&lt;&gt;0,$H81&gt;0,OR(AUTOEVENTO&lt;&gt;"manual",$M81&lt;&gt;1)),
IF(Import.TipoArredondamento&lt;&gt;"TransfereGOV",
ROUND(OFFSET($P81,0,AD$13),15-13*ORÇAMENTO!$AF$7)/$H81*OFFSET(ORÇAMENTO!$X$15,ROW(AD81)-ROW(AD$15),0),
ROUND(ROUND(OFFSET($P81,0,AD$13),15-13*ORÇAMENTO!$AF$7)*OFFSET(ORÇAMENTO!$W$15,ROW(AD81)-ROW(AD$15),0),15-13*ORÇAMENTO!$AF$11)),0)</f>
        <v>0</v>
      </c>
      <c r="AE81" s="545">
        <f ca="1">IF(AND($D81="Serviço",AE$12&lt;&gt;0,$H81&gt;0,OR(AUTOEVENTO&lt;&gt;"manual",$M81&lt;&gt;1)),
IF(Import.TipoArredondamento&lt;&gt;"TransfereGOV",
ROUND(OFFSET($P81,0,AE$13),15-13*ORÇAMENTO!$AF$7)/$H81*OFFSET(ORÇAMENTO!$X$15,ROW(AE81)-ROW(AE$15),0),
ROUND(ROUND(OFFSET($P81,0,AE$13),15-13*ORÇAMENTO!$AF$7)*OFFSET(ORÇAMENTO!$W$15,ROW(AE81)-ROW(AE$15),0),15-13*ORÇAMENTO!$AF$11)),0)</f>
        <v>0</v>
      </c>
      <c r="AF81" s="545">
        <f ca="1">IF(AND($D81="Serviço",AF$12&lt;&gt;0,$H81&gt;0,OR(AUTOEVENTO&lt;&gt;"manual",$M81&lt;&gt;1)),
IF(Import.TipoArredondamento&lt;&gt;"TransfereGOV",
ROUND(OFFSET($P81,0,AF$13),15-13*ORÇAMENTO!$AF$7)/$H81*OFFSET(ORÇAMENTO!$X$15,ROW(AF81)-ROW(AF$15),0),
ROUND(ROUND(OFFSET($P81,0,AF$13),15-13*ORÇAMENTO!$AF$7)*OFFSET(ORÇAMENTO!$W$15,ROW(AF81)-ROW(AF$15),0),15-13*ORÇAMENTO!$AF$11)),0)</f>
        <v>0</v>
      </c>
      <c r="AG81" s="545">
        <f ca="1">IF(AND($D81="Serviço",AG$12&lt;&gt;0,$H81&gt;0,OR(AUTOEVENTO&lt;&gt;"manual",$M81&lt;&gt;1)),
IF(Import.TipoArredondamento&lt;&gt;"TransfereGOV",
ROUND(OFFSET($P81,0,AG$13),15-13*ORÇAMENTO!$AF$7)/$H81*OFFSET(ORÇAMENTO!$X$15,ROW(AG81)-ROW(AG$15),0),
ROUND(ROUND(OFFSET($P81,0,AG$13),15-13*ORÇAMENTO!$AF$7)*OFFSET(ORÇAMENTO!$W$15,ROW(AG81)-ROW(AG$15),0),15-13*ORÇAMENTO!$AF$11)),0)</f>
        <v>0</v>
      </c>
      <c r="AH81" s="545">
        <f ca="1">IF(AND($D81="Serviço",AH$12&lt;&gt;0,$H81&gt;0,OR(AUTOEVENTO&lt;&gt;"manual",$M81&lt;&gt;1)),
IF(Import.TipoArredondamento&lt;&gt;"TransfereGOV",
ROUND(OFFSET($P81,0,AH$13),15-13*ORÇAMENTO!$AF$7)/$H81*OFFSET(ORÇAMENTO!$X$15,ROW(AH81)-ROW(AH$15),0),
ROUND(ROUND(OFFSET($P81,0,AH$13),15-13*ORÇAMENTO!$AF$7)*OFFSET(ORÇAMENTO!$W$15,ROW(AH81)-ROW(AH$15),0),15-13*ORÇAMENTO!$AF$11)),0)</f>
        <v>0</v>
      </c>
      <c r="AI81" s="545">
        <f ca="1">IF(AND($D81="Serviço",AI$12&lt;&gt;0,$H81&gt;0,OR(AUTOEVENTO&lt;&gt;"manual",$M81&lt;&gt;1)),
IF(Import.TipoArredondamento&lt;&gt;"TransfereGOV",
ROUND(OFFSET($P81,0,AI$13),15-13*ORÇAMENTO!$AF$7)/$H81*OFFSET(ORÇAMENTO!$X$15,ROW(AI81)-ROW(AI$15),0),
ROUND(ROUND(OFFSET($P81,0,AI$13),15-13*ORÇAMENTO!$AF$7)*OFFSET(ORÇAMENTO!$W$15,ROW(AI81)-ROW(AI$15),0),15-13*ORÇAMENTO!$AF$11)),0)</f>
        <v>0</v>
      </c>
      <c r="AJ81" s="545">
        <f ca="1">IF(AND($D81="Serviço",AJ$12&lt;&gt;0,$H81&gt;0,OR(AUTOEVENTO&lt;&gt;"manual",$M81&lt;&gt;1)),
IF(Import.TipoArredondamento&lt;&gt;"TransfereGOV",
ROUND(OFFSET($P81,0,AJ$13),15-13*ORÇAMENTO!$AF$7)/$H81*OFFSET(ORÇAMENTO!$X$15,ROW(AJ81)-ROW(AJ$15),0),
ROUND(ROUND(OFFSET($P81,0,AJ$13),15-13*ORÇAMENTO!$AF$7)*OFFSET(ORÇAMENTO!$W$15,ROW(AJ81)-ROW(AJ$15),0),15-13*ORÇAMENTO!$AF$11)),0)</f>
        <v>0</v>
      </c>
      <c r="AK81" s="546">
        <f ca="1">IF(AND($D81="Serviço",AK$12&lt;&gt;0,$H81&gt;0,OR(AUTOEVENTO&lt;&gt;"manual",$M81&lt;&gt;1)),
IF(Import.TipoArredondamento&lt;&gt;"TransfereGOV",
ROUND(OFFSET($P81,0,AK$13),15-13*ORÇAMENTO!$AF$7)/$H81*OFFSET(ORÇAMENTO!$X$15,ROW(AK81)-ROW(AK$15),0),
ROUND(ROUND(OFFSET($P81,0,AK$13),15-13*ORÇAMENTO!$AF$7)*OFFSET(ORÇAMENTO!$W$15,ROW(AK81)-ROW(AK$15),0),15-13*ORÇAMENTO!$AF$11)),0)</f>
        <v>0</v>
      </c>
      <c r="AM81" s="181">
        <f ca="1">IF($D81&lt;&gt;"Serviço",0,IF(AND(AUTOEVENTO="Manual",$M81=1),0,IF(OFFSET(CRONOPLE!$F$14,$M81,AM$13)="",10^12,OFFSET(CRONOPLE!$F$14,$M81,AM$13))))</f>
        <v>0</v>
      </c>
      <c r="AN81" s="181">
        <f ca="1">IF($D81&lt;&gt;"Serviço",0,IF(AND(AUTOEVENTO="Manual",$M81=1),0,IF(OFFSET(CRONOPLE!$F$14,$M81,AN$13)="",10^12,OFFSET(CRONOPLE!$F$14,$M81,AN$13))))</f>
        <v>0</v>
      </c>
      <c r="AO81" s="181">
        <f ca="1">IF($D81&lt;&gt;"Serviço",0,IF(AND(AUTOEVENTO="Manual",$M81=1),0,IF(OFFSET(CRONOPLE!$F$14,$M81,AO$13)="",10^12,OFFSET(CRONOPLE!$F$14,$M81,AO$13))))</f>
        <v>0</v>
      </c>
      <c r="AP81" s="181">
        <f ca="1">IF($D81&lt;&gt;"Serviço",0,IF(AND(AUTOEVENTO="Manual",$M81=1),0,IF(OFFSET(CRONOPLE!$F$14,$M81,AP$13)="",10^12,OFFSET(CRONOPLE!$F$14,$M81,AP$13))))</f>
        <v>0</v>
      </c>
      <c r="AQ81" s="181">
        <f ca="1">IF($D81&lt;&gt;"Serviço",0,IF(AND(AUTOEVENTO="Manual",$M81=1),0,IF(OFFSET(CRONOPLE!$F$14,$M81,AQ$13)="",10^12,OFFSET(CRONOPLE!$F$14,$M81,AQ$13))))</f>
        <v>0</v>
      </c>
      <c r="AR81" s="181">
        <f ca="1">IF($D81&lt;&gt;"Serviço",0,IF(AND(AUTOEVENTO="Manual",$M81=1),0,IF(OFFSET(CRONOPLE!$F$14,$M81,AR$13)="",10^12,OFFSET(CRONOPLE!$F$14,$M81,AR$13))))</f>
        <v>0</v>
      </c>
      <c r="AS81" s="181">
        <f ca="1">IF($D81&lt;&gt;"Serviço",0,IF(AND(AUTOEVENTO="Manual",$M81=1),0,IF(OFFSET(CRONOPLE!$F$14,$M81,AS$13)="",10^12,OFFSET(CRONOPLE!$F$14,$M81,AS$13))))</f>
        <v>0</v>
      </c>
      <c r="AT81" s="181">
        <f ca="1">IF($D81&lt;&gt;"Serviço",0,IF(AND(AUTOEVENTO="Manual",$M81=1),0,IF(OFFSET(CRONOPLE!$F$14,$M81,AT$13)="",10^12,OFFSET(CRONOPLE!$F$14,$M81,AT$13))))</f>
        <v>0</v>
      </c>
      <c r="AU81" s="181">
        <f ca="1">IF($D81&lt;&gt;"Serviço",0,IF(AND(AUTOEVENTO="Manual",$M81=1),0,IF(OFFSET(CRONOPLE!$F$14,$M81,AU$13)="",10^12,OFFSET(CRONOPLE!$F$14,$M81,AU$13))))</f>
        <v>0</v>
      </c>
      <c r="AV81" s="181">
        <f ca="1">IF($D81&lt;&gt;"Serviço",0,IF(AND(AUTOEVENTO="Manual",$M81=1),0,IF(OFFSET(CRONOPLE!$F$14,$M81,AV$13)="",10^12,OFFSET(CRONOPLE!$F$14,$M81,AV$13))))</f>
        <v>0</v>
      </c>
      <c r="AX81" s="182">
        <f ca="1">IF($D81&lt;&gt;"Serviço",0,IF(OR(AND(AUTOEVENTO="Manual",$M81=1),$M81&gt;(ROW(PLE.lastrow)-ROW(PLE.firstrow))),0,IF(OFFSET(PLE!$G$14,$M81,AX$13)="",10^12,OFFSET(PLE!$G$14,$M81,AX$13))))</f>
        <v>0</v>
      </c>
      <c r="AY81" s="182">
        <f ca="1">IF($D81&lt;&gt;"Serviço",0,IF(OR(AND(AUTOEVENTO="Manual",$M81=1),$M81&gt;(ROW(PLE.lastrow)-ROW(PLE.firstrow))),0,IF(OFFSET(PLE!$G$14,$M81,AY$13)="",10^12,OFFSET(PLE!$G$14,$M81,AY$13))))</f>
        <v>0</v>
      </c>
      <c r="AZ81" s="182">
        <f ca="1">IF($D81&lt;&gt;"Serviço",0,IF(OR(AND(AUTOEVENTO="Manual",$M81=1),$M81&gt;(ROW(PLE.lastrow)-ROW(PLE.firstrow))),0,IF(OFFSET(PLE!$G$14,$M81,AZ$13)="",10^12,OFFSET(PLE!$G$14,$M81,AZ$13))))</f>
        <v>0</v>
      </c>
      <c r="BA81" s="182">
        <f ca="1">IF($D81&lt;&gt;"Serviço",0,IF(OR(AND(AUTOEVENTO="Manual",$M81=1),$M81&gt;(ROW(PLE.lastrow)-ROW(PLE.firstrow))),0,IF(OFFSET(PLE!$G$14,$M81,BA$13)="",10^12,OFFSET(PLE!$G$14,$M81,BA$13))))</f>
        <v>0</v>
      </c>
      <c r="BB81" s="182">
        <f ca="1">IF($D81&lt;&gt;"Serviço",0,IF(OR(AND(AUTOEVENTO="Manual",$M81=1),$M81&gt;(ROW(PLE.lastrow)-ROW(PLE.firstrow))),0,IF(OFFSET(PLE!$G$14,$M81,BB$13)="",10^12,OFFSET(PLE!$G$14,$M81,BB$13))))</f>
        <v>0</v>
      </c>
      <c r="BC81" s="182">
        <f ca="1">IF($D81&lt;&gt;"Serviço",0,IF(OR(AND(AUTOEVENTO="Manual",$M81=1),$M81&gt;(ROW(PLE.lastrow)-ROW(PLE.firstrow))),0,IF(OFFSET(PLE!$G$14,$M81,BC$13)="",10^12,OFFSET(PLE!$G$14,$M81,BC$13))))</f>
        <v>0</v>
      </c>
      <c r="BD81" s="182">
        <f ca="1">IF($D81&lt;&gt;"Serviço",0,IF(OR(AND(AUTOEVENTO="Manual",$M81=1),$M81&gt;(ROW(PLE.lastrow)-ROW(PLE.firstrow))),0,IF(OFFSET(PLE!$G$14,$M81,BD$13)="",10^12,OFFSET(PLE!$G$14,$M81,BD$13))))</f>
        <v>0</v>
      </c>
      <c r="BE81" s="182">
        <f ca="1">IF($D81&lt;&gt;"Serviço",0,IF(OR(AND(AUTOEVENTO="Manual",$M81=1),$M81&gt;(ROW(PLE.lastrow)-ROW(PLE.firstrow))),0,IF(OFFSET(PLE!$G$14,$M81,BE$13)="",10^12,OFFSET(PLE!$G$14,$M81,BE$13))))</f>
        <v>0</v>
      </c>
      <c r="BF81" s="182">
        <f ca="1">IF($D81&lt;&gt;"Serviço",0,IF(OR(AND(AUTOEVENTO="Manual",$M81=1),$M81&gt;(ROW(PLE.lastrow)-ROW(PLE.firstrow))),0,IF(OFFSET(PLE!$G$14,$M81,BF$13)="",10^12,OFFSET(PLE!$G$14,$M81,BF$13))))</f>
        <v>0</v>
      </c>
      <c r="BG81" s="182">
        <f ca="1">IF($D81&lt;&gt;"Serviço",0,IF(OR(AND(AUTOEVENTO="Manual",$M81=1),$M81&gt;(ROW(PLE.lastrow)-ROW(PLE.firstrow))),0,IF(OFFSET(PLE!$G$14,$M81,BG$13)="",10^12,OFFSET(PLE!$G$14,$M81,BG$13))))</f>
        <v>0</v>
      </c>
    </row>
    <row r="82" spans="1:59" ht="63.75" x14ac:dyDescent="0.2">
      <c r="A82" s="7" t="str">
        <f t="shared" ca="1" si="8"/>
        <v>66</v>
      </c>
      <c r="B82" s="7" t="str">
        <f ca="1">OFFSET(ORÇAMENTO!C$15,ROW(B82)-ROW(B$15),0)</f>
        <v>S</v>
      </c>
      <c r="C82" s="7" t="str">
        <f ca="1">OFFSET(ORÇAMENTO!L$15,ROW(C82)-ROW(C$15),0)</f>
        <v>F</v>
      </c>
      <c r="D82" s="118" t="str">
        <f ca="1">OFFSET(ORÇAMENTO!N$15,ROW(D82)-ROW(D$15),0)</f>
        <v>Serviço</v>
      </c>
      <c r="E82" s="119" t="str">
        <f ca="1">OFFSET(ORÇAMENTO!O$15,ROW(E82)-ROW(E$15),0)</f>
        <v>1.5.0.1.</v>
      </c>
      <c r="F82" s="172" t="str">
        <f ca="1">OFFSET(ORÇAMENTO!R$15,ROW(F82)-ROW(F$15),0)</f>
        <v>(abra o arquivo 'Referência 03-2024.xlsm)</v>
      </c>
      <c r="G82" s="173" t="str">
        <f ca="1">IF($D82&lt;&gt;"Serviço","",OFFSET(ORÇAMENTO!S$15,ROW(G82)-ROW(G$15),0))</f>
        <v>-</v>
      </c>
      <c r="H82" s="124">
        <f ca="1">IF($D82&lt;&gt;"Serviço",0,IF(ACOMPANHAMENTO="BM",ROUND(OFFSET(ORÇAMENTO!AJ$15,ROW(H82)-ROW(H$15),0),15-13*ORÇAMENTO!$AF$7),SUMPRODUCT(($Q$12:$AA$12&lt;&gt;"")*ROUND($Q82:$AA82,15-13*ORÇAMENTO!$AF$7))))</f>
        <v>33</v>
      </c>
      <c r="I82" s="561"/>
      <c r="K82" s="174"/>
      <c r="L82" s="175" t="s">
        <v>255</v>
      </c>
      <c r="M82" s="176">
        <f ca="1">IF($D82&lt;&gt;"Serviço","",IF(AUTOEVENTO="manual",$A82,IF(ISERROR(MATCH($A82,$A$15:OFFSET($A82,-1,0),0)),MAX($M$15:OFFSET(M82,-1,0))+1,INDEX($M$15:OFFSET(M82,-1,0),MATCH($A82,$A$15:OFFSET($A82,-1,0),0)))))</f>
        <v>6</v>
      </c>
      <c r="N82" s="177" t="str">
        <f ca="1">IF($D82&lt;&gt;"Serviço","",IF(AUTOEVENTO="Manual",IF($A82=0,"&lt;-- defina o número do agrupador",OFFSET(EVENTOS!$D$14,$A82,0)),OFFSET($F$15,$A82,0)))</f>
        <v>MONITORAMENTO EXTERNO, REDE SUBTERRÂNEA (ENTERRADA)</v>
      </c>
      <c r="O82" s="178"/>
      <c r="Q82" s="178"/>
      <c r="R82" s="179"/>
      <c r="S82" s="179"/>
      <c r="T82" s="179"/>
      <c r="U82" s="179"/>
      <c r="V82" s="179"/>
      <c r="W82" s="179"/>
      <c r="X82" s="179"/>
      <c r="Y82" s="179"/>
      <c r="Z82" s="180"/>
      <c r="AB82" s="544">
        <f ca="1">IF(AND($D82="Serviço",AB$12&lt;&gt;0,$H82&gt;0,OR(AUTOEVENTO&lt;&gt;"manual",$M82&lt;&gt;1)),
IF(Import.TipoArredondamento&lt;&gt;"TransfereGOV",
ROUND(OFFSET($P82,0,AB$13),15-13*ORÇAMENTO!$AF$7)/$H82*OFFSET(ORÇAMENTO!$X$15,ROW(AB82)-ROW(AB$15),0),
ROUND(ROUND(OFFSET($P82,0,AB$13),15-13*ORÇAMENTO!$AF$7)*OFFSET(ORÇAMENTO!$W$15,ROW(AB82)-ROW(AB$15),0),15-13*ORÇAMENTO!$AF$11)),0)</f>
        <v>0</v>
      </c>
      <c r="AC82" s="545">
        <f ca="1">IF(AND($D82="Serviço",AC$12&lt;&gt;0,$H82&gt;0,OR(AUTOEVENTO&lt;&gt;"manual",$M82&lt;&gt;1)),
IF(Import.TipoArredondamento&lt;&gt;"TransfereGOV",
ROUND(OFFSET($P82,0,AC$13),15-13*ORÇAMENTO!$AF$7)/$H82*OFFSET(ORÇAMENTO!$X$15,ROW(AC82)-ROW(AC$15),0),
ROUND(ROUND(OFFSET($P82,0,AC$13),15-13*ORÇAMENTO!$AF$7)*OFFSET(ORÇAMENTO!$W$15,ROW(AC82)-ROW(AC$15),0),15-13*ORÇAMENTO!$AF$11)),0)</f>
        <v>0</v>
      </c>
      <c r="AD82" s="545">
        <f ca="1">IF(AND($D82="Serviço",AD$12&lt;&gt;0,$H82&gt;0,OR(AUTOEVENTO&lt;&gt;"manual",$M82&lt;&gt;1)),
IF(Import.TipoArredondamento&lt;&gt;"TransfereGOV",
ROUND(OFFSET($P82,0,AD$13),15-13*ORÇAMENTO!$AF$7)/$H82*OFFSET(ORÇAMENTO!$X$15,ROW(AD82)-ROW(AD$15),0),
ROUND(ROUND(OFFSET($P82,0,AD$13),15-13*ORÇAMENTO!$AF$7)*OFFSET(ORÇAMENTO!$W$15,ROW(AD82)-ROW(AD$15),0),15-13*ORÇAMENTO!$AF$11)),0)</f>
        <v>0</v>
      </c>
      <c r="AE82" s="545">
        <f ca="1">IF(AND($D82="Serviço",AE$12&lt;&gt;0,$H82&gt;0,OR(AUTOEVENTO&lt;&gt;"manual",$M82&lt;&gt;1)),
IF(Import.TipoArredondamento&lt;&gt;"TransfereGOV",
ROUND(OFFSET($P82,0,AE$13),15-13*ORÇAMENTO!$AF$7)/$H82*OFFSET(ORÇAMENTO!$X$15,ROW(AE82)-ROW(AE$15),0),
ROUND(ROUND(OFFSET($P82,0,AE$13),15-13*ORÇAMENTO!$AF$7)*OFFSET(ORÇAMENTO!$W$15,ROW(AE82)-ROW(AE$15),0),15-13*ORÇAMENTO!$AF$11)),0)</f>
        <v>0</v>
      </c>
      <c r="AF82" s="545">
        <f ca="1">IF(AND($D82="Serviço",AF$12&lt;&gt;0,$H82&gt;0,OR(AUTOEVENTO&lt;&gt;"manual",$M82&lt;&gt;1)),
IF(Import.TipoArredondamento&lt;&gt;"TransfereGOV",
ROUND(OFFSET($P82,0,AF$13),15-13*ORÇAMENTO!$AF$7)/$H82*OFFSET(ORÇAMENTO!$X$15,ROW(AF82)-ROW(AF$15),0),
ROUND(ROUND(OFFSET($P82,0,AF$13),15-13*ORÇAMENTO!$AF$7)*OFFSET(ORÇAMENTO!$W$15,ROW(AF82)-ROW(AF$15),0),15-13*ORÇAMENTO!$AF$11)),0)</f>
        <v>0</v>
      </c>
      <c r="AG82" s="545">
        <f ca="1">IF(AND($D82="Serviço",AG$12&lt;&gt;0,$H82&gt;0,OR(AUTOEVENTO&lt;&gt;"manual",$M82&lt;&gt;1)),
IF(Import.TipoArredondamento&lt;&gt;"TransfereGOV",
ROUND(OFFSET($P82,0,AG$13),15-13*ORÇAMENTO!$AF$7)/$H82*OFFSET(ORÇAMENTO!$X$15,ROW(AG82)-ROW(AG$15),0),
ROUND(ROUND(OFFSET($P82,0,AG$13),15-13*ORÇAMENTO!$AF$7)*OFFSET(ORÇAMENTO!$W$15,ROW(AG82)-ROW(AG$15),0),15-13*ORÇAMENTO!$AF$11)),0)</f>
        <v>0</v>
      </c>
      <c r="AH82" s="545">
        <f ca="1">IF(AND($D82="Serviço",AH$12&lt;&gt;0,$H82&gt;0,OR(AUTOEVENTO&lt;&gt;"manual",$M82&lt;&gt;1)),
IF(Import.TipoArredondamento&lt;&gt;"TransfereGOV",
ROUND(OFFSET($P82,0,AH$13),15-13*ORÇAMENTO!$AF$7)/$H82*OFFSET(ORÇAMENTO!$X$15,ROW(AH82)-ROW(AH$15),0),
ROUND(ROUND(OFFSET($P82,0,AH$13),15-13*ORÇAMENTO!$AF$7)*OFFSET(ORÇAMENTO!$W$15,ROW(AH82)-ROW(AH$15),0),15-13*ORÇAMENTO!$AF$11)),0)</f>
        <v>0</v>
      </c>
      <c r="AI82" s="545">
        <f ca="1">IF(AND($D82="Serviço",AI$12&lt;&gt;0,$H82&gt;0,OR(AUTOEVENTO&lt;&gt;"manual",$M82&lt;&gt;1)),
IF(Import.TipoArredondamento&lt;&gt;"TransfereGOV",
ROUND(OFFSET($P82,0,AI$13),15-13*ORÇAMENTO!$AF$7)/$H82*OFFSET(ORÇAMENTO!$X$15,ROW(AI82)-ROW(AI$15),0),
ROUND(ROUND(OFFSET($P82,0,AI$13),15-13*ORÇAMENTO!$AF$7)*OFFSET(ORÇAMENTO!$W$15,ROW(AI82)-ROW(AI$15),0),15-13*ORÇAMENTO!$AF$11)),0)</f>
        <v>0</v>
      </c>
      <c r="AJ82" s="545">
        <f ca="1">IF(AND($D82="Serviço",AJ$12&lt;&gt;0,$H82&gt;0,OR(AUTOEVENTO&lt;&gt;"manual",$M82&lt;&gt;1)),
IF(Import.TipoArredondamento&lt;&gt;"TransfereGOV",
ROUND(OFFSET($P82,0,AJ$13),15-13*ORÇAMENTO!$AF$7)/$H82*OFFSET(ORÇAMENTO!$X$15,ROW(AJ82)-ROW(AJ$15),0),
ROUND(ROUND(OFFSET($P82,0,AJ$13),15-13*ORÇAMENTO!$AF$7)*OFFSET(ORÇAMENTO!$W$15,ROW(AJ82)-ROW(AJ$15),0),15-13*ORÇAMENTO!$AF$11)),0)</f>
        <v>0</v>
      </c>
      <c r="AK82" s="546">
        <f ca="1">IF(AND($D82="Serviço",AK$12&lt;&gt;0,$H82&gt;0,OR(AUTOEVENTO&lt;&gt;"manual",$M82&lt;&gt;1)),
IF(Import.TipoArredondamento&lt;&gt;"TransfereGOV",
ROUND(OFFSET($P82,0,AK$13),15-13*ORÇAMENTO!$AF$7)/$H82*OFFSET(ORÇAMENTO!$X$15,ROW(AK82)-ROW(AK$15),0),
ROUND(ROUND(OFFSET($P82,0,AK$13),15-13*ORÇAMENTO!$AF$7)*OFFSET(ORÇAMENTO!$W$15,ROW(AK82)-ROW(AK$15),0),15-13*ORÇAMENTO!$AF$11)),0)</f>
        <v>0</v>
      </c>
      <c r="AM82" s="181">
        <f ca="1">IF($D82&lt;&gt;"Serviço",0,IF(AND(AUTOEVENTO="Manual",$M82=1),0,IF(OFFSET(CRONOPLE!$F$14,$M82,AM$13)="",10^12,OFFSET(CRONOPLE!$F$14,$M82,AM$13))))</f>
        <v>1000000000000</v>
      </c>
      <c r="AN82" s="181">
        <f ca="1">IF($D82&lt;&gt;"Serviço",0,IF(AND(AUTOEVENTO="Manual",$M82=1),0,IF(OFFSET(CRONOPLE!$F$14,$M82,AN$13)="",10^12,OFFSET(CRONOPLE!$F$14,$M82,AN$13))))</f>
        <v>1000000000000</v>
      </c>
      <c r="AO82" s="181">
        <f ca="1">IF($D82&lt;&gt;"Serviço",0,IF(AND(AUTOEVENTO="Manual",$M82=1),0,IF(OFFSET(CRONOPLE!$F$14,$M82,AO$13)="",10^12,OFFSET(CRONOPLE!$F$14,$M82,AO$13))))</f>
        <v>1000000000000</v>
      </c>
      <c r="AP82" s="181">
        <f ca="1">IF($D82&lt;&gt;"Serviço",0,IF(AND(AUTOEVENTO="Manual",$M82=1),0,IF(OFFSET(CRONOPLE!$F$14,$M82,AP$13)="",10^12,OFFSET(CRONOPLE!$F$14,$M82,AP$13))))</f>
        <v>1000000000000</v>
      </c>
      <c r="AQ82" s="181">
        <f ca="1">IF($D82&lt;&gt;"Serviço",0,IF(AND(AUTOEVENTO="Manual",$M82=1),0,IF(OFFSET(CRONOPLE!$F$14,$M82,AQ$13)="",10^12,OFFSET(CRONOPLE!$F$14,$M82,AQ$13))))</f>
        <v>1000000000000</v>
      </c>
      <c r="AR82" s="181">
        <f ca="1">IF($D82&lt;&gt;"Serviço",0,IF(AND(AUTOEVENTO="Manual",$M82=1),0,IF(OFFSET(CRONOPLE!$F$14,$M82,AR$13)="",10^12,OFFSET(CRONOPLE!$F$14,$M82,AR$13))))</f>
        <v>1000000000000</v>
      </c>
      <c r="AS82" s="181">
        <f ca="1">IF($D82&lt;&gt;"Serviço",0,IF(AND(AUTOEVENTO="Manual",$M82=1),0,IF(OFFSET(CRONOPLE!$F$14,$M82,AS$13)="",10^12,OFFSET(CRONOPLE!$F$14,$M82,AS$13))))</f>
        <v>1000000000000</v>
      </c>
      <c r="AT82" s="181">
        <f ca="1">IF($D82&lt;&gt;"Serviço",0,IF(AND(AUTOEVENTO="Manual",$M82=1),0,IF(OFFSET(CRONOPLE!$F$14,$M82,AT$13)="",10^12,OFFSET(CRONOPLE!$F$14,$M82,AT$13))))</f>
        <v>1000000000000</v>
      </c>
      <c r="AU82" s="181">
        <f ca="1">IF($D82&lt;&gt;"Serviço",0,IF(AND(AUTOEVENTO="Manual",$M82=1),0,IF(OFFSET(CRONOPLE!$F$14,$M82,AU$13)="",10^12,OFFSET(CRONOPLE!$F$14,$M82,AU$13))))</f>
        <v>1000000000000</v>
      </c>
      <c r="AV82" s="181">
        <f ca="1">IF($D82&lt;&gt;"Serviço",0,IF(AND(AUTOEVENTO="Manual",$M82=1),0,IF(OFFSET(CRONOPLE!$F$14,$M82,AV$13)="",10^12,OFFSET(CRONOPLE!$F$14,$M82,AV$13))))</f>
        <v>1000000000000</v>
      </c>
      <c r="AX82" s="182">
        <f ca="1">IF($D82&lt;&gt;"Serviço",0,IF(OR(AND(AUTOEVENTO="Manual",$M82=1),$M82&gt;(ROW(PLE.lastrow)-ROW(PLE.firstrow))),0,IF(OFFSET(PLE!$G$14,$M82,AX$13)="",10^12,OFFSET(PLE!$G$14,$M82,AX$13))))</f>
        <v>1000000000000</v>
      </c>
      <c r="AY82" s="182">
        <f ca="1">IF($D82&lt;&gt;"Serviço",0,IF(OR(AND(AUTOEVENTO="Manual",$M82=1),$M82&gt;(ROW(PLE.lastrow)-ROW(PLE.firstrow))),0,IF(OFFSET(PLE!$G$14,$M82,AY$13)="",10^12,OFFSET(PLE!$G$14,$M82,AY$13))))</f>
        <v>1000000000000</v>
      </c>
      <c r="AZ82" s="182">
        <f ca="1">IF($D82&lt;&gt;"Serviço",0,IF(OR(AND(AUTOEVENTO="Manual",$M82=1),$M82&gt;(ROW(PLE.lastrow)-ROW(PLE.firstrow))),0,IF(OFFSET(PLE!$G$14,$M82,AZ$13)="",10^12,OFFSET(PLE!$G$14,$M82,AZ$13))))</f>
        <v>1000000000000</v>
      </c>
      <c r="BA82" s="182">
        <f ca="1">IF($D82&lt;&gt;"Serviço",0,IF(OR(AND(AUTOEVENTO="Manual",$M82=1),$M82&gt;(ROW(PLE.lastrow)-ROW(PLE.firstrow))),0,IF(OFFSET(PLE!$G$14,$M82,BA$13)="",10^12,OFFSET(PLE!$G$14,$M82,BA$13))))</f>
        <v>1000000000000</v>
      </c>
      <c r="BB82" s="182">
        <f ca="1">IF($D82&lt;&gt;"Serviço",0,IF(OR(AND(AUTOEVENTO="Manual",$M82=1),$M82&gt;(ROW(PLE.lastrow)-ROW(PLE.firstrow))),0,IF(OFFSET(PLE!$G$14,$M82,BB$13)="",10^12,OFFSET(PLE!$G$14,$M82,BB$13))))</f>
        <v>1000000000000</v>
      </c>
      <c r="BC82" s="182">
        <f ca="1">IF($D82&lt;&gt;"Serviço",0,IF(OR(AND(AUTOEVENTO="Manual",$M82=1),$M82&gt;(ROW(PLE.lastrow)-ROW(PLE.firstrow))),0,IF(OFFSET(PLE!$G$14,$M82,BC$13)="",10^12,OFFSET(PLE!$G$14,$M82,BC$13))))</f>
        <v>1000000000000</v>
      </c>
      <c r="BD82" s="182">
        <f ca="1">IF($D82&lt;&gt;"Serviço",0,IF(OR(AND(AUTOEVENTO="Manual",$M82=1),$M82&gt;(ROW(PLE.lastrow)-ROW(PLE.firstrow))),0,IF(OFFSET(PLE!$G$14,$M82,BD$13)="",10^12,OFFSET(PLE!$G$14,$M82,BD$13))))</f>
        <v>1000000000000</v>
      </c>
      <c r="BE82" s="182">
        <f ca="1">IF($D82&lt;&gt;"Serviço",0,IF(OR(AND(AUTOEVENTO="Manual",$M82=1),$M82&gt;(ROW(PLE.lastrow)-ROW(PLE.firstrow))),0,IF(OFFSET(PLE!$G$14,$M82,BE$13)="",10^12,OFFSET(PLE!$G$14,$M82,BE$13))))</f>
        <v>1000000000000</v>
      </c>
      <c r="BF82" s="182">
        <f ca="1">IF($D82&lt;&gt;"Serviço",0,IF(OR(AND(AUTOEVENTO="Manual",$M82=1),$M82&gt;(ROW(PLE.lastrow)-ROW(PLE.firstrow))),0,IF(OFFSET(PLE!$G$14,$M82,BF$13)="",10^12,OFFSET(PLE!$G$14,$M82,BF$13))))</f>
        <v>1000000000000</v>
      </c>
      <c r="BG82" s="182">
        <f ca="1">IF($D82&lt;&gt;"Serviço",0,IF(OR(AND(AUTOEVENTO="Manual",$M82=1),$M82&gt;(ROW(PLE.lastrow)-ROW(PLE.firstrow))),0,IF(OFFSET(PLE!$G$14,$M82,BG$13)="",10^12,OFFSET(PLE!$G$14,$M82,BG$13))))</f>
        <v>1000000000000</v>
      </c>
    </row>
    <row r="83" spans="1:59" ht="51" x14ac:dyDescent="0.2">
      <c r="A83" s="7" t="str">
        <f t="shared" ca="1" si="8"/>
        <v>66</v>
      </c>
      <c r="B83" s="7" t="str">
        <f ca="1">OFFSET(ORÇAMENTO!C$15,ROW(B83)-ROW(B$15),0)</f>
        <v>S</v>
      </c>
      <c r="C83" s="7" t="str">
        <f ca="1">OFFSET(ORÇAMENTO!L$15,ROW(C83)-ROW(C$15),0)</f>
        <v>F</v>
      </c>
      <c r="D83" s="118" t="str">
        <f ca="1">OFFSET(ORÇAMENTO!N$15,ROW(D83)-ROW(D$15),0)</f>
        <v>Serviço</v>
      </c>
      <c r="E83" s="119" t="str">
        <f ca="1">OFFSET(ORÇAMENTO!O$15,ROW(E83)-ROW(E$15),0)</f>
        <v>1.5.0.2.</v>
      </c>
      <c r="F83" s="172" t="str">
        <f ca="1">OFFSET(ORÇAMENTO!R$15,ROW(F83)-ROW(F$15),0)</f>
        <v>(abra o arquivo 'Referência 03-2024.xlsm)</v>
      </c>
      <c r="G83" s="173" t="str">
        <f ca="1">IF($D83&lt;&gt;"Serviço","",OFFSET(ORÇAMENTO!S$15,ROW(G83)-ROW(G$15),0))</f>
        <v>-</v>
      </c>
      <c r="H83" s="124">
        <f ca="1">IF($D83&lt;&gt;"Serviço",0,IF(ACOMPANHAMENTO="BM",ROUND(OFFSET(ORÇAMENTO!AJ$15,ROW(H83)-ROW(H$15),0),15-13*ORÇAMENTO!$AF$7),SUMPRODUCT(($Q$12:$AA$12&lt;&gt;"")*ROUND($Q83:$AA83,15-13*ORÇAMENTO!$AF$7))))</f>
        <v>30</v>
      </c>
      <c r="I83" s="561"/>
      <c r="K83" s="174"/>
      <c r="L83" s="175" t="s">
        <v>255</v>
      </c>
      <c r="M83" s="176">
        <f ca="1">IF($D83&lt;&gt;"Serviço","",IF(AUTOEVENTO="manual",$A83,IF(ISERROR(MATCH($A83,$A$15:OFFSET($A83,-1,0),0)),MAX($M$15:OFFSET(M83,-1,0))+1,INDEX($M$15:OFFSET(M83,-1,0),MATCH($A83,$A$15:OFFSET($A83,-1,0),0)))))</f>
        <v>6</v>
      </c>
      <c r="N83" s="177" t="str">
        <f ca="1">IF($D83&lt;&gt;"Serviço","",IF(AUTOEVENTO="Manual",IF($A83=0,"&lt;-- defina o número do agrupador",OFFSET(EVENTOS!$D$14,$A83,0)),OFFSET($F$15,$A83,0)))</f>
        <v>MONITORAMENTO EXTERNO, REDE SUBTERRÂNEA (ENTERRADA)</v>
      </c>
      <c r="O83" s="178"/>
      <c r="Q83" s="178"/>
      <c r="R83" s="179"/>
      <c r="S83" s="179"/>
      <c r="T83" s="179"/>
      <c r="U83" s="179"/>
      <c r="V83" s="179"/>
      <c r="W83" s="179"/>
      <c r="X83" s="179"/>
      <c r="Y83" s="179"/>
      <c r="Z83" s="180"/>
      <c r="AB83" s="544">
        <f ca="1">IF(AND($D83="Serviço",AB$12&lt;&gt;0,$H83&gt;0,OR(AUTOEVENTO&lt;&gt;"manual",$M83&lt;&gt;1)),
IF(Import.TipoArredondamento&lt;&gt;"TransfereGOV",
ROUND(OFFSET($P83,0,AB$13),15-13*ORÇAMENTO!$AF$7)/$H83*OFFSET(ORÇAMENTO!$X$15,ROW(AB83)-ROW(AB$15),0),
ROUND(ROUND(OFFSET($P83,0,AB$13),15-13*ORÇAMENTO!$AF$7)*OFFSET(ORÇAMENTO!$W$15,ROW(AB83)-ROW(AB$15),0),15-13*ORÇAMENTO!$AF$11)),0)</f>
        <v>0</v>
      </c>
      <c r="AC83" s="545">
        <f ca="1">IF(AND($D83="Serviço",AC$12&lt;&gt;0,$H83&gt;0,OR(AUTOEVENTO&lt;&gt;"manual",$M83&lt;&gt;1)),
IF(Import.TipoArredondamento&lt;&gt;"TransfereGOV",
ROUND(OFFSET($P83,0,AC$13),15-13*ORÇAMENTO!$AF$7)/$H83*OFFSET(ORÇAMENTO!$X$15,ROW(AC83)-ROW(AC$15),0),
ROUND(ROUND(OFFSET($P83,0,AC$13),15-13*ORÇAMENTO!$AF$7)*OFFSET(ORÇAMENTO!$W$15,ROW(AC83)-ROW(AC$15),0),15-13*ORÇAMENTO!$AF$11)),0)</f>
        <v>0</v>
      </c>
      <c r="AD83" s="545">
        <f ca="1">IF(AND($D83="Serviço",AD$12&lt;&gt;0,$H83&gt;0,OR(AUTOEVENTO&lt;&gt;"manual",$M83&lt;&gt;1)),
IF(Import.TipoArredondamento&lt;&gt;"TransfereGOV",
ROUND(OFFSET($P83,0,AD$13),15-13*ORÇAMENTO!$AF$7)/$H83*OFFSET(ORÇAMENTO!$X$15,ROW(AD83)-ROW(AD$15),0),
ROUND(ROUND(OFFSET($P83,0,AD$13),15-13*ORÇAMENTO!$AF$7)*OFFSET(ORÇAMENTO!$W$15,ROW(AD83)-ROW(AD$15),0),15-13*ORÇAMENTO!$AF$11)),0)</f>
        <v>0</v>
      </c>
      <c r="AE83" s="545">
        <f ca="1">IF(AND($D83="Serviço",AE$12&lt;&gt;0,$H83&gt;0,OR(AUTOEVENTO&lt;&gt;"manual",$M83&lt;&gt;1)),
IF(Import.TipoArredondamento&lt;&gt;"TransfereGOV",
ROUND(OFFSET($P83,0,AE$13),15-13*ORÇAMENTO!$AF$7)/$H83*OFFSET(ORÇAMENTO!$X$15,ROW(AE83)-ROW(AE$15),0),
ROUND(ROUND(OFFSET($P83,0,AE$13),15-13*ORÇAMENTO!$AF$7)*OFFSET(ORÇAMENTO!$W$15,ROW(AE83)-ROW(AE$15),0),15-13*ORÇAMENTO!$AF$11)),0)</f>
        <v>0</v>
      </c>
      <c r="AF83" s="545">
        <f ca="1">IF(AND($D83="Serviço",AF$12&lt;&gt;0,$H83&gt;0,OR(AUTOEVENTO&lt;&gt;"manual",$M83&lt;&gt;1)),
IF(Import.TipoArredondamento&lt;&gt;"TransfereGOV",
ROUND(OFFSET($P83,0,AF$13),15-13*ORÇAMENTO!$AF$7)/$H83*OFFSET(ORÇAMENTO!$X$15,ROW(AF83)-ROW(AF$15),0),
ROUND(ROUND(OFFSET($P83,0,AF$13),15-13*ORÇAMENTO!$AF$7)*OFFSET(ORÇAMENTO!$W$15,ROW(AF83)-ROW(AF$15),0),15-13*ORÇAMENTO!$AF$11)),0)</f>
        <v>0</v>
      </c>
      <c r="AG83" s="545">
        <f ca="1">IF(AND($D83="Serviço",AG$12&lt;&gt;0,$H83&gt;0,OR(AUTOEVENTO&lt;&gt;"manual",$M83&lt;&gt;1)),
IF(Import.TipoArredondamento&lt;&gt;"TransfereGOV",
ROUND(OFFSET($P83,0,AG$13),15-13*ORÇAMENTO!$AF$7)/$H83*OFFSET(ORÇAMENTO!$X$15,ROW(AG83)-ROW(AG$15),0),
ROUND(ROUND(OFFSET($P83,0,AG$13),15-13*ORÇAMENTO!$AF$7)*OFFSET(ORÇAMENTO!$W$15,ROW(AG83)-ROW(AG$15),0),15-13*ORÇAMENTO!$AF$11)),0)</f>
        <v>0</v>
      </c>
      <c r="AH83" s="545">
        <f ca="1">IF(AND($D83="Serviço",AH$12&lt;&gt;0,$H83&gt;0,OR(AUTOEVENTO&lt;&gt;"manual",$M83&lt;&gt;1)),
IF(Import.TipoArredondamento&lt;&gt;"TransfereGOV",
ROUND(OFFSET($P83,0,AH$13),15-13*ORÇAMENTO!$AF$7)/$H83*OFFSET(ORÇAMENTO!$X$15,ROW(AH83)-ROW(AH$15),0),
ROUND(ROUND(OFFSET($P83,0,AH$13),15-13*ORÇAMENTO!$AF$7)*OFFSET(ORÇAMENTO!$W$15,ROW(AH83)-ROW(AH$15),0),15-13*ORÇAMENTO!$AF$11)),0)</f>
        <v>0</v>
      </c>
      <c r="AI83" s="545">
        <f ca="1">IF(AND($D83="Serviço",AI$12&lt;&gt;0,$H83&gt;0,OR(AUTOEVENTO&lt;&gt;"manual",$M83&lt;&gt;1)),
IF(Import.TipoArredondamento&lt;&gt;"TransfereGOV",
ROUND(OFFSET($P83,0,AI$13),15-13*ORÇAMENTO!$AF$7)/$H83*OFFSET(ORÇAMENTO!$X$15,ROW(AI83)-ROW(AI$15),0),
ROUND(ROUND(OFFSET($P83,0,AI$13),15-13*ORÇAMENTO!$AF$7)*OFFSET(ORÇAMENTO!$W$15,ROW(AI83)-ROW(AI$15),0),15-13*ORÇAMENTO!$AF$11)),0)</f>
        <v>0</v>
      </c>
      <c r="AJ83" s="545">
        <f ca="1">IF(AND($D83="Serviço",AJ$12&lt;&gt;0,$H83&gt;0,OR(AUTOEVENTO&lt;&gt;"manual",$M83&lt;&gt;1)),
IF(Import.TipoArredondamento&lt;&gt;"TransfereGOV",
ROUND(OFFSET($P83,0,AJ$13),15-13*ORÇAMENTO!$AF$7)/$H83*OFFSET(ORÇAMENTO!$X$15,ROW(AJ83)-ROW(AJ$15),0),
ROUND(ROUND(OFFSET($P83,0,AJ$13),15-13*ORÇAMENTO!$AF$7)*OFFSET(ORÇAMENTO!$W$15,ROW(AJ83)-ROW(AJ$15),0),15-13*ORÇAMENTO!$AF$11)),0)</f>
        <v>0</v>
      </c>
      <c r="AK83" s="546">
        <f ca="1">IF(AND($D83="Serviço",AK$12&lt;&gt;0,$H83&gt;0,OR(AUTOEVENTO&lt;&gt;"manual",$M83&lt;&gt;1)),
IF(Import.TipoArredondamento&lt;&gt;"TransfereGOV",
ROUND(OFFSET($P83,0,AK$13),15-13*ORÇAMENTO!$AF$7)/$H83*OFFSET(ORÇAMENTO!$X$15,ROW(AK83)-ROW(AK$15),0),
ROUND(ROUND(OFFSET($P83,0,AK$13),15-13*ORÇAMENTO!$AF$7)*OFFSET(ORÇAMENTO!$W$15,ROW(AK83)-ROW(AK$15),0),15-13*ORÇAMENTO!$AF$11)),0)</f>
        <v>0</v>
      </c>
      <c r="AM83" s="181">
        <f ca="1">IF($D83&lt;&gt;"Serviço",0,IF(AND(AUTOEVENTO="Manual",$M83=1),0,IF(OFFSET(CRONOPLE!$F$14,$M83,AM$13)="",10^12,OFFSET(CRONOPLE!$F$14,$M83,AM$13))))</f>
        <v>1000000000000</v>
      </c>
      <c r="AN83" s="181">
        <f ca="1">IF($D83&lt;&gt;"Serviço",0,IF(AND(AUTOEVENTO="Manual",$M83=1),0,IF(OFFSET(CRONOPLE!$F$14,$M83,AN$13)="",10^12,OFFSET(CRONOPLE!$F$14,$M83,AN$13))))</f>
        <v>1000000000000</v>
      </c>
      <c r="AO83" s="181">
        <f ca="1">IF($D83&lt;&gt;"Serviço",0,IF(AND(AUTOEVENTO="Manual",$M83=1),0,IF(OFFSET(CRONOPLE!$F$14,$M83,AO$13)="",10^12,OFFSET(CRONOPLE!$F$14,$M83,AO$13))))</f>
        <v>1000000000000</v>
      </c>
      <c r="AP83" s="181">
        <f ca="1">IF($D83&lt;&gt;"Serviço",0,IF(AND(AUTOEVENTO="Manual",$M83=1),0,IF(OFFSET(CRONOPLE!$F$14,$M83,AP$13)="",10^12,OFFSET(CRONOPLE!$F$14,$M83,AP$13))))</f>
        <v>1000000000000</v>
      </c>
      <c r="AQ83" s="181">
        <f ca="1">IF($D83&lt;&gt;"Serviço",0,IF(AND(AUTOEVENTO="Manual",$M83=1),0,IF(OFFSET(CRONOPLE!$F$14,$M83,AQ$13)="",10^12,OFFSET(CRONOPLE!$F$14,$M83,AQ$13))))</f>
        <v>1000000000000</v>
      </c>
      <c r="AR83" s="181">
        <f ca="1">IF($D83&lt;&gt;"Serviço",0,IF(AND(AUTOEVENTO="Manual",$M83=1),0,IF(OFFSET(CRONOPLE!$F$14,$M83,AR$13)="",10^12,OFFSET(CRONOPLE!$F$14,$M83,AR$13))))</f>
        <v>1000000000000</v>
      </c>
      <c r="AS83" s="181">
        <f ca="1">IF($D83&lt;&gt;"Serviço",0,IF(AND(AUTOEVENTO="Manual",$M83=1),0,IF(OFFSET(CRONOPLE!$F$14,$M83,AS$13)="",10^12,OFFSET(CRONOPLE!$F$14,$M83,AS$13))))</f>
        <v>1000000000000</v>
      </c>
      <c r="AT83" s="181">
        <f ca="1">IF($D83&lt;&gt;"Serviço",0,IF(AND(AUTOEVENTO="Manual",$M83=1),0,IF(OFFSET(CRONOPLE!$F$14,$M83,AT$13)="",10^12,OFFSET(CRONOPLE!$F$14,$M83,AT$13))))</f>
        <v>1000000000000</v>
      </c>
      <c r="AU83" s="181">
        <f ca="1">IF($D83&lt;&gt;"Serviço",0,IF(AND(AUTOEVENTO="Manual",$M83=1),0,IF(OFFSET(CRONOPLE!$F$14,$M83,AU$13)="",10^12,OFFSET(CRONOPLE!$F$14,$M83,AU$13))))</f>
        <v>1000000000000</v>
      </c>
      <c r="AV83" s="181">
        <f ca="1">IF($D83&lt;&gt;"Serviço",0,IF(AND(AUTOEVENTO="Manual",$M83=1),0,IF(OFFSET(CRONOPLE!$F$14,$M83,AV$13)="",10^12,OFFSET(CRONOPLE!$F$14,$M83,AV$13))))</f>
        <v>1000000000000</v>
      </c>
      <c r="AX83" s="182">
        <f ca="1">IF($D83&lt;&gt;"Serviço",0,IF(OR(AND(AUTOEVENTO="Manual",$M83=1),$M83&gt;(ROW(PLE.lastrow)-ROW(PLE.firstrow))),0,IF(OFFSET(PLE!$G$14,$M83,AX$13)="",10^12,OFFSET(PLE!$G$14,$M83,AX$13))))</f>
        <v>1000000000000</v>
      </c>
      <c r="AY83" s="182">
        <f ca="1">IF($D83&lt;&gt;"Serviço",0,IF(OR(AND(AUTOEVENTO="Manual",$M83=1),$M83&gt;(ROW(PLE.lastrow)-ROW(PLE.firstrow))),0,IF(OFFSET(PLE!$G$14,$M83,AY$13)="",10^12,OFFSET(PLE!$G$14,$M83,AY$13))))</f>
        <v>1000000000000</v>
      </c>
      <c r="AZ83" s="182">
        <f ca="1">IF($D83&lt;&gt;"Serviço",0,IF(OR(AND(AUTOEVENTO="Manual",$M83=1),$M83&gt;(ROW(PLE.lastrow)-ROW(PLE.firstrow))),0,IF(OFFSET(PLE!$G$14,$M83,AZ$13)="",10^12,OFFSET(PLE!$G$14,$M83,AZ$13))))</f>
        <v>1000000000000</v>
      </c>
      <c r="BA83" s="182">
        <f ca="1">IF($D83&lt;&gt;"Serviço",0,IF(OR(AND(AUTOEVENTO="Manual",$M83=1),$M83&gt;(ROW(PLE.lastrow)-ROW(PLE.firstrow))),0,IF(OFFSET(PLE!$G$14,$M83,BA$13)="",10^12,OFFSET(PLE!$G$14,$M83,BA$13))))</f>
        <v>1000000000000</v>
      </c>
      <c r="BB83" s="182">
        <f ca="1">IF($D83&lt;&gt;"Serviço",0,IF(OR(AND(AUTOEVENTO="Manual",$M83=1),$M83&gt;(ROW(PLE.lastrow)-ROW(PLE.firstrow))),0,IF(OFFSET(PLE!$G$14,$M83,BB$13)="",10^12,OFFSET(PLE!$G$14,$M83,BB$13))))</f>
        <v>1000000000000</v>
      </c>
      <c r="BC83" s="182">
        <f ca="1">IF($D83&lt;&gt;"Serviço",0,IF(OR(AND(AUTOEVENTO="Manual",$M83=1),$M83&gt;(ROW(PLE.lastrow)-ROW(PLE.firstrow))),0,IF(OFFSET(PLE!$G$14,$M83,BC$13)="",10^12,OFFSET(PLE!$G$14,$M83,BC$13))))</f>
        <v>1000000000000</v>
      </c>
      <c r="BD83" s="182">
        <f ca="1">IF($D83&lt;&gt;"Serviço",0,IF(OR(AND(AUTOEVENTO="Manual",$M83=1),$M83&gt;(ROW(PLE.lastrow)-ROW(PLE.firstrow))),0,IF(OFFSET(PLE!$G$14,$M83,BD$13)="",10^12,OFFSET(PLE!$G$14,$M83,BD$13))))</f>
        <v>1000000000000</v>
      </c>
      <c r="BE83" s="182">
        <f ca="1">IF($D83&lt;&gt;"Serviço",0,IF(OR(AND(AUTOEVENTO="Manual",$M83=1),$M83&gt;(ROW(PLE.lastrow)-ROW(PLE.firstrow))),0,IF(OFFSET(PLE!$G$14,$M83,BE$13)="",10^12,OFFSET(PLE!$G$14,$M83,BE$13))))</f>
        <v>1000000000000</v>
      </c>
      <c r="BF83" s="182">
        <f ca="1">IF($D83&lt;&gt;"Serviço",0,IF(OR(AND(AUTOEVENTO="Manual",$M83=1),$M83&gt;(ROW(PLE.lastrow)-ROW(PLE.firstrow))),0,IF(OFFSET(PLE!$G$14,$M83,BF$13)="",10^12,OFFSET(PLE!$G$14,$M83,BF$13))))</f>
        <v>1000000000000</v>
      </c>
      <c r="BG83" s="182">
        <f ca="1">IF($D83&lt;&gt;"Serviço",0,IF(OR(AND(AUTOEVENTO="Manual",$M83=1),$M83&gt;(ROW(PLE.lastrow)-ROW(PLE.firstrow))),0,IF(OFFSET(PLE!$G$14,$M83,BG$13)="",10^12,OFFSET(PLE!$G$14,$M83,BG$13))))</f>
        <v>1000000000000</v>
      </c>
    </row>
    <row r="84" spans="1:59" ht="38.25" x14ac:dyDescent="0.2">
      <c r="A84" s="7" t="str">
        <f t="shared" ca="1" si="8"/>
        <v>66</v>
      </c>
      <c r="B84" s="7" t="str">
        <f ca="1">OFFSET(ORÇAMENTO!C$15,ROW(B84)-ROW(B$15),0)</f>
        <v>S</v>
      </c>
      <c r="C84" s="7" t="str">
        <f ca="1">OFFSET(ORÇAMENTO!L$15,ROW(C84)-ROW(C$15),0)</f>
        <v>F</v>
      </c>
      <c r="D84" s="118" t="str">
        <f ca="1">OFFSET(ORÇAMENTO!N$15,ROW(D84)-ROW(D$15),0)</f>
        <v>Serviço</v>
      </c>
      <c r="E84" s="119" t="str">
        <f ca="1">OFFSET(ORÇAMENTO!O$15,ROW(E84)-ROW(E$15),0)</f>
        <v>1.5.0.3.</v>
      </c>
      <c r="F84" s="172" t="str">
        <f ca="1">OFFSET(ORÇAMENTO!R$15,ROW(F84)-ROW(F$15),0)</f>
        <v>(abra o arquivo 'Referência 03-2024.xlsm)</v>
      </c>
      <c r="G84" s="173" t="str">
        <f ca="1">IF($D84&lt;&gt;"Serviço","",OFFSET(ORÇAMENTO!S$15,ROW(G84)-ROW(G$15),0))</f>
        <v>-</v>
      </c>
      <c r="H84" s="124">
        <f ca="1">IF($D84&lt;&gt;"Serviço",0,IF(ACOMPANHAMENTO="BM",ROUND(OFFSET(ORÇAMENTO!AJ$15,ROW(H84)-ROW(H$15),0),15-13*ORÇAMENTO!$AF$7),SUMPRODUCT(($Q$12:$AA$12&lt;&gt;"")*ROUND($Q84:$AA84,15-13*ORÇAMENTO!$AF$7))))</f>
        <v>2</v>
      </c>
      <c r="I84" s="561"/>
      <c r="K84" s="174"/>
      <c r="L84" s="175" t="s">
        <v>255</v>
      </c>
      <c r="M84" s="176">
        <f ca="1">IF($D84&lt;&gt;"Serviço","",IF(AUTOEVENTO="manual",$A84,IF(ISERROR(MATCH($A84,$A$15:OFFSET($A84,-1,0),0)),MAX($M$15:OFFSET(M84,-1,0))+1,INDEX($M$15:OFFSET(M84,-1,0),MATCH($A84,$A$15:OFFSET($A84,-1,0),0)))))</f>
        <v>6</v>
      </c>
      <c r="N84" s="177" t="str">
        <f ca="1">IF($D84&lt;&gt;"Serviço","",IF(AUTOEVENTO="Manual",IF($A84=0,"&lt;-- defina o número do agrupador",OFFSET(EVENTOS!$D$14,$A84,0)),OFFSET($F$15,$A84,0)))</f>
        <v>MONITORAMENTO EXTERNO, REDE SUBTERRÂNEA (ENTERRADA)</v>
      </c>
      <c r="O84" s="178"/>
      <c r="Q84" s="178"/>
      <c r="R84" s="179"/>
      <c r="S84" s="179"/>
      <c r="T84" s="179"/>
      <c r="U84" s="179"/>
      <c r="V84" s="179"/>
      <c r="W84" s="179"/>
      <c r="X84" s="179"/>
      <c r="Y84" s="179"/>
      <c r="Z84" s="180"/>
      <c r="AB84" s="544">
        <f ca="1">IF(AND($D84="Serviço",AB$12&lt;&gt;0,$H84&gt;0,OR(AUTOEVENTO&lt;&gt;"manual",$M84&lt;&gt;1)),
IF(Import.TipoArredondamento&lt;&gt;"TransfereGOV",
ROUND(OFFSET($P84,0,AB$13),15-13*ORÇAMENTO!$AF$7)/$H84*OFFSET(ORÇAMENTO!$X$15,ROW(AB84)-ROW(AB$15),0),
ROUND(ROUND(OFFSET($P84,0,AB$13),15-13*ORÇAMENTO!$AF$7)*OFFSET(ORÇAMENTO!$W$15,ROW(AB84)-ROW(AB$15),0),15-13*ORÇAMENTO!$AF$11)),0)</f>
        <v>0</v>
      </c>
      <c r="AC84" s="545">
        <f ca="1">IF(AND($D84="Serviço",AC$12&lt;&gt;0,$H84&gt;0,OR(AUTOEVENTO&lt;&gt;"manual",$M84&lt;&gt;1)),
IF(Import.TipoArredondamento&lt;&gt;"TransfereGOV",
ROUND(OFFSET($P84,0,AC$13),15-13*ORÇAMENTO!$AF$7)/$H84*OFFSET(ORÇAMENTO!$X$15,ROW(AC84)-ROW(AC$15),0),
ROUND(ROUND(OFFSET($P84,0,AC$13),15-13*ORÇAMENTO!$AF$7)*OFFSET(ORÇAMENTO!$W$15,ROW(AC84)-ROW(AC$15),0),15-13*ORÇAMENTO!$AF$11)),0)</f>
        <v>0</v>
      </c>
      <c r="AD84" s="545">
        <f ca="1">IF(AND($D84="Serviço",AD$12&lt;&gt;0,$H84&gt;0,OR(AUTOEVENTO&lt;&gt;"manual",$M84&lt;&gt;1)),
IF(Import.TipoArredondamento&lt;&gt;"TransfereGOV",
ROUND(OFFSET($P84,0,AD$13),15-13*ORÇAMENTO!$AF$7)/$H84*OFFSET(ORÇAMENTO!$X$15,ROW(AD84)-ROW(AD$15),0),
ROUND(ROUND(OFFSET($P84,0,AD$13),15-13*ORÇAMENTO!$AF$7)*OFFSET(ORÇAMENTO!$W$15,ROW(AD84)-ROW(AD$15),0),15-13*ORÇAMENTO!$AF$11)),0)</f>
        <v>0</v>
      </c>
      <c r="AE84" s="545">
        <f ca="1">IF(AND($D84="Serviço",AE$12&lt;&gt;0,$H84&gt;0,OR(AUTOEVENTO&lt;&gt;"manual",$M84&lt;&gt;1)),
IF(Import.TipoArredondamento&lt;&gt;"TransfereGOV",
ROUND(OFFSET($P84,0,AE$13),15-13*ORÇAMENTO!$AF$7)/$H84*OFFSET(ORÇAMENTO!$X$15,ROW(AE84)-ROW(AE$15),0),
ROUND(ROUND(OFFSET($P84,0,AE$13),15-13*ORÇAMENTO!$AF$7)*OFFSET(ORÇAMENTO!$W$15,ROW(AE84)-ROW(AE$15),0),15-13*ORÇAMENTO!$AF$11)),0)</f>
        <v>0</v>
      </c>
      <c r="AF84" s="545">
        <f ca="1">IF(AND($D84="Serviço",AF$12&lt;&gt;0,$H84&gt;0,OR(AUTOEVENTO&lt;&gt;"manual",$M84&lt;&gt;1)),
IF(Import.TipoArredondamento&lt;&gt;"TransfereGOV",
ROUND(OFFSET($P84,0,AF$13),15-13*ORÇAMENTO!$AF$7)/$H84*OFFSET(ORÇAMENTO!$X$15,ROW(AF84)-ROW(AF$15),0),
ROUND(ROUND(OFFSET($P84,0,AF$13),15-13*ORÇAMENTO!$AF$7)*OFFSET(ORÇAMENTO!$W$15,ROW(AF84)-ROW(AF$15),0),15-13*ORÇAMENTO!$AF$11)),0)</f>
        <v>0</v>
      </c>
      <c r="AG84" s="545">
        <f ca="1">IF(AND($D84="Serviço",AG$12&lt;&gt;0,$H84&gt;0,OR(AUTOEVENTO&lt;&gt;"manual",$M84&lt;&gt;1)),
IF(Import.TipoArredondamento&lt;&gt;"TransfereGOV",
ROUND(OFFSET($P84,0,AG$13),15-13*ORÇAMENTO!$AF$7)/$H84*OFFSET(ORÇAMENTO!$X$15,ROW(AG84)-ROW(AG$15),0),
ROUND(ROUND(OFFSET($P84,0,AG$13),15-13*ORÇAMENTO!$AF$7)*OFFSET(ORÇAMENTO!$W$15,ROW(AG84)-ROW(AG$15),0),15-13*ORÇAMENTO!$AF$11)),0)</f>
        <v>0</v>
      </c>
      <c r="AH84" s="545">
        <f ca="1">IF(AND($D84="Serviço",AH$12&lt;&gt;0,$H84&gt;0,OR(AUTOEVENTO&lt;&gt;"manual",$M84&lt;&gt;1)),
IF(Import.TipoArredondamento&lt;&gt;"TransfereGOV",
ROUND(OFFSET($P84,0,AH$13),15-13*ORÇAMENTO!$AF$7)/$H84*OFFSET(ORÇAMENTO!$X$15,ROW(AH84)-ROW(AH$15),0),
ROUND(ROUND(OFFSET($P84,0,AH$13),15-13*ORÇAMENTO!$AF$7)*OFFSET(ORÇAMENTO!$W$15,ROW(AH84)-ROW(AH$15),0),15-13*ORÇAMENTO!$AF$11)),0)</f>
        <v>0</v>
      </c>
      <c r="AI84" s="545">
        <f ca="1">IF(AND($D84="Serviço",AI$12&lt;&gt;0,$H84&gt;0,OR(AUTOEVENTO&lt;&gt;"manual",$M84&lt;&gt;1)),
IF(Import.TipoArredondamento&lt;&gt;"TransfereGOV",
ROUND(OFFSET($P84,0,AI$13),15-13*ORÇAMENTO!$AF$7)/$H84*OFFSET(ORÇAMENTO!$X$15,ROW(AI84)-ROW(AI$15),0),
ROUND(ROUND(OFFSET($P84,0,AI$13),15-13*ORÇAMENTO!$AF$7)*OFFSET(ORÇAMENTO!$W$15,ROW(AI84)-ROW(AI$15),0),15-13*ORÇAMENTO!$AF$11)),0)</f>
        <v>0</v>
      </c>
      <c r="AJ84" s="545">
        <f ca="1">IF(AND($D84="Serviço",AJ$12&lt;&gt;0,$H84&gt;0,OR(AUTOEVENTO&lt;&gt;"manual",$M84&lt;&gt;1)),
IF(Import.TipoArredondamento&lt;&gt;"TransfereGOV",
ROUND(OFFSET($P84,0,AJ$13),15-13*ORÇAMENTO!$AF$7)/$H84*OFFSET(ORÇAMENTO!$X$15,ROW(AJ84)-ROW(AJ$15),0),
ROUND(ROUND(OFFSET($P84,0,AJ$13),15-13*ORÇAMENTO!$AF$7)*OFFSET(ORÇAMENTO!$W$15,ROW(AJ84)-ROW(AJ$15),0),15-13*ORÇAMENTO!$AF$11)),0)</f>
        <v>0</v>
      </c>
      <c r="AK84" s="546">
        <f ca="1">IF(AND($D84="Serviço",AK$12&lt;&gt;0,$H84&gt;0,OR(AUTOEVENTO&lt;&gt;"manual",$M84&lt;&gt;1)),
IF(Import.TipoArredondamento&lt;&gt;"TransfereGOV",
ROUND(OFFSET($P84,0,AK$13),15-13*ORÇAMENTO!$AF$7)/$H84*OFFSET(ORÇAMENTO!$X$15,ROW(AK84)-ROW(AK$15),0),
ROUND(ROUND(OFFSET($P84,0,AK$13),15-13*ORÇAMENTO!$AF$7)*OFFSET(ORÇAMENTO!$W$15,ROW(AK84)-ROW(AK$15),0),15-13*ORÇAMENTO!$AF$11)),0)</f>
        <v>0</v>
      </c>
      <c r="AM84" s="181">
        <f ca="1">IF($D84&lt;&gt;"Serviço",0,IF(AND(AUTOEVENTO="Manual",$M84=1),0,IF(OFFSET(CRONOPLE!$F$14,$M84,AM$13)="",10^12,OFFSET(CRONOPLE!$F$14,$M84,AM$13))))</f>
        <v>1000000000000</v>
      </c>
      <c r="AN84" s="181">
        <f ca="1">IF($D84&lt;&gt;"Serviço",0,IF(AND(AUTOEVENTO="Manual",$M84=1),0,IF(OFFSET(CRONOPLE!$F$14,$M84,AN$13)="",10^12,OFFSET(CRONOPLE!$F$14,$M84,AN$13))))</f>
        <v>1000000000000</v>
      </c>
      <c r="AO84" s="181">
        <f ca="1">IF($D84&lt;&gt;"Serviço",0,IF(AND(AUTOEVENTO="Manual",$M84=1),0,IF(OFFSET(CRONOPLE!$F$14,$M84,AO$13)="",10^12,OFFSET(CRONOPLE!$F$14,$M84,AO$13))))</f>
        <v>1000000000000</v>
      </c>
      <c r="AP84" s="181">
        <f ca="1">IF($D84&lt;&gt;"Serviço",0,IF(AND(AUTOEVENTO="Manual",$M84=1),0,IF(OFFSET(CRONOPLE!$F$14,$M84,AP$13)="",10^12,OFFSET(CRONOPLE!$F$14,$M84,AP$13))))</f>
        <v>1000000000000</v>
      </c>
      <c r="AQ84" s="181">
        <f ca="1">IF($D84&lt;&gt;"Serviço",0,IF(AND(AUTOEVENTO="Manual",$M84=1),0,IF(OFFSET(CRONOPLE!$F$14,$M84,AQ$13)="",10^12,OFFSET(CRONOPLE!$F$14,$M84,AQ$13))))</f>
        <v>1000000000000</v>
      </c>
      <c r="AR84" s="181">
        <f ca="1">IF($D84&lt;&gt;"Serviço",0,IF(AND(AUTOEVENTO="Manual",$M84=1),0,IF(OFFSET(CRONOPLE!$F$14,$M84,AR$13)="",10^12,OFFSET(CRONOPLE!$F$14,$M84,AR$13))))</f>
        <v>1000000000000</v>
      </c>
      <c r="AS84" s="181">
        <f ca="1">IF($D84&lt;&gt;"Serviço",0,IF(AND(AUTOEVENTO="Manual",$M84=1),0,IF(OFFSET(CRONOPLE!$F$14,$M84,AS$13)="",10^12,OFFSET(CRONOPLE!$F$14,$M84,AS$13))))</f>
        <v>1000000000000</v>
      </c>
      <c r="AT84" s="181">
        <f ca="1">IF($D84&lt;&gt;"Serviço",0,IF(AND(AUTOEVENTO="Manual",$M84=1),0,IF(OFFSET(CRONOPLE!$F$14,$M84,AT$13)="",10^12,OFFSET(CRONOPLE!$F$14,$M84,AT$13))))</f>
        <v>1000000000000</v>
      </c>
      <c r="AU84" s="181">
        <f ca="1">IF($D84&lt;&gt;"Serviço",0,IF(AND(AUTOEVENTO="Manual",$M84=1),0,IF(OFFSET(CRONOPLE!$F$14,$M84,AU$13)="",10^12,OFFSET(CRONOPLE!$F$14,$M84,AU$13))))</f>
        <v>1000000000000</v>
      </c>
      <c r="AV84" s="181">
        <f ca="1">IF($D84&lt;&gt;"Serviço",0,IF(AND(AUTOEVENTO="Manual",$M84=1),0,IF(OFFSET(CRONOPLE!$F$14,$M84,AV$13)="",10^12,OFFSET(CRONOPLE!$F$14,$M84,AV$13))))</f>
        <v>1000000000000</v>
      </c>
      <c r="AX84" s="182">
        <f ca="1">IF($D84&lt;&gt;"Serviço",0,IF(OR(AND(AUTOEVENTO="Manual",$M84=1),$M84&gt;(ROW(PLE.lastrow)-ROW(PLE.firstrow))),0,IF(OFFSET(PLE!$G$14,$M84,AX$13)="",10^12,OFFSET(PLE!$G$14,$M84,AX$13))))</f>
        <v>1000000000000</v>
      </c>
      <c r="AY84" s="182">
        <f ca="1">IF($D84&lt;&gt;"Serviço",0,IF(OR(AND(AUTOEVENTO="Manual",$M84=1),$M84&gt;(ROW(PLE.lastrow)-ROW(PLE.firstrow))),0,IF(OFFSET(PLE!$G$14,$M84,AY$13)="",10^12,OFFSET(PLE!$G$14,$M84,AY$13))))</f>
        <v>1000000000000</v>
      </c>
      <c r="AZ84" s="182">
        <f ca="1">IF($D84&lt;&gt;"Serviço",0,IF(OR(AND(AUTOEVENTO="Manual",$M84=1),$M84&gt;(ROW(PLE.lastrow)-ROW(PLE.firstrow))),0,IF(OFFSET(PLE!$G$14,$M84,AZ$13)="",10^12,OFFSET(PLE!$G$14,$M84,AZ$13))))</f>
        <v>1000000000000</v>
      </c>
      <c r="BA84" s="182">
        <f ca="1">IF($D84&lt;&gt;"Serviço",0,IF(OR(AND(AUTOEVENTO="Manual",$M84=1),$M84&gt;(ROW(PLE.lastrow)-ROW(PLE.firstrow))),0,IF(OFFSET(PLE!$G$14,$M84,BA$13)="",10^12,OFFSET(PLE!$G$14,$M84,BA$13))))</f>
        <v>1000000000000</v>
      </c>
      <c r="BB84" s="182">
        <f ca="1">IF($D84&lt;&gt;"Serviço",0,IF(OR(AND(AUTOEVENTO="Manual",$M84=1),$M84&gt;(ROW(PLE.lastrow)-ROW(PLE.firstrow))),0,IF(OFFSET(PLE!$G$14,$M84,BB$13)="",10^12,OFFSET(PLE!$G$14,$M84,BB$13))))</f>
        <v>1000000000000</v>
      </c>
      <c r="BC84" s="182">
        <f ca="1">IF($D84&lt;&gt;"Serviço",0,IF(OR(AND(AUTOEVENTO="Manual",$M84=1),$M84&gt;(ROW(PLE.lastrow)-ROW(PLE.firstrow))),0,IF(OFFSET(PLE!$G$14,$M84,BC$13)="",10^12,OFFSET(PLE!$G$14,$M84,BC$13))))</f>
        <v>1000000000000</v>
      </c>
      <c r="BD84" s="182">
        <f ca="1">IF($D84&lt;&gt;"Serviço",0,IF(OR(AND(AUTOEVENTO="Manual",$M84=1),$M84&gt;(ROW(PLE.lastrow)-ROW(PLE.firstrow))),0,IF(OFFSET(PLE!$G$14,$M84,BD$13)="",10^12,OFFSET(PLE!$G$14,$M84,BD$13))))</f>
        <v>1000000000000</v>
      </c>
      <c r="BE84" s="182">
        <f ca="1">IF($D84&lt;&gt;"Serviço",0,IF(OR(AND(AUTOEVENTO="Manual",$M84=1),$M84&gt;(ROW(PLE.lastrow)-ROW(PLE.firstrow))),0,IF(OFFSET(PLE!$G$14,$M84,BE$13)="",10^12,OFFSET(PLE!$G$14,$M84,BE$13))))</f>
        <v>1000000000000</v>
      </c>
      <c r="BF84" s="182">
        <f ca="1">IF($D84&lt;&gt;"Serviço",0,IF(OR(AND(AUTOEVENTO="Manual",$M84=1),$M84&gt;(ROW(PLE.lastrow)-ROW(PLE.firstrow))),0,IF(OFFSET(PLE!$G$14,$M84,BF$13)="",10^12,OFFSET(PLE!$G$14,$M84,BF$13))))</f>
        <v>1000000000000</v>
      </c>
      <c r="BG84" s="182">
        <f ca="1">IF($D84&lt;&gt;"Serviço",0,IF(OR(AND(AUTOEVENTO="Manual",$M84=1),$M84&gt;(ROW(PLE.lastrow)-ROW(PLE.firstrow))),0,IF(OFFSET(PLE!$G$14,$M84,BG$13)="",10^12,OFFSET(PLE!$G$14,$M84,BG$13))))</f>
        <v>1000000000000</v>
      </c>
    </row>
    <row r="85" spans="1:59" ht="38.25" x14ac:dyDescent="0.2">
      <c r="A85" s="7" t="str">
        <f t="shared" ca="1" si="8"/>
        <v>66</v>
      </c>
      <c r="B85" s="7" t="str">
        <f ca="1">OFFSET(ORÇAMENTO!C$15,ROW(B85)-ROW(B$15),0)</f>
        <v>S</v>
      </c>
      <c r="C85" s="7" t="str">
        <f ca="1">OFFSET(ORÇAMENTO!L$15,ROW(C85)-ROW(C$15),0)</f>
        <v>F</v>
      </c>
      <c r="D85" s="118" t="str">
        <f ca="1">OFFSET(ORÇAMENTO!N$15,ROW(D85)-ROW(D$15),0)</f>
        <v>Serviço</v>
      </c>
      <c r="E85" s="119" t="str">
        <f ca="1">OFFSET(ORÇAMENTO!O$15,ROW(E85)-ROW(E$15),0)</f>
        <v>1.5.0.4.</v>
      </c>
      <c r="F85" s="172" t="str">
        <f ca="1">OFFSET(ORÇAMENTO!R$15,ROW(F85)-ROW(F$15),0)</f>
        <v>(abra o arquivo 'Referência 03-2024.xlsm)</v>
      </c>
      <c r="G85" s="173" t="str">
        <f ca="1">IF($D85&lt;&gt;"Serviço","",OFFSET(ORÇAMENTO!S$15,ROW(G85)-ROW(G$15),0))</f>
        <v>-</v>
      </c>
      <c r="H85" s="124">
        <f ca="1">IF($D85&lt;&gt;"Serviço",0,IF(ACOMPANHAMENTO="BM",ROUND(OFFSET(ORÇAMENTO!AJ$15,ROW(H85)-ROW(H$15),0),15-13*ORÇAMENTO!$AF$7),SUMPRODUCT(($Q$12:$AA$12&lt;&gt;"")*ROUND($Q85:$AA85,15-13*ORÇAMENTO!$AF$7))))</f>
        <v>132</v>
      </c>
      <c r="I85" s="561"/>
      <c r="K85" s="174"/>
      <c r="L85" s="175" t="s">
        <v>255</v>
      </c>
      <c r="M85" s="176">
        <f ca="1">IF($D85&lt;&gt;"Serviço","",IF(AUTOEVENTO="manual",$A85,IF(ISERROR(MATCH($A85,$A$15:OFFSET($A85,-1,0),0)),MAX($M$15:OFFSET(M85,-1,0))+1,INDEX($M$15:OFFSET(M85,-1,0),MATCH($A85,$A$15:OFFSET($A85,-1,0),0)))))</f>
        <v>6</v>
      </c>
      <c r="N85" s="177" t="str">
        <f ca="1">IF($D85&lt;&gt;"Serviço","",IF(AUTOEVENTO="Manual",IF($A85=0,"&lt;-- defina o número do agrupador",OFFSET(EVENTOS!$D$14,$A85,0)),OFFSET($F$15,$A85,0)))</f>
        <v>MONITORAMENTO EXTERNO, REDE SUBTERRÂNEA (ENTERRADA)</v>
      </c>
      <c r="O85" s="178"/>
      <c r="Q85" s="178"/>
      <c r="R85" s="179"/>
      <c r="S85" s="179"/>
      <c r="T85" s="179"/>
      <c r="U85" s="179"/>
      <c r="V85" s="179"/>
      <c r="W85" s="179"/>
      <c r="X85" s="179"/>
      <c r="Y85" s="179"/>
      <c r="Z85" s="180"/>
      <c r="AB85" s="544">
        <f ca="1">IF(AND($D85="Serviço",AB$12&lt;&gt;0,$H85&gt;0,OR(AUTOEVENTO&lt;&gt;"manual",$M85&lt;&gt;1)),
IF(Import.TipoArredondamento&lt;&gt;"TransfereGOV",
ROUND(OFFSET($P85,0,AB$13),15-13*ORÇAMENTO!$AF$7)/$H85*OFFSET(ORÇAMENTO!$X$15,ROW(AB85)-ROW(AB$15),0),
ROUND(ROUND(OFFSET($P85,0,AB$13),15-13*ORÇAMENTO!$AF$7)*OFFSET(ORÇAMENTO!$W$15,ROW(AB85)-ROW(AB$15),0),15-13*ORÇAMENTO!$AF$11)),0)</f>
        <v>0</v>
      </c>
      <c r="AC85" s="545">
        <f ca="1">IF(AND($D85="Serviço",AC$12&lt;&gt;0,$H85&gt;0,OR(AUTOEVENTO&lt;&gt;"manual",$M85&lt;&gt;1)),
IF(Import.TipoArredondamento&lt;&gt;"TransfereGOV",
ROUND(OFFSET($P85,0,AC$13),15-13*ORÇAMENTO!$AF$7)/$H85*OFFSET(ORÇAMENTO!$X$15,ROW(AC85)-ROW(AC$15),0),
ROUND(ROUND(OFFSET($P85,0,AC$13),15-13*ORÇAMENTO!$AF$7)*OFFSET(ORÇAMENTO!$W$15,ROW(AC85)-ROW(AC$15),0),15-13*ORÇAMENTO!$AF$11)),0)</f>
        <v>0</v>
      </c>
      <c r="AD85" s="545">
        <f ca="1">IF(AND($D85="Serviço",AD$12&lt;&gt;0,$H85&gt;0,OR(AUTOEVENTO&lt;&gt;"manual",$M85&lt;&gt;1)),
IF(Import.TipoArredondamento&lt;&gt;"TransfereGOV",
ROUND(OFFSET($P85,0,AD$13),15-13*ORÇAMENTO!$AF$7)/$H85*OFFSET(ORÇAMENTO!$X$15,ROW(AD85)-ROW(AD$15),0),
ROUND(ROUND(OFFSET($P85,0,AD$13),15-13*ORÇAMENTO!$AF$7)*OFFSET(ORÇAMENTO!$W$15,ROW(AD85)-ROW(AD$15),0),15-13*ORÇAMENTO!$AF$11)),0)</f>
        <v>0</v>
      </c>
      <c r="AE85" s="545">
        <f ca="1">IF(AND($D85="Serviço",AE$12&lt;&gt;0,$H85&gt;0,OR(AUTOEVENTO&lt;&gt;"manual",$M85&lt;&gt;1)),
IF(Import.TipoArredondamento&lt;&gt;"TransfereGOV",
ROUND(OFFSET($P85,0,AE$13),15-13*ORÇAMENTO!$AF$7)/$H85*OFFSET(ORÇAMENTO!$X$15,ROW(AE85)-ROW(AE$15),0),
ROUND(ROUND(OFFSET($P85,0,AE$13),15-13*ORÇAMENTO!$AF$7)*OFFSET(ORÇAMENTO!$W$15,ROW(AE85)-ROW(AE$15),0),15-13*ORÇAMENTO!$AF$11)),0)</f>
        <v>0</v>
      </c>
      <c r="AF85" s="545">
        <f ca="1">IF(AND($D85="Serviço",AF$12&lt;&gt;0,$H85&gt;0,OR(AUTOEVENTO&lt;&gt;"manual",$M85&lt;&gt;1)),
IF(Import.TipoArredondamento&lt;&gt;"TransfereGOV",
ROUND(OFFSET($P85,0,AF$13),15-13*ORÇAMENTO!$AF$7)/$H85*OFFSET(ORÇAMENTO!$X$15,ROW(AF85)-ROW(AF$15),0),
ROUND(ROUND(OFFSET($P85,0,AF$13),15-13*ORÇAMENTO!$AF$7)*OFFSET(ORÇAMENTO!$W$15,ROW(AF85)-ROW(AF$15),0),15-13*ORÇAMENTO!$AF$11)),0)</f>
        <v>0</v>
      </c>
      <c r="AG85" s="545">
        <f ca="1">IF(AND($D85="Serviço",AG$12&lt;&gt;0,$H85&gt;0,OR(AUTOEVENTO&lt;&gt;"manual",$M85&lt;&gt;1)),
IF(Import.TipoArredondamento&lt;&gt;"TransfereGOV",
ROUND(OFFSET($P85,0,AG$13),15-13*ORÇAMENTO!$AF$7)/$H85*OFFSET(ORÇAMENTO!$X$15,ROW(AG85)-ROW(AG$15),0),
ROUND(ROUND(OFFSET($P85,0,AG$13),15-13*ORÇAMENTO!$AF$7)*OFFSET(ORÇAMENTO!$W$15,ROW(AG85)-ROW(AG$15),0),15-13*ORÇAMENTO!$AF$11)),0)</f>
        <v>0</v>
      </c>
      <c r="AH85" s="545">
        <f ca="1">IF(AND($D85="Serviço",AH$12&lt;&gt;0,$H85&gt;0,OR(AUTOEVENTO&lt;&gt;"manual",$M85&lt;&gt;1)),
IF(Import.TipoArredondamento&lt;&gt;"TransfereGOV",
ROUND(OFFSET($P85,0,AH$13),15-13*ORÇAMENTO!$AF$7)/$H85*OFFSET(ORÇAMENTO!$X$15,ROW(AH85)-ROW(AH$15),0),
ROUND(ROUND(OFFSET($P85,0,AH$13),15-13*ORÇAMENTO!$AF$7)*OFFSET(ORÇAMENTO!$W$15,ROW(AH85)-ROW(AH$15),0),15-13*ORÇAMENTO!$AF$11)),0)</f>
        <v>0</v>
      </c>
      <c r="AI85" s="545">
        <f ca="1">IF(AND($D85="Serviço",AI$12&lt;&gt;0,$H85&gt;0,OR(AUTOEVENTO&lt;&gt;"manual",$M85&lt;&gt;1)),
IF(Import.TipoArredondamento&lt;&gt;"TransfereGOV",
ROUND(OFFSET($P85,0,AI$13),15-13*ORÇAMENTO!$AF$7)/$H85*OFFSET(ORÇAMENTO!$X$15,ROW(AI85)-ROW(AI$15),0),
ROUND(ROUND(OFFSET($P85,0,AI$13),15-13*ORÇAMENTO!$AF$7)*OFFSET(ORÇAMENTO!$W$15,ROW(AI85)-ROW(AI$15),0),15-13*ORÇAMENTO!$AF$11)),0)</f>
        <v>0</v>
      </c>
      <c r="AJ85" s="545">
        <f ca="1">IF(AND($D85="Serviço",AJ$12&lt;&gt;0,$H85&gt;0,OR(AUTOEVENTO&lt;&gt;"manual",$M85&lt;&gt;1)),
IF(Import.TipoArredondamento&lt;&gt;"TransfereGOV",
ROUND(OFFSET($P85,0,AJ$13),15-13*ORÇAMENTO!$AF$7)/$H85*OFFSET(ORÇAMENTO!$X$15,ROW(AJ85)-ROW(AJ$15),0),
ROUND(ROUND(OFFSET($P85,0,AJ$13),15-13*ORÇAMENTO!$AF$7)*OFFSET(ORÇAMENTO!$W$15,ROW(AJ85)-ROW(AJ$15),0),15-13*ORÇAMENTO!$AF$11)),0)</f>
        <v>0</v>
      </c>
      <c r="AK85" s="546">
        <f ca="1">IF(AND($D85="Serviço",AK$12&lt;&gt;0,$H85&gt;0,OR(AUTOEVENTO&lt;&gt;"manual",$M85&lt;&gt;1)),
IF(Import.TipoArredondamento&lt;&gt;"TransfereGOV",
ROUND(OFFSET($P85,0,AK$13),15-13*ORÇAMENTO!$AF$7)/$H85*OFFSET(ORÇAMENTO!$X$15,ROW(AK85)-ROW(AK$15),0),
ROUND(ROUND(OFFSET($P85,0,AK$13),15-13*ORÇAMENTO!$AF$7)*OFFSET(ORÇAMENTO!$W$15,ROW(AK85)-ROW(AK$15),0),15-13*ORÇAMENTO!$AF$11)),0)</f>
        <v>0</v>
      </c>
      <c r="AM85" s="181">
        <f ca="1">IF($D85&lt;&gt;"Serviço",0,IF(AND(AUTOEVENTO="Manual",$M85=1),0,IF(OFFSET(CRONOPLE!$F$14,$M85,AM$13)="",10^12,OFFSET(CRONOPLE!$F$14,$M85,AM$13))))</f>
        <v>1000000000000</v>
      </c>
      <c r="AN85" s="181">
        <f ca="1">IF($D85&lt;&gt;"Serviço",0,IF(AND(AUTOEVENTO="Manual",$M85=1),0,IF(OFFSET(CRONOPLE!$F$14,$M85,AN$13)="",10^12,OFFSET(CRONOPLE!$F$14,$M85,AN$13))))</f>
        <v>1000000000000</v>
      </c>
      <c r="AO85" s="181">
        <f ca="1">IF($D85&lt;&gt;"Serviço",0,IF(AND(AUTOEVENTO="Manual",$M85=1),0,IF(OFFSET(CRONOPLE!$F$14,$M85,AO$13)="",10^12,OFFSET(CRONOPLE!$F$14,$M85,AO$13))))</f>
        <v>1000000000000</v>
      </c>
      <c r="AP85" s="181">
        <f ca="1">IF($D85&lt;&gt;"Serviço",0,IF(AND(AUTOEVENTO="Manual",$M85=1),0,IF(OFFSET(CRONOPLE!$F$14,$M85,AP$13)="",10^12,OFFSET(CRONOPLE!$F$14,$M85,AP$13))))</f>
        <v>1000000000000</v>
      </c>
      <c r="AQ85" s="181">
        <f ca="1">IF($D85&lt;&gt;"Serviço",0,IF(AND(AUTOEVENTO="Manual",$M85=1),0,IF(OFFSET(CRONOPLE!$F$14,$M85,AQ$13)="",10^12,OFFSET(CRONOPLE!$F$14,$M85,AQ$13))))</f>
        <v>1000000000000</v>
      </c>
      <c r="AR85" s="181">
        <f ca="1">IF($D85&lt;&gt;"Serviço",0,IF(AND(AUTOEVENTO="Manual",$M85=1),0,IF(OFFSET(CRONOPLE!$F$14,$M85,AR$13)="",10^12,OFFSET(CRONOPLE!$F$14,$M85,AR$13))))</f>
        <v>1000000000000</v>
      </c>
      <c r="AS85" s="181">
        <f ca="1">IF($D85&lt;&gt;"Serviço",0,IF(AND(AUTOEVENTO="Manual",$M85=1),0,IF(OFFSET(CRONOPLE!$F$14,$M85,AS$13)="",10^12,OFFSET(CRONOPLE!$F$14,$M85,AS$13))))</f>
        <v>1000000000000</v>
      </c>
      <c r="AT85" s="181">
        <f ca="1">IF($D85&lt;&gt;"Serviço",0,IF(AND(AUTOEVENTO="Manual",$M85=1),0,IF(OFFSET(CRONOPLE!$F$14,$M85,AT$13)="",10^12,OFFSET(CRONOPLE!$F$14,$M85,AT$13))))</f>
        <v>1000000000000</v>
      </c>
      <c r="AU85" s="181">
        <f ca="1">IF($D85&lt;&gt;"Serviço",0,IF(AND(AUTOEVENTO="Manual",$M85=1),0,IF(OFFSET(CRONOPLE!$F$14,$M85,AU$13)="",10^12,OFFSET(CRONOPLE!$F$14,$M85,AU$13))))</f>
        <v>1000000000000</v>
      </c>
      <c r="AV85" s="181">
        <f ca="1">IF($D85&lt;&gt;"Serviço",0,IF(AND(AUTOEVENTO="Manual",$M85=1),0,IF(OFFSET(CRONOPLE!$F$14,$M85,AV$13)="",10^12,OFFSET(CRONOPLE!$F$14,$M85,AV$13))))</f>
        <v>1000000000000</v>
      </c>
      <c r="AX85" s="182">
        <f ca="1">IF($D85&lt;&gt;"Serviço",0,IF(OR(AND(AUTOEVENTO="Manual",$M85=1),$M85&gt;(ROW(PLE.lastrow)-ROW(PLE.firstrow))),0,IF(OFFSET(PLE!$G$14,$M85,AX$13)="",10^12,OFFSET(PLE!$G$14,$M85,AX$13))))</f>
        <v>1000000000000</v>
      </c>
      <c r="AY85" s="182">
        <f ca="1">IF($D85&lt;&gt;"Serviço",0,IF(OR(AND(AUTOEVENTO="Manual",$M85=1),$M85&gt;(ROW(PLE.lastrow)-ROW(PLE.firstrow))),0,IF(OFFSET(PLE!$G$14,$M85,AY$13)="",10^12,OFFSET(PLE!$G$14,$M85,AY$13))))</f>
        <v>1000000000000</v>
      </c>
      <c r="AZ85" s="182">
        <f ca="1">IF($D85&lt;&gt;"Serviço",0,IF(OR(AND(AUTOEVENTO="Manual",$M85=1),$M85&gt;(ROW(PLE.lastrow)-ROW(PLE.firstrow))),0,IF(OFFSET(PLE!$G$14,$M85,AZ$13)="",10^12,OFFSET(PLE!$G$14,$M85,AZ$13))))</f>
        <v>1000000000000</v>
      </c>
      <c r="BA85" s="182">
        <f ca="1">IF($D85&lt;&gt;"Serviço",0,IF(OR(AND(AUTOEVENTO="Manual",$M85=1),$M85&gt;(ROW(PLE.lastrow)-ROW(PLE.firstrow))),0,IF(OFFSET(PLE!$G$14,$M85,BA$13)="",10^12,OFFSET(PLE!$G$14,$M85,BA$13))))</f>
        <v>1000000000000</v>
      </c>
      <c r="BB85" s="182">
        <f ca="1">IF($D85&lt;&gt;"Serviço",0,IF(OR(AND(AUTOEVENTO="Manual",$M85=1),$M85&gt;(ROW(PLE.lastrow)-ROW(PLE.firstrow))),0,IF(OFFSET(PLE!$G$14,$M85,BB$13)="",10^12,OFFSET(PLE!$G$14,$M85,BB$13))))</f>
        <v>1000000000000</v>
      </c>
      <c r="BC85" s="182">
        <f ca="1">IF($D85&lt;&gt;"Serviço",0,IF(OR(AND(AUTOEVENTO="Manual",$M85=1),$M85&gt;(ROW(PLE.lastrow)-ROW(PLE.firstrow))),0,IF(OFFSET(PLE!$G$14,$M85,BC$13)="",10^12,OFFSET(PLE!$G$14,$M85,BC$13))))</f>
        <v>1000000000000</v>
      </c>
      <c r="BD85" s="182">
        <f ca="1">IF($D85&lt;&gt;"Serviço",0,IF(OR(AND(AUTOEVENTO="Manual",$M85=1),$M85&gt;(ROW(PLE.lastrow)-ROW(PLE.firstrow))),0,IF(OFFSET(PLE!$G$14,$M85,BD$13)="",10^12,OFFSET(PLE!$G$14,$M85,BD$13))))</f>
        <v>1000000000000</v>
      </c>
      <c r="BE85" s="182">
        <f ca="1">IF($D85&lt;&gt;"Serviço",0,IF(OR(AND(AUTOEVENTO="Manual",$M85=1),$M85&gt;(ROW(PLE.lastrow)-ROW(PLE.firstrow))),0,IF(OFFSET(PLE!$G$14,$M85,BE$13)="",10^12,OFFSET(PLE!$G$14,$M85,BE$13))))</f>
        <v>1000000000000</v>
      </c>
      <c r="BF85" s="182">
        <f ca="1">IF($D85&lt;&gt;"Serviço",0,IF(OR(AND(AUTOEVENTO="Manual",$M85=1),$M85&gt;(ROW(PLE.lastrow)-ROW(PLE.firstrow))),0,IF(OFFSET(PLE!$G$14,$M85,BF$13)="",10^12,OFFSET(PLE!$G$14,$M85,BF$13))))</f>
        <v>1000000000000</v>
      </c>
      <c r="BG85" s="182">
        <f ca="1">IF($D85&lt;&gt;"Serviço",0,IF(OR(AND(AUTOEVENTO="Manual",$M85=1),$M85&gt;(ROW(PLE.lastrow)-ROW(PLE.firstrow))),0,IF(OFFSET(PLE!$G$14,$M85,BG$13)="",10^12,OFFSET(PLE!$G$14,$M85,BG$13))))</f>
        <v>1000000000000</v>
      </c>
    </row>
    <row r="86" spans="1:59" ht="12.75" x14ac:dyDescent="0.2">
      <c r="A86" s="7" t="str">
        <f t="shared" ca="1" si="8"/>
        <v>71.</v>
      </c>
      <c r="B86" s="7">
        <f ca="1">OFFSET(ORÇAMENTO!C$15,ROW(B86)-ROW(B$15),0)</f>
        <v>2</v>
      </c>
      <c r="C86" s="7" t="str">
        <f ca="1">OFFSET(ORÇAMENTO!L$15,ROW(C86)-ROW(C$15),0)</f>
        <v>F</v>
      </c>
      <c r="D86" s="118" t="str">
        <f ca="1">OFFSET(ORÇAMENTO!N$15,ROW(D86)-ROW(D$15),0)</f>
        <v>Nível 2</v>
      </c>
      <c r="E86" s="119" t="str">
        <f ca="1">OFFSET(ORÇAMENTO!O$15,ROW(E86)-ROW(E$15),0)</f>
        <v>1.6.</v>
      </c>
      <c r="F86" s="172" t="str">
        <f ca="1">OFFSET(ORÇAMENTO!R$15,ROW(F86)-ROW(F$15),0)</f>
        <v>SANITÁRIO PÚBLICO ACESSÍVEL</v>
      </c>
      <c r="G86" s="173" t="str">
        <f ca="1">IF($D86&lt;&gt;"Serviço","",OFFSET(ORÇAMENTO!S$15,ROW(G86)-ROW(G$15),0))</f>
        <v/>
      </c>
      <c r="H86" s="124">
        <f ca="1">IF($D86&lt;&gt;"Serviço",0,IF(ACOMPANHAMENTO="BM",ROUND(OFFSET(ORÇAMENTO!AJ$15,ROW(H86)-ROW(H$15),0),15-13*ORÇAMENTO!$AF$7),SUMPRODUCT(($Q$12:$AA$12&lt;&gt;"")*ROUND($Q86:$AA86,15-13*ORÇAMENTO!$AF$7))))</f>
        <v>0</v>
      </c>
      <c r="I86" s="561"/>
      <c r="K86" s="174"/>
      <c r="L86" s="175" t="s">
        <v>255</v>
      </c>
      <c r="M86" s="176" t="str">
        <f ca="1">IF($D86&lt;&gt;"Serviço","",IF(AUTOEVENTO="manual",$A86,IF(ISERROR(MATCH($A86,$A$15:OFFSET($A86,-1,0),0)),MAX($M$15:OFFSET(M86,-1,0))+1,INDEX($M$15:OFFSET(M86,-1,0),MATCH($A86,$A$15:OFFSET($A86,-1,0),0)))))</f>
        <v/>
      </c>
      <c r="N86" s="177" t="str">
        <f ca="1">IF($D86&lt;&gt;"Serviço","",IF(AUTOEVENTO="Manual",IF($A86=0,"&lt;-- defina o número do agrupador",OFFSET(EVENTOS!$D$14,$A86,0)),OFFSET($F$15,$A86,0)))</f>
        <v/>
      </c>
      <c r="O86" s="178"/>
      <c r="Q86" s="178"/>
      <c r="R86" s="179"/>
      <c r="S86" s="179"/>
      <c r="T86" s="179"/>
      <c r="U86" s="179"/>
      <c r="V86" s="179"/>
      <c r="W86" s="179"/>
      <c r="X86" s="179"/>
      <c r="Y86" s="179"/>
      <c r="Z86" s="180"/>
      <c r="AB86" s="544">
        <f ca="1">IF(AND($D86="Serviço",AB$12&lt;&gt;0,$H86&gt;0,OR(AUTOEVENTO&lt;&gt;"manual",$M86&lt;&gt;1)),
IF(Import.TipoArredondamento&lt;&gt;"TransfereGOV",
ROUND(OFFSET($P86,0,AB$13),15-13*ORÇAMENTO!$AF$7)/$H86*OFFSET(ORÇAMENTO!$X$15,ROW(AB86)-ROW(AB$15),0),
ROUND(ROUND(OFFSET($P86,0,AB$13),15-13*ORÇAMENTO!$AF$7)*OFFSET(ORÇAMENTO!$W$15,ROW(AB86)-ROW(AB$15),0),15-13*ORÇAMENTO!$AF$11)),0)</f>
        <v>0</v>
      </c>
      <c r="AC86" s="545">
        <f ca="1">IF(AND($D86="Serviço",AC$12&lt;&gt;0,$H86&gt;0,OR(AUTOEVENTO&lt;&gt;"manual",$M86&lt;&gt;1)),
IF(Import.TipoArredondamento&lt;&gt;"TransfereGOV",
ROUND(OFFSET($P86,0,AC$13),15-13*ORÇAMENTO!$AF$7)/$H86*OFFSET(ORÇAMENTO!$X$15,ROW(AC86)-ROW(AC$15),0),
ROUND(ROUND(OFFSET($P86,0,AC$13),15-13*ORÇAMENTO!$AF$7)*OFFSET(ORÇAMENTO!$W$15,ROW(AC86)-ROW(AC$15),0),15-13*ORÇAMENTO!$AF$11)),0)</f>
        <v>0</v>
      </c>
      <c r="AD86" s="545">
        <f ca="1">IF(AND($D86="Serviço",AD$12&lt;&gt;0,$H86&gt;0,OR(AUTOEVENTO&lt;&gt;"manual",$M86&lt;&gt;1)),
IF(Import.TipoArredondamento&lt;&gt;"TransfereGOV",
ROUND(OFFSET($P86,0,AD$13),15-13*ORÇAMENTO!$AF$7)/$H86*OFFSET(ORÇAMENTO!$X$15,ROW(AD86)-ROW(AD$15),0),
ROUND(ROUND(OFFSET($P86,0,AD$13),15-13*ORÇAMENTO!$AF$7)*OFFSET(ORÇAMENTO!$W$15,ROW(AD86)-ROW(AD$15),0),15-13*ORÇAMENTO!$AF$11)),0)</f>
        <v>0</v>
      </c>
      <c r="AE86" s="545">
        <f ca="1">IF(AND($D86="Serviço",AE$12&lt;&gt;0,$H86&gt;0,OR(AUTOEVENTO&lt;&gt;"manual",$M86&lt;&gt;1)),
IF(Import.TipoArredondamento&lt;&gt;"TransfereGOV",
ROUND(OFFSET($P86,0,AE$13),15-13*ORÇAMENTO!$AF$7)/$H86*OFFSET(ORÇAMENTO!$X$15,ROW(AE86)-ROW(AE$15),0),
ROUND(ROUND(OFFSET($P86,0,AE$13),15-13*ORÇAMENTO!$AF$7)*OFFSET(ORÇAMENTO!$W$15,ROW(AE86)-ROW(AE$15),0),15-13*ORÇAMENTO!$AF$11)),0)</f>
        <v>0</v>
      </c>
      <c r="AF86" s="545">
        <f ca="1">IF(AND($D86="Serviço",AF$12&lt;&gt;0,$H86&gt;0,OR(AUTOEVENTO&lt;&gt;"manual",$M86&lt;&gt;1)),
IF(Import.TipoArredondamento&lt;&gt;"TransfereGOV",
ROUND(OFFSET($P86,0,AF$13),15-13*ORÇAMENTO!$AF$7)/$H86*OFFSET(ORÇAMENTO!$X$15,ROW(AF86)-ROW(AF$15),0),
ROUND(ROUND(OFFSET($P86,0,AF$13),15-13*ORÇAMENTO!$AF$7)*OFFSET(ORÇAMENTO!$W$15,ROW(AF86)-ROW(AF$15),0),15-13*ORÇAMENTO!$AF$11)),0)</f>
        <v>0</v>
      </c>
      <c r="AG86" s="545">
        <f ca="1">IF(AND($D86="Serviço",AG$12&lt;&gt;0,$H86&gt;0,OR(AUTOEVENTO&lt;&gt;"manual",$M86&lt;&gt;1)),
IF(Import.TipoArredondamento&lt;&gt;"TransfereGOV",
ROUND(OFFSET($P86,0,AG$13),15-13*ORÇAMENTO!$AF$7)/$H86*OFFSET(ORÇAMENTO!$X$15,ROW(AG86)-ROW(AG$15),0),
ROUND(ROUND(OFFSET($P86,0,AG$13),15-13*ORÇAMENTO!$AF$7)*OFFSET(ORÇAMENTO!$W$15,ROW(AG86)-ROW(AG$15),0),15-13*ORÇAMENTO!$AF$11)),0)</f>
        <v>0</v>
      </c>
      <c r="AH86" s="545">
        <f ca="1">IF(AND($D86="Serviço",AH$12&lt;&gt;0,$H86&gt;0,OR(AUTOEVENTO&lt;&gt;"manual",$M86&lt;&gt;1)),
IF(Import.TipoArredondamento&lt;&gt;"TransfereGOV",
ROUND(OFFSET($P86,0,AH$13),15-13*ORÇAMENTO!$AF$7)/$H86*OFFSET(ORÇAMENTO!$X$15,ROW(AH86)-ROW(AH$15),0),
ROUND(ROUND(OFFSET($P86,0,AH$13),15-13*ORÇAMENTO!$AF$7)*OFFSET(ORÇAMENTO!$W$15,ROW(AH86)-ROW(AH$15),0),15-13*ORÇAMENTO!$AF$11)),0)</f>
        <v>0</v>
      </c>
      <c r="AI86" s="545">
        <f ca="1">IF(AND($D86="Serviço",AI$12&lt;&gt;0,$H86&gt;0,OR(AUTOEVENTO&lt;&gt;"manual",$M86&lt;&gt;1)),
IF(Import.TipoArredondamento&lt;&gt;"TransfereGOV",
ROUND(OFFSET($P86,0,AI$13),15-13*ORÇAMENTO!$AF$7)/$H86*OFFSET(ORÇAMENTO!$X$15,ROW(AI86)-ROW(AI$15),0),
ROUND(ROUND(OFFSET($P86,0,AI$13),15-13*ORÇAMENTO!$AF$7)*OFFSET(ORÇAMENTO!$W$15,ROW(AI86)-ROW(AI$15),0),15-13*ORÇAMENTO!$AF$11)),0)</f>
        <v>0</v>
      </c>
      <c r="AJ86" s="545">
        <f ca="1">IF(AND($D86="Serviço",AJ$12&lt;&gt;0,$H86&gt;0,OR(AUTOEVENTO&lt;&gt;"manual",$M86&lt;&gt;1)),
IF(Import.TipoArredondamento&lt;&gt;"TransfereGOV",
ROUND(OFFSET($P86,0,AJ$13),15-13*ORÇAMENTO!$AF$7)/$H86*OFFSET(ORÇAMENTO!$X$15,ROW(AJ86)-ROW(AJ$15),0),
ROUND(ROUND(OFFSET($P86,0,AJ$13),15-13*ORÇAMENTO!$AF$7)*OFFSET(ORÇAMENTO!$W$15,ROW(AJ86)-ROW(AJ$15),0),15-13*ORÇAMENTO!$AF$11)),0)</f>
        <v>0</v>
      </c>
      <c r="AK86" s="546">
        <f ca="1">IF(AND($D86="Serviço",AK$12&lt;&gt;0,$H86&gt;0,OR(AUTOEVENTO&lt;&gt;"manual",$M86&lt;&gt;1)),
IF(Import.TipoArredondamento&lt;&gt;"TransfereGOV",
ROUND(OFFSET($P86,0,AK$13),15-13*ORÇAMENTO!$AF$7)/$H86*OFFSET(ORÇAMENTO!$X$15,ROW(AK86)-ROW(AK$15),0),
ROUND(ROUND(OFFSET($P86,0,AK$13),15-13*ORÇAMENTO!$AF$7)*OFFSET(ORÇAMENTO!$W$15,ROW(AK86)-ROW(AK$15),0),15-13*ORÇAMENTO!$AF$11)),0)</f>
        <v>0</v>
      </c>
      <c r="AM86" s="181">
        <f ca="1">IF($D86&lt;&gt;"Serviço",0,IF(AND(AUTOEVENTO="Manual",$M86=1),0,IF(OFFSET(CRONOPLE!$F$14,$M86,AM$13)="",10^12,OFFSET(CRONOPLE!$F$14,$M86,AM$13))))</f>
        <v>0</v>
      </c>
      <c r="AN86" s="181">
        <f ca="1">IF($D86&lt;&gt;"Serviço",0,IF(AND(AUTOEVENTO="Manual",$M86=1),0,IF(OFFSET(CRONOPLE!$F$14,$M86,AN$13)="",10^12,OFFSET(CRONOPLE!$F$14,$M86,AN$13))))</f>
        <v>0</v>
      </c>
      <c r="AO86" s="181">
        <f ca="1">IF($D86&lt;&gt;"Serviço",0,IF(AND(AUTOEVENTO="Manual",$M86=1),0,IF(OFFSET(CRONOPLE!$F$14,$M86,AO$13)="",10^12,OFFSET(CRONOPLE!$F$14,$M86,AO$13))))</f>
        <v>0</v>
      </c>
      <c r="AP86" s="181">
        <f ca="1">IF($D86&lt;&gt;"Serviço",0,IF(AND(AUTOEVENTO="Manual",$M86=1),0,IF(OFFSET(CRONOPLE!$F$14,$M86,AP$13)="",10^12,OFFSET(CRONOPLE!$F$14,$M86,AP$13))))</f>
        <v>0</v>
      </c>
      <c r="AQ86" s="181">
        <f ca="1">IF($D86&lt;&gt;"Serviço",0,IF(AND(AUTOEVENTO="Manual",$M86=1),0,IF(OFFSET(CRONOPLE!$F$14,$M86,AQ$13)="",10^12,OFFSET(CRONOPLE!$F$14,$M86,AQ$13))))</f>
        <v>0</v>
      </c>
      <c r="AR86" s="181">
        <f ca="1">IF($D86&lt;&gt;"Serviço",0,IF(AND(AUTOEVENTO="Manual",$M86=1),0,IF(OFFSET(CRONOPLE!$F$14,$M86,AR$13)="",10^12,OFFSET(CRONOPLE!$F$14,$M86,AR$13))))</f>
        <v>0</v>
      </c>
      <c r="AS86" s="181">
        <f ca="1">IF($D86&lt;&gt;"Serviço",0,IF(AND(AUTOEVENTO="Manual",$M86=1),0,IF(OFFSET(CRONOPLE!$F$14,$M86,AS$13)="",10^12,OFFSET(CRONOPLE!$F$14,$M86,AS$13))))</f>
        <v>0</v>
      </c>
      <c r="AT86" s="181">
        <f ca="1">IF($D86&lt;&gt;"Serviço",0,IF(AND(AUTOEVENTO="Manual",$M86=1),0,IF(OFFSET(CRONOPLE!$F$14,$M86,AT$13)="",10^12,OFFSET(CRONOPLE!$F$14,$M86,AT$13))))</f>
        <v>0</v>
      </c>
      <c r="AU86" s="181">
        <f ca="1">IF($D86&lt;&gt;"Serviço",0,IF(AND(AUTOEVENTO="Manual",$M86=1),0,IF(OFFSET(CRONOPLE!$F$14,$M86,AU$13)="",10^12,OFFSET(CRONOPLE!$F$14,$M86,AU$13))))</f>
        <v>0</v>
      </c>
      <c r="AV86" s="181">
        <f ca="1">IF($D86&lt;&gt;"Serviço",0,IF(AND(AUTOEVENTO="Manual",$M86=1),0,IF(OFFSET(CRONOPLE!$F$14,$M86,AV$13)="",10^12,OFFSET(CRONOPLE!$F$14,$M86,AV$13))))</f>
        <v>0</v>
      </c>
      <c r="AX86" s="182">
        <f ca="1">IF($D86&lt;&gt;"Serviço",0,IF(OR(AND(AUTOEVENTO="Manual",$M86=1),$M86&gt;(ROW(PLE.lastrow)-ROW(PLE.firstrow))),0,IF(OFFSET(PLE!$G$14,$M86,AX$13)="",10^12,OFFSET(PLE!$G$14,$M86,AX$13))))</f>
        <v>0</v>
      </c>
      <c r="AY86" s="182">
        <f ca="1">IF($D86&lt;&gt;"Serviço",0,IF(OR(AND(AUTOEVENTO="Manual",$M86=1),$M86&gt;(ROW(PLE.lastrow)-ROW(PLE.firstrow))),0,IF(OFFSET(PLE!$G$14,$M86,AY$13)="",10^12,OFFSET(PLE!$G$14,$M86,AY$13))))</f>
        <v>0</v>
      </c>
      <c r="AZ86" s="182">
        <f ca="1">IF($D86&lt;&gt;"Serviço",0,IF(OR(AND(AUTOEVENTO="Manual",$M86=1),$M86&gt;(ROW(PLE.lastrow)-ROW(PLE.firstrow))),0,IF(OFFSET(PLE!$G$14,$M86,AZ$13)="",10^12,OFFSET(PLE!$G$14,$M86,AZ$13))))</f>
        <v>0</v>
      </c>
      <c r="BA86" s="182">
        <f ca="1">IF($D86&lt;&gt;"Serviço",0,IF(OR(AND(AUTOEVENTO="Manual",$M86=1),$M86&gt;(ROW(PLE.lastrow)-ROW(PLE.firstrow))),0,IF(OFFSET(PLE!$G$14,$M86,BA$13)="",10^12,OFFSET(PLE!$G$14,$M86,BA$13))))</f>
        <v>0</v>
      </c>
      <c r="BB86" s="182">
        <f ca="1">IF($D86&lt;&gt;"Serviço",0,IF(OR(AND(AUTOEVENTO="Manual",$M86=1),$M86&gt;(ROW(PLE.lastrow)-ROW(PLE.firstrow))),0,IF(OFFSET(PLE!$G$14,$M86,BB$13)="",10^12,OFFSET(PLE!$G$14,$M86,BB$13))))</f>
        <v>0</v>
      </c>
      <c r="BC86" s="182">
        <f ca="1">IF($D86&lt;&gt;"Serviço",0,IF(OR(AND(AUTOEVENTO="Manual",$M86=1),$M86&gt;(ROW(PLE.lastrow)-ROW(PLE.firstrow))),0,IF(OFFSET(PLE!$G$14,$M86,BC$13)="",10^12,OFFSET(PLE!$G$14,$M86,BC$13))))</f>
        <v>0</v>
      </c>
      <c r="BD86" s="182">
        <f ca="1">IF($D86&lt;&gt;"Serviço",0,IF(OR(AND(AUTOEVENTO="Manual",$M86=1),$M86&gt;(ROW(PLE.lastrow)-ROW(PLE.firstrow))),0,IF(OFFSET(PLE!$G$14,$M86,BD$13)="",10^12,OFFSET(PLE!$G$14,$M86,BD$13))))</f>
        <v>0</v>
      </c>
      <c r="BE86" s="182">
        <f ca="1">IF($D86&lt;&gt;"Serviço",0,IF(OR(AND(AUTOEVENTO="Manual",$M86=1),$M86&gt;(ROW(PLE.lastrow)-ROW(PLE.firstrow))),0,IF(OFFSET(PLE!$G$14,$M86,BE$13)="",10^12,OFFSET(PLE!$G$14,$M86,BE$13))))</f>
        <v>0</v>
      </c>
      <c r="BF86" s="182">
        <f ca="1">IF($D86&lt;&gt;"Serviço",0,IF(OR(AND(AUTOEVENTO="Manual",$M86=1),$M86&gt;(ROW(PLE.lastrow)-ROW(PLE.firstrow))),0,IF(OFFSET(PLE!$G$14,$M86,BF$13)="",10^12,OFFSET(PLE!$G$14,$M86,BF$13))))</f>
        <v>0</v>
      </c>
      <c r="BG86" s="182">
        <f ca="1">IF($D86&lt;&gt;"Serviço",0,IF(OR(AND(AUTOEVENTO="Manual",$M86=1),$M86&gt;(ROW(PLE.lastrow)-ROW(PLE.firstrow))),0,IF(OFFSET(PLE!$G$14,$M86,BG$13)="",10^12,OFFSET(PLE!$G$14,$M86,BG$13))))</f>
        <v>0</v>
      </c>
    </row>
    <row r="87" spans="1:59" ht="12.75" x14ac:dyDescent="0.2">
      <c r="A87" s="7" t="str">
        <f ca="1">IF(AUTOEVENTO="Manual",IF(K87&lt;&gt;"",MIN(VALUE(LEFT(K87,FIND(".",K87)-1)),COUNTA(EVENTOS.Lista)),0),IF(OR($B87&gt;AUTOEVENTO,$B87="S",$B87=0),SUBSTITUTE(OFFSET($A87,-1,0),IF($D87="Serviço",".",""),""),ROW(A87)-ROW($A$15)&amp;"."))</f>
        <v>71.</v>
      </c>
      <c r="B87" s="7">
        <f ca="1">OFFSET(ORÇAMENTO!C$15,ROW(B87)-ROW(B$15),0)</f>
        <v>3</v>
      </c>
      <c r="C87" s="7" t="str">
        <f ca="1">OFFSET(ORÇAMENTO!L$15,ROW(C87)-ROW(C$15),0)</f>
        <v>F</v>
      </c>
      <c r="D87" s="118" t="str">
        <f ca="1">OFFSET(ORÇAMENTO!N$15,ROW(D87)-ROW(D$15),0)</f>
        <v>Nível 3</v>
      </c>
      <c r="E87" s="119" t="str">
        <f ca="1">OFFSET(ORÇAMENTO!O$15,ROW(E87)-ROW(E$15),0)</f>
        <v>1.6.1.</v>
      </c>
      <c r="F87" s="172" t="str">
        <f ca="1">OFFSET(ORÇAMENTO!R$15,ROW(F87)-ROW(F$15),0)</f>
        <v>SAPATAS</v>
      </c>
      <c r="G87" s="173" t="str">
        <f ca="1">IF($D87&lt;&gt;"Serviço","",OFFSET(ORÇAMENTO!S$15,ROW(G87)-ROW(G$15),0))</f>
        <v/>
      </c>
      <c r="H87" s="124">
        <f ca="1">IF($D87&lt;&gt;"Serviço",0,IF(ACOMPANHAMENTO="BM",ROUND(OFFSET(ORÇAMENTO!AJ$15,ROW(H87)-ROW(H$15),0),15-13*ORÇAMENTO!$AF$7),SUMPRODUCT(($Q$12:$AA$12&lt;&gt;"")*ROUND($Q87:$AA87,15-13*ORÇAMENTO!$AF$7))))</f>
        <v>0</v>
      </c>
      <c r="I87" s="561"/>
      <c r="K87" s="174"/>
      <c r="L87" s="175" t="s">
        <v>255</v>
      </c>
      <c r="M87" s="176" t="str">
        <f ca="1">IF($D87&lt;&gt;"Serviço","",IF(AUTOEVENTO="manual",$A87,IF(ISERROR(MATCH($A87,$A$15:OFFSET($A87,-1,0),0)),MAX($M$15:OFFSET(M87,-1,0))+1,INDEX($M$15:OFFSET(M87,-1,0),MATCH($A87,$A$15:OFFSET($A87,-1,0),0)))))</f>
        <v/>
      </c>
      <c r="N87" s="177" t="str">
        <f ca="1">IF($D87&lt;&gt;"Serviço","",IF(AUTOEVENTO="Manual",IF($A87=0,"&lt;-- defina o número do agrupador",OFFSET(EVENTOS!$D$14,$A87,0)),OFFSET($F$15,$A87,0)))</f>
        <v/>
      </c>
      <c r="O87" s="178"/>
      <c r="Q87" s="178"/>
      <c r="R87" s="179"/>
      <c r="S87" s="179"/>
      <c r="T87" s="179"/>
      <c r="U87" s="179"/>
      <c r="V87" s="179"/>
      <c r="W87" s="179"/>
      <c r="X87" s="179"/>
      <c r="Y87" s="179"/>
      <c r="Z87" s="180"/>
      <c r="AB87" s="544">
        <f ca="1">IF(AND($D87="Serviço",AB$12&lt;&gt;0,$H87&gt;0,OR(AUTOEVENTO&lt;&gt;"manual",$M87&lt;&gt;1)),
IF(Import.TipoArredondamento&lt;&gt;"TransfereGOV",
ROUND(OFFSET($P87,0,AB$13),15-13*ORÇAMENTO!$AF$7)/$H87*OFFSET(ORÇAMENTO!$X$15,ROW(AB87)-ROW(AB$15),0),
ROUND(ROUND(OFFSET($P87,0,AB$13),15-13*ORÇAMENTO!$AF$7)*OFFSET(ORÇAMENTO!$W$15,ROW(AB87)-ROW(AB$15),0),15-13*ORÇAMENTO!$AF$11)),0)</f>
        <v>0</v>
      </c>
      <c r="AC87" s="545">
        <f ca="1">IF(AND($D87="Serviço",AC$12&lt;&gt;0,$H87&gt;0,OR(AUTOEVENTO&lt;&gt;"manual",$M87&lt;&gt;1)),
IF(Import.TipoArredondamento&lt;&gt;"TransfereGOV",
ROUND(OFFSET($P87,0,AC$13),15-13*ORÇAMENTO!$AF$7)/$H87*OFFSET(ORÇAMENTO!$X$15,ROW(AC87)-ROW(AC$15),0),
ROUND(ROUND(OFFSET($P87,0,AC$13),15-13*ORÇAMENTO!$AF$7)*OFFSET(ORÇAMENTO!$W$15,ROW(AC87)-ROW(AC$15),0),15-13*ORÇAMENTO!$AF$11)),0)</f>
        <v>0</v>
      </c>
      <c r="AD87" s="545">
        <f ca="1">IF(AND($D87="Serviço",AD$12&lt;&gt;0,$H87&gt;0,OR(AUTOEVENTO&lt;&gt;"manual",$M87&lt;&gt;1)),
IF(Import.TipoArredondamento&lt;&gt;"TransfereGOV",
ROUND(OFFSET($P87,0,AD$13),15-13*ORÇAMENTO!$AF$7)/$H87*OFFSET(ORÇAMENTO!$X$15,ROW(AD87)-ROW(AD$15),0),
ROUND(ROUND(OFFSET($P87,0,AD$13),15-13*ORÇAMENTO!$AF$7)*OFFSET(ORÇAMENTO!$W$15,ROW(AD87)-ROW(AD$15),0),15-13*ORÇAMENTO!$AF$11)),0)</f>
        <v>0</v>
      </c>
      <c r="AE87" s="545">
        <f ca="1">IF(AND($D87="Serviço",AE$12&lt;&gt;0,$H87&gt;0,OR(AUTOEVENTO&lt;&gt;"manual",$M87&lt;&gt;1)),
IF(Import.TipoArredondamento&lt;&gt;"TransfereGOV",
ROUND(OFFSET($P87,0,AE$13),15-13*ORÇAMENTO!$AF$7)/$H87*OFFSET(ORÇAMENTO!$X$15,ROW(AE87)-ROW(AE$15),0),
ROUND(ROUND(OFFSET($P87,0,AE$13),15-13*ORÇAMENTO!$AF$7)*OFFSET(ORÇAMENTO!$W$15,ROW(AE87)-ROW(AE$15),0),15-13*ORÇAMENTO!$AF$11)),0)</f>
        <v>0</v>
      </c>
      <c r="AF87" s="545">
        <f ca="1">IF(AND($D87="Serviço",AF$12&lt;&gt;0,$H87&gt;0,OR(AUTOEVENTO&lt;&gt;"manual",$M87&lt;&gt;1)),
IF(Import.TipoArredondamento&lt;&gt;"TransfereGOV",
ROUND(OFFSET($P87,0,AF$13),15-13*ORÇAMENTO!$AF$7)/$H87*OFFSET(ORÇAMENTO!$X$15,ROW(AF87)-ROW(AF$15),0),
ROUND(ROUND(OFFSET($P87,0,AF$13),15-13*ORÇAMENTO!$AF$7)*OFFSET(ORÇAMENTO!$W$15,ROW(AF87)-ROW(AF$15),0),15-13*ORÇAMENTO!$AF$11)),0)</f>
        <v>0</v>
      </c>
      <c r="AG87" s="545">
        <f ca="1">IF(AND($D87="Serviço",AG$12&lt;&gt;0,$H87&gt;0,OR(AUTOEVENTO&lt;&gt;"manual",$M87&lt;&gt;1)),
IF(Import.TipoArredondamento&lt;&gt;"TransfereGOV",
ROUND(OFFSET($P87,0,AG$13),15-13*ORÇAMENTO!$AF$7)/$H87*OFFSET(ORÇAMENTO!$X$15,ROW(AG87)-ROW(AG$15),0),
ROUND(ROUND(OFFSET($P87,0,AG$13),15-13*ORÇAMENTO!$AF$7)*OFFSET(ORÇAMENTO!$W$15,ROW(AG87)-ROW(AG$15),0),15-13*ORÇAMENTO!$AF$11)),0)</f>
        <v>0</v>
      </c>
      <c r="AH87" s="545">
        <f ca="1">IF(AND($D87="Serviço",AH$12&lt;&gt;0,$H87&gt;0,OR(AUTOEVENTO&lt;&gt;"manual",$M87&lt;&gt;1)),
IF(Import.TipoArredondamento&lt;&gt;"TransfereGOV",
ROUND(OFFSET($P87,0,AH$13),15-13*ORÇAMENTO!$AF$7)/$H87*OFFSET(ORÇAMENTO!$X$15,ROW(AH87)-ROW(AH$15),0),
ROUND(ROUND(OFFSET($P87,0,AH$13),15-13*ORÇAMENTO!$AF$7)*OFFSET(ORÇAMENTO!$W$15,ROW(AH87)-ROW(AH$15),0),15-13*ORÇAMENTO!$AF$11)),0)</f>
        <v>0</v>
      </c>
      <c r="AI87" s="545">
        <f ca="1">IF(AND($D87="Serviço",AI$12&lt;&gt;0,$H87&gt;0,OR(AUTOEVENTO&lt;&gt;"manual",$M87&lt;&gt;1)),
IF(Import.TipoArredondamento&lt;&gt;"TransfereGOV",
ROUND(OFFSET($P87,0,AI$13),15-13*ORÇAMENTO!$AF$7)/$H87*OFFSET(ORÇAMENTO!$X$15,ROW(AI87)-ROW(AI$15),0),
ROUND(ROUND(OFFSET($P87,0,AI$13),15-13*ORÇAMENTO!$AF$7)*OFFSET(ORÇAMENTO!$W$15,ROW(AI87)-ROW(AI$15),0),15-13*ORÇAMENTO!$AF$11)),0)</f>
        <v>0</v>
      </c>
      <c r="AJ87" s="545">
        <f ca="1">IF(AND($D87="Serviço",AJ$12&lt;&gt;0,$H87&gt;0,OR(AUTOEVENTO&lt;&gt;"manual",$M87&lt;&gt;1)),
IF(Import.TipoArredondamento&lt;&gt;"TransfereGOV",
ROUND(OFFSET($P87,0,AJ$13),15-13*ORÇAMENTO!$AF$7)/$H87*OFFSET(ORÇAMENTO!$X$15,ROW(AJ87)-ROW(AJ$15),0),
ROUND(ROUND(OFFSET($P87,0,AJ$13),15-13*ORÇAMENTO!$AF$7)*OFFSET(ORÇAMENTO!$W$15,ROW(AJ87)-ROW(AJ$15),0),15-13*ORÇAMENTO!$AF$11)),0)</f>
        <v>0</v>
      </c>
      <c r="AK87" s="546">
        <f ca="1">IF(AND($D87="Serviço",AK$12&lt;&gt;0,$H87&gt;0,OR(AUTOEVENTO&lt;&gt;"manual",$M87&lt;&gt;1)),
IF(Import.TipoArredondamento&lt;&gt;"TransfereGOV",
ROUND(OFFSET($P87,0,AK$13),15-13*ORÇAMENTO!$AF$7)/$H87*OFFSET(ORÇAMENTO!$X$15,ROW(AK87)-ROW(AK$15),0),
ROUND(ROUND(OFFSET($P87,0,AK$13),15-13*ORÇAMENTO!$AF$7)*OFFSET(ORÇAMENTO!$W$15,ROW(AK87)-ROW(AK$15),0),15-13*ORÇAMENTO!$AF$11)),0)</f>
        <v>0</v>
      </c>
      <c r="AM87" s="181">
        <f ca="1">IF($D87&lt;&gt;"Serviço",0,IF(AND(AUTOEVENTO="Manual",$M87=1),0,IF(OFFSET(CRONOPLE!$F$14,$M87,AM$13)="",10^12,OFFSET(CRONOPLE!$F$14,$M87,AM$13))))</f>
        <v>0</v>
      </c>
      <c r="AN87" s="181">
        <f ca="1">IF($D87&lt;&gt;"Serviço",0,IF(AND(AUTOEVENTO="Manual",$M87=1),0,IF(OFFSET(CRONOPLE!$F$14,$M87,AN$13)="",10^12,OFFSET(CRONOPLE!$F$14,$M87,AN$13))))</f>
        <v>0</v>
      </c>
      <c r="AO87" s="181">
        <f ca="1">IF($D87&lt;&gt;"Serviço",0,IF(AND(AUTOEVENTO="Manual",$M87=1),0,IF(OFFSET(CRONOPLE!$F$14,$M87,AO$13)="",10^12,OFFSET(CRONOPLE!$F$14,$M87,AO$13))))</f>
        <v>0</v>
      </c>
      <c r="AP87" s="181">
        <f ca="1">IF($D87&lt;&gt;"Serviço",0,IF(AND(AUTOEVENTO="Manual",$M87=1),0,IF(OFFSET(CRONOPLE!$F$14,$M87,AP$13)="",10^12,OFFSET(CRONOPLE!$F$14,$M87,AP$13))))</f>
        <v>0</v>
      </c>
      <c r="AQ87" s="181">
        <f ca="1">IF($D87&lt;&gt;"Serviço",0,IF(AND(AUTOEVENTO="Manual",$M87=1),0,IF(OFFSET(CRONOPLE!$F$14,$M87,AQ$13)="",10^12,OFFSET(CRONOPLE!$F$14,$M87,AQ$13))))</f>
        <v>0</v>
      </c>
      <c r="AR87" s="181">
        <f ca="1">IF($D87&lt;&gt;"Serviço",0,IF(AND(AUTOEVENTO="Manual",$M87=1),0,IF(OFFSET(CRONOPLE!$F$14,$M87,AR$13)="",10^12,OFFSET(CRONOPLE!$F$14,$M87,AR$13))))</f>
        <v>0</v>
      </c>
      <c r="AS87" s="181">
        <f ca="1">IF($D87&lt;&gt;"Serviço",0,IF(AND(AUTOEVENTO="Manual",$M87=1),0,IF(OFFSET(CRONOPLE!$F$14,$M87,AS$13)="",10^12,OFFSET(CRONOPLE!$F$14,$M87,AS$13))))</f>
        <v>0</v>
      </c>
      <c r="AT87" s="181">
        <f ca="1">IF($D87&lt;&gt;"Serviço",0,IF(AND(AUTOEVENTO="Manual",$M87=1),0,IF(OFFSET(CRONOPLE!$F$14,$M87,AT$13)="",10^12,OFFSET(CRONOPLE!$F$14,$M87,AT$13))))</f>
        <v>0</v>
      </c>
      <c r="AU87" s="181">
        <f ca="1">IF($D87&lt;&gt;"Serviço",0,IF(AND(AUTOEVENTO="Manual",$M87=1),0,IF(OFFSET(CRONOPLE!$F$14,$M87,AU$13)="",10^12,OFFSET(CRONOPLE!$F$14,$M87,AU$13))))</f>
        <v>0</v>
      </c>
      <c r="AV87" s="181">
        <f ca="1">IF($D87&lt;&gt;"Serviço",0,IF(AND(AUTOEVENTO="Manual",$M87=1),0,IF(OFFSET(CRONOPLE!$F$14,$M87,AV$13)="",10^12,OFFSET(CRONOPLE!$F$14,$M87,AV$13))))</f>
        <v>0</v>
      </c>
      <c r="AX87" s="182">
        <f ca="1">IF($D87&lt;&gt;"Serviço",0,IF(OR(AND(AUTOEVENTO="Manual",$M87=1),$M87&gt;(ROW(PLE.lastrow)-ROW(PLE.firstrow))),0,IF(OFFSET(PLE!$G$14,$M87,AX$13)="",10^12,OFFSET(PLE!$G$14,$M87,AX$13))))</f>
        <v>0</v>
      </c>
      <c r="AY87" s="182">
        <f ca="1">IF($D87&lt;&gt;"Serviço",0,IF(OR(AND(AUTOEVENTO="Manual",$M87=1),$M87&gt;(ROW(PLE.lastrow)-ROW(PLE.firstrow))),0,IF(OFFSET(PLE!$G$14,$M87,AY$13)="",10^12,OFFSET(PLE!$G$14,$M87,AY$13))))</f>
        <v>0</v>
      </c>
      <c r="AZ87" s="182">
        <f ca="1">IF($D87&lt;&gt;"Serviço",0,IF(OR(AND(AUTOEVENTO="Manual",$M87=1),$M87&gt;(ROW(PLE.lastrow)-ROW(PLE.firstrow))),0,IF(OFFSET(PLE!$G$14,$M87,AZ$13)="",10^12,OFFSET(PLE!$G$14,$M87,AZ$13))))</f>
        <v>0</v>
      </c>
      <c r="BA87" s="182">
        <f ca="1">IF($D87&lt;&gt;"Serviço",0,IF(OR(AND(AUTOEVENTO="Manual",$M87=1),$M87&gt;(ROW(PLE.lastrow)-ROW(PLE.firstrow))),0,IF(OFFSET(PLE!$G$14,$M87,BA$13)="",10^12,OFFSET(PLE!$G$14,$M87,BA$13))))</f>
        <v>0</v>
      </c>
      <c r="BB87" s="182">
        <f ca="1">IF($D87&lt;&gt;"Serviço",0,IF(OR(AND(AUTOEVENTO="Manual",$M87=1),$M87&gt;(ROW(PLE.lastrow)-ROW(PLE.firstrow))),0,IF(OFFSET(PLE!$G$14,$M87,BB$13)="",10^12,OFFSET(PLE!$G$14,$M87,BB$13))))</f>
        <v>0</v>
      </c>
      <c r="BC87" s="182">
        <f ca="1">IF($D87&lt;&gt;"Serviço",0,IF(OR(AND(AUTOEVENTO="Manual",$M87=1),$M87&gt;(ROW(PLE.lastrow)-ROW(PLE.firstrow))),0,IF(OFFSET(PLE!$G$14,$M87,BC$13)="",10^12,OFFSET(PLE!$G$14,$M87,BC$13))))</f>
        <v>0</v>
      </c>
      <c r="BD87" s="182">
        <f ca="1">IF($D87&lt;&gt;"Serviço",0,IF(OR(AND(AUTOEVENTO="Manual",$M87=1),$M87&gt;(ROW(PLE.lastrow)-ROW(PLE.firstrow))),0,IF(OFFSET(PLE!$G$14,$M87,BD$13)="",10^12,OFFSET(PLE!$G$14,$M87,BD$13))))</f>
        <v>0</v>
      </c>
      <c r="BE87" s="182">
        <f ca="1">IF($D87&lt;&gt;"Serviço",0,IF(OR(AND(AUTOEVENTO="Manual",$M87=1),$M87&gt;(ROW(PLE.lastrow)-ROW(PLE.firstrow))),0,IF(OFFSET(PLE!$G$14,$M87,BE$13)="",10^12,OFFSET(PLE!$G$14,$M87,BE$13))))</f>
        <v>0</v>
      </c>
      <c r="BF87" s="182">
        <f ca="1">IF($D87&lt;&gt;"Serviço",0,IF(OR(AND(AUTOEVENTO="Manual",$M87=1),$M87&gt;(ROW(PLE.lastrow)-ROW(PLE.firstrow))),0,IF(OFFSET(PLE!$G$14,$M87,BF$13)="",10^12,OFFSET(PLE!$G$14,$M87,BF$13))))</f>
        <v>0</v>
      </c>
      <c r="BG87" s="182">
        <f ca="1">IF($D87&lt;&gt;"Serviço",0,IF(OR(AND(AUTOEVENTO="Manual",$M87=1),$M87&gt;(ROW(PLE.lastrow)-ROW(PLE.firstrow))),0,IF(OFFSET(PLE!$G$14,$M87,BG$13)="",10^12,OFFSET(PLE!$G$14,$M87,BG$13))))</f>
        <v>0</v>
      </c>
    </row>
    <row r="88" spans="1:59" ht="63.75" x14ac:dyDescent="0.2">
      <c r="A88" s="7" t="str">
        <f t="shared" ref="A88:A155" ca="1" si="9">IF(AUTOEVENTO="Manual",IF(K88&lt;&gt;"",MIN(VALUE(LEFT(K88,FIND(".",K88)-1)),COUNTA(EVENTOS.Lista)),0),IF(OR($B88&gt;AUTOEVENTO,$B88="S",$B88=0),SUBSTITUTE(OFFSET($A88,-1,0),IF($D88="Serviço",".",""),""),ROW(A88)-ROW($A$15)&amp;"."))</f>
        <v>71</v>
      </c>
      <c r="B88" s="7" t="str">
        <f ca="1">OFFSET(ORÇAMENTO!C$15,ROW(B88)-ROW(B$15),0)</f>
        <v>S</v>
      </c>
      <c r="C88" s="7" t="str">
        <f ca="1">OFFSET(ORÇAMENTO!L$15,ROW(C88)-ROW(C$15),0)</f>
        <v>F</v>
      </c>
      <c r="D88" s="118" t="str">
        <f ca="1">OFFSET(ORÇAMENTO!N$15,ROW(D88)-ROW(D$15),0)</f>
        <v>Serviço</v>
      </c>
      <c r="E88" s="119" t="str">
        <f ca="1">OFFSET(ORÇAMENTO!O$15,ROW(E88)-ROW(E$15),0)</f>
        <v>1.6.1.1.</v>
      </c>
      <c r="F88" s="172" t="str">
        <f ca="1">OFFSET(ORÇAMENTO!R$15,ROW(F88)-ROW(F$15),0)</f>
        <v>(abra o arquivo 'Referência 03-2024.xlsm)</v>
      </c>
      <c r="G88" s="173" t="str">
        <f ca="1">IF($D88&lt;&gt;"Serviço","",OFFSET(ORÇAMENTO!S$15,ROW(G88)-ROW(G$15),0))</f>
        <v>-</v>
      </c>
      <c r="H88" s="124">
        <f ca="1">IF($D88&lt;&gt;"Serviço",0,IF(ACOMPANHAMENTO="BM",ROUND(OFFSET(ORÇAMENTO!AJ$15,ROW(H88)-ROW(H$15),0),15-13*ORÇAMENTO!$AF$7),SUMPRODUCT(($Q$12:$AA$12&lt;&gt;"")*ROUND($Q88:$AA88,15-13*ORÇAMENTO!$AF$7))))</f>
        <v>0.9</v>
      </c>
      <c r="I88" s="561"/>
      <c r="K88" s="174"/>
      <c r="L88" s="175" t="s">
        <v>255</v>
      </c>
      <c r="M88" s="176">
        <f ca="1">IF($D88&lt;&gt;"Serviço","",IF(AUTOEVENTO="manual",$A88,IF(ISERROR(MATCH($A88,$A$15:OFFSET($A88,-1,0),0)),MAX($M$15:OFFSET(M88,-1,0))+1,INDEX($M$15:OFFSET(M88,-1,0),MATCH($A88,$A$15:OFFSET($A88,-1,0),0)))))</f>
        <v>7</v>
      </c>
      <c r="N88" s="177" t="str">
        <f ca="1">IF($D88&lt;&gt;"Serviço","",IF(AUTOEVENTO="Manual",IF($A88=0,"&lt;-- defina o número do agrupador",OFFSET(EVENTOS!$D$14,$A88,0)),OFFSET($F$15,$A88,0)))</f>
        <v>SANITÁRIO PÚBLICO ACESSÍVEL</v>
      </c>
      <c r="O88" s="178"/>
      <c r="Q88" s="178"/>
      <c r="R88" s="179"/>
      <c r="S88" s="179"/>
      <c r="T88" s="179"/>
      <c r="U88" s="179"/>
      <c r="V88" s="179"/>
      <c r="W88" s="179"/>
      <c r="X88" s="179"/>
      <c r="Y88" s="179"/>
      <c r="Z88" s="180"/>
      <c r="AB88" s="544">
        <f ca="1">IF(AND($D88="Serviço",AB$12&lt;&gt;0,$H88&gt;0,OR(AUTOEVENTO&lt;&gt;"manual",$M88&lt;&gt;1)),
IF(Import.TipoArredondamento&lt;&gt;"TransfereGOV",
ROUND(OFFSET($P88,0,AB$13),15-13*ORÇAMENTO!$AF$7)/$H88*OFFSET(ORÇAMENTO!$X$15,ROW(AB88)-ROW(AB$15),0),
ROUND(ROUND(OFFSET($P88,0,AB$13),15-13*ORÇAMENTO!$AF$7)*OFFSET(ORÇAMENTO!$W$15,ROW(AB88)-ROW(AB$15),0),15-13*ORÇAMENTO!$AF$11)),0)</f>
        <v>0</v>
      </c>
      <c r="AC88" s="545">
        <f ca="1">IF(AND($D88="Serviço",AC$12&lt;&gt;0,$H88&gt;0,OR(AUTOEVENTO&lt;&gt;"manual",$M88&lt;&gt;1)),
IF(Import.TipoArredondamento&lt;&gt;"TransfereGOV",
ROUND(OFFSET($P88,0,AC$13),15-13*ORÇAMENTO!$AF$7)/$H88*OFFSET(ORÇAMENTO!$X$15,ROW(AC88)-ROW(AC$15),0),
ROUND(ROUND(OFFSET($P88,0,AC$13),15-13*ORÇAMENTO!$AF$7)*OFFSET(ORÇAMENTO!$W$15,ROW(AC88)-ROW(AC$15),0),15-13*ORÇAMENTO!$AF$11)),0)</f>
        <v>0</v>
      </c>
      <c r="AD88" s="545">
        <f ca="1">IF(AND($D88="Serviço",AD$12&lt;&gt;0,$H88&gt;0,OR(AUTOEVENTO&lt;&gt;"manual",$M88&lt;&gt;1)),
IF(Import.TipoArredondamento&lt;&gt;"TransfereGOV",
ROUND(OFFSET($P88,0,AD$13),15-13*ORÇAMENTO!$AF$7)/$H88*OFFSET(ORÇAMENTO!$X$15,ROW(AD88)-ROW(AD$15),0),
ROUND(ROUND(OFFSET($P88,0,AD$13),15-13*ORÇAMENTO!$AF$7)*OFFSET(ORÇAMENTO!$W$15,ROW(AD88)-ROW(AD$15),0),15-13*ORÇAMENTO!$AF$11)),0)</f>
        <v>0</v>
      </c>
      <c r="AE88" s="545">
        <f ca="1">IF(AND($D88="Serviço",AE$12&lt;&gt;0,$H88&gt;0,OR(AUTOEVENTO&lt;&gt;"manual",$M88&lt;&gt;1)),
IF(Import.TipoArredondamento&lt;&gt;"TransfereGOV",
ROUND(OFFSET($P88,0,AE$13),15-13*ORÇAMENTO!$AF$7)/$H88*OFFSET(ORÇAMENTO!$X$15,ROW(AE88)-ROW(AE$15),0),
ROUND(ROUND(OFFSET($P88,0,AE$13),15-13*ORÇAMENTO!$AF$7)*OFFSET(ORÇAMENTO!$W$15,ROW(AE88)-ROW(AE$15),0),15-13*ORÇAMENTO!$AF$11)),0)</f>
        <v>0</v>
      </c>
      <c r="AF88" s="545">
        <f ca="1">IF(AND($D88="Serviço",AF$12&lt;&gt;0,$H88&gt;0,OR(AUTOEVENTO&lt;&gt;"manual",$M88&lt;&gt;1)),
IF(Import.TipoArredondamento&lt;&gt;"TransfereGOV",
ROUND(OFFSET($P88,0,AF$13),15-13*ORÇAMENTO!$AF$7)/$H88*OFFSET(ORÇAMENTO!$X$15,ROW(AF88)-ROW(AF$15),0),
ROUND(ROUND(OFFSET($P88,0,AF$13),15-13*ORÇAMENTO!$AF$7)*OFFSET(ORÇAMENTO!$W$15,ROW(AF88)-ROW(AF$15),0),15-13*ORÇAMENTO!$AF$11)),0)</f>
        <v>0</v>
      </c>
      <c r="AG88" s="545">
        <f ca="1">IF(AND($D88="Serviço",AG$12&lt;&gt;0,$H88&gt;0,OR(AUTOEVENTO&lt;&gt;"manual",$M88&lt;&gt;1)),
IF(Import.TipoArredondamento&lt;&gt;"TransfereGOV",
ROUND(OFFSET($P88,0,AG$13),15-13*ORÇAMENTO!$AF$7)/$H88*OFFSET(ORÇAMENTO!$X$15,ROW(AG88)-ROW(AG$15),0),
ROUND(ROUND(OFFSET($P88,0,AG$13),15-13*ORÇAMENTO!$AF$7)*OFFSET(ORÇAMENTO!$W$15,ROW(AG88)-ROW(AG$15),0),15-13*ORÇAMENTO!$AF$11)),0)</f>
        <v>0</v>
      </c>
      <c r="AH88" s="545">
        <f ca="1">IF(AND($D88="Serviço",AH$12&lt;&gt;0,$H88&gt;0,OR(AUTOEVENTO&lt;&gt;"manual",$M88&lt;&gt;1)),
IF(Import.TipoArredondamento&lt;&gt;"TransfereGOV",
ROUND(OFFSET($P88,0,AH$13),15-13*ORÇAMENTO!$AF$7)/$H88*OFFSET(ORÇAMENTO!$X$15,ROW(AH88)-ROW(AH$15),0),
ROUND(ROUND(OFFSET($P88,0,AH$13),15-13*ORÇAMENTO!$AF$7)*OFFSET(ORÇAMENTO!$W$15,ROW(AH88)-ROW(AH$15),0),15-13*ORÇAMENTO!$AF$11)),0)</f>
        <v>0</v>
      </c>
      <c r="AI88" s="545">
        <f ca="1">IF(AND($D88="Serviço",AI$12&lt;&gt;0,$H88&gt;0,OR(AUTOEVENTO&lt;&gt;"manual",$M88&lt;&gt;1)),
IF(Import.TipoArredondamento&lt;&gt;"TransfereGOV",
ROUND(OFFSET($P88,0,AI$13),15-13*ORÇAMENTO!$AF$7)/$H88*OFFSET(ORÇAMENTO!$X$15,ROW(AI88)-ROW(AI$15),0),
ROUND(ROUND(OFFSET($P88,0,AI$13),15-13*ORÇAMENTO!$AF$7)*OFFSET(ORÇAMENTO!$W$15,ROW(AI88)-ROW(AI$15),0),15-13*ORÇAMENTO!$AF$11)),0)</f>
        <v>0</v>
      </c>
      <c r="AJ88" s="545">
        <f ca="1">IF(AND($D88="Serviço",AJ$12&lt;&gt;0,$H88&gt;0,OR(AUTOEVENTO&lt;&gt;"manual",$M88&lt;&gt;1)),
IF(Import.TipoArredondamento&lt;&gt;"TransfereGOV",
ROUND(OFFSET($P88,0,AJ$13),15-13*ORÇAMENTO!$AF$7)/$H88*OFFSET(ORÇAMENTO!$X$15,ROW(AJ88)-ROW(AJ$15),0),
ROUND(ROUND(OFFSET($P88,0,AJ$13),15-13*ORÇAMENTO!$AF$7)*OFFSET(ORÇAMENTO!$W$15,ROW(AJ88)-ROW(AJ$15),0),15-13*ORÇAMENTO!$AF$11)),0)</f>
        <v>0</v>
      </c>
      <c r="AK88" s="546">
        <f ca="1">IF(AND($D88="Serviço",AK$12&lt;&gt;0,$H88&gt;0,OR(AUTOEVENTO&lt;&gt;"manual",$M88&lt;&gt;1)),
IF(Import.TipoArredondamento&lt;&gt;"TransfereGOV",
ROUND(OFFSET($P88,0,AK$13),15-13*ORÇAMENTO!$AF$7)/$H88*OFFSET(ORÇAMENTO!$X$15,ROW(AK88)-ROW(AK$15),0),
ROUND(ROUND(OFFSET($P88,0,AK$13),15-13*ORÇAMENTO!$AF$7)*OFFSET(ORÇAMENTO!$W$15,ROW(AK88)-ROW(AK$15),0),15-13*ORÇAMENTO!$AF$11)),0)</f>
        <v>0</v>
      </c>
      <c r="AM88" s="181">
        <f ca="1">IF($D88&lt;&gt;"Serviço",0,IF(AND(AUTOEVENTO="Manual",$M88=1),0,IF(OFFSET(CRONOPLE!$F$14,$M88,AM$13)="",10^12,OFFSET(CRONOPLE!$F$14,$M88,AM$13))))</f>
        <v>1000000000000</v>
      </c>
      <c r="AN88" s="181">
        <f ca="1">IF($D88&lt;&gt;"Serviço",0,IF(AND(AUTOEVENTO="Manual",$M88=1),0,IF(OFFSET(CRONOPLE!$F$14,$M88,AN$13)="",10^12,OFFSET(CRONOPLE!$F$14,$M88,AN$13))))</f>
        <v>1000000000000</v>
      </c>
      <c r="AO88" s="181">
        <f ca="1">IF($D88&lt;&gt;"Serviço",0,IF(AND(AUTOEVENTO="Manual",$M88=1),0,IF(OFFSET(CRONOPLE!$F$14,$M88,AO$13)="",10^12,OFFSET(CRONOPLE!$F$14,$M88,AO$13))))</f>
        <v>1000000000000</v>
      </c>
      <c r="AP88" s="181">
        <f ca="1">IF($D88&lt;&gt;"Serviço",0,IF(AND(AUTOEVENTO="Manual",$M88=1),0,IF(OFFSET(CRONOPLE!$F$14,$M88,AP$13)="",10^12,OFFSET(CRONOPLE!$F$14,$M88,AP$13))))</f>
        <v>1000000000000</v>
      </c>
      <c r="AQ88" s="181">
        <f ca="1">IF($D88&lt;&gt;"Serviço",0,IF(AND(AUTOEVENTO="Manual",$M88=1),0,IF(OFFSET(CRONOPLE!$F$14,$M88,AQ$13)="",10^12,OFFSET(CRONOPLE!$F$14,$M88,AQ$13))))</f>
        <v>1000000000000</v>
      </c>
      <c r="AR88" s="181">
        <f ca="1">IF($D88&lt;&gt;"Serviço",0,IF(AND(AUTOEVENTO="Manual",$M88=1),0,IF(OFFSET(CRONOPLE!$F$14,$M88,AR$13)="",10^12,OFFSET(CRONOPLE!$F$14,$M88,AR$13))))</f>
        <v>1000000000000</v>
      </c>
      <c r="AS88" s="181">
        <f ca="1">IF($D88&lt;&gt;"Serviço",0,IF(AND(AUTOEVENTO="Manual",$M88=1),0,IF(OFFSET(CRONOPLE!$F$14,$M88,AS$13)="",10^12,OFFSET(CRONOPLE!$F$14,$M88,AS$13))))</f>
        <v>1000000000000</v>
      </c>
      <c r="AT88" s="181">
        <f ca="1">IF($D88&lt;&gt;"Serviço",0,IF(AND(AUTOEVENTO="Manual",$M88=1),0,IF(OFFSET(CRONOPLE!$F$14,$M88,AT$13)="",10^12,OFFSET(CRONOPLE!$F$14,$M88,AT$13))))</f>
        <v>1000000000000</v>
      </c>
      <c r="AU88" s="181">
        <f ca="1">IF($D88&lt;&gt;"Serviço",0,IF(AND(AUTOEVENTO="Manual",$M88=1),0,IF(OFFSET(CRONOPLE!$F$14,$M88,AU$13)="",10^12,OFFSET(CRONOPLE!$F$14,$M88,AU$13))))</f>
        <v>1000000000000</v>
      </c>
      <c r="AV88" s="181">
        <f ca="1">IF($D88&lt;&gt;"Serviço",0,IF(AND(AUTOEVENTO="Manual",$M88=1),0,IF(OFFSET(CRONOPLE!$F$14,$M88,AV$13)="",10^12,OFFSET(CRONOPLE!$F$14,$M88,AV$13))))</f>
        <v>1000000000000</v>
      </c>
      <c r="AX88" s="182">
        <f ca="1">IF($D88&lt;&gt;"Serviço",0,IF(OR(AND(AUTOEVENTO="Manual",$M88=1),$M88&gt;(ROW(PLE.lastrow)-ROW(PLE.firstrow))),0,IF(OFFSET(PLE!$G$14,$M88,AX$13)="",10^12,OFFSET(PLE!$G$14,$M88,AX$13))))</f>
        <v>1000000000000</v>
      </c>
      <c r="AY88" s="182">
        <f ca="1">IF($D88&lt;&gt;"Serviço",0,IF(OR(AND(AUTOEVENTO="Manual",$M88=1),$M88&gt;(ROW(PLE.lastrow)-ROW(PLE.firstrow))),0,IF(OFFSET(PLE!$G$14,$M88,AY$13)="",10^12,OFFSET(PLE!$G$14,$M88,AY$13))))</f>
        <v>1000000000000</v>
      </c>
      <c r="AZ88" s="182">
        <f ca="1">IF($D88&lt;&gt;"Serviço",0,IF(OR(AND(AUTOEVENTO="Manual",$M88=1),$M88&gt;(ROW(PLE.lastrow)-ROW(PLE.firstrow))),0,IF(OFFSET(PLE!$G$14,$M88,AZ$13)="",10^12,OFFSET(PLE!$G$14,$M88,AZ$13))))</f>
        <v>1000000000000</v>
      </c>
      <c r="BA88" s="182">
        <f ca="1">IF($D88&lt;&gt;"Serviço",0,IF(OR(AND(AUTOEVENTO="Manual",$M88=1),$M88&gt;(ROW(PLE.lastrow)-ROW(PLE.firstrow))),0,IF(OFFSET(PLE!$G$14,$M88,BA$13)="",10^12,OFFSET(PLE!$G$14,$M88,BA$13))))</f>
        <v>1000000000000</v>
      </c>
      <c r="BB88" s="182">
        <f ca="1">IF($D88&lt;&gt;"Serviço",0,IF(OR(AND(AUTOEVENTO="Manual",$M88=1),$M88&gt;(ROW(PLE.lastrow)-ROW(PLE.firstrow))),0,IF(OFFSET(PLE!$G$14,$M88,BB$13)="",10^12,OFFSET(PLE!$G$14,$M88,BB$13))))</f>
        <v>1000000000000</v>
      </c>
      <c r="BC88" s="182">
        <f ca="1">IF($D88&lt;&gt;"Serviço",0,IF(OR(AND(AUTOEVENTO="Manual",$M88=1),$M88&gt;(ROW(PLE.lastrow)-ROW(PLE.firstrow))),0,IF(OFFSET(PLE!$G$14,$M88,BC$13)="",10^12,OFFSET(PLE!$G$14,$M88,BC$13))))</f>
        <v>1000000000000</v>
      </c>
      <c r="BD88" s="182">
        <f ca="1">IF($D88&lt;&gt;"Serviço",0,IF(OR(AND(AUTOEVENTO="Manual",$M88=1),$M88&gt;(ROW(PLE.lastrow)-ROW(PLE.firstrow))),0,IF(OFFSET(PLE!$G$14,$M88,BD$13)="",10^12,OFFSET(PLE!$G$14,$M88,BD$13))))</f>
        <v>1000000000000</v>
      </c>
      <c r="BE88" s="182">
        <f ca="1">IF($D88&lt;&gt;"Serviço",0,IF(OR(AND(AUTOEVENTO="Manual",$M88=1),$M88&gt;(ROW(PLE.lastrow)-ROW(PLE.firstrow))),0,IF(OFFSET(PLE!$G$14,$M88,BE$13)="",10^12,OFFSET(PLE!$G$14,$M88,BE$13))))</f>
        <v>1000000000000</v>
      </c>
      <c r="BF88" s="182">
        <f ca="1">IF($D88&lt;&gt;"Serviço",0,IF(OR(AND(AUTOEVENTO="Manual",$M88=1),$M88&gt;(ROW(PLE.lastrow)-ROW(PLE.firstrow))),0,IF(OFFSET(PLE!$G$14,$M88,BF$13)="",10^12,OFFSET(PLE!$G$14,$M88,BF$13))))</f>
        <v>1000000000000</v>
      </c>
      <c r="BG88" s="182">
        <f ca="1">IF($D88&lt;&gt;"Serviço",0,IF(OR(AND(AUTOEVENTO="Manual",$M88=1),$M88&gt;(ROW(PLE.lastrow)-ROW(PLE.firstrow))),0,IF(OFFSET(PLE!$G$14,$M88,BG$13)="",10^12,OFFSET(PLE!$G$14,$M88,BG$13))))</f>
        <v>1000000000000</v>
      </c>
    </row>
    <row r="89" spans="1:59" ht="25.5" x14ac:dyDescent="0.2">
      <c r="A89" s="7" t="str">
        <f t="shared" ca="1" si="9"/>
        <v>71</v>
      </c>
      <c r="B89" s="7" t="str">
        <f ca="1">OFFSET(ORÇAMENTO!C$15,ROW(B89)-ROW(B$15),0)</f>
        <v>S</v>
      </c>
      <c r="C89" s="7" t="str">
        <f ca="1">OFFSET(ORÇAMENTO!L$15,ROW(C89)-ROW(C$15),0)</f>
        <v>F</v>
      </c>
      <c r="D89" s="118" t="str">
        <f ca="1">OFFSET(ORÇAMENTO!N$15,ROW(D89)-ROW(D$15),0)</f>
        <v>Serviço</v>
      </c>
      <c r="E89" s="119" t="str">
        <f ca="1">OFFSET(ORÇAMENTO!O$15,ROW(E89)-ROW(E$15),0)</f>
        <v>1.6.1.2.</v>
      </c>
      <c r="F89" s="172" t="str">
        <f ca="1">OFFSET(ORÇAMENTO!R$15,ROW(F89)-ROW(F$15),0)</f>
        <v>(abra o arquivo 'Referência 03-2024.xlsm)</v>
      </c>
      <c r="G89" s="173" t="str">
        <f ca="1">IF($D89&lt;&gt;"Serviço","",OFFSET(ORÇAMENTO!S$15,ROW(G89)-ROW(G$15),0))</f>
        <v>-</v>
      </c>
      <c r="H89" s="124">
        <f ca="1">IF($D89&lt;&gt;"Serviço",0,IF(ACOMPANHAMENTO="BM",ROUND(OFFSET(ORÇAMENTO!AJ$15,ROW(H89)-ROW(H$15),0),15-13*ORÇAMENTO!$AF$7),SUMPRODUCT(($Q$12:$AA$12&lt;&gt;"")*ROUND($Q89:$AA89,15-13*ORÇAMENTO!$AF$7))))</f>
        <v>0.4</v>
      </c>
      <c r="I89" s="561"/>
      <c r="K89" s="174"/>
      <c r="L89" s="175" t="s">
        <v>255</v>
      </c>
      <c r="M89" s="176">
        <f ca="1">IF($D89&lt;&gt;"Serviço","",IF(AUTOEVENTO="manual",$A89,IF(ISERROR(MATCH($A89,$A$15:OFFSET($A89,-1,0),0)),MAX($M$15:OFFSET(M89,-1,0))+1,INDEX($M$15:OFFSET(M89,-1,0),MATCH($A89,$A$15:OFFSET($A89,-1,0),0)))))</f>
        <v>7</v>
      </c>
      <c r="N89" s="177" t="str">
        <f ca="1">IF($D89&lt;&gt;"Serviço","",IF(AUTOEVENTO="Manual",IF($A89=0,"&lt;-- defina o número do agrupador",OFFSET(EVENTOS!$D$14,$A89,0)),OFFSET($F$15,$A89,0)))</f>
        <v>SANITÁRIO PÚBLICO ACESSÍVEL</v>
      </c>
      <c r="O89" s="178"/>
      <c r="Q89" s="178"/>
      <c r="R89" s="179"/>
      <c r="S89" s="179"/>
      <c r="T89" s="179"/>
      <c r="U89" s="179"/>
      <c r="V89" s="179"/>
      <c r="W89" s="179"/>
      <c r="X89" s="179"/>
      <c r="Y89" s="179"/>
      <c r="Z89" s="180"/>
      <c r="AB89" s="544">
        <f ca="1">IF(AND($D89="Serviço",AB$12&lt;&gt;0,$H89&gt;0,OR(AUTOEVENTO&lt;&gt;"manual",$M89&lt;&gt;1)),
IF(Import.TipoArredondamento&lt;&gt;"TransfereGOV",
ROUND(OFFSET($P89,0,AB$13),15-13*ORÇAMENTO!$AF$7)/$H89*OFFSET(ORÇAMENTO!$X$15,ROW(AB89)-ROW(AB$15),0),
ROUND(ROUND(OFFSET($P89,0,AB$13),15-13*ORÇAMENTO!$AF$7)*OFFSET(ORÇAMENTO!$W$15,ROW(AB89)-ROW(AB$15),0),15-13*ORÇAMENTO!$AF$11)),0)</f>
        <v>0</v>
      </c>
      <c r="AC89" s="545">
        <f ca="1">IF(AND($D89="Serviço",AC$12&lt;&gt;0,$H89&gt;0,OR(AUTOEVENTO&lt;&gt;"manual",$M89&lt;&gt;1)),
IF(Import.TipoArredondamento&lt;&gt;"TransfereGOV",
ROUND(OFFSET($P89,0,AC$13),15-13*ORÇAMENTO!$AF$7)/$H89*OFFSET(ORÇAMENTO!$X$15,ROW(AC89)-ROW(AC$15),0),
ROUND(ROUND(OFFSET($P89,0,AC$13),15-13*ORÇAMENTO!$AF$7)*OFFSET(ORÇAMENTO!$W$15,ROW(AC89)-ROW(AC$15),0),15-13*ORÇAMENTO!$AF$11)),0)</f>
        <v>0</v>
      </c>
      <c r="AD89" s="545">
        <f ca="1">IF(AND($D89="Serviço",AD$12&lt;&gt;0,$H89&gt;0,OR(AUTOEVENTO&lt;&gt;"manual",$M89&lt;&gt;1)),
IF(Import.TipoArredondamento&lt;&gt;"TransfereGOV",
ROUND(OFFSET($P89,0,AD$13),15-13*ORÇAMENTO!$AF$7)/$H89*OFFSET(ORÇAMENTO!$X$15,ROW(AD89)-ROW(AD$15),0),
ROUND(ROUND(OFFSET($P89,0,AD$13),15-13*ORÇAMENTO!$AF$7)*OFFSET(ORÇAMENTO!$W$15,ROW(AD89)-ROW(AD$15),0),15-13*ORÇAMENTO!$AF$11)),0)</f>
        <v>0</v>
      </c>
      <c r="AE89" s="545">
        <f ca="1">IF(AND($D89="Serviço",AE$12&lt;&gt;0,$H89&gt;0,OR(AUTOEVENTO&lt;&gt;"manual",$M89&lt;&gt;1)),
IF(Import.TipoArredondamento&lt;&gt;"TransfereGOV",
ROUND(OFFSET($P89,0,AE$13),15-13*ORÇAMENTO!$AF$7)/$H89*OFFSET(ORÇAMENTO!$X$15,ROW(AE89)-ROW(AE$15),0),
ROUND(ROUND(OFFSET($P89,0,AE$13),15-13*ORÇAMENTO!$AF$7)*OFFSET(ORÇAMENTO!$W$15,ROW(AE89)-ROW(AE$15),0),15-13*ORÇAMENTO!$AF$11)),0)</f>
        <v>0</v>
      </c>
      <c r="AF89" s="545">
        <f ca="1">IF(AND($D89="Serviço",AF$12&lt;&gt;0,$H89&gt;0,OR(AUTOEVENTO&lt;&gt;"manual",$M89&lt;&gt;1)),
IF(Import.TipoArredondamento&lt;&gt;"TransfereGOV",
ROUND(OFFSET($P89,0,AF$13),15-13*ORÇAMENTO!$AF$7)/$H89*OFFSET(ORÇAMENTO!$X$15,ROW(AF89)-ROW(AF$15),0),
ROUND(ROUND(OFFSET($P89,0,AF$13),15-13*ORÇAMENTO!$AF$7)*OFFSET(ORÇAMENTO!$W$15,ROW(AF89)-ROW(AF$15),0),15-13*ORÇAMENTO!$AF$11)),0)</f>
        <v>0</v>
      </c>
      <c r="AG89" s="545">
        <f ca="1">IF(AND($D89="Serviço",AG$12&lt;&gt;0,$H89&gt;0,OR(AUTOEVENTO&lt;&gt;"manual",$M89&lt;&gt;1)),
IF(Import.TipoArredondamento&lt;&gt;"TransfereGOV",
ROUND(OFFSET($P89,0,AG$13),15-13*ORÇAMENTO!$AF$7)/$H89*OFFSET(ORÇAMENTO!$X$15,ROW(AG89)-ROW(AG$15),0),
ROUND(ROUND(OFFSET($P89,0,AG$13),15-13*ORÇAMENTO!$AF$7)*OFFSET(ORÇAMENTO!$W$15,ROW(AG89)-ROW(AG$15),0),15-13*ORÇAMENTO!$AF$11)),0)</f>
        <v>0</v>
      </c>
      <c r="AH89" s="545">
        <f ca="1">IF(AND($D89="Serviço",AH$12&lt;&gt;0,$H89&gt;0,OR(AUTOEVENTO&lt;&gt;"manual",$M89&lt;&gt;1)),
IF(Import.TipoArredondamento&lt;&gt;"TransfereGOV",
ROUND(OFFSET($P89,0,AH$13),15-13*ORÇAMENTO!$AF$7)/$H89*OFFSET(ORÇAMENTO!$X$15,ROW(AH89)-ROW(AH$15),0),
ROUND(ROUND(OFFSET($P89,0,AH$13),15-13*ORÇAMENTO!$AF$7)*OFFSET(ORÇAMENTO!$W$15,ROW(AH89)-ROW(AH$15),0),15-13*ORÇAMENTO!$AF$11)),0)</f>
        <v>0</v>
      </c>
      <c r="AI89" s="545">
        <f ca="1">IF(AND($D89="Serviço",AI$12&lt;&gt;0,$H89&gt;0,OR(AUTOEVENTO&lt;&gt;"manual",$M89&lt;&gt;1)),
IF(Import.TipoArredondamento&lt;&gt;"TransfereGOV",
ROUND(OFFSET($P89,0,AI$13),15-13*ORÇAMENTO!$AF$7)/$H89*OFFSET(ORÇAMENTO!$X$15,ROW(AI89)-ROW(AI$15),0),
ROUND(ROUND(OFFSET($P89,0,AI$13),15-13*ORÇAMENTO!$AF$7)*OFFSET(ORÇAMENTO!$W$15,ROW(AI89)-ROW(AI$15),0),15-13*ORÇAMENTO!$AF$11)),0)</f>
        <v>0</v>
      </c>
      <c r="AJ89" s="545">
        <f ca="1">IF(AND($D89="Serviço",AJ$12&lt;&gt;0,$H89&gt;0,OR(AUTOEVENTO&lt;&gt;"manual",$M89&lt;&gt;1)),
IF(Import.TipoArredondamento&lt;&gt;"TransfereGOV",
ROUND(OFFSET($P89,0,AJ$13),15-13*ORÇAMENTO!$AF$7)/$H89*OFFSET(ORÇAMENTO!$X$15,ROW(AJ89)-ROW(AJ$15),0),
ROUND(ROUND(OFFSET($P89,0,AJ$13),15-13*ORÇAMENTO!$AF$7)*OFFSET(ORÇAMENTO!$W$15,ROW(AJ89)-ROW(AJ$15),0),15-13*ORÇAMENTO!$AF$11)),0)</f>
        <v>0</v>
      </c>
      <c r="AK89" s="546">
        <f ca="1">IF(AND($D89="Serviço",AK$12&lt;&gt;0,$H89&gt;0,OR(AUTOEVENTO&lt;&gt;"manual",$M89&lt;&gt;1)),
IF(Import.TipoArredondamento&lt;&gt;"TransfereGOV",
ROUND(OFFSET($P89,0,AK$13),15-13*ORÇAMENTO!$AF$7)/$H89*OFFSET(ORÇAMENTO!$X$15,ROW(AK89)-ROW(AK$15),0),
ROUND(ROUND(OFFSET($P89,0,AK$13),15-13*ORÇAMENTO!$AF$7)*OFFSET(ORÇAMENTO!$W$15,ROW(AK89)-ROW(AK$15),0),15-13*ORÇAMENTO!$AF$11)),0)</f>
        <v>0</v>
      </c>
      <c r="AM89" s="181">
        <f ca="1">IF($D89&lt;&gt;"Serviço",0,IF(AND(AUTOEVENTO="Manual",$M89=1),0,IF(OFFSET(CRONOPLE!$F$14,$M89,AM$13)="",10^12,OFFSET(CRONOPLE!$F$14,$M89,AM$13))))</f>
        <v>1000000000000</v>
      </c>
      <c r="AN89" s="181">
        <f ca="1">IF($D89&lt;&gt;"Serviço",0,IF(AND(AUTOEVENTO="Manual",$M89=1),0,IF(OFFSET(CRONOPLE!$F$14,$M89,AN$13)="",10^12,OFFSET(CRONOPLE!$F$14,$M89,AN$13))))</f>
        <v>1000000000000</v>
      </c>
      <c r="AO89" s="181">
        <f ca="1">IF($D89&lt;&gt;"Serviço",0,IF(AND(AUTOEVENTO="Manual",$M89=1),0,IF(OFFSET(CRONOPLE!$F$14,$M89,AO$13)="",10^12,OFFSET(CRONOPLE!$F$14,$M89,AO$13))))</f>
        <v>1000000000000</v>
      </c>
      <c r="AP89" s="181">
        <f ca="1">IF($D89&lt;&gt;"Serviço",0,IF(AND(AUTOEVENTO="Manual",$M89=1),0,IF(OFFSET(CRONOPLE!$F$14,$M89,AP$13)="",10^12,OFFSET(CRONOPLE!$F$14,$M89,AP$13))))</f>
        <v>1000000000000</v>
      </c>
      <c r="AQ89" s="181">
        <f ca="1">IF($D89&lt;&gt;"Serviço",0,IF(AND(AUTOEVENTO="Manual",$M89=1),0,IF(OFFSET(CRONOPLE!$F$14,$M89,AQ$13)="",10^12,OFFSET(CRONOPLE!$F$14,$M89,AQ$13))))</f>
        <v>1000000000000</v>
      </c>
      <c r="AR89" s="181">
        <f ca="1">IF($D89&lt;&gt;"Serviço",0,IF(AND(AUTOEVENTO="Manual",$M89=1),0,IF(OFFSET(CRONOPLE!$F$14,$M89,AR$13)="",10^12,OFFSET(CRONOPLE!$F$14,$M89,AR$13))))</f>
        <v>1000000000000</v>
      </c>
      <c r="AS89" s="181">
        <f ca="1">IF($D89&lt;&gt;"Serviço",0,IF(AND(AUTOEVENTO="Manual",$M89=1),0,IF(OFFSET(CRONOPLE!$F$14,$M89,AS$13)="",10^12,OFFSET(CRONOPLE!$F$14,$M89,AS$13))))</f>
        <v>1000000000000</v>
      </c>
      <c r="AT89" s="181">
        <f ca="1">IF($D89&lt;&gt;"Serviço",0,IF(AND(AUTOEVENTO="Manual",$M89=1),0,IF(OFFSET(CRONOPLE!$F$14,$M89,AT$13)="",10^12,OFFSET(CRONOPLE!$F$14,$M89,AT$13))))</f>
        <v>1000000000000</v>
      </c>
      <c r="AU89" s="181">
        <f ca="1">IF($D89&lt;&gt;"Serviço",0,IF(AND(AUTOEVENTO="Manual",$M89=1),0,IF(OFFSET(CRONOPLE!$F$14,$M89,AU$13)="",10^12,OFFSET(CRONOPLE!$F$14,$M89,AU$13))))</f>
        <v>1000000000000</v>
      </c>
      <c r="AV89" s="181">
        <f ca="1">IF($D89&lt;&gt;"Serviço",0,IF(AND(AUTOEVENTO="Manual",$M89=1),0,IF(OFFSET(CRONOPLE!$F$14,$M89,AV$13)="",10^12,OFFSET(CRONOPLE!$F$14,$M89,AV$13))))</f>
        <v>1000000000000</v>
      </c>
      <c r="AX89" s="182">
        <f ca="1">IF($D89&lt;&gt;"Serviço",0,IF(OR(AND(AUTOEVENTO="Manual",$M89=1),$M89&gt;(ROW(PLE.lastrow)-ROW(PLE.firstrow))),0,IF(OFFSET(PLE!$G$14,$M89,AX$13)="",10^12,OFFSET(PLE!$G$14,$M89,AX$13))))</f>
        <v>1000000000000</v>
      </c>
      <c r="AY89" s="182">
        <f ca="1">IF($D89&lt;&gt;"Serviço",0,IF(OR(AND(AUTOEVENTO="Manual",$M89=1),$M89&gt;(ROW(PLE.lastrow)-ROW(PLE.firstrow))),0,IF(OFFSET(PLE!$G$14,$M89,AY$13)="",10^12,OFFSET(PLE!$G$14,$M89,AY$13))))</f>
        <v>1000000000000</v>
      </c>
      <c r="AZ89" s="182">
        <f ca="1">IF($D89&lt;&gt;"Serviço",0,IF(OR(AND(AUTOEVENTO="Manual",$M89=1),$M89&gt;(ROW(PLE.lastrow)-ROW(PLE.firstrow))),0,IF(OFFSET(PLE!$G$14,$M89,AZ$13)="",10^12,OFFSET(PLE!$G$14,$M89,AZ$13))))</f>
        <v>1000000000000</v>
      </c>
      <c r="BA89" s="182">
        <f ca="1">IF($D89&lt;&gt;"Serviço",0,IF(OR(AND(AUTOEVENTO="Manual",$M89=1),$M89&gt;(ROW(PLE.lastrow)-ROW(PLE.firstrow))),0,IF(OFFSET(PLE!$G$14,$M89,BA$13)="",10^12,OFFSET(PLE!$G$14,$M89,BA$13))))</f>
        <v>1000000000000</v>
      </c>
      <c r="BB89" s="182">
        <f ca="1">IF($D89&lt;&gt;"Serviço",0,IF(OR(AND(AUTOEVENTO="Manual",$M89=1),$M89&gt;(ROW(PLE.lastrow)-ROW(PLE.firstrow))),0,IF(OFFSET(PLE!$G$14,$M89,BB$13)="",10^12,OFFSET(PLE!$G$14,$M89,BB$13))))</f>
        <v>1000000000000</v>
      </c>
      <c r="BC89" s="182">
        <f ca="1">IF($D89&lt;&gt;"Serviço",0,IF(OR(AND(AUTOEVENTO="Manual",$M89=1),$M89&gt;(ROW(PLE.lastrow)-ROW(PLE.firstrow))),0,IF(OFFSET(PLE!$G$14,$M89,BC$13)="",10^12,OFFSET(PLE!$G$14,$M89,BC$13))))</f>
        <v>1000000000000</v>
      </c>
      <c r="BD89" s="182">
        <f ca="1">IF($D89&lt;&gt;"Serviço",0,IF(OR(AND(AUTOEVENTO="Manual",$M89=1),$M89&gt;(ROW(PLE.lastrow)-ROW(PLE.firstrow))),0,IF(OFFSET(PLE!$G$14,$M89,BD$13)="",10^12,OFFSET(PLE!$G$14,$M89,BD$13))))</f>
        <v>1000000000000</v>
      </c>
      <c r="BE89" s="182">
        <f ca="1">IF($D89&lt;&gt;"Serviço",0,IF(OR(AND(AUTOEVENTO="Manual",$M89=1),$M89&gt;(ROW(PLE.lastrow)-ROW(PLE.firstrow))),0,IF(OFFSET(PLE!$G$14,$M89,BE$13)="",10^12,OFFSET(PLE!$G$14,$M89,BE$13))))</f>
        <v>1000000000000</v>
      </c>
      <c r="BF89" s="182">
        <f ca="1">IF($D89&lt;&gt;"Serviço",0,IF(OR(AND(AUTOEVENTO="Manual",$M89=1),$M89&gt;(ROW(PLE.lastrow)-ROW(PLE.firstrow))),0,IF(OFFSET(PLE!$G$14,$M89,BF$13)="",10^12,OFFSET(PLE!$G$14,$M89,BF$13))))</f>
        <v>1000000000000</v>
      </c>
      <c r="BG89" s="182">
        <f ca="1">IF($D89&lt;&gt;"Serviço",0,IF(OR(AND(AUTOEVENTO="Manual",$M89=1),$M89&gt;(ROW(PLE.lastrow)-ROW(PLE.firstrow))),0,IF(OFFSET(PLE!$G$14,$M89,BG$13)="",10^12,OFFSET(PLE!$G$14,$M89,BG$13))))</f>
        <v>1000000000000</v>
      </c>
    </row>
    <row r="90" spans="1:59" ht="25.5" x14ac:dyDescent="0.2">
      <c r="A90" s="7" t="str">
        <f t="shared" ca="1" si="9"/>
        <v>71</v>
      </c>
      <c r="B90" s="7" t="str">
        <f ca="1">OFFSET(ORÇAMENTO!C$15,ROW(B90)-ROW(B$15),0)</f>
        <v>S</v>
      </c>
      <c r="C90" s="7" t="str">
        <f ca="1">OFFSET(ORÇAMENTO!L$15,ROW(C90)-ROW(C$15),0)</f>
        <v>F</v>
      </c>
      <c r="D90" s="118" t="str">
        <f ca="1">OFFSET(ORÇAMENTO!N$15,ROW(D90)-ROW(D$15),0)</f>
        <v>Serviço</v>
      </c>
      <c r="E90" s="119" t="str">
        <f ca="1">OFFSET(ORÇAMENTO!O$15,ROW(E90)-ROW(E$15),0)</f>
        <v>1.6.1.3.</v>
      </c>
      <c r="F90" s="172" t="str">
        <f ca="1">OFFSET(ORÇAMENTO!R$15,ROW(F90)-ROW(F$15),0)</f>
        <v>(abra o arquivo 'Referência 03-2024.xlsm)</v>
      </c>
      <c r="G90" s="173" t="str">
        <f ca="1">IF($D90&lt;&gt;"Serviço","",OFFSET(ORÇAMENTO!S$15,ROW(G90)-ROW(G$15),0))</f>
        <v>-</v>
      </c>
      <c r="H90" s="124">
        <f ca="1">IF($D90&lt;&gt;"Serviço",0,IF(ACOMPANHAMENTO="BM",ROUND(OFFSET(ORÇAMENTO!AJ$15,ROW(H90)-ROW(H$15),0),15-13*ORÇAMENTO!$AF$7),SUMPRODUCT(($Q$12:$AA$12&lt;&gt;"")*ROUND($Q90:$AA90,15-13*ORÇAMENTO!$AF$7))))</f>
        <v>1.36</v>
      </c>
      <c r="I90" s="561"/>
      <c r="K90" s="174"/>
      <c r="L90" s="175" t="s">
        <v>255</v>
      </c>
      <c r="M90" s="176">
        <f ca="1">IF($D90&lt;&gt;"Serviço","",IF(AUTOEVENTO="manual",$A90,IF(ISERROR(MATCH($A90,$A$15:OFFSET($A90,-1,0),0)),MAX($M$15:OFFSET(M90,-1,0))+1,INDEX($M$15:OFFSET(M90,-1,0),MATCH($A90,$A$15:OFFSET($A90,-1,0),0)))))</f>
        <v>7</v>
      </c>
      <c r="N90" s="177" t="str">
        <f ca="1">IF($D90&lt;&gt;"Serviço","",IF(AUTOEVENTO="Manual",IF($A90=0,"&lt;-- defina o número do agrupador",OFFSET(EVENTOS!$D$14,$A90,0)),OFFSET($F$15,$A90,0)))</f>
        <v>SANITÁRIO PÚBLICO ACESSÍVEL</v>
      </c>
      <c r="O90" s="178"/>
      <c r="Q90" s="178"/>
      <c r="R90" s="179"/>
      <c r="S90" s="179"/>
      <c r="T90" s="179"/>
      <c r="U90" s="179"/>
      <c r="V90" s="179"/>
      <c r="W90" s="179"/>
      <c r="X90" s="179"/>
      <c r="Y90" s="179"/>
      <c r="Z90" s="180"/>
      <c r="AB90" s="544">
        <f ca="1">IF(AND($D90="Serviço",AB$12&lt;&gt;0,$H90&gt;0,OR(AUTOEVENTO&lt;&gt;"manual",$M90&lt;&gt;1)),
IF(Import.TipoArredondamento&lt;&gt;"TransfereGOV",
ROUND(OFFSET($P90,0,AB$13),15-13*ORÇAMENTO!$AF$7)/$H90*OFFSET(ORÇAMENTO!$X$15,ROW(AB90)-ROW(AB$15),0),
ROUND(ROUND(OFFSET($P90,0,AB$13),15-13*ORÇAMENTO!$AF$7)*OFFSET(ORÇAMENTO!$W$15,ROW(AB90)-ROW(AB$15),0),15-13*ORÇAMENTO!$AF$11)),0)</f>
        <v>0</v>
      </c>
      <c r="AC90" s="545">
        <f ca="1">IF(AND($D90="Serviço",AC$12&lt;&gt;0,$H90&gt;0,OR(AUTOEVENTO&lt;&gt;"manual",$M90&lt;&gt;1)),
IF(Import.TipoArredondamento&lt;&gt;"TransfereGOV",
ROUND(OFFSET($P90,0,AC$13),15-13*ORÇAMENTO!$AF$7)/$H90*OFFSET(ORÇAMENTO!$X$15,ROW(AC90)-ROW(AC$15),0),
ROUND(ROUND(OFFSET($P90,0,AC$13),15-13*ORÇAMENTO!$AF$7)*OFFSET(ORÇAMENTO!$W$15,ROW(AC90)-ROW(AC$15),0),15-13*ORÇAMENTO!$AF$11)),0)</f>
        <v>0</v>
      </c>
      <c r="AD90" s="545">
        <f ca="1">IF(AND($D90="Serviço",AD$12&lt;&gt;0,$H90&gt;0,OR(AUTOEVENTO&lt;&gt;"manual",$M90&lt;&gt;1)),
IF(Import.TipoArredondamento&lt;&gt;"TransfereGOV",
ROUND(OFFSET($P90,0,AD$13),15-13*ORÇAMENTO!$AF$7)/$H90*OFFSET(ORÇAMENTO!$X$15,ROW(AD90)-ROW(AD$15),0),
ROUND(ROUND(OFFSET($P90,0,AD$13),15-13*ORÇAMENTO!$AF$7)*OFFSET(ORÇAMENTO!$W$15,ROW(AD90)-ROW(AD$15),0),15-13*ORÇAMENTO!$AF$11)),0)</f>
        <v>0</v>
      </c>
      <c r="AE90" s="545">
        <f ca="1">IF(AND($D90="Serviço",AE$12&lt;&gt;0,$H90&gt;0,OR(AUTOEVENTO&lt;&gt;"manual",$M90&lt;&gt;1)),
IF(Import.TipoArredondamento&lt;&gt;"TransfereGOV",
ROUND(OFFSET($P90,0,AE$13),15-13*ORÇAMENTO!$AF$7)/$H90*OFFSET(ORÇAMENTO!$X$15,ROW(AE90)-ROW(AE$15),0),
ROUND(ROUND(OFFSET($P90,0,AE$13),15-13*ORÇAMENTO!$AF$7)*OFFSET(ORÇAMENTO!$W$15,ROW(AE90)-ROW(AE$15),0),15-13*ORÇAMENTO!$AF$11)),0)</f>
        <v>0</v>
      </c>
      <c r="AF90" s="545">
        <f ca="1">IF(AND($D90="Serviço",AF$12&lt;&gt;0,$H90&gt;0,OR(AUTOEVENTO&lt;&gt;"manual",$M90&lt;&gt;1)),
IF(Import.TipoArredondamento&lt;&gt;"TransfereGOV",
ROUND(OFFSET($P90,0,AF$13),15-13*ORÇAMENTO!$AF$7)/$H90*OFFSET(ORÇAMENTO!$X$15,ROW(AF90)-ROW(AF$15),0),
ROUND(ROUND(OFFSET($P90,0,AF$13),15-13*ORÇAMENTO!$AF$7)*OFFSET(ORÇAMENTO!$W$15,ROW(AF90)-ROW(AF$15),0),15-13*ORÇAMENTO!$AF$11)),0)</f>
        <v>0</v>
      </c>
      <c r="AG90" s="545">
        <f ca="1">IF(AND($D90="Serviço",AG$12&lt;&gt;0,$H90&gt;0,OR(AUTOEVENTO&lt;&gt;"manual",$M90&lt;&gt;1)),
IF(Import.TipoArredondamento&lt;&gt;"TransfereGOV",
ROUND(OFFSET($P90,0,AG$13),15-13*ORÇAMENTO!$AF$7)/$H90*OFFSET(ORÇAMENTO!$X$15,ROW(AG90)-ROW(AG$15),0),
ROUND(ROUND(OFFSET($P90,0,AG$13),15-13*ORÇAMENTO!$AF$7)*OFFSET(ORÇAMENTO!$W$15,ROW(AG90)-ROW(AG$15),0),15-13*ORÇAMENTO!$AF$11)),0)</f>
        <v>0</v>
      </c>
      <c r="AH90" s="545">
        <f ca="1">IF(AND($D90="Serviço",AH$12&lt;&gt;0,$H90&gt;0,OR(AUTOEVENTO&lt;&gt;"manual",$M90&lt;&gt;1)),
IF(Import.TipoArredondamento&lt;&gt;"TransfereGOV",
ROUND(OFFSET($P90,0,AH$13),15-13*ORÇAMENTO!$AF$7)/$H90*OFFSET(ORÇAMENTO!$X$15,ROW(AH90)-ROW(AH$15),0),
ROUND(ROUND(OFFSET($P90,0,AH$13),15-13*ORÇAMENTO!$AF$7)*OFFSET(ORÇAMENTO!$W$15,ROW(AH90)-ROW(AH$15),0),15-13*ORÇAMENTO!$AF$11)),0)</f>
        <v>0</v>
      </c>
      <c r="AI90" s="545">
        <f ca="1">IF(AND($D90="Serviço",AI$12&lt;&gt;0,$H90&gt;0,OR(AUTOEVENTO&lt;&gt;"manual",$M90&lt;&gt;1)),
IF(Import.TipoArredondamento&lt;&gt;"TransfereGOV",
ROUND(OFFSET($P90,0,AI$13),15-13*ORÇAMENTO!$AF$7)/$H90*OFFSET(ORÇAMENTO!$X$15,ROW(AI90)-ROW(AI$15),0),
ROUND(ROUND(OFFSET($P90,0,AI$13),15-13*ORÇAMENTO!$AF$7)*OFFSET(ORÇAMENTO!$W$15,ROW(AI90)-ROW(AI$15),0),15-13*ORÇAMENTO!$AF$11)),0)</f>
        <v>0</v>
      </c>
      <c r="AJ90" s="545">
        <f ca="1">IF(AND($D90="Serviço",AJ$12&lt;&gt;0,$H90&gt;0,OR(AUTOEVENTO&lt;&gt;"manual",$M90&lt;&gt;1)),
IF(Import.TipoArredondamento&lt;&gt;"TransfereGOV",
ROUND(OFFSET($P90,0,AJ$13),15-13*ORÇAMENTO!$AF$7)/$H90*OFFSET(ORÇAMENTO!$X$15,ROW(AJ90)-ROW(AJ$15),0),
ROUND(ROUND(OFFSET($P90,0,AJ$13),15-13*ORÇAMENTO!$AF$7)*OFFSET(ORÇAMENTO!$W$15,ROW(AJ90)-ROW(AJ$15),0),15-13*ORÇAMENTO!$AF$11)),0)</f>
        <v>0</v>
      </c>
      <c r="AK90" s="546">
        <f ca="1">IF(AND($D90="Serviço",AK$12&lt;&gt;0,$H90&gt;0,OR(AUTOEVENTO&lt;&gt;"manual",$M90&lt;&gt;1)),
IF(Import.TipoArredondamento&lt;&gt;"TransfereGOV",
ROUND(OFFSET($P90,0,AK$13),15-13*ORÇAMENTO!$AF$7)/$H90*OFFSET(ORÇAMENTO!$X$15,ROW(AK90)-ROW(AK$15),0),
ROUND(ROUND(OFFSET($P90,0,AK$13),15-13*ORÇAMENTO!$AF$7)*OFFSET(ORÇAMENTO!$W$15,ROW(AK90)-ROW(AK$15),0),15-13*ORÇAMENTO!$AF$11)),0)</f>
        <v>0</v>
      </c>
      <c r="AM90" s="181">
        <f ca="1">IF($D90&lt;&gt;"Serviço",0,IF(AND(AUTOEVENTO="Manual",$M90=1),0,IF(OFFSET(CRONOPLE!$F$14,$M90,AM$13)="",10^12,OFFSET(CRONOPLE!$F$14,$M90,AM$13))))</f>
        <v>1000000000000</v>
      </c>
      <c r="AN90" s="181">
        <f ca="1">IF($D90&lt;&gt;"Serviço",0,IF(AND(AUTOEVENTO="Manual",$M90=1),0,IF(OFFSET(CRONOPLE!$F$14,$M90,AN$13)="",10^12,OFFSET(CRONOPLE!$F$14,$M90,AN$13))))</f>
        <v>1000000000000</v>
      </c>
      <c r="AO90" s="181">
        <f ca="1">IF($D90&lt;&gt;"Serviço",0,IF(AND(AUTOEVENTO="Manual",$M90=1),0,IF(OFFSET(CRONOPLE!$F$14,$M90,AO$13)="",10^12,OFFSET(CRONOPLE!$F$14,$M90,AO$13))))</f>
        <v>1000000000000</v>
      </c>
      <c r="AP90" s="181">
        <f ca="1">IF($D90&lt;&gt;"Serviço",0,IF(AND(AUTOEVENTO="Manual",$M90=1),0,IF(OFFSET(CRONOPLE!$F$14,$M90,AP$13)="",10^12,OFFSET(CRONOPLE!$F$14,$M90,AP$13))))</f>
        <v>1000000000000</v>
      </c>
      <c r="AQ90" s="181">
        <f ca="1">IF($D90&lt;&gt;"Serviço",0,IF(AND(AUTOEVENTO="Manual",$M90=1),0,IF(OFFSET(CRONOPLE!$F$14,$M90,AQ$13)="",10^12,OFFSET(CRONOPLE!$F$14,$M90,AQ$13))))</f>
        <v>1000000000000</v>
      </c>
      <c r="AR90" s="181">
        <f ca="1">IF($D90&lt;&gt;"Serviço",0,IF(AND(AUTOEVENTO="Manual",$M90=1),0,IF(OFFSET(CRONOPLE!$F$14,$M90,AR$13)="",10^12,OFFSET(CRONOPLE!$F$14,$M90,AR$13))))</f>
        <v>1000000000000</v>
      </c>
      <c r="AS90" s="181">
        <f ca="1">IF($D90&lt;&gt;"Serviço",0,IF(AND(AUTOEVENTO="Manual",$M90=1),0,IF(OFFSET(CRONOPLE!$F$14,$M90,AS$13)="",10^12,OFFSET(CRONOPLE!$F$14,$M90,AS$13))))</f>
        <v>1000000000000</v>
      </c>
      <c r="AT90" s="181">
        <f ca="1">IF($D90&lt;&gt;"Serviço",0,IF(AND(AUTOEVENTO="Manual",$M90=1),0,IF(OFFSET(CRONOPLE!$F$14,$M90,AT$13)="",10^12,OFFSET(CRONOPLE!$F$14,$M90,AT$13))))</f>
        <v>1000000000000</v>
      </c>
      <c r="AU90" s="181">
        <f ca="1">IF($D90&lt;&gt;"Serviço",0,IF(AND(AUTOEVENTO="Manual",$M90=1),0,IF(OFFSET(CRONOPLE!$F$14,$M90,AU$13)="",10^12,OFFSET(CRONOPLE!$F$14,$M90,AU$13))))</f>
        <v>1000000000000</v>
      </c>
      <c r="AV90" s="181">
        <f ca="1">IF($D90&lt;&gt;"Serviço",0,IF(AND(AUTOEVENTO="Manual",$M90=1),0,IF(OFFSET(CRONOPLE!$F$14,$M90,AV$13)="",10^12,OFFSET(CRONOPLE!$F$14,$M90,AV$13))))</f>
        <v>1000000000000</v>
      </c>
      <c r="AX90" s="182">
        <f ca="1">IF($D90&lt;&gt;"Serviço",0,IF(OR(AND(AUTOEVENTO="Manual",$M90=1),$M90&gt;(ROW(PLE.lastrow)-ROW(PLE.firstrow))),0,IF(OFFSET(PLE!$G$14,$M90,AX$13)="",10^12,OFFSET(PLE!$G$14,$M90,AX$13))))</f>
        <v>1000000000000</v>
      </c>
      <c r="AY90" s="182">
        <f ca="1">IF($D90&lt;&gt;"Serviço",0,IF(OR(AND(AUTOEVENTO="Manual",$M90=1),$M90&gt;(ROW(PLE.lastrow)-ROW(PLE.firstrow))),0,IF(OFFSET(PLE!$G$14,$M90,AY$13)="",10^12,OFFSET(PLE!$G$14,$M90,AY$13))))</f>
        <v>1000000000000</v>
      </c>
      <c r="AZ90" s="182">
        <f ca="1">IF($D90&lt;&gt;"Serviço",0,IF(OR(AND(AUTOEVENTO="Manual",$M90=1),$M90&gt;(ROW(PLE.lastrow)-ROW(PLE.firstrow))),0,IF(OFFSET(PLE!$G$14,$M90,AZ$13)="",10^12,OFFSET(PLE!$G$14,$M90,AZ$13))))</f>
        <v>1000000000000</v>
      </c>
      <c r="BA90" s="182">
        <f ca="1">IF($D90&lt;&gt;"Serviço",0,IF(OR(AND(AUTOEVENTO="Manual",$M90=1),$M90&gt;(ROW(PLE.lastrow)-ROW(PLE.firstrow))),0,IF(OFFSET(PLE!$G$14,$M90,BA$13)="",10^12,OFFSET(PLE!$G$14,$M90,BA$13))))</f>
        <v>1000000000000</v>
      </c>
      <c r="BB90" s="182">
        <f ca="1">IF($D90&lt;&gt;"Serviço",0,IF(OR(AND(AUTOEVENTO="Manual",$M90=1),$M90&gt;(ROW(PLE.lastrow)-ROW(PLE.firstrow))),0,IF(OFFSET(PLE!$G$14,$M90,BB$13)="",10^12,OFFSET(PLE!$G$14,$M90,BB$13))))</f>
        <v>1000000000000</v>
      </c>
      <c r="BC90" s="182">
        <f ca="1">IF($D90&lt;&gt;"Serviço",0,IF(OR(AND(AUTOEVENTO="Manual",$M90=1),$M90&gt;(ROW(PLE.lastrow)-ROW(PLE.firstrow))),0,IF(OFFSET(PLE!$G$14,$M90,BC$13)="",10^12,OFFSET(PLE!$G$14,$M90,BC$13))))</f>
        <v>1000000000000</v>
      </c>
      <c r="BD90" s="182">
        <f ca="1">IF($D90&lt;&gt;"Serviço",0,IF(OR(AND(AUTOEVENTO="Manual",$M90=1),$M90&gt;(ROW(PLE.lastrow)-ROW(PLE.firstrow))),0,IF(OFFSET(PLE!$G$14,$M90,BD$13)="",10^12,OFFSET(PLE!$G$14,$M90,BD$13))))</f>
        <v>1000000000000</v>
      </c>
      <c r="BE90" s="182">
        <f ca="1">IF($D90&lt;&gt;"Serviço",0,IF(OR(AND(AUTOEVENTO="Manual",$M90=1),$M90&gt;(ROW(PLE.lastrow)-ROW(PLE.firstrow))),0,IF(OFFSET(PLE!$G$14,$M90,BE$13)="",10^12,OFFSET(PLE!$G$14,$M90,BE$13))))</f>
        <v>1000000000000</v>
      </c>
      <c r="BF90" s="182">
        <f ca="1">IF($D90&lt;&gt;"Serviço",0,IF(OR(AND(AUTOEVENTO="Manual",$M90=1),$M90&gt;(ROW(PLE.lastrow)-ROW(PLE.firstrow))),0,IF(OFFSET(PLE!$G$14,$M90,BF$13)="",10^12,OFFSET(PLE!$G$14,$M90,BF$13))))</f>
        <v>1000000000000</v>
      </c>
      <c r="BG90" s="182">
        <f ca="1">IF($D90&lt;&gt;"Serviço",0,IF(OR(AND(AUTOEVENTO="Manual",$M90=1),$M90&gt;(ROW(PLE.lastrow)-ROW(PLE.firstrow))),0,IF(OFFSET(PLE!$G$14,$M90,BG$13)="",10^12,OFFSET(PLE!$G$14,$M90,BG$13))))</f>
        <v>1000000000000</v>
      </c>
    </row>
    <row r="91" spans="1:59" ht="38.25" x14ac:dyDescent="0.2">
      <c r="A91" s="7" t="str">
        <f t="shared" ca="1" si="9"/>
        <v>71</v>
      </c>
      <c r="B91" s="7" t="str">
        <f ca="1">OFFSET(ORÇAMENTO!C$15,ROW(B91)-ROW(B$15),0)</f>
        <v>S</v>
      </c>
      <c r="C91" s="7" t="str">
        <f ca="1">OFFSET(ORÇAMENTO!L$15,ROW(C91)-ROW(C$15),0)</f>
        <v>F</v>
      </c>
      <c r="D91" s="118" t="str">
        <f ca="1">OFFSET(ORÇAMENTO!N$15,ROW(D91)-ROW(D$15),0)</f>
        <v>Serviço</v>
      </c>
      <c r="E91" s="119" t="str">
        <f ca="1">OFFSET(ORÇAMENTO!O$15,ROW(E91)-ROW(E$15),0)</f>
        <v>1.6.1.4.</v>
      </c>
      <c r="F91" s="172" t="str">
        <f ca="1">OFFSET(ORÇAMENTO!R$15,ROW(F91)-ROW(F$15),0)</f>
        <v>(abra o arquivo 'Referência 03-2024.xlsm)</v>
      </c>
      <c r="G91" s="173" t="str">
        <f ca="1">IF($D91&lt;&gt;"Serviço","",OFFSET(ORÇAMENTO!S$15,ROW(G91)-ROW(G$15),0))</f>
        <v>-</v>
      </c>
      <c r="H91" s="124">
        <f ca="1">IF($D91&lt;&gt;"Serviço",0,IF(ACOMPANHAMENTO="BM",ROUND(OFFSET(ORÇAMENTO!AJ$15,ROW(H91)-ROW(H$15),0),15-13*ORÇAMENTO!$AF$7),SUMPRODUCT(($Q$12:$AA$12&lt;&gt;"")*ROUND($Q91:$AA91,15-13*ORÇAMENTO!$AF$7))))</f>
        <v>3.96</v>
      </c>
      <c r="I91" s="561"/>
      <c r="K91" s="174"/>
      <c r="L91" s="175" t="s">
        <v>255</v>
      </c>
      <c r="M91" s="176">
        <f ca="1">IF($D91&lt;&gt;"Serviço","",IF(AUTOEVENTO="manual",$A91,IF(ISERROR(MATCH($A91,$A$15:OFFSET($A91,-1,0),0)),MAX($M$15:OFFSET(M91,-1,0))+1,INDEX($M$15:OFFSET(M91,-1,0),MATCH($A91,$A$15:OFFSET($A91,-1,0),0)))))</f>
        <v>7</v>
      </c>
      <c r="N91" s="177" t="str">
        <f ca="1">IF($D91&lt;&gt;"Serviço","",IF(AUTOEVENTO="Manual",IF($A91=0,"&lt;-- defina o número do agrupador",OFFSET(EVENTOS!$D$14,$A91,0)),OFFSET($F$15,$A91,0)))</f>
        <v>SANITÁRIO PÚBLICO ACESSÍVEL</v>
      </c>
      <c r="O91" s="178"/>
      <c r="Q91" s="178"/>
      <c r="R91" s="179"/>
      <c r="S91" s="179"/>
      <c r="T91" s="179"/>
      <c r="U91" s="179"/>
      <c r="V91" s="179"/>
      <c r="W91" s="179"/>
      <c r="X91" s="179"/>
      <c r="Y91" s="179"/>
      <c r="Z91" s="180"/>
      <c r="AB91" s="544">
        <f ca="1">IF(AND($D91="Serviço",AB$12&lt;&gt;0,$H91&gt;0,OR(AUTOEVENTO&lt;&gt;"manual",$M91&lt;&gt;1)),
IF(Import.TipoArredondamento&lt;&gt;"TransfereGOV",
ROUND(OFFSET($P91,0,AB$13),15-13*ORÇAMENTO!$AF$7)/$H91*OFFSET(ORÇAMENTO!$X$15,ROW(AB91)-ROW(AB$15),0),
ROUND(ROUND(OFFSET($P91,0,AB$13),15-13*ORÇAMENTO!$AF$7)*OFFSET(ORÇAMENTO!$W$15,ROW(AB91)-ROW(AB$15),0),15-13*ORÇAMENTO!$AF$11)),0)</f>
        <v>0</v>
      </c>
      <c r="AC91" s="545">
        <f ca="1">IF(AND($D91="Serviço",AC$12&lt;&gt;0,$H91&gt;0,OR(AUTOEVENTO&lt;&gt;"manual",$M91&lt;&gt;1)),
IF(Import.TipoArredondamento&lt;&gt;"TransfereGOV",
ROUND(OFFSET($P91,0,AC$13),15-13*ORÇAMENTO!$AF$7)/$H91*OFFSET(ORÇAMENTO!$X$15,ROW(AC91)-ROW(AC$15),0),
ROUND(ROUND(OFFSET($P91,0,AC$13),15-13*ORÇAMENTO!$AF$7)*OFFSET(ORÇAMENTO!$W$15,ROW(AC91)-ROW(AC$15),0),15-13*ORÇAMENTO!$AF$11)),0)</f>
        <v>0</v>
      </c>
      <c r="AD91" s="545">
        <f ca="1">IF(AND($D91="Serviço",AD$12&lt;&gt;0,$H91&gt;0,OR(AUTOEVENTO&lt;&gt;"manual",$M91&lt;&gt;1)),
IF(Import.TipoArredondamento&lt;&gt;"TransfereGOV",
ROUND(OFFSET($P91,0,AD$13),15-13*ORÇAMENTO!$AF$7)/$H91*OFFSET(ORÇAMENTO!$X$15,ROW(AD91)-ROW(AD$15),0),
ROUND(ROUND(OFFSET($P91,0,AD$13),15-13*ORÇAMENTO!$AF$7)*OFFSET(ORÇAMENTO!$W$15,ROW(AD91)-ROW(AD$15),0),15-13*ORÇAMENTO!$AF$11)),0)</f>
        <v>0</v>
      </c>
      <c r="AE91" s="545">
        <f ca="1">IF(AND($D91="Serviço",AE$12&lt;&gt;0,$H91&gt;0,OR(AUTOEVENTO&lt;&gt;"manual",$M91&lt;&gt;1)),
IF(Import.TipoArredondamento&lt;&gt;"TransfereGOV",
ROUND(OFFSET($P91,0,AE$13),15-13*ORÇAMENTO!$AF$7)/$H91*OFFSET(ORÇAMENTO!$X$15,ROW(AE91)-ROW(AE$15),0),
ROUND(ROUND(OFFSET($P91,0,AE$13),15-13*ORÇAMENTO!$AF$7)*OFFSET(ORÇAMENTO!$W$15,ROW(AE91)-ROW(AE$15),0),15-13*ORÇAMENTO!$AF$11)),0)</f>
        <v>0</v>
      </c>
      <c r="AF91" s="545">
        <f ca="1">IF(AND($D91="Serviço",AF$12&lt;&gt;0,$H91&gt;0,OR(AUTOEVENTO&lt;&gt;"manual",$M91&lt;&gt;1)),
IF(Import.TipoArredondamento&lt;&gt;"TransfereGOV",
ROUND(OFFSET($P91,0,AF$13),15-13*ORÇAMENTO!$AF$7)/$H91*OFFSET(ORÇAMENTO!$X$15,ROW(AF91)-ROW(AF$15),0),
ROUND(ROUND(OFFSET($P91,0,AF$13),15-13*ORÇAMENTO!$AF$7)*OFFSET(ORÇAMENTO!$W$15,ROW(AF91)-ROW(AF$15),0),15-13*ORÇAMENTO!$AF$11)),0)</f>
        <v>0</v>
      </c>
      <c r="AG91" s="545">
        <f ca="1">IF(AND($D91="Serviço",AG$12&lt;&gt;0,$H91&gt;0,OR(AUTOEVENTO&lt;&gt;"manual",$M91&lt;&gt;1)),
IF(Import.TipoArredondamento&lt;&gt;"TransfereGOV",
ROUND(OFFSET($P91,0,AG$13),15-13*ORÇAMENTO!$AF$7)/$H91*OFFSET(ORÇAMENTO!$X$15,ROW(AG91)-ROW(AG$15),0),
ROUND(ROUND(OFFSET($P91,0,AG$13),15-13*ORÇAMENTO!$AF$7)*OFFSET(ORÇAMENTO!$W$15,ROW(AG91)-ROW(AG$15),0),15-13*ORÇAMENTO!$AF$11)),0)</f>
        <v>0</v>
      </c>
      <c r="AH91" s="545">
        <f ca="1">IF(AND($D91="Serviço",AH$12&lt;&gt;0,$H91&gt;0,OR(AUTOEVENTO&lt;&gt;"manual",$M91&lt;&gt;1)),
IF(Import.TipoArredondamento&lt;&gt;"TransfereGOV",
ROUND(OFFSET($P91,0,AH$13),15-13*ORÇAMENTO!$AF$7)/$H91*OFFSET(ORÇAMENTO!$X$15,ROW(AH91)-ROW(AH$15),0),
ROUND(ROUND(OFFSET($P91,0,AH$13),15-13*ORÇAMENTO!$AF$7)*OFFSET(ORÇAMENTO!$W$15,ROW(AH91)-ROW(AH$15),0),15-13*ORÇAMENTO!$AF$11)),0)</f>
        <v>0</v>
      </c>
      <c r="AI91" s="545">
        <f ca="1">IF(AND($D91="Serviço",AI$12&lt;&gt;0,$H91&gt;0,OR(AUTOEVENTO&lt;&gt;"manual",$M91&lt;&gt;1)),
IF(Import.TipoArredondamento&lt;&gt;"TransfereGOV",
ROUND(OFFSET($P91,0,AI$13),15-13*ORÇAMENTO!$AF$7)/$H91*OFFSET(ORÇAMENTO!$X$15,ROW(AI91)-ROW(AI$15),0),
ROUND(ROUND(OFFSET($P91,0,AI$13),15-13*ORÇAMENTO!$AF$7)*OFFSET(ORÇAMENTO!$W$15,ROW(AI91)-ROW(AI$15),0),15-13*ORÇAMENTO!$AF$11)),0)</f>
        <v>0</v>
      </c>
      <c r="AJ91" s="545">
        <f ca="1">IF(AND($D91="Serviço",AJ$12&lt;&gt;0,$H91&gt;0,OR(AUTOEVENTO&lt;&gt;"manual",$M91&lt;&gt;1)),
IF(Import.TipoArredondamento&lt;&gt;"TransfereGOV",
ROUND(OFFSET($P91,0,AJ$13),15-13*ORÇAMENTO!$AF$7)/$H91*OFFSET(ORÇAMENTO!$X$15,ROW(AJ91)-ROW(AJ$15),0),
ROUND(ROUND(OFFSET($P91,0,AJ$13),15-13*ORÇAMENTO!$AF$7)*OFFSET(ORÇAMENTO!$W$15,ROW(AJ91)-ROW(AJ$15),0),15-13*ORÇAMENTO!$AF$11)),0)</f>
        <v>0</v>
      </c>
      <c r="AK91" s="546">
        <f ca="1">IF(AND($D91="Serviço",AK$12&lt;&gt;0,$H91&gt;0,OR(AUTOEVENTO&lt;&gt;"manual",$M91&lt;&gt;1)),
IF(Import.TipoArredondamento&lt;&gt;"TransfereGOV",
ROUND(OFFSET($P91,0,AK$13),15-13*ORÇAMENTO!$AF$7)/$H91*OFFSET(ORÇAMENTO!$X$15,ROW(AK91)-ROW(AK$15),0),
ROUND(ROUND(OFFSET($P91,0,AK$13),15-13*ORÇAMENTO!$AF$7)*OFFSET(ORÇAMENTO!$W$15,ROW(AK91)-ROW(AK$15),0),15-13*ORÇAMENTO!$AF$11)),0)</f>
        <v>0</v>
      </c>
      <c r="AM91" s="181">
        <f ca="1">IF($D91&lt;&gt;"Serviço",0,IF(AND(AUTOEVENTO="Manual",$M91=1),0,IF(OFFSET(CRONOPLE!$F$14,$M91,AM$13)="",10^12,OFFSET(CRONOPLE!$F$14,$M91,AM$13))))</f>
        <v>1000000000000</v>
      </c>
      <c r="AN91" s="181">
        <f ca="1">IF($D91&lt;&gt;"Serviço",0,IF(AND(AUTOEVENTO="Manual",$M91=1),0,IF(OFFSET(CRONOPLE!$F$14,$M91,AN$13)="",10^12,OFFSET(CRONOPLE!$F$14,$M91,AN$13))))</f>
        <v>1000000000000</v>
      </c>
      <c r="AO91" s="181">
        <f ca="1">IF($D91&lt;&gt;"Serviço",0,IF(AND(AUTOEVENTO="Manual",$M91=1),0,IF(OFFSET(CRONOPLE!$F$14,$M91,AO$13)="",10^12,OFFSET(CRONOPLE!$F$14,$M91,AO$13))))</f>
        <v>1000000000000</v>
      </c>
      <c r="AP91" s="181">
        <f ca="1">IF($D91&lt;&gt;"Serviço",0,IF(AND(AUTOEVENTO="Manual",$M91=1),0,IF(OFFSET(CRONOPLE!$F$14,$M91,AP$13)="",10^12,OFFSET(CRONOPLE!$F$14,$M91,AP$13))))</f>
        <v>1000000000000</v>
      </c>
      <c r="AQ91" s="181">
        <f ca="1">IF($D91&lt;&gt;"Serviço",0,IF(AND(AUTOEVENTO="Manual",$M91=1),0,IF(OFFSET(CRONOPLE!$F$14,$M91,AQ$13)="",10^12,OFFSET(CRONOPLE!$F$14,$M91,AQ$13))))</f>
        <v>1000000000000</v>
      </c>
      <c r="AR91" s="181">
        <f ca="1">IF($D91&lt;&gt;"Serviço",0,IF(AND(AUTOEVENTO="Manual",$M91=1),0,IF(OFFSET(CRONOPLE!$F$14,$M91,AR$13)="",10^12,OFFSET(CRONOPLE!$F$14,$M91,AR$13))))</f>
        <v>1000000000000</v>
      </c>
      <c r="AS91" s="181">
        <f ca="1">IF($D91&lt;&gt;"Serviço",0,IF(AND(AUTOEVENTO="Manual",$M91=1),0,IF(OFFSET(CRONOPLE!$F$14,$M91,AS$13)="",10^12,OFFSET(CRONOPLE!$F$14,$M91,AS$13))))</f>
        <v>1000000000000</v>
      </c>
      <c r="AT91" s="181">
        <f ca="1">IF($D91&lt;&gt;"Serviço",0,IF(AND(AUTOEVENTO="Manual",$M91=1),0,IF(OFFSET(CRONOPLE!$F$14,$M91,AT$13)="",10^12,OFFSET(CRONOPLE!$F$14,$M91,AT$13))))</f>
        <v>1000000000000</v>
      </c>
      <c r="AU91" s="181">
        <f ca="1">IF($D91&lt;&gt;"Serviço",0,IF(AND(AUTOEVENTO="Manual",$M91=1),0,IF(OFFSET(CRONOPLE!$F$14,$M91,AU$13)="",10^12,OFFSET(CRONOPLE!$F$14,$M91,AU$13))))</f>
        <v>1000000000000</v>
      </c>
      <c r="AV91" s="181">
        <f ca="1">IF($D91&lt;&gt;"Serviço",0,IF(AND(AUTOEVENTO="Manual",$M91=1),0,IF(OFFSET(CRONOPLE!$F$14,$M91,AV$13)="",10^12,OFFSET(CRONOPLE!$F$14,$M91,AV$13))))</f>
        <v>1000000000000</v>
      </c>
      <c r="AX91" s="182">
        <f ca="1">IF($D91&lt;&gt;"Serviço",0,IF(OR(AND(AUTOEVENTO="Manual",$M91=1),$M91&gt;(ROW(PLE.lastrow)-ROW(PLE.firstrow))),0,IF(OFFSET(PLE!$G$14,$M91,AX$13)="",10^12,OFFSET(PLE!$G$14,$M91,AX$13))))</f>
        <v>1000000000000</v>
      </c>
      <c r="AY91" s="182">
        <f ca="1">IF($D91&lt;&gt;"Serviço",0,IF(OR(AND(AUTOEVENTO="Manual",$M91=1),$M91&gt;(ROW(PLE.lastrow)-ROW(PLE.firstrow))),0,IF(OFFSET(PLE!$G$14,$M91,AY$13)="",10^12,OFFSET(PLE!$G$14,$M91,AY$13))))</f>
        <v>1000000000000</v>
      </c>
      <c r="AZ91" s="182">
        <f ca="1">IF($D91&lt;&gt;"Serviço",0,IF(OR(AND(AUTOEVENTO="Manual",$M91=1),$M91&gt;(ROW(PLE.lastrow)-ROW(PLE.firstrow))),0,IF(OFFSET(PLE!$G$14,$M91,AZ$13)="",10^12,OFFSET(PLE!$G$14,$M91,AZ$13))))</f>
        <v>1000000000000</v>
      </c>
      <c r="BA91" s="182">
        <f ca="1">IF($D91&lt;&gt;"Serviço",0,IF(OR(AND(AUTOEVENTO="Manual",$M91=1),$M91&gt;(ROW(PLE.lastrow)-ROW(PLE.firstrow))),0,IF(OFFSET(PLE!$G$14,$M91,BA$13)="",10^12,OFFSET(PLE!$G$14,$M91,BA$13))))</f>
        <v>1000000000000</v>
      </c>
      <c r="BB91" s="182">
        <f ca="1">IF($D91&lt;&gt;"Serviço",0,IF(OR(AND(AUTOEVENTO="Manual",$M91=1),$M91&gt;(ROW(PLE.lastrow)-ROW(PLE.firstrow))),0,IF(OFFSET(PLE!$G$14,$M91,BB$13)="",10^12,OFFSET(PLE!$G$14,$M91,BB$13))))</f>
        <v>1000000000000</v>
      </c>
      <c r="BC91" s="182">
        <f ca="1">IF($D91&lt;&gt;"Serviço",0,IF(OR(AND(AUTOEVENTO="Manual",$M91=1),$M91&gt;(ROW(PLE.lastrow)-ROW(PLE.firstrow))),0,IF(OFFSET(PLE!$G$14,$M91,BC$13)="",10^12,OFFSET(PLE!$G$14,$M91,BC$13))))</f>
        <v>1000000000000</v>
      </c>
      <c r="BD91" s="182">
        <f ca="1">IF($D91&lt;&gt;"Serviço",0,IF(OR(AND(AUTOEVENTO="Manual",$M91=1),$M91&gt;(ROW(PLE.lastrow)-ROW(PLE.firstrow))),0,IF(OFFSET(PLE!$G$14,$M91,BD$13)="",10^12,OFFSET(PLE!$G$14,$M91,BD$13))))</f>
        <v>1000000000000</v>
      </c>
      <c r="BE91" s="182">
        <f ca="1">IF($D91&lt;&gt;"Serviço",0,IF(OR(AND(AUTOEVENTO="Manual",$M91=1),$M91&gt;(ROW(PLE.lastrow)-ROW(PLE.firstrow))),0,IF(OFFSET(PLE!$G$14,$M91,BE$13)="",10^12,OFFSET(PLE!$G$14,$M91,BE$13))))</f>
        <v>1000000000000</v>
      </c>
      <c r="BF91" s="182">
        <f ca="1">IF($D91&lt;&gt;"Serviço",0,IF(OR(AND(AUTOEVENTO="Manual",$M91=1),$M91&gt;(ROW(PLE.lastrow)-ROW(PLE.firstrow))),0,IF(OFFSET(PLE!$G$14,$M91,BF$13)="",10^12,OFFSET(PLE!$G$14,$M91,BF$13))))</f>
        <v>1000000000000</v>
      </c>
      <c r="BG91" s="182">
        <f ca="1">IF($D91&lt;&gt;"Serviço",0,IF(OR(AND(AUTOEVENTO="Manual",$M91=1),$M91&gt;(ROW(PLE.lastrow)-ROW(PLE.firstrow))),0,IF(OFFSET(PLE!$G$14,$M91,BG$13)="",10^12,OFFSET(PLE!$G$14,$M91,BG$13))))</f>
        <v>1000000000000</v>
      </c>
    </row>
    <row r="92" spans="1:59" ht="51" x14ac:dyDescent="0.2">
      <c r="A92" s="7" t="str">
        <f t="shared" ca="1" si="9"/>
        <v>71</v>
      </c>
      <c r="B92" s="7" t="str">
        <f ca="1">OFFSET(ORÇAMENTO!C$15,ROW(B92)-ROW(B$15),0)</f>
        <v>S</v>
      </c>
      <c r="C92" s="7" t="str">
        <f ca="1">OFFSET(ORÇAMENTO!L$15,ROW(C92)-ROW(C$15),0)</f>
        <v>F</v>
      </c>
      <c r="D92" s="118" t="str">
        <f ca="1">OFFSET(ORÇAMENTO!N$15,ROW(D92)-ROW(D$15),0)</f>
        <v>Serviço</v>
      </c>
      <c r="E92" s="119" t="str">
        <f ca="1">OFFSET(ORÇAMENTO!O$15,ROW(E92)-ROW(E$15),0)</f>
        <v>1.6.1.5.</v>
      </c>
      <c r="F92" s="172" t="str">
        <f ca="1">OFFSET(ORÇAMENTO!R$15,ROW(F92)-ROW(F$15),0)</f>
        <v>(abra o arquivo 'Referência 03-2024.xlsm)</v>
      </c>
      <c r="G92" s="173" t="str">
        <f ca="1">IF($D92&lt;&gt;"Serviço","",OFFSET(ORÇAMENTO!S$15,ROW(G92)-ROW(G$15),0))</f>
        <v>-</v>
      </c>
      <c r="H92" s="124">
        <f ca="1">IF($D92&lt;&gt;"Serviço",0,IF(ACOMPANHAMENTO="BM",ROUND(OFFSET(ORÇAMENTO!AJ$15,ROW(H92)-ROW(H$15),0),15-13*ORÇAMENTO!$AF$7),SUMPRODUCT(($Q$12:$AA$12&lt;&gt;"")*ROUND($Q92:$AA92,15-13*ORÇAMENTO!$AF$7))))</f>
        <v>0.4</v>
      </c>
      <c r="I92" s="561"/>
      <c r="K92" s="174"/>
      <c r="L92" s="175" t="s">
        <v>255</v>
      </c>
      <c r="M92" s="176">
        <f ca="1">IF($D92&lt;&gt;"Serviço","",IF(AUTOEVENTO="manual",$A92,IF(ISERROR(MATCH($A92,$A$15:OFFSET($A92,-1,0),0)),MAX($M$15:OFFSET(M92,-1,0))+1,INDEX($M$15:OFFSET(M92,-1,0),MATCH($A92,$A$15:OFFSET($A92,-1,0),0)))))</f>
        <v>7</v>
      </c>
      <c r="N92" s="177" t="str">
        <f ca="1">IF($D92&lt;&gt;"Serviço","",IF(AUTOEVENTO="Manual",IF($A92=0,"&lt;-- defina o número do agrupador",OFFSET(EVENTOS!$D$14,$A92,0)),OFFSET($F$15,$A92,0)))</f>
        <v>SANITÁRIO PÚBLICO ACESSÍVEL</v>
      </c>
      <c r="O92" s="178"/>
      <c r="Q92" s="178"/>
      <c r="R92" s="179"/>
      <c r="S92" s="179"/>
      <c r="T92" s="179"/>
      <c r="U92" s="179"/>
      <c r="V92" s="179"/>
      <c r="W92" s="179"/>
      <c r="X92" s="179"/>
      <c r="Y92" s="179"/>
      <c r="Z92" s="180"/>
      <c r="AB92" s="544">
        <f ca="1">IF(AND($D92="Serviço",AB$12&lt;&gt;0,$H92&gt;0,OR(AUTOEVENTO&lt;&gt;"manual",$M92&lt;&gt;1)),
IF(Import.TipoArredondamento&lt;&gt;"TransfereGOV",
ROUND(OFFSET($P92,0,AB$13),15-13*ORÇAMENTO!$AF$7)/$H92*OFFSET(ORÇAMENTO!$X$15,ROW(AB92)-ROW(AB$15),0),
ROUND(ROUND(OFFSET($P92,0,AB$13),15-13*ORÇAMENTO!$AF$7)*OFFSET(ORÇAMENTO!$W$15,ROW(AB92)-ROW(AB$15),0),15-13*ORÇAMENTO!$AF$11)),0)</f>
        <v>0</v>
      </c>
      <c r="AC92" s="545">
        <f ca="1">IF(AND($D92="Serviço",AC$12&lt;&gt;0,$H92&gt;0,OR(AUTOEVENTO&lt;&gt;"manual",$M92&lt;&gt;1)),
IF(Import.TipoArredondamento&lt;&gt;"TransfereGOV",
ROUND(OFFSET($P92,0,AC$13),15-13*ORÇAMENTO!$AF$7)/$H92*OFFSET(ORÇAMENTO!$X$15,ROW(AC92)-ROW(AC$15),0),
ROUND(ROUND(OFFSET($P92,0,AC$13),15-13*ORÇAMENTO!$AF$7)*OFFSET(ORÇAMENTO!$W$15,ROW(AC92)-ROW(AC$15),0),15-13*ORÇAMENTO!$AF$11)),0)</f>
        <v>0</v>
      </c>
      <c r="AD92" s="545">
        <f ca="1">IF(AND($D92="Serviço",AD$12&lt;&gt;0,$H92&gt;0,OR(AUTOEVENTO&lt;&gt;"manual",$M92&lt;&gt;1)),
IF(Import.TipoArredondamento&lt;&gt;"TransfereGOV",
ROUND(OFFSET($P92,0,AD$13),15-13*ORÇAMENTO!$AF$7)/$H92*OFFSET(ORÇAMENTO!$X$15,ROW(AD92)-ROW(AD$15),0),
ROUND(ROUND(OFFSET($P92,0,AD$13),15-13*ORÇAMENTO!$AF$7)*OFFSET(ORÇAMENTO!$W$15,ROW(AD92)-ROW(AD$15),0),15-13*ORÇAMENTO!$AF$11)),0)</f>
        <v>0</v>
      </c>
      <c r="AE92" s="545">
        <f ca="1">IF(AND($D92="Serviço",AE$12&lt;&gt;0,$H92&gt;0,OR(AUTOEVENTO&lt;&gt;"manual",$M92&lt;&gt;1)),
IF(Import.TipoArredondamento&lt;&gt;"TransfereGOV",
ROUND(OFFSET($P92,0,AE$13),15-13*ORÇAMENTO!$AF$7)/$H92*OFFSET(ORÇAMENTO!$X$15,ROW(AE92)-ROW(AE$15),0),
ROUND(ROUND(OFFSET($P92,0,AE$13),15-13*ORÇAMENTO!$AF$7)*OFFSET(ORÇAMENTO!$W$15,ROW(AE92)-ROW(AE$15),0),15-13*ORÇAMENTO!$AF$11)),0)</f>
        <v>0</v>
      </c>
      <c r="AF92" s="545">
        <f ca="1">IF(AND($D92="Serviço",AF$12&lt;&gt;0,$H92&gt;0,OR(AUTOEVENTO&lt;&gt;"manual",$M92&lt;&gt;1)),
IF(Import.TipoArredondamento&lt;&gt;"TransfereGOV",
ROUND(OFFSET($P92,0,AF$13),15-13*ORÇAMENTO!$AF$7)/$H92*OFFSET(ORÇAMENTO!$X$15,ROW(AF92)-ROW(AF$15),0),
ROUND(ROUND(OFFSET($P92,0,AF$13),15-13*ORÇAMENTO!$AF$7)*OFFSET(ORÇAMENTO!$W$15,ROW(AF92)-ROW(AF$15),0),15-13*ORÇAMENTO!$AF$11)),0)</f>
        <v>0</v>
      </c>
      <c r="AG92" s="545">
        <f ca="1">IF(AND($D92="Serviço",AG$12&lt;&gt;0,$H92&gt;0,OR(AUTOEVENTO&lt;&gt;"manual",$M92&lt;&gt;1)),
IF(Import.TipoArredondamento&lt;&gt;"TransfereGOV",
ROUND(OFFSET($P92,0,AG$13),15-13*ORÇAMENTO!$AF$7)/$H92*OFFSET(ORÇAMENTO!$X$15,ROW(AG92)-ROW(AG$15),0),
ROUND(ROUND(OFFSET($P92,0,AG$13),15-13*ORÇAMENTO!$AF$7)*OFFSET(ORÇAMENTO!$W$15,ROW(AG92)-ROW(AG$15),0),15-13*ORÇAMENTO!$AF$11)),0)</f>
        <v>0</v>
      </c>
      <c r="AH92" s="545">
        <f ca="1">IF(AND($D92="Serviço",AH$12&lt;&gt;0,$H92&gt;0,OR(AUTOEVENTO&lt;&gt;"manual",$M92&lt;&gt;1)),
IF(Import.TipoArredondamento&lt;&gt;"TransfereGOV",
ROUND(OFFSET($P92,0,AH$13),15-13*ORÇAMENTO!$AF$7)/$H92*OFFSET(ORÇAMENTO!$X$15,ROW(AH92)-ROW(AH$15),0),
ROUND(ROUND(OFFSET($P92,0,AH$13),15-13*ORÇAMENTO!$AF$7)*OFFSET(ORÇAMENTO!$W$15,ROW(AH92)-ROW(AH$15),0),15-13*ORÇAMENTO!$AF$11)),0)</f>
        <v>0</v>
      </c>
      <c r="AI92" s="545">
        <f ca="1">IF(AND($D92="Serviço",AI$12&lt;&gt;0,$H92&gt;0,OR(AUTOEVENTO&lt;&gt;"manual",$M92&lt;&gt;1)),
IF(Import.TipoArredondamento&lt;&gt;"TransfereGOV",
ROUND(OFFSET($P92,0,AI$13),15-13*ORÇAMENTO!$AF$7)/$H92*OFFSET(ORÇAMENTO!$X$15,ROW(AI92)-ROW(AI$15),0),
ROUND(ROUND(OFFSET($P92,0,AI$13),15-13*ORÇAMENTO!$AF$7)*OFFSET(ORÇAMENTO!$W$15,ROW(AI92)-ROW(AI$15),0),15-13*ORÇAMENTO!$AF$11)),0)</f>
        <v>0</v>
      </c>
      <c r="AJ92" s="545">
        <f ca="1">IF(AND($D92="Serviço",AJ$12&lt;&gt;0,$H92&gt;0,OR(AUTOEVENTO&lt;&gt;"manual",$M92&lt;&gt;1)),
IF(Import.TipoArredondamento&lt;&gt;"TransfereGOV",
ROUND(OFFSET($P92,0,AJ$13),15-13*ORÇAMENTO!$AF$7)/$H92*OFFSET(ORÇAMENTO!$X$15,ROW(AJ92)-ROW(AJ$15),0),
ROUND(ROUND(OFFSET($P92,0,AJ$13),15-13*ORÇAMENTO!$AF$7)*OFFSET(ORÇAMENTO!$W$15,ROW(AJ92)-ROW(AJ$15),0),15-13*ORÇAMENTO!$AF$11)),0)</f>
        <v>0</v>
      </c>
      <c r="AK92" s="546">
        <f ca="1">IF(AND($D92="Serviço",AK$12&lt;&gt;0,$H92&gt;0,OR(AUTOEVENTO&lt;&gt;"manual",$M92&lt;&gt;1)),
IF(Import.TipoArredondamento&lt;&gt;"TransfereGOV",
ROUND(OFFSET($P92,0,AK$13),15-13*ORÇAMENTO!$AF$7)/$H92*OFFSET(ORÇAMENTO!$X$15,ROW(AK92)-ROW(AK$15),0),
ROUND(ROUND(OFFSET($P92,0,AK$13),15-13*ORÇAMENTO!$AF$7)*OFFSET(ORÇAMENTO!$W$15,ROW(AK92)-ROW(AK$15),0),15-13*ORÇAMENTO!$AF$11)),0)</f>
        <v>0</v>
      </c>
      <c r="AM92" s="181">
        <f ca="1">IF($D92&lt;&gt;"Serviço",0,IF(AND(AUTOEVENTO="Manual",$M92=1),0,IF(OFFSET(CRONOPLE!$F$14,$M92,AM$13)="",10^12,OFFSET(CRONOPLE!$F$14,$M92,AM$13))))</f>
        <v>1000000000000</v>
      </c>
      <c r="AN92" s="181">
        <f ca="1">IF($D92&lt;&gt;"Serviço",0,IF(AND(AUTOEVENTO="Manual",$M92=1),0,IF(OFFSET(CRONOPLE!$F$14,$M92,AN$13)="",10^12,OFFSET(CRONOPLE!$F$14,$M92,AN$13))))</f>
        <v>1000000000000</v>
      </c>
      <c r="AO92" s="181">
        <f ca="1">IF($D92&lt;&gt;"Serviço",0,IF(AND(AUTOEVENTO="Manual",$M92=1),0,IF(OFFSET(CRONOPLE!$F$14,$M92,AO$13)="",10^12,OFFSET(CRONOPLE!$F$14,$M92,AO$13))))</f>
        <v>1000000000000</v>
      </c>
      <c r="AP92" s="181">
        <f ca="1">IF($D92&lt;&gt;"Serviço",0,IF(AND(AUTOEVENTO="Manual",$M92=1),0,IF(OFFSET(CRONOPLE!$F$14,$M92,AP$13)="",10^12,OFFSET(CRONOPLE!$F$14,$M92,AP$13))))</f>
        <v>1000000000000</v>
      </c>
      <c r="AQ92" s="181">
        <f ca="1">IF($D92&lt;&gt;"Serviço",0,IF(AND(AUTOEVENTO="Manual",$M92=1),0,IF(OFFSET(CRONOPLE!$F$14,$M92,AQ$13)="",10^12,OFFSET(CRONOPLE!$F$14,$M92,AQ$13))))</f>
        <v>1000000000000</v>
      </c>
      <c r="AR92" s="181">
        <f ca="1">IF($D92&lt;&gt;"Serviço",0,IF(AND(AUTOEVENTO="Manual",$M92=1),0,IF(OFFSET(CRONOPLE!$F$14,$M92,AR$13)="",10^12,OFFSET(CRONOPLE!$F$14,$M92,AR$13))))</f>
        <v>1000000000000</v>
      </c>
      <c r="AS92" s="181">
        <f ca="1">IF($D92&lt;&gt;"Serviço",0,IF(AND(AUTOEVENTO="Manual",$M92=1),0,IF(OFFSET(CRONOPLE!$F$14,$M92,AS$13)="",10^12,OFFSET(CRONOPLE!$F$14,$M92,AS$13))))</f>
        <v>1000000000000</v>
      </c>
      <c r="AT92" s="181">
        <f ca="1">IF($D92&lt;&gt;"Serviço",0,IF(AND(AUTOEVENTO="Manual",$M92=1),0,IF(OFFSET(CRONOPLE!$F$14,$M92,AT$13)="",10^12,OFFSET(CRONOPLE!$F$14,$M92,AT$13))))</f>
        <v>1000000000000</v>
      </c>
      <c r="AU92" s="181">
        <f ca="1">IF($D92&lt;&gt;"Serviço",0,IF(AND(AUTOEVENTO="Manual",$M92=1),0,IF(OFFSET(CRONOPLE!$F$14,$M92,AU$13)="",10^12,OFFSET(CRONOPLE!$F$14,$M92,AU$13))))</f>
        <v>1000000000000</v>
      </c>
      <c r="AV92" s="181">
        <f ca="1">IF($D92&lt;&gt;"Serviço",0,IF(AND(AUTOEVENTO="Manual",$M92=1),0,IF(OFFSET(CRONOPLE!$F$14,$M92,AV$13)="",10^12,OFFSET(CRONOPLE!$F$14,$M92,AV$13))))</f>
        <v>1000000000000</v>
      </c>
      <c r="AX92" s="182">
        <f ca="1">IF($D92&lt;&gt;"Serviço",0,IF(OR(AND(AUTOEVENTO="Manual",$M92=1),$M92&gt;(ROW(PLE.lastrow)-ROW(PLE.firstrow))),0,IF(OFFSET(PLE!$G$14,$M92,AX$13)="",10^12,OFFSET(PLE!$G$14,$M92,AX$13))))</f>
        <v>1000000000000</v>
      </c>
      <c r="AY92" s="182">
        <f ca="1">IF($D92&lt;&gt;"Serviço",0,IF(OR(AND(AUTOEVENTO="Manual",$M92=1),$M92&gt;(ROW(PLE.lastrow)-ROW(PLE.firstrow))),0,IF(OFFSET(PLE!$G$14,$M92,AY$13)="",10^12,OFFSET(PLE!$G$14,$M92,AY$13))))</f>
        <v>1000000000000</v>
      </c>
      <c r="AZ92" s="182">
        <f ca="1">IF($D92&lt;&gt;"Serviço",0,IF(OR(AND(AUTOEVENTO="Manual",$M92=1),$M92&gt;(ROW(PLE.lastrow)-ROW(PLE.firstrow))),0,IF(OFFSET(PLE!$G$14,$M92,AZ$13)="",10^12,OFFSET(PLE!$G$14,$M92,AZ$13))))</f>
        <v>1000000000000</v>
      </c>
      <c r="BA92" s="182">
        <f ca="1">IF($D92&lt;&gt;"Serviço",0,IF(OR(AND(AUTOEVENTO="Manual",$M92=1),$M92&gt;(ROW(PLE.lastrow)-ROW(PLE.firstrow))),0,IF(OFFSET(PLE!$G$14,$M92,BA$13)="",10^12,OFFSET(PLE!$G$14,$M92,BA$13))))</f>
        <v>1000000000000</v>
      </c>
      <c r="BB92" s="182">
        <f ca="1">IF($D92&lt;&gt;"Serviço",0,IF(OR(AND(AUTOEVENTO="Manual",$M92=1),$M92&gt;(ROW(PLE.lastrow)-ROW(PLE.firstrow))),0,IF(OFFSET(PLE!$G$14,$M92,BB$13)="",10^12,OFFSET(PLE!$G$14,$M92,BB$13))))</f>
        <v>1000000000000</v>
      </c>
      <c r="BC92" s="182">
        <f ca="1">IF($D92&lt;&gt;"Serviço",0,IF(OR(AND(AUTOEVENTO="Manual",$M92=1),$M92&gt;(ROW(PLE.lastrow)-ROW(PLE.firstrow))),0,IF(OFFSET(PLE!$G$14,$M92,BC$13)="",10^12,OFFSET(PLE!$G$14,$M92,BC$13))))</f>
        <v>1000000000000</v>
      </c>
      <c r="BD92" s="182">
        <f ca="1">IF($D92&lt;&gt;"Serviço",0,IF(OR(AND(AUTOEVENTO="Manual",$M92=1),$M92&gt;(ROW(PLE.lastrow)-ROW(PLE.firstrow))),0,IF(OFFSET(PLE!$G$14,$M92,BD$13)="",10^12,OFFSET(PLE!$G$14,$M92,BD$13))))</f>
        <v>1000000000000</v>
      </c>
      <c r="BE92" s="182">
        <f ca="1">IF($D92&lt;&gt;"Serviço",0,IF(OR(AND(AUTOEVENTO="Manual",$M92=1),$M92&gt;(ROW(PLE.lastrow)-ROW(PLE.firstrow))),0,IF(OFFSET(PLE!$G$14,$M92,BE$13)="",10^12,OFFSET(PLE!$G$14,$M92,BE$13))))</f>
        <v>1000000000000</v>
      </c>
      <c r="BF92" s="182">
        <f ca="1">IF($D92&lt;&gt;"Serviço",0,IF(OR(AND(AUTOEVENTO="Manual",$M92=1),$M92&gt;(ROW(PLE.lastrow)-ROW(PLE.firstrow))),0,IF(OFFSET(PLE!$G$14,$M92,BF$13)="",10^12,OFFSET(PLE!$G$14,$M92,BF$13))))</f>
        <v>1000000000000</v>
      </c>
      <c r="BG92" s="182">
        <f ca="1">IF($D92&lt;&gt;"Serviço",0,IF(OR(AND(AUTOEVENTO="Manual",$M92=1),$M92&gt;(ROW(PLE.lastrow)-ROW(PLE.firstrow))),0,IF(OFFSET(PLE!$G$14,$M92,BG$13)="",10^12,OFFSET(PLE!$G$14,$M92,BG$13))))</f>
        <v>1000000000000</v>
      </c>
    </row>
    <row r="93" spans="1:59" ht="38.25" x14ac:dyDescent="0.2">
      <c r="A93" s="7" t="str">
        <f t="shared" ca="1" si="9"/>
        <v>71</v>
      </c>
      <c r="B93" s="7" t="str">
        <f ca="1">OFFSET(ORÇAMENTO!C$15,ROW(B93)-ROW(B$15),0)</f>
        <v>S</v>
      </c>
      <c r="C93" s="7" t="str">
        <f ca="1">OFFSET(ORÇAMENTO!L$15,ROW(C93)-ROW(C$15),0)</f>
        <v>F</v>
      </c>
      <c r="D93" s="118" t="str">
        <f ca="1">OFFSET(ORÇAMENTO!N$15,ROW(D93)-ROW(D$15),0)</f>
        <v>Serviço</v>
      </c>
      <c r="E93" s="119" t="str">
        <f ca="1">OFFSET(ORÇAMENTO!O$15,ROW(E93)-ROW(E$15),0)</f>
        <v>1.6.1.6.</v>
      </c>
      <c r="F93" s="172" t="str">
        <f ca="1">OFFSET(ORÇAMENTO!R$15,ROW(F93)-ROW(F$15),0)</f>
        <v>(abra o arquivo 'Referência 03-2024.xlsm)</v>
      </c>
      <c r="G93" s="173" t="str">
        <f ca="1">IF($D93&lt;&gt;"Serviço","",OFFSET(ORÇAMENTO!S$15,ROW(G93)-ROW(G$15),0))</f>
        <v>-</v>
      </c>
      <c r="H93" s="124">
        <f ca="1">IF($D93&lt;&gt;"Serviço",0,IF(ACOMPANHAMENTO="BM",ROUND(OFFSET(ORÇAMENTO!AJ$15,ROW(H93)-ROW(H$15),0),15-13*ORÇAMENTO!$AF$7),SUMPRODUCT(($Q$12:$AA$12&lt;&gt;"")*ROUND($Q93:$AA93,15-13*ORÇAMENTO!$AF$7))))</f>
        <v>15.18</v>
      </c>
      <c r="I93" s="561"/>
      <c r="K93" s="174"/>
      <c r="L93" s="175" t="s">
        <v>255</v>
      </c>
      <c r="M93" s="176">
        <f ca="1">IF($D93&lt;&gt;"Serviço","",IF(AUTOEVENTO="manual",$A93,IF(ISERROR(MATCH($A93,$A$15:OFFSET($A93,-1,0),0)),MAX($M$15:OFFSET(M93,-1,0))+1,INDEX($M$15:OFFSET(M93,-1,0),MATCH($A93,$A$15:OFFSET($A93,-1,0),0)))))</f>
        <v>7</v>
      </c>
      <c r="N93" s="177" t="str">
        <f ca="1">IF($D93&lt;&gt;"Serviço","",IF(AUTOEVENTO="Manual",IF($A93=0,"&lt;-- defina o número do agrupador",OFFSET(EVENTOS!$D$14,$A93,0)),OFFSET($F$15,$A93,0)))</f>
        <v>SANITÁRIO PÚBLICO ACESSÍVEL</v>
      </c>
      <c r="O93" s="178"/>
      <c r="Q93" s="178"/>
      <c r="R93" s="179"/>
      <c r="S93" s="179"/>
      <c r="T93" s="179"/>
      <c r="U93" s="179"/>
      <c r="V93" s="179"/>
      <c r="W93" s="179"/>
      <c r="X93" s="179"/>
      <c r="Y93" s="179"/>
      <c r="Z93" s="180"/>
      <c r="AB93" s="544">
        <f ca="1">IF(AND($D93="Serviço",AB$12&lt;&gt;0,$H93&gt;0,OR(AUTOEVENTO&lt;&gt;"manual",$M93&lt;&gt;1)),
IF(Import.TipoArredondamento&lt;&gt;"TransfereGOV",
ROUND(OFFSET($P93,0,AB$13),15-13*ORÇAMENTO!$AF$7)/$H93*OFFSET(ORÇAMENTO!$X$15,ROW(AB93)-ROW(AB$15),0),
ROUND(ROUND(OFFSET($P93,0,AB$13),15-13*ORÇAMENTO!$AF$7)*OFFSET(ORÇAMENTO!$W$15,ROW(AB93)-ROW(AB$15),0),15-13*ORÇAMENTO!$AF$11)),0)</f>
        <v>0</v>
      </c>
      <c r="AC93" s="545">
        <f ca="1">IF(AND($D93="Serviço",AC$12&lt;&gt;0,$H93&gt;0,OR(AUTOEVENTO&lt;&gt;"manual",$M93&lt;&gt;1)),
IF(Import.TipoArredondamento&lt;&gt;"TransfereGOV",
ROUND(OFFSET($P93,0,AC$13),15-13*ORÇAMENTO!$AF$7)/$H93*OFFSET(ORÇAMENTO!$X$15,ROW(AC93)-ROW(AC$15),0),
ROUND(ROUND(OFFSET($P93,0,AC$13),15-13*ORÇAMENTO!$AF$7)*OFFSET(ORÇAMENTO!$W$15,ROW(AC93)-ROW(AC$15),0),15-13*ORÇAMENTO!$AF$11)),0)</f>
        <v>0</v>
      </c>
      <c r="AD93" s="545">
        <f ca="1">IF(AND($D93="Serviço",AD$12&lt;&gt;0,$H93&gt;0,OR(AUTOEVENTO&lt;&gt;"manual",$M93&lt;&gt;1)),
IF(Import.TipoArredondamento&lt;&gt;"TransfereGOV",
ROUND(OFFSET($P93,0,AD$13),15-13*ORÇAMENTO!$AF$7)/$H93*OFFSET(ORÇAMENTO!$X$15,ROW(AD93)-ROW(AD$15),0),
ROUND(ROUND(OFFSET($P93,0,AD$13),15-13*ORÇAMENTO!$AF$7)*OFFSET(ORÇAMENTO!$W$15,ROW(AD93)-ROW(AD$15),0),15-13*ORÇAMENTO!$AF$11)),0)</f>
        <v>0</v>
      </c>
      <c r="AE93" s="545">
        <f ca="1">IF(AND($D93="Serviço",AE$12&lt;&gt;0,$H93&gt;0,OR(AUTOEVENTO&lt;&gt;"manual",$M93&lt;&gt;1)),
IF(Import.TipoArredondamento&lt;&gt;"TransfereGOV",
ROUND(OFFSET($P93,0,AE$13),15-13*ORÇAMENTO!$AF$7)/$H93*OFFSET(ORÇAMENTO!$X$15,ROW(AE93)-ROW(AE$15),0),
ROUND(ROUND(OFFSET($P93,0,AE$13),15-13*ORÇAMENTO!$AF$7)*OFFSET(ORÇAMENTO!$W$15,ROW(AE93)-ROW(AE$15),0),15-13*ORÇAMENTO!$AF$11)),0)</f>
        <v>0</v>
      </c>
      <c r="AF93" s="545">
        <f ca="1">IF(AND($D93="Serviço",AF$12&lt;&gt;0,$H93&gt;0,OR(AUTOEVENTO&lt;&gt;"manual",$M93&lt;&gt;1)),
IF(Import.TipoArredondamento&lt;&gt;"TransfereGOV",
ROUND(OFFSET($P93,0,AF$13),15-13*ORÇAMENTO!$AF$7)/$H93*OFFSET(ORÇAMENTO!$X$15,ROW(AF93)-ROW(AF$15),0),
ROUND(ROUND(OFFSET($P93,0,AF$13),15-13*ORÇAMENTO!$AF$7)*OFFSET(ORÇAMENTO!$W$15,ROW(AF93)-ROW(AF$15),0),15-13*ORÇAMENTO!$AF$11)),0)</f>
        <v>0</v>
      </c>
      <c r="AG93" s="545">
        <f ca="1">IF(AND($D93="Serviço",AG$12&lt;&gt;0,$H93&gt;0,OR(AUTOEVENTO&lt;&gt;"manual",$M93&lt;&gt;1)),
IF(Import.TipoArredondamento&lt;&gt;"TransfereGOV",
ROUND(OFFSET($P93,0,AG$13),15-13*ORÇAMENTO!$AF$7)/$H93*OFFSET(ORÇAMENTO!$X$15,ROW(AG93)-ROW(AG$15),0),
ROUND(ROUND(OFFSET($P93,0,AG$13),15-13*ORÇAMENTO!$AF$7)*OFFSET(ORÇAMENTO!$W$15,ROW(AG93)-ROW(AG$15),0),15-13*ORÇAMENTO!$AF$11)),0)</f>
        <v>0</v>
      </c>
      <c r="AH93" s="545">
        <f ca="1">IF(AND($D93="Serviço",AH$12&lt;&gt;0,$H93&gt;0,OR(AUTOEVENTO&lt;&gt;"manual",$M93&lt;&gt;1)),
IF(Import.TipoArredondamento&lt;&gt;"TransfereGOV",
ROUND(OFFSET($P93,0,AH$13),15-13*ORÇAMENTO!$AF$7)/$H93*OFFSET(ORÇAMENTO!$X$15,ROW(AH93)-ROW(AH$15),0),
ROUND(ROUND(OFFSET($P93,0,AH$13),15-13*ORÇAMENTO!$AF$7)*OFFSET(ORÇAMENTO!$W$15,ROW(AH93)-ROW(AH$15),0),15-13*ORÇAMENTO!$AF$11)),0)</f>
        <v>0</v>
      </c>
      <c r="AI93" s="545">
        <f ca="1">IF(AND($D93="Serviço",AI$12&lt;&gt;0,$H93&gt;0,OR(AUTOEVENTO&lt;&gt;"manual",$M93&lt;&gt;1)),
IF(Import.TipoArredondamento&lt;&gt;"TransfereGOV",
ROUND(OFFSET($P93,0,AI$13),15-13*ORÇAMENTO!$AF$7)/$H93*OFFSET(ORÇAMENTO!$X$15,ROW(AI93)-ROW(AI$15),0),
ROUND(ROUND(OFFSET($P93,0,AI$13),15-13*ORÇAMENTO!$AF$7)*OFFSET(ORÇAMENTO!$W$15,ROW(AI93)-ROW(AI$15),0),15-13*ORÇAMENTO!$AF$11)),0)</f>
        <v>0</v>
      </c>
      <c r="AJ93" s="545">
        <f ca="1">IF(AND($D93="Serviço",AJ$12&lt;&gt;0,$H93&gt;0,OR(AUTOEVENTO&lt;&gt;"manual",$M93&lt;&gt;1)),
IF(Import.TipoArredondamento&lt;&gt;"TransfereGOV",
ROUND(OFFSET($P93,0,AJ$13),15-13*ORÇAMENTO!$AF$7)/$H93*OFFSET(ORÇAMENTO!$X$15,ROW(AJ93)-ROW(AJ$15),0),
ROUND(ROUND(OFFSET($P93,0,AJ$13),15-13*ORÇAMENTO!$AF$7)*OFFSET(ORÇAMENTO!$W$15,ROW(AJ93)-ROW(AJ$15),0),15-13*ORÇAMENTO!$AF$11)),0)</f>
        <v>0</v>
      </c>
      <c r="AK93" s="546">
        <f ca="1">IF(AND($D93="Serviço",AK$12&lt;&gt;0,$H93&gt;0,OR(AUTOEVENTO&lt;&gt;"manual",$M93&lt;&gt;1)),
IF(Import.TipoArredondamento&lt;&gt;"TransfereGOV",
ROUND(OFFSET($P93,0,AK$13),15-13*ORÇAMENTO!$AF$7)/$H93*OFFSET(ORÇAMENTO!$X$15,ROW(AK93)-ROW(AK$15),0),
ROUND(ROUND(OFFSET($P93,0,AK$13),15-13*ORÇAMENTO!$AF$7)*OFFSET(ORÇAMENTO!$W$15,ROW(AK93)-ROW(AK$15),0),15-13*ORÇAMENTO!$AF$11)),0)</f>
        <v>0</v>
      </c>
      <c r="AM93" s="181">
        <f ca="1">IF($D93&lt;&gt;"Serviço",0,IF(AND(AUTOEVENTO="Manual",$M93=1),0,IF(OFFSET(CRONOPLE!$F$14,$M93,AM$13)="",10^12,OFFSET(CRONOPLE!$F$14,$M93,AM$13))))</f>
        <v>1000000000000</v>
      </c>
      <c r="AN93" s="181">
        <f ca="1">IF($D93&lt;&gt;"Serviço",0,IF(AND(AUTOEVENTO="Manual",$M93=1),0,IF(OFFSET(CRONOPLE!$F$14,$M93,AN$13)="",10^12,OFFSET(CRONOPLE!$F$14,$M93,AN$13))))</f>
        <v>1000000000000</v>
      </c>
      <c r="AO93" s="181">
        <f ca="1">IF($D93&lt;&gt;"Serviço",0,IF(AND(AUTOEVENTO="Manual",$M93=1),0,IF(OFFSET(CRONOPLE!$F$14,$M93,AO$13)="",10^12,OFFSET(CRONOPLE!$F$14,$M93,AO$13))))</f>
        <v>1000000000000</v>
      </c>
      <c r="AP93" s="181">
        <f ca="1">IF($D93&lt;&gt;"Serviço",0,IF(AND(AUTOEVENTO="Manual",$M93=1),0,IF(OFFSET(CRONOPLE!$F$14,$M93,AP$13)="",10^12,OFFSET(CRONOPLE!$F$14,$M93,AP$13))))</f>
        <v>1000000000000</v>
      </c>
      <c r="AQ93" s="181">
        <f ca="1">IF($D93&lt;&gt;"Serviço",0,IF(AND(AUTOEVENTO="Manual",$M93=1),0,IF(OFFSET(CRONOPLE!$F$14,$M93,AQ$13)="",10^12,OFFSET(CRONOPLE!$F$14,$M93,AQ$13))))</f>
        <v>1000000000000</v>
      </c>
      <c r="AR93" s="181">
        <f ca="1">IF($D93&lt;&gt;"Serviço",0,IF(AND(AUTOEVENTO="Manual",$M93=1),0,IF(OFFSET(CRONOPLE!$F$14,$M93,AR$13)="",10^12,OFFSET(CRONOPLE!$F$14,$M93,AR$13))))</f>
        <v>1000000000000</v>
      </c>
      <c r="AS93" s="181">
        <f ca="1">IF($D93&lt;&gt;"Serviço",0,IF(AND(AUTOEVENTO="Manual",$M93=1),0,IF(OFFSET(CRONOPLE!$F$14,$M93,AS$13)="",10^12,OFFSET(CRONOPLE!$F$14,$M93,AS$13))))</f>
        <v>1000000000000</v>
      </c>
      <c r="AT93" s="181">
        <f ca="1">IF($D93&lt;&gt;"Serviço",0,IF(AND(AUTOEVENTO="Manual",$M93=1),0,IF(OFFSET(CRONOPLE!$F$14,$M93,AT$13)="",10^12,OFFSET(CRONOPLE!$F$14,$M93,AT$13))))</f>
        <v>1000000000000</v>
      </c>
      <c r="AU93" s="181">
        <f ca="1">IF($D93&lt;&gt;"Serviço",0,IF(AND(AUTOEVENTO="Manual",$M93=1),0,IF(OFFSET(CRONOPLE!$F$14,$M93,AU$13)="",10^12,OFFSET(CRONOPLE!$F$14,$M93,AU$13))))</f>
        <v>1000000000000</v>
      </c>
      <c r="AV93" s="181">
        <f ca="1">IF($D93&lt;&gt;"Serviço",0,IF(AND(AUTOEVENTO="Manual",$M93=1),0,IF(OFFSET(CRONOPLE!$F$14,$M93,AV$13)="",10^12,OFFSET(CRONOPLE!$F$14,$M93,AV$13))))</f>
        <v>1000000000000</v>
      </c>
      <c r="AX93" s="182">
        <f ca="1">IF($D93&lt;&gt;"Serviço",0,IF(OR(AND(AUTOEVENTO="Manual",$M93=1),$M93&gt;(ROW(PLE.lastrow)-ROW(PLE.firstrow))),0,IF(OFFSET(PLE!$G$14,$M93,AX$13)="",10^12,OFFSET(PLE!$G$14,$M93,AX$13))))</f>
        <v>1000000000000</v>
      </c>
      <c r="AY93" s="182">
        <f ca="1">IF($D93&lt;&gt;"Serviço",0,IF(OR(AND(AUTOEVENTO="Manual",$M93=1),$M93&gt;(ROW(PLE.lastrow)-ROW(PLE.firstrow))),0,IF(OFFSET(PLE!$G$14,$M93,AY$13)="",10^12,OFFSET(PLE!$G$14,$M93,AY$13))))</f>
        <v>1000000000000</v>
      </c>
      <c r="AZ93" s="182">
        <f ca="1">IF($D93&lt;&gt;"Serviço",0,IF(OR(AND(AUTOEVENTO="Manual",$M93=1),$M93&gt;(ROW(PLE.lastrow)-ROW(PLE.firstrow))),0,IF(OFFSET(PLE!$G$14,$M93,AZ$13)="",10^12,OFFSET(PLE!$G$14,$M93,AZ$13))))</f>
        <v>1000000000000</v>
      </c>
      <c r="BA93" s="182">
        <f ca="1">IF($D93&lt;&gt;"Serviço",0,IF(OR(AND(AUTOEVENTO="Manual",$M93=1),$M93&gt;(ROW(PLE.lastrow)-ROW(PLE.firstrow))),0,IF(OFFSET(PLE!$G$14,$M93,BA$13)="",10^12,OFFSET(PLE!$G$14,$M93,BA$13))))</f>
        <v>1000000000000</v>
      </c>
      <c r="BB93" s="182">
        <f ca="1">IF($D93&lt;&gt;"Serviço",0,IF(OR(AND(AUTOEVENTO="Manual",$M93=1),$M93&gt;(ROW(PLE.lastrow)-ROW(PLE.firstrow))),0,IF(OFFSET(PLE!$G$14,$M93,BB$13)="",10^12,OFFSET(PLE!$G$14,$M93,BB$13))))</f>
        <v>1000000000000</v>
      </c>
      <c r="BC93" s="182">
        <f ca="1">IF($D93&lt;&gt;"Serviço",0,IF(OR(AND(AUTOEVENTO="Manual",$M93=1),$M93&gt;(ROW(PLE.lastrow)-ROW(PLE.firstrow))),0,IF(OFFSET(PLE!$G$14,$M93,BC$13)="",10^12,OFFSET(PLE!$G$14,$M93,BC$13))))</f>
        <v>1000000000000</v>
      </c>
      <c r="BD93" s="182">
        <f ca="1">IF($D93&lt;&gt;"Serviço",0,IF(OR(AND(AUTOEVENTO="Manual",$M93=1),$M93&gt;(ROW(PLE.lastrow)-ROW(PLE.firstrow))),0,IF(OFFSET(PLE!$G$14,$M93,BD$13)="",10^12,OFFSET(PLE!$G$14,$M93,BD$13))))</f>
        <v>1000000000000</v>
      </c>
      <c r="BE93" s="182">
        <f ca="1">IF($D93&lt;&gt;"Serviço",0,IF(OR(AND(AUTOEVENTO="Manual",$M93=1),$M93&gt;(ROW(PLE.lastrow)-ROW(PLE.firstrow))),0,IF(OFFSET(PLE!$G$14,$M93,BE$13)="",10^12,OFFSET(PLE!$G$14,$M93,BE$13))))</f>
        <v>1000000000000</v>
      </c>
      <c r="BF93" s="182">
        <f ca="1">IF($D93&lt;&gt;"Serviço",0,IF(OR(AND(AUTOEVENTO="Manual",$M93=1),$M93&gt;(ROW(PLE.lastrow)-ROW(PLE.firstrow))),0,IF(OFFSET(PLE!$G$14,$M93,BF$13)="",10^12,OFFSET(PLE!$G$14,$M93,BF$13))))</f>
        <v>1000000000000</v>
      </c>
      <c r="BG93" s="182">
        <f ca="1">IF($D93&lt;&gt;"Serviço",0,IF(OR(AND(AUTOEVENTO="Manual",$M93=1),$M93&gt;(ROW(PLE.lastrow)-ROW(PLE.firstrow))),0,IF(OFFSET(PLE!$G$14,$M93,BG$13)="",10^12,OFFSET(PLE!$G$14,$M93,BG$13))))</f>
        <v>1000000000000</v>
      </c>
    </row>
    <row r="94" spans="1:59" ht="12.75" x14ac:dyDescent="0.2">
      <c r="A94" s="7" t="str">
        <f t="shared" ca="1" si="9"/>
        <v>71</v>
      </c>
      <c r="B94" s="7">
        <f ca="1">OFFSET(ORÇAMENTO!C$15,ROW(B94)-ROW(B$15),0)</f>
        <v>3</v>
      </c>
      <c r="C94" s="7" t="str">
        <f ca="1">OFFSET(ORÇAMENTO!L$15,ROW(C94)-ROW(C$15),0)</f>
        <v>F</v>
      </c>
      <c r="D94" s="118" t="str">
        <f ca="1">OFFSET(ORÇAMENTO!N$15,ROW(D94)-ROW(D$15),0)</f>
        <v>Nível 3</v>
      </c>
      <c r="E94" s="119" t="str">
        <f ca="1">OFFSET(ORÇAMENTO!O$15,ROW(E94)-ROW(E$15),0)</f>
        <v>1.6.2.</v>
      </c>
      <c r="F94" s="172" t="str">
        <f ca="1">OFFSET(ORÇAMENTO!R$15,ROW(F94)-ROW(F$15),0)</f>
        <v>VIGA BALDRAME</v>
      </c>
      <c r="G94" s="173" t="str">
        <f ca="1">IF($D94&lt;&gt;"Serviço","",OFFSET(ORÇAMENTO!S$15,ROW(G94)-ROW(G$15),0))</f>
        <v/>
      </c>
      <c r="H94" s="124">
        <f ca="1">IF($D94&lt;&gt;"Serviço",0,IF(ACOMPANHAMENTO="BM",ROUND(OFFSET(ORÇAMENTO!AJ$15,ROW(H94)-ROW(H$15),0),15-13*ORÇAMENTO!$AF$7),SUMPRODUCT(($Q$12:$AA$12&lt;&gt;"")*ROUND($Q94:$AA94,15-13*ORÇAMENTO!$AF$7))))</f>
        <v>0</v>
      </c>
      <c r="I94" s="561"/>
      <c r="K94" s="174"/>
      <c r="L94" s="175" t="s">
        <v>255</v>
      </c>
      <c r="M94" s="176" t="str">
        <f ca="1">IF($D94&lt;&gt;"Serviço","",IF(AUTOEVENTO="manual",$A94,IF(ISERROR(MATCH($A94,$A$15:OFFSET($A94,-1,0),0)),MAX($M$15:OFFSET(M94,-1,0))+1,INDEX($M$15:OFFSET(M94,-1,0),MATCH($A94,$A$15:OFFSET($A94,-1,0),0)))))</f>
        <v/>
      </c>
      <c r="N94" s="177" t="str">
        <f ca="1">IF($D94&lt;&gt;"Serviço","",IF(AUTOEVENTO="Manual",IF($A94=0,"&lt;-- defina o número do agrupador",OFFSET(EVENTOS!$D$14,$A94,0)),OFFSET($F$15,$A94,0)))</f>
        <v/>
      </c>
      <c r="O94" s="178"/>
      <c r="Q94" s="178"/>
      <c r="R94" s="179"/>
      <c r="S94" s="179"/>
      <c r="T94" s="179"/>
      <c r="U94" s="179"/>
      <c r="V94" s="179"/>
      <c r="W94" s="179"/>
      <c r="X94" s="179"/>
      <c r="Y94" s="179"/>
      <c r="Z94" s="180"/>
      <c r="AB94" s="544">
        <f ca="1">IF(AND($D94="Serviço",AB$12&lt;&gt;0,$H94&gt;0,OR(AUTOEVENTO&lt;&gt;"manual",$M94&lt;&gt;1)),
IF(Import.TipoArredondamento&lt;&gt;"TransfereGOV",
ROUND(OFFSET($P94,0,AB$13),15-13*ORÇAMENTO!$AF$7)/$H94*OFFSET(ORÇAMENTO!$X$15,ROW(AB94)-ROW(AB$15),0),
ROUND(ROUND(OFFSET($P94,0,AB$13),15-13*ORÇAMENTO!$AF$7)*OFFSET(ORÇAMENTO!$W$15,ROW(AB94)-ROW(AB$15),0),15-13*ORÇAMENTO!$AF$11)),0)</f>
        <v>0</v>
      </c>
      <c r="AC94" s="545">
        <f ca="1">IF(AND($D94="Serviço",AC$12&lt;&gt;0,$H94&gt;0,OR(AUTOEVENTO&lt;&gt;"manual",$M94&lt;&gt;1)),
IF(Import.TipoArredondamento&lt;&gt;"TransfereGOV",
ROUND(OFFSET($P94,0,AC$13),15-13*ORÇAMENTO!$AF$7)/$H94*OFFSET(ORÇAMENTO!$X$15,ROW(AC94)-ROW(AC$15),0),
ROUND(ROUND(OFFSET($P94,0,AC$13),15-13*ORÇAMENTO!$AF$7)*OFFSET(ORÇAMENTO!$W$15,ROW(AC94)-ROW(AC$15),0),15-13*ORÇAMENTO!$AF$11)),0)</f>
        <v>0</v>
      </c>
      <c r="AD94" s="545">
        <f ca="1">IF(AND($D94="Serviço",AD$12&lt;&gt;0,$H94&gt;0,OR(AUTOEVENTO&lt;&gt;"manual",$M94&lt;&gt;1)),
IF(Import.TipoArredondamento&lt;&gt;"TransfereGOV",
ROUND(OFFSET($P94,0,AD$13),15-13*ORÇAMENTO!$AF$7)/$H94*OFFSET(ORÇAMENTO!$X$15,ROW(AD94)-ROW(AD$15),0),
ROUND(ROUND(OFFSET($P94,0,AD$13),15-13*ORÇAMENTO!$AF$7)*OFFSET(ORÇAMENTO!$W$15,ROW(AD94)-ROW(AD$15),0),15-13*ORÇAMENTO!$AF$11)),0)</f>
        <v>0</v>
      </c>
      <c r="AE94" s="545">
        <f ca="1">IF(AND($D94="Serviço",AE$12&lt;&gt;0,$H94&gt;0,OR(AUTOEVENTO&lt;&gt;"manual",$M94&lt;&gt;1)),
IF(Import.TipoArredondamento&lt;&gt;"TransfereGOV",
ROUND(OFFSET($P94,0,AE$13),15-13*ORÇAMENTO!$AF$7)/$H94*OFFSET(ORÇAMENTO!$X$15,ROW(AE94)-ROW(AE$15),0),
ROUND(ROUND(OFFSET($P94,0,AE$13),15-13*ORÇAMENTO!$AF$7)*OFFSET(ORÇAMENTO!$W$15,ROW(AE94)-ROW(AE$15),0),15-13*ORÇAMENTO!$AF$11)),0)</f>
        <v>0</v>
      </c>
      <c r="AF94" s="545">
        <f ca="1">IF(AND($D94="Serviço",AF$12&lt;&gt;0,$H94&gt;0,OR(AUTOEVENTO&lt;&gt;"manual",$M94&lt;&gt;1)),
IF(Import.TipoArredondamento&lt;&gt;"TransfereGOV",
ROUND(OFFSET($P94,0,AF$13),15-13*ORÇAMENTO!$AF$7)/$H94*OFFSET(ORÇAMENTO!$X$15,ROW(AF94)-ROW(AF$15),0),
ROUND(ROUND(OFFSET($P94,0,AF$13),15-13*ORÇAMENTO!$AF$7)*OFFSET(ORÇAMENTO!$W$15,ROW(AF94)-ROW(AF$15),0),15-13*ORÇAMENTO!$AF$11)),0)</f>
        <v>0</v>
      </c>
      <c r="AG94" s="545">
        <f ca="1">IF(AND($D94="Serviço",AG$12&lt;&gt;0,$H94&gt;0,OR(AUTOEVENTO&lt;&gt;"manual",$M94&lt;&gt;1)),
IF(Import.TipoArredondamento&lt;&gt;"TransfereGOV",
ROUND(OFFSET($P94,0,AG$13),15-13*ORÇAMENTO!$AF$7)/$H94*OFFSET(ORÇAMENTO!$X$15,ROW(AG94)-ROW(AG$15),0),
ROUND(ROUND(OFFSET($P94,0,AG$13),15-13*ORÇAMENTO!$AF$7)*OFFSET(ORÇAMENTO!$W$15,ROW(AG94)-ROW(AG$15),0),15-13*ORÇAMENTO!$AF$11)),0)</f>
        <v>0</v>
      </c>
      <c r="AH94" s="545">
        <f ca="1">IF(AND($D94="Serviço",AH$12&lt;&gt;0,$H94&gt;0,OR(AUTOEVENTO&lt;&gt;"manual",$M94&lt;&gt;1)),
IF(Import.TipoArredondamento&lt;&gt;"TransfereGOV",
ROUND(OFFSET($P94,0,AH$13),15-13*ORÇAMENTO!$AF$7)/$H94*OFFSET(ORÇAMENTO!$X$15,ROW(AH94)-ROW(AH$15),0),
ROUND(ROUND(OFFSET($P94,0,AH$13),15-13*ORÇAMENTO!$AF$7)*OFFSET(ORÇAMENTO!$W$15,ROW(AH94)-ROW(AH$15),0),15-13*ORÇAMENTO!$AF$11)),0)</f>
        <v>0</v>
      </c>
      <c r="AI94" s="545">
        <f ca="1">IF(AND($D94="Serviço",AI$12&lt;&gt;0,$H94&gt;0,OR(AUTOEVENTO&lt;&gt;"manual",$M94&lt;&gt;1)),
IF(Import.TipoArredondamento&lt;&gt;"TransfereGOV",
ROUND(OFFSET($P94,0,AI$13),15-13*ORÇAMENTO!$AF$7)/$H94*OFFSET(ORÇAMENTO!$X$15,ROW(AI94)-ROW(AI$15),0),
ROUND(ROUND(OFFSET($P94,0,AI$13),15-13*ORÇAMENTO!$AF$7)*OFFSET(ORÇAMENTO!$W$15,ROW(AI94)-ROW(AI$15),0),15-13*ORÇAMENTO!$AF$11)),0)</f>
        <v>0</v>
      </c>
      <c r="AJ94" s="545">
        <f ca="1">IF(AND($D94="Serviço",AJ$12&lt;&gt;0,$H94&gt;0,OR(AUTOEVENTO&lt;&gt;"manual",$M94&lt;&gt;1)),
IF(Import.TipoArredondamento&lt;&gt;"TransfereGOV",
ROUND(OFFSET($P94,0,AJ$13),15-13*ORÇAMENTO!$AF$7)/$H94*OFFSET(ORÇAMENTO!$X$15,ROW(AJ94)-ROW(AJ$15),0),
ROUND(ROUND(OFFSET($P94,0,AJ$13),15-13*ORÇAMENTO!$AF$7)*OFFSET(ORÇAMENTO!$W$15,ROW(AJ94)-ROW(AJ$15),0),15-13*ORÇAMENTO!$AF$11)),0)</f>
        <v>0</v>
      </c>
      <c r="AK94" s="546">
        <f ca="1">IF(AND($D94="Serviço",AK$12&lt;&gt;0,$H94&gt;0,OR(AUTOEVENTO&lt;&gt;"manual",$M94&lt;&gt;1)),
IF(Import.TipoArredondamento&lt;&gt;"TransfereGOV",
ROUND(OFFSET($P94,0,AK$13),15-13*ORÇAMENTO!$AF$7)/$H94*OFFSET(ORÇAMENTO!$X$15,ROW(AK94)-ROW(AK$15),0),
ROUND(ROUND(OFFSET($P94,0,AK$13),15-13*ORÇAMENTO!$AF$7)*OFFSET(ORÇAMENTO!$W$15,ROW(AK94)-ROW(AK$15),0),15-13*ORÇAMENTO!$AF$11)),0)</f>
        <v>0</v>
      </c>
      <c r="AM94" s="181">
        <f ca="1">IF($D94&lt;&gt;"Serviço",0,IF(AND(AUTOEVENTO="Manual",$M94=1),0,IF(OFFSET(CRONOPLE!$F$14,$M94,AM$13)="",10^12,OFFSET(CRONOPLE!$F$14,$M94,AM$13))))</f>
        <v>0</v>
      </c>
      <c r="AN94" s="181">
        <f ca="1">IF($D94&lt;&gt;"Serviço",0,IF(AND(AUTOEVENTO="Manual",$M94=1),0,IF(OFFSET(CRONOPLE!$F$14,$M94,AN$13)="",10^12,OFFSET(CRONOPLE!$F$14,$M94,AN$13))))</f>
        <v>0</v>
      </c>
      <c r="AO94" s="181">
        <f ca="1">IF($D94&lt;&gt;"Serviço",0,IF(AND(AUTOEVENTO="Manual",$M94=1),0,IF(OFFSET(CRONOPLE!$F$14,$M94,AO$13)="",10^12,OFFSET(CRONOPLE!$F$14,$M94,AO$13))))</f>
        <v>0</v>
      </c>
      <c r="AP94" s="181">
        <f ca="1">IF($D94&lt;&gt;"Serviço",0,IF(AND(AUTOEVENTO="Manual",$M94=1),0,IF(OFFSET(CRONOPLE!$F$14,$M94,AP$13)="",10^12,OFFSET(CRONOPLE!$F$14,$M94,AP$13))))</f>
        <v>0</v>
      </c>
      <c r="AQ94" s="181">
        <f ca="1">IF($D94&lt;&gt;"Serviço",0,IF(AND(AUTOEVENTO="Manual",$M94=1),0,IF(OFFSET(CRONOPLE!$F$14,$M94,AQ$13)="",10^12,OFFSET(CRONOPLE!$F$14,$M94,AQ$13))))</f>
        <v>0</v>
      </c>
      <c r="AR94" s="181">
        <f ca="1">IF($D94&lt;&gt;"Serviço",0,IF(AND(AUTOEVENTO="Manual",$M94=1),0,IF(OFFSET(CRONOPLE!$F$14,$M94,AR$13)="",10^12,OFFSET(CRONOPLE!$F$14,$M94,AR$13))))</f>
        <v>0</v>
      </c>
      <c r="AS94" s="181">
        <f ca="1">IF($D94&lt;&gt;"Serviço",0,IF(AND(AUTOEVENTO="Manual",$M94=1),0,IF(OFFSET(CRONOPLE!$F$14,$M94,AS$13)="",10^12,OFFSET(CRONOPLE!$F$14,$M94,AS$13))))</f>
        <v>0</v>
      </c>
      <c r="AT94" s="181">
        <f ca="1">IF($D94&lt;&gt;"Serviço",0,IF(AND(AUTOEVENTO="Manual",$M94=1),0,IF(OFFSET(CRONOPLE!$F$14,$M94,AT$13)="",10^12,OFFSET(CRONOPLE!$F$14,$M94,AT$13))))</f>
        <v>0</v>
      </c>
      <c r="AU94" s="181">
        <f ca="1">IF($D94&lt;&gt;"Serviço",0,IF(AND(AUTOEVENTO="Manual",$M94=1),0,IF(OFFSET(CRONOPLE!$F$14,$M94,AU$13)="",10^12,OFFSET(CRONOPLE!$F$14,$M94,AU$13))))</f>
        <v>0</v>
      </c>
      <c r="AV94" s="181">
        <f ca="1">IF($D94&lt;&gt;"Serviço",0,IF(AND(AUTOEVENTO="Manual",$M94=1),0,IF(OFFSET(CRONOPLE!$F$14,$M94,AV$13)="",10^12,OFFSET(CRONOPLE!$F$14,$M94,AV$13))))</f>
        <v>0</v>
      </c>
      <c r="AX94" s="182">
        <f ca="1">IF($D94&lt;&gt;"Serviço",0,IF(OR(AND(AUTOEVENTO="Manual",$M94=1),$M94&gt;(ROW(PLE.lastrow)-ROW(PLE.firstrow))),0,IF(OFFSET(PLE!$G$14,$M94,AX$13)="",10^12,OFFSET(PLE!$G$14,$M94,AX$13))))</f>
        <v>0</v>
      </c>
      <c r="AY94" s="182">
        <f ca="1">IF($D94&lt;&gt;"Serviço",0,IF(OR(AND(AUTOEVENTO="Manual",$M94=1),$M94&gt;(ROW(PLE.lastrow)-ROW(PLE.firstrow))),0,IF(OFFSET(PLE!$G$14,$M94,AY$13)="",10^12,OFFSET(PLE!$G$14,$M94,AY$13))))</f>
        <v>0</v>
      </c>
      <c r="AZ94" s="182">
        <f ca="1">IF($D94&lt;&gt;"Serviço",0,IF(OR(AND(AUTOEVENTO="Manual",$M94=1),$M94&gt;(ROW(PLE.lastrow)-ROW(PLE.firstrow))),0,IF(OFFSET(PLE!$G$14,$M94,AZ$13)="",10^12,OFFSET(PLE!$G$14,$M94,AZ$13))))</f>
        <v>0</v>
      </c>
      <c r="BA94" s="182">
        <f ca="1">IF($D94&lt;&gt;"Serviço",0,IF(OR(AND(AUTOEVENTO="Manual",$M94=1),$M94&gt;(ROW(PLE.lastrow)-ROW(PLE.firstrow))),0,IF(OFFSET(PLE!$G$14,$M94,BA$13)="",10^12,OFFSET(PLE!$G$14,$M94,BA$13))))</f>
        <v>0</v>
      </c>
      <c r="BB94" s="182">
        <f ca="1">IF($D94&lt;&gt;"Serviço",0,IF(OR(AND(AUTOEVENTO="Manual",$M94=1),$M94&gt;(ROW(PLE.lastrow)-ROW(PLE.firstrow))),0,IF(OFFSET(PLE!$G$14,$M94,BB$13)="",10^12,OFFSET(PLE!$G$14,$M94,BB$13))))</f>
        <v>0</v>
      </c>
      <c r="BC94" s="182">
        <f ca="1">IF($D94&lt;&gt;"Serviço",0,IF(OR(AND(AUTOEVENTO="Manual",$M94=1),$M94&gt;(ROW(PLE.lastrow)-ROW(PLE.firstrow))),0,IF(OFFSET(PLE!$G$14,$M94,BC$13)="",10^12,OFFSET(PLE!$G$14,$M94,BC$13))))</f>
        <v>0</v>
      </c>
      <c r="BD94" s="182">
        <f ca="1">IF($D94&lt;&gt;"Serviço",0,IF(OR(AND(AUTOEVENTO="Manual",$M94=1),$M94&gt;(ROW(PLE.lastrow)-ROW(PLE.firstrow))),0,IF(OFFSET(PLE!$G$14,$M94,BD$13)="",10^12,OFFSET(PLE!$G$14,$M94,BD$13))))</f>
        <v>0</v>
      </c>
      <c r="BE94" s="182">
        <f ca="1">IF($D94&lt;&gt;"Serviço",0,IF(OR(AND(AUTOEVENTO="Manual",$M94=1),$M94&gt;(ROW(PLE.lastrow)-ROW(PLE.firstrow))),0,IF(OFFSET(PLE!$G$14,$M94,BE$13)="",10^12,OFFSET(PLE!$G$14,$M94,BE$13))))</f>
        <v>0</v>
      </c>
      <c r="BF94" s="182">
        <f ca="1">IF($D94&lt;&gt;"Serviço",0,IF(OR(AND(AUTOEVENTO="Manual",$M94=1),$M94&gt;(ROW(PLE.lastrow)-ROW(PLE.firstrow))),0,IF(OFFSET(PLE!$G$14,$M94,BF$13)="",10^12,OFFSET(PLE!$G$14,$M94,BF$13))))</f>
        <v>0</v>
      </c>
      <c r="BG94" s="182">
        <f ca="1">IF($D94&lt;&gt;"Serviço",0,IF(OR(AND(AUTOEVENTO="Manual",$M94=1),$M94&gt;(ROW(PLE.lastrow)-ROW(PLE.firstrow))),0,IF(OFFSET(PLE!$G$14,$M94,BG$13)="",10^12,OFFSET(PLE!$G$14,$M94,BG$13))))</f>
        <v>0</v>
      </c>
    </row>
    <row r="95" spans="1:59" ht="63.75" x14ac:dyDescent="0.2">
      <c r="A95" s="7" t="str">
        <f t="shared" ca="1" si="9"/>
        <v>71</v>
      </c>
      <c r="B95" s="7" t="str">
        <f ca="1">OFFSET(ORÇAMENTO!C$15,ROW(B95)-ROW(B$15),0)</f>
        <v>S</v>
      </c>
      <c r="C95" s="7" t="str">
        <f ca="1">OFFSET(ORÇAMENTO!L$15,ROW(C95)-ROW(C$15),0)</f>
        <v>F</v>
      </c>
      <c r="D95" s="118" t="str">
        <f ca="1">OFFSET(ORÇAMENTO!N$15,ROW(D95)-ROW(D$15),0)</f>
        <v>Serviço</v>
      </c>
      <c r="E95" s="119" t="str">
        <f ca="1">OFFSET(ORÇAMENTO!O$15,ROW(E95)-ROW(E$15),0)</f>
        <v>1.6.2.1.</v>
      </c>
      <c r="F95" s="172" t="str">
        <f ca="1">OFFSET(ORÇAMENTO!R$15,ROW(F95)-ROW(F$15),0)</f>
        <v>(abra o arquivo 'Referência 03-2024.xlsm)</v>
      </c>
      <c r="G95" s="173" t="str">
        <f ca="1">IF($D95&lt;&gt;"Serviço","",OFFSET(ORÇAMENTO!S$15,ROW(G95)-ROW(G$15),0))</f>
        <v>-</v>
      </c>
      <c r="H95" s="124">
        <f ca="1">IF($D95&lt;&gt;"Serviço",0,IF(ACOMPANHAMENTO="BM",ROUND(OFFSET(ORÇAMENTO!AJ$15,ROW(H95)-ROW(H$15),0),15-13*ORÇAMENTO!$AF$7),SUMPRODUCT(($Q$12:$AA$12&lt;&gt;"")*ROUND($Q95:$AA95,15-13*ORÇAMENTO!$AF$7))))</f>
        <v>0.56999999999999995</v>
      </c>
      <c r="I95" s="561"/>
      <c r="K95" s="174"/>
      <c r="L95" s="175" t="s">
        <v>255</v>
      </c>
      <c r="M95" s="176">
        <f ca="1">IF($D95&lt;&gt;"Serviço","",IF(AUTOEVENTO="manual",$A95,IF(ISERROR(MATCH($A95,$A$15:OFFSET($A95,-1,0),0)),MAX($M$15:OFFSET(M95,-1,0))+1,INDEX($M$15:OFFSET(M95,-1,0),MATCH($A95,$A$15:OFFSET($A95,-1,0),0)))))</f>
        <v>7</v>
      </c>
      <c r="N95" s="177" t="str">
        <f ca="1">IF($D95&lt;&gt;"Serviço","",IF(AUTOEVENTO="Manual",IF($A95=0,"&lt;-- defina o número do agrupador",OFFSET(EVENTOS!$D$14,$A95,0)),OFFSET($F$15,$A95,0)))</f>
        <v>SANITÁRIO PÚBLICO ACESSÍVEL</v>
      </c>
      <c r="O95" s="178"/>
      <c r="Q95" s="178"/>
      <c r="R95" s="179"/>
      <c r="S95" s="179"/>
      <c r="T95" s="179"/>
      <c r="U95" s="179"/>
      <c r="V95" s="179"/>
      <c r="W95" s="179"/>
      <c r="X95" s="179"/>
      <c r="Y95" s="179"/>
      <c r="Z95" s="180"/>
      <c r="AB95" s="544">
        <f ca="1">IF(AND($D95="Serviço",AB$12&lt;&gt;0,$H95&gt;0,OR(AUTOEVENTO&lt;&gt;"manual",$M95&lt;&gt;1)),
IF(Import.TipoArredondamento&lt;&gt;"TransfereGOV",
ROUND(OFFSET($P95,0,AB$13),15-13*ORÇAMENTO!$AF$7)/$H95*OFFSET(ORÇAMENTO!$X$15,ROW(AB95)-ROW(AB$15),0),
ROUND(ROUND(OFFSET($P95,0,AB$13),15-13*ORÇAMENTO!$AF$7)*OFFSET(ORÇAMENTO!$W$15,ROW(AB95)-ROW(AB$15),0),15-13*ORÇAMENTO!$AF$11)),0)</f>
        <v>0</v>
      </c>
      <c r="AC95" s="545">
        <f ca="1">IF(AND($D95="Serviço",AC$12&lt;&gt;0,$H95&gt;0,OR(AUTOEVENTO&lt;&gt;"manual",$M95&lt;&gt;1)),
IF(Import.TipoArredondamento&lt;&gt;"TransfereGOV",
ROUND(OFFSET($P95,0,AC$13),15-13*ORÇAMENTO!$AF$7)/$H95*OFFSET(ORÇAMENTO!$X$15,ROW(AC95)-ROW(AC$15),0),
ROUND(ROUND(OFFSET($P95,0,AC$13),15-13*ORÇAMENTO!$AF$7)*OFFSET(ORÇAMENTO!$W$15,ROW(AC95)-ROW(AC$15),0),15-13*ORÇAMENTO!$AF$11)),0)</f>
        <v>0</v>
      </c>
      <c r="AD95" s="545">
        <f ca="1">IF(AND($D95="Serviço",AD$12&lt;&gt;0,$H95&gt;0,OR(AUTOEVENTO&lt;&gt;"manual",$M95&lt;&gt;1)),
IF(Import.TipoArredondamento&lt;&gt;"TransfereGOV",
ROUND(OFFSET($P95,0,AD$13),15-13*ORÇAMENTO!$AF$7)/$H95*OFFSET(ORÇAMENTO!$X$15,ROW(AD95)-ROW(AD$15),0),
ROUND(ROUND(OFFSET($P95,0,AD$13),15-13*ORÇAMENTO!$AF$7)*OFFSET(ORÇAMENTO!$W$15,ROW(AD95)-ROW(AD$15),0),15-13*ORÇAMENTO!$AF$11)),0)</f>
        <v>0</v>
      </c>
      <c r="AE95" s="545">
        <f ca="1">IF(AND($D95="Serviço",AE$12&lt;&gt;0,$H95&gt;0,OR(AUTOEVENTO&lt;&gt;"manual",$M95&lt;&gt;1)),
IF(Import.TipoArredondamento&lt;&gt;"TransfereGOV",
ROUND(OFFSET($P95,0,AE$13),15-13*ORÇAMENTO!$AF$7)/$H95*OFFSET(ORÇAMENTO!$X$15,ROW(AE95)-ROW(AE$15),0),
ROUND(ROUND(OFFSET($P95,0,AE$13),15-13*ORÇAMENTO!$AF$7)*OFFSET(ORÇAMENTO!$W$15,ROW(AE95)-ROW(AE$15),0),15-13*ORÇAMENTO!$AF$11)),0)</f>
        <v>0</v>
      </c>
      <c r="AF95" s="545">
        <f ca="1">IF(AND($D95="Serviço",AF$12&lt;&gt;0,$H95&gt;0,OR(AUTOEVENTO&lt;&gt;"manual",$M95&lt;&gt;1)),
IF(Import.TipoArredondamento&lt;&gt;"TransfereGOV",
ROUND(OFFSET($P95,0,AF$13),15-13*ORÇAMENTO!$AF$7)/$H95*OFFSET(ORÇAMENTO!$X$15,ROW(AF95)-ROW(AF$15),0),
ROUND(ROUND(OFFSET($P95,0,AF$13),15-13*ORÇAMENTO!$AF$7)*OFFSET(ORÇAMENTO!$W$15,ROW(AF95)-ROW(AF$15),0),15-13*ORÇAMENTO!$AF$11)),0)</f>
        <v>0</v>
      </c>
      <c r="AG95" s="545">
        <f ca="1">IF(AND($D95="Serviço",AG$12&lt;&gt;0,$H95&gt;0,OR(AUTOEVENTO&lt;&gt;"manual",$M95&lt;&gt;1)),
IF(Import.TipoArredondamento&lt;&gt;"TransfereGOV",
ROUND(OFFSET($P95,0,AG$13),15-13*ORÇAMENTO!$AF$7)/$H95*OFFSET(ORÇAMENTO!$X$15,ROW(AG95)-ROW(AG$15),0),
ROUND(ROUND(OFFSET($P95,0,AG$13),15-13*ORÇAMENTO!$AF$7)*OFFSET(ORÇAMENTO!$W$15,ROW(AG95)-ROW(AG$15),0),15-13*ORÇAMENTO!$AF$11)),0)</f>
        <v>0</v>
      </c>
      <c r="AH95" s="545">
        <f ca="1">IF(AND($D95="Serviço",AH$12&lt;&gt;0,$H95&gt;0,OR(AUTOEVENTO&lt;&gt;"manual",$M95&lt;&gt;1)),
IF(Import.TipoArredondamento&lt;&gt;"TransfereGOV",
ROUND(OFFSET($P95,0,AH$13),15-13*ORÇAMENTO!$AF$7)/$H95*OFFSET(ORÇAMENTO!$X$15,ROW(AH95)-ROW(AH$15),0),
ROUND(ROUND(OFFSET($P95,0,AH$13),15-13*ORÇAMENTO!$AF$7)*OFFSET(ORÇAMENTO!$W$15,ROW(AH95)-ROW(AH$15),0),15-13*ORÇAMENTO!$AF$11)),0)</f>
        <v>0</v>
      </c>
      <c r="AI95" s="545">
        <f ca="1">IF(AND($D95="Serviço",AI$12&lt;&gt;0,$H95&gt;0,OR(AUTOEVENTO&lt;&gt;"manual",$M95&lt;&gt;1)),
IF(Import.TipoArredondamento&lt;&gt;"TransfereGOV",
ROUND(OFFSET($P95,0,AI$13),15-13*ORÇAMENTO!$AF$7)/$H95*OFFSET(ORÇAMENTO!$X$15,ROW(AI95)-ROW(AI$15),0),
ROUND(ROUND(OFFSET($P95,0,AI$13),15-13*ORÇAMENTO!$AF$7)*OFFSET(ORÇAMENTO!$W$15,ROW(AI95)-ROW(AI$15),0),15-13*ORÇAMENTO!$AF$11)),0)</f>
        <v>0</v>
      </c>
      <c r="AJ95" s="545">
        <f ca="1">IF(AND($D95="Serviço",AJ$12&lt;&gt;0,$H95&gt;0,OR(AUTOEVENTO&lt;&gt;"manual",$M95&lt;&gt;1)),
IF(Import.TipoArredondamento&lt;&gt;"TransfereGOV",
ROUND(OFFSET($P95,0,AJ$13),15-13*ORÇAMENTO!$AF$7)/$H95*OFFSET(ORÇAMENTO!$X$15,ROW(AJ95)-ROW(AJ$15),0),
ROUND(ROUND(OFFSET($P95,0,AJ$13),15-13*ORÇAMENTO!$AF$7)*OFFSET(ORÇAMENTO!$W$15,ROW(AJ95)-ROW(AJ$15),0),15-13*ORÇAMENTO!$AF$11)),0)</f>
        <v>0</v>
      </c>
      <c r="AK95" s="546">
        <f ca="1">IF(AND($D95="Serviço",AK$12&lt;&gt;0,$H95&gt;0,OR(AUTOEVENTO&lt;&gt;"manual",$M95&lt;&gt;1)),
IF(Import.TipoArredondamento&lt;&gt;"TransfereGOV",
ROUND(OFFSET($P95,0,AK$13),15-13*ORÇAMENTO!$AF$7)/$H95*OFFSET(ORÇAMENTO!$X$15,ROW(AK95)-ROW(AK$15),0),
ROUND(ROUND(OFFSET($P95,0,AK$13),15-13*ORÇAMENTO!$AF$7)*OFFSET(ORÇAMENTO!$W$15,ROW(AK95)-ROW(AK$15),0),15-13*ORÇAMENTO!$AF$11)),0)</f>
        <v>0</v>
      </c>
      <c r="AM95" s="181">
        <f ca="1">IF($D95&lt;&gt;"Serviço",0,IF(AND(AUTOEVENTO="Manual",$M95=1),0,IF(OFFSET(CRONOPLE!$F$14,$M95,AM$13)="",10^12,OFFSET(CRONOPLE!$F$14,$M95,AM$13))))</f>
        <v>1000000000000</v>
      </c>
      <c r="AN95" s="181">
        <f ca="1">IF($D95&lt;&gt;"Serviço",0,IF(AND(AUTOEVENTO="Manual",$M95=1),0,IF(OFFSET(CRONOPLE!$F$14,$M95,AN$13)="",10^12,OFFSET(CRONOPLE!$F$14,$M95,AN$13))))</f>
        <v>1000000000000</v>
      </c>
      <c r="AO95" s="181">
        <f ca="1">IF($D95&lt;&gt;"Serviço",0,IF(AND(AUTOEVENTO="Manual",$M95=1),0,IF(OFFSET(CRONOPLE!$F$14,$M95,AO$13)="",10^12,OFFSET(CRONOPLE!$F$14,$M95,AO$13))))</f>
        <v>1000000000000</v>
      </c>
      <c r="AP95" s="181">
        <f ca="1">IF($D95&lt;&gt;"Serviço",0,IF(AND(AUTOEVENTO="Manual",$M95=1),0,IF(OFFSET(CRONOPLE!$F$14,$M95,AP$13)="",10^12,OFFSET(CRONOPLE!$F$14,$M95,AP$13))))</f>
        <v>1000000000000</v>
      </c>
      <c r="AQ95" s="181">
        <f ca="1">IF($D95&lt;&gt;"Serviço",0,IF(AND(AUTOEVENTO="Manual",$M95=1),0,IF(OFFSET(CRONOPLE!$F$14,$M95,AQ$13)="",10^12,OFFSET(CRONOPLE!$F$14,$M95,AQ$13))))</f>
        <v>1000000000000</v>
      </c>
      <c r="AR95" s="181">
        <f ca="1">IF($D95&lt;&gt;"Serviço",0,IF(AND(AUTOEVENTO="Manual",$M95=1),0,IF(OFFSET(CRONOPLE!$F$14,$M95,AR$13)="",10^12,OFFSET(CRONOPLE!$F$14,$M95,AR$13))))</f>
        <v>1000000000000</v>
      </c>
      <c r="AS95" s="181">
        <f ca="1">IF($D95&lt;&gt;"Serviço",0,IF(AND(AUTOEVENTO="Manual",$M95=1),0,IF(OFFSET(CRONOPLE!$F$14,$M95,AS$13)="",10^12,OFFSET(CRONOPLE!$F$14,$M95,AS$13))))</f>
        <v>1000000000000</v>
      </c>
      <c r="AT95" s="181">
        <f ca="1">IF($D95&lt;&gt;"Serviço",0,IF(AND(AUTOEVENTO="Manual",$M95=1),0,IF(OFFSET(CRONOPLE!$F$14,$M95,AT$13)="",10^12,OFFSET(CRONOPLE!$F$14,$M95,AT$13))))</f>
        <v>1000000000000</v>
      </c>
      <c r="AU95" s="181">
        <f ca="1">IF($D95&lt;&gt;"Serviço",0,IF(AND(AUTOEVENTO="Manual",$M95=1),0,IF(OFFSET(CRONOPLE!$F$14,$M95,AU$13)="",10^12,OFFSET(CRONOPLE!$F$14,$M95,AU$13))))</f>
        <v>1000000000000</v>
      </c>
      <c r="AV95" s="181">
        <f ca="1">IF($D95&lt;&gt;"Serviço",0,IF(AND(AUTOEVENTO="Manual",$M95=1),0,IF(OFFSET(CRONOPLE!$F$14,$M95,AV$13)="",10^12,OFFSET(CRONOPLE!$F$14,$M95,AV$13))))</f>
        <v>1000000000000</v>
      </c>
      <c r="AX95" s="182">
        <f ca="1">IF($D95&lt;&gt;"Serviço",0,IF(OR(AND(AUTOEVENTO="Manual",$M95=1),$M95&gt;(ROW(PLE.lastrow)-ROW(PLE.firstrow))),0,IF(OFFSET(PLE!$G$14,$M95,AX$13)="",10^12,OFFSET(PLE!$G$14,$M95,AX$13))))</f>
        <v>1000000000000</v>
      </c>
      <c r="AY95" s="182">
        <f ca="1">IF($D95&lt;&gt;"Serviço",0,IF(OR(AND(AUTOEVENTO="Manual",$M95=1),$M95&gt;(ROW(PLE.lastrow)-ROW(PLE.firstrow))),0,IF(OFFSET(PLE!$G$14,$M95,AY$13)="",10^12,OFFSET(PLE!$G$14,$M95,AY$13))))</f>
        <v>1000000000000</v>
      </c>
      <c r="AZ95" s="182">
        <f ca="1">IF($D95&lt;&gt;"Serviço",0,IF(OR(AND(AUTOEVENTO="Manual",$M95=1),$M95&gt;(ROW(PLE.lastrow)-ROW(PLE.firstrow))),0,IF(OFFSET(PLE!$G$14,$M95,AZ$13)="",10^12,OFFSET(PLE!$G$14,$M95,AZ$13))))</f>
        <v>1000000000000</v>
      </c>
      <c r="BA95" s="182">
        <f ca="1">IF($D95&lt;&gt;"Serviço",0,IF(OR(AND(AUTOEVENTO="Manual",$M95=1),$M95&gt;(ROW(PLE.lastrow)-ROW(PLE.firstrow))),0,IF(OFFSET(PLE!$G$14,$M95,BA$13)="",10^12,OFFSET(PLE!$G$14,$M95,BA$13))))</f>
        <v>1000000000000</v>
      </c>
      <c r="BB95" s="182">
        <f ca="1">IF($D95&lt;&gt;"Serviço",0,IF(OR(AND(AUTOEVENTO="Manual",$M95=1),$M95&gt;(ROW(PLE.lastrow)-ROW(PLE.firstrow))),0,IF(OFFSET(PLE!$G$14,$M95,BB$13)="",10^12,OFFSET(PLE!$G$14,$M95,BB$13))))</f>
        <v>1000000000000</v>
      </c>
      <c r="BC95" s="182">
        <f ca="1">IF($D95&lt;&gt;"Serviço",0,IF(OR(AND(AUTOEVENTO="Manual",$M95=1),$M95&gt;(ROW(PLE.lastrow)-ROW(PLE.firstrow))),0,IF(OFFSET(PLE!$G$14,$M95,BC$13)="",10^12,OFFSET(PLE!$G$14,$M95,BC$13))))</f>
        <v>1000000000000</v>
      </c>
      <c r="BD95" s="182">
        <f ca="1">IF($D95&lt;&gt;"Serviço",0,IF(OR(AND(AUTOEVENTO="Manual",$M95=1),$M95&gt;(ROW(PLE.lastrow)-ROW(PLE.firstrow))),0,IF(OFFSET(PLE!$G$14,$M95,BD$13)="",10^12,OFFSET(PLE!$G$14,$M95,BD$13))))</f>
        <v>1000000000000</v>
      </c>
      <c r="BE95" s="182">
        <f ca="1">IF($D95&lt;&gt;"Serviço",0,IF(OR(AND(AUTOEVENTO="Manual",$M95=1),$M95&gt;(ROW(PLE.lastrow)-ROW(PLE.firstrow))),0,IF(OFFSET(PLE!$G$14,$M95,BE$13)="",10^12,OFFSET(PLE!$G$14,$M95,BE$13))))</f>
        <v>1000000000000</v>
      </c>
      <c r="BF95" s="182">
        <f ca="1">IF($D95&lt;&gt;"Serviço",0,IF(OR(AND(AUTOEVENTO="Manual",$M95=1),$M95&gt;(ROW(PLE.lastrow)-ROW(PLE.firstrow))),0,IF(OFFSET(PLE!$G$14,$M95,BF$13)="",10^12,OFFSET(PLE!$G$14,$M95,BF$13))))</f>
        <v>1000000000000</v>
      </c>
      <c r="BG95" s="182">
        <f ca="1">IF($D95&lt;&gt;"Serviço",0,IF(OR(AND(AUTOEVENTO="Manual",$M95=1),$M95&gt;(ROW(PLE.lastrow)-ROW(PLE.firstrow))),0,IF(OFFSET(PLE!$G$14,$M95,BG$13)="",10^12,OFFSET(PLE!$G$14,$M95,BG$13))))</f>
        <v>1000000000000</v>
      </c>
    </row>
    <row r="96" spans="1:59" ht="25.5" x14ac:dyDescent="0.2">
      <c r="A96" s="7" t="str">
        <f t="shared" ca="1" si="9"/>
        <v>71</v>
      </c>
      <c r="B96" s="7" t="str">
        <f ca="1">OFFSET(ORÇAMENTO!C$15,ROW(B96)-ROW(B$15),0)</f>
        <v>S</v>
      </c>
      <c r="C96" s="7" t="str">
        <f ca="1">OFFSET(ORÇAMENTO!L$15,ROW(C96)-ROW(C$15),0)</f>
        <v>F</v>
      </c>
      <c r="D96" s="118" t="str">
        <f ca="1">OFFSET(ORÇAMENTO!N$15,ROW(D96)-ROW(D$15),0)</f>
        <v>Serviço</v>
      </c>
      <c r="E96" s="119" t="str">
        <f ca="1">OFFSET(ORÇAMENTO!O$15,ROW(E96)-ROW(E$15),0)</f>
        <v>1.6.2.2.</v>
      </c>
      <c r="F96" s="172" t="str">
        <f ca="1">OFFSET(ORÇAMENTO!R$15,ROW(F96)-ROW(F$15),0)</f>
        <v>(abra o arquivo 'Referência 03-2024.xlsm)</v>
      </c>
      <c r="G96" s="173" t="str">
        <f ca="1">IF($D96&lt;&gt;"Serviço","",OFFSET(ORÇAMENTO!S$15,ROW(G96)-ROW(G$15),0))</f>
        <v>-</v>
      </c>
      <c r="H96" s="124">
        <f ca="1">IF($D96&lt;&gt;"Serviço",0,IF(ACOMPANHAMENTO="BM",ROUND(OFFSET(ORÇAMENTO!AJ$15,ROW(H96)-ROW(H$15),0),15-13*ORÇAMENTO!$AF$7),SUMPRODUCT(($Q$12:$AA$12&lt;&gt;"")*ROUND($Q96:$AA96,15-13*ORÇAMENTO!$AF$7))))</f>
        <v>0.28000000000000003</v>
      </c>
      <c r="I96" s="561"/>
      <c r="K96" s="174"/>
      <c r="L96" s="175" t="s">
        <v>255</v>
      </c>
      <c r="M96" s="176">
        <f ca="1">IF($D96&lt;&gt;"Serviço","",IF(AUTOEVENTO="manual",$A96,IF(ISERROR(MATCH($A96,$A$15:OFFSET($A96,-1,0),0)),MAX($M$15:OFFSET(M96,-1,0))+1,INDEX($M$15:OFFSET(M96,-1,0),MATCH($A96,$A$15:OFFSET($A96,-1,0),0)))))</f>
        <v>7</v>
      </c>
      <c r="N96" s="177" t="str">
        <f ca="1">IF($D96&lt;&gt;"Serviço","",IF(AUTOEVENTO="Manual",IF($A96=0,"&lt;-- defina o número do agrupador",OFFSET(EVENTOS!$D$14,$A96,0)),OFFSET($F$15,$A96,0)))</f>
        <v>SANITÁRIO PÚBLICO ACESSÍVEL</v>
      </c>
      <c r="O96" s="178"/>
      <c r="Q96" s="178"/>
      <c r="R96" s="179"/>
      <c r="S96" s="179"/>
      <c r="T96" s="179"/>
      <c r="U96" s="179"/>
      <c r="V96" s="179"/>
      <c r="W96" s="179"/>
      <c r="X96" s="179"/>
      <c r="Y96" s="179"/>
      <c r="Z96" s="180"/>
      <c r="AB96" s="544">
        <f ca="1">IF(AND($D96="Serviço",AB$12&lt;&gt;0,$H96&gt;0,OR(AUTOEVENTO&lt;&gt;"manual",$M96&lt;&gt;1)),
IF(Import.TipoArredondamento&lt;&gt;"TransfereGOV",
ROUND(OFFSET($P96,0,AB$13),15-13*ORÇAMENTO!$AF$7)/$H96*OFFSET(ORÇAMENTO!$X$15,ROW(AB96)-ROW(AB$15),0),
ROUND(ROUND(OFFSET($P96,0,AB$13),15-13*ORÇAMENTO!$AF$7)*OFFSET(ORÇAMENTO!$W$15,ROW(AB96)-ROW(AB$15),0),15-13*ORÇAMENTO!$AF$11)),0)</f>
        <v>0</v>
      </c>
      <c r="AC96" s="545">
        <f ca="1">IF(AND($D96="Serviço",AC$12&lt;&gt;0,$H96&gt;0,OR(AUTOEVENTO&lt;&gt;"manual",$M96&lt;&gt;1)),
IF(Import.TipoArredondamento&lt;&gt;"TransfereGOV",
ROUND(OFFSET($P96,0,AC$13),15-13*ORÇAMENTO!$AF$7)/$H96*OFFSET(ORÇAMENTO!$X$15,ROW(AC96)-ROW(AC$15),0),
ROUND(ROUND(OFFSET($P96,0,AC$13),15-13*ORÇAMENTO!$AF$7)*OFFSET(ORÇAMENTO!$W$15,ROW(AC96)-ROW(AC$15),0),15-13*ORÇAMENTO!$AF$11)),0)</f>
        <v>0</v>
      </c>
      <c r="AD96" s="545">
        <f ca="1">IF(AND($D96="Serviço",AD$12&lt;&gt;0,$H96&gt;0,OR(AUTOEVENTO&lt;&gt;"manual",$M96&lt;&gt;1)),
IF(Import.TipoArredondamento&lt;&gt;"TransfereGOV",
ROUND(OFFSET($P96,0,AD$13),15-13*ORÇAMENTO!$AF$7)/$H96*OFFSET(ORÇAMENTO!$X$15,ROW(AD96)-ROW(AD$15),0),
ROUND(ROUND(OFFSET($P96,0,AD$13),15-13*ORÇAMENTO!$AF$7)*OFFSET(ORÇAMENTO!$W$15,ROW(AD96)-ROW(AD$15),0),15-13*ORÇAMENTO!$AF$11)),0)</f>
        <v>0</v>
      </c>
      <c r="AE96" s="545">
        <f ca="1">IF(AND($D96="Serviço",AE$12&lt;&gt;0,$H96&gt;0,OR(AUTOEVENTO&lt;&gt;"manual",$M96&lt;&gt;1)),
IF(Import.TipoArredondamento&lt;&gt;"TransfereGOV",
ROUND(OFFSET($P96,0,AE$13),15-13*ORÇAMENTO!$AF$7)/$H96*OFFSET(ORÇAMENTO!$X$15,ROW(AE96)-ROW(AE$15),0),
ROUND(ROUND(OFFSET($P96,0,AE$13),15-13*ORÇAMENTO!$AF$7)*OFFSET(ORÇAMENTO!$W$15,ROW(AE96)-ROW(AE$15),0),15-13*ORÇAMENTO!$AF$11)),0)</f>
        <v>0</v>
      </c>
      <c r="AF96" s="545">
        <f ca="1">IF(AND($D96="Serviço",AF$12&lt;&gt;0,$H96&gt;0,OR(AUTOEVENTO&lt;&gt;"manual",$M96&lt;&gt;1)),
IF(Import.TipoArredondamento&lt;&gt;"TransfereGOV",
ROUND(OFFSET($P96,0,AF$13),15-13*ORÇAMENTO!$AF$7)/$H96*OFFSET(ORÇAMENTO!$X$15,ROW(AF96)-ROW(AF$15),0),
ROUND(ROUND(OFFSET($P96,0,AF$13),15-13*ORÇAMENTO!$AF$7)*OFFSET(ORÇAMENTO!$W$15,ROW(AF96)-ROW(AF$15),0),15-13*ORÇAMENTO!$AF$11)),0)</f>
        <v>0</v>
      </c>
      <c r="AG96" s="545">
        <f ca="1">IF(AND($D96="Serviço",AG$12&lt;&gt;0,$H96&gt;0,OR(AUTOEVENTO&lt;&gt;"manual",$M96&lt;&gt;1)),
IF(Import.TipoArredondamento&lt;&gt;"TransfereGOV",
ROUND(OFFSET($P96,0,AG$13),15-13*ORÇAMENTO!$AF$7)/$H96*OFFSET(ORÇAMENTO!$X$15,ROW(AG96)-ROW(AG$15),0),
ROUND(ROUND(OFFSET($P96,0,AG$13),15-13*ORÇAMENTO!$AF$7)*OFFSET(ORÇAMENTO!$W$15,ROW(AG96)-ROW(AG$15),0),15-13*ORÇAMENTO!$AF$11)),0)</f>
        <v>0</v>
      </c>
      <c r="AH96" s="545">
        <f ca="1">IF(AND($D96="Serviço",AH$12&lt;&gt;0,$H96&gt;0,OR(AUTOEVENTO&lt;&gt;"manual",$M96&lt;&gt;1)),
IF(Import.TipoArredondamento&lt;&gt;"TransfereGOV",
ROUND(OFFSET($P96,0,AH$13),15-13*ORÇAMENTO!$AF$7)/$H96*OFFSET(ORÇAMENTO!$X$15,ROW(AH96)-ROW(AH$15),0),
ROUND(ROUND(OFFSET($P96,0,AH$13),15-13*ORÇAMENTO!$AF$7)*OFFSET(ORÇAMENTO!$W$15,ROW(AH96)-ROW(AH$15),0),15-13*ORÇAMENTO!$AF$11)),0)</f>
        <v>0</v>
      </c>
      <c r="AI96" s="545">
        <f ca="1">IF(AND($D96="Serviço",AI$12&lt;&gt;0,$H96&gt;0,OR(AUTOEVENTO&lt;&gt;"manual",$M96&lt;&gt;1)),
IF(Import.TipoArredondamento&lt;&gt;"TransfereGOV",
ROUND(OFFSET($P96,0,AI$13),15-13*ORÇAMENTO!$AF$7)/$H96*OFFSET(ORÇAMENTO!$X$15,ROW(AI96)-ROW(AI$15),0),
ROUND(ROUND(OFFSET($P96,0,AI$13),15-13*ORÇAMENTO!$AF$7)*OFFSET(ORÇAMENTO!$W$15,ROW(AI96)-ROW(AI$15),0),15-13*ORÇAMENTO!$AF$11)),0)</f>
        <v>0</v>
      </c>
      <c r="AJ96" s="545">
        <f ca="1">IF(AND($D96="Serviço",AJ$12&lt;&gt;0,$H96&gt;0,OR(AUTOEVENTO&lt;&gt;"manual",$M96&lt;&gt;1)),
IF(Import.TipoArredondamento&lt;&gt;"TransfereGOV",
ROUND(OFFSET($P96,0,AJ$13),15-13*ORÇAMENTO!$AF$7)/$H96*OFFSET(ORÇAMENTO!$X$15,ROW(AJ96)-ROW(AJ$15),0),
ROUND(ROUND(OFFSET($P96,0,AJ$13),15-13*ORÇAMENTO!$AF$7)*OFFSET(ORÇAMENTO!$W$15,ROW(AJ96)-ROW(AJ$15),0),15-13*ORÇAMENTO!$AF$11)),0)</f>
        <v>0</v>
      </c>
      <c r="AK96" s="546">
        <f ca="1">IF(AND($D96="Serviço",AK$12&lt;&gt;0,$H96&gt;0,OR(AUTOEVENTO&lt;&gt;"manual",$M96&lt;&gt;1)),
IF(Import.TipoArredondamento&lt;&gt;"TransfereGOV",
ROUND(OFFSET($P96,0,AK$13),15-13*ORÇAMENTO!$AF$7)/$H96*OFFSET(ORÇAMENTO!$X$15,ROW(AK96)-ROW(AK$15),0),
ROUND(ROUND(OFFSET($P96,0,AK$13),15-13*ORÇAMENTO!$AF$7)*OFFSET(ORÇAMENTO!$W$15,ROW(AK96)-ROW(AK$15),0),15-13*ORÇAMENTO!$AF$11)),0)</f>
        <v>0</v>
      </c>
      <c r="AM96" s="181">
        <f ca="1">IF($D96&lt;&gt;"Serviço",0,IF(AND(AUTOEVENTO="Manual",$M96=1),0,IF(OFFSET(CRONOPLE!$F$14,$M96,AM$13)="",10^12,OFFSET(CRONOPLE!$F$14,$M96,AM$13))))</f>
        <v>1000000000000</v>
      </c>
      <c r="AN96" s="181">
        <f ca="1">IF($D96&lt;&gt;"Serviço",0,IF(AND(AUTOEVENTO="Manual",$M96=1),0,IF(OFFSET(CRONOPLE!$F$14,$M96,AN$13)="",10^12,OFFSET(CRONOPLE!$F$14,$M96,AN$13))))</f>
        <v>1000000000000</v>
      </c>
      <c r="AO96" s="181">
        <f ca="1">IF($D96&lt;&gt;"Serviço",0,IF(AND(AUTOEVENTO="Manual",$M96=1),0,IF(OFFSET(CRONOPLE!$F$14,$M96,AO$13)="",10^12,OFFSET(CRONOPLE!$F$14,$M96,AO$13))))</f>
        <v>1000000000000</v>
      </c>
      <c r="AP96" s="181">
        <f ca="1">IF($D96&lt;&gt;"Serviço",0,IF(AND(AUTOEVENTO="Manual",$M96=1),0,IF(OFFSET(CRONOPLE!$F$14,$M96,AP$13)="",10^12,OFFSET(CRONOPLE!$F$14,$M96,AP$13))))</f>
        <v>1000000000000</v>
      </c>
      <c r="AQ96" s="181">
        <f ca="1">IF($D96&lt;&gt;"Serviço",0,IF(AND(AUTOEVENTO="Manual",$M96=1),0,IF(OFFSET(CRONOPLE!$F$14,$M96,AQ$13)="",10^12,OFFSET(CRONOPLE!$F$14,$M96,AQ$13))))</f>
        <v>1000000000000</v>
      </c>
      <c r="AR96" s="181">
        <f ca="1">IF($D96&lt;&gt;"Serviço",0,IF(AND(AUTOEVENTO="Manual",$M96=1),0,IF(OFFSET(CRONOPLE!$F$14,$M96,AR$13)="",10^12,OFFSET(CRONOPLE!$F$14,$M96,AR$13))))</f>
        <v>1000000000000</v>
      </c>
      <c r="AS96" s="181">
        <f ca="1">IF($D96&lt;&gt;"Serviço",0,IF(AND(AUTOEVENTO="Manual",$M96=1),0,IF(OFFSET(CRONOPLE!$F$14,$M96,AS$13)="",10^12,OFFSET(CRONOPLE!$F$14,$M96,AS$13))))</f>
        <v>1000000000000</v>
      </c>
      <c r="AT96" s="181">
        <f ca="1">IF($D96&lt;&gt;"Serviço",0,IF(AND(AUTOEVENTO="Manual",$M96=1),0,IF(OFFSET(CRONOPLE!$F$14,$M96,AT$13)="",10^12,OFFSET(CRONOPLE!$F$14,$M96,AT$13))))</f>
        <v>1000000000000</v>
      </c>
      <c r="AU96" s="181">
        <f ca="1">IF($D96&lt;&gt;"Serviço",0,IF(AND(AUTOEVENTO="Manual",$M96=1),0,IF(OFFSET(CRONOPLE!$F$14,$M96,AU$13)="",10^12,OFFSET(CRONOPLE!$F$14,$M96,AU$13))))</f>
        <v>1000000000000</v>
      </c>
      <c r="AV96" s="181">
        <f ca="1">IF($D96&lt;&gt;"Serviço",0,IF(AND(AUTOEVENTO="Manual",$M96=1),0,IF(OFFSET(CRONOPLE!$F$14,$M96,AV$13)="",10^12,OFFSET(CRONOPLE!$F$14,$M96,AV$13))))</f>
        <v>1000000000000</v>
      </c>
      <c r="AX96" s="182">
        <f ca="1">IF($D96&lt;&gt;"Serviço",0,IF(OR(AND(AUTOEVENTO="Manual",$M96=1),$M96&gt;(ROW(PLE.lastrow)-ROW(PLE.firstrow))),0,IF(OFFSET(PLE!$G$14,$M96,AX$13)="",10^12,OFFSET(PLE!$G$14,$M96,AX$13))))</f>
        <v>1000000000000</v>
      </c>
      <c r="AY96" s="182">
        <f ca="1">IF($D96&lt;&gt;"Serviço",0,IF(OR(AND(AUTOEVENTO="Manual",$M96=1),$M96&gt;(ROW(PLE.lastrow)-ROW(PLE.firstrow))),0,IF(OFFSET(PLE!$G$14,$M96,AY$13)="",10^12,OFFSET(PLE!$G$14,$M96,AY$13))))</f>
        <v>1000000000000</v>
      </c>
      <c r="AZ96" s="182">
        <f ca="1">IF($D96&lt;&gt;"Serviço",0,IF(OR(AND(AUTOEVENTO="Manual",$M96=1),$M96&gt;(ROW(PLE.lastrow)-ROW(PLE.firstrow))),0,IF(OFFSET(PLE!$G$14,$M96,AZ$13)="",10^12,OFFSET(PLE!$G$14,$M96,AZ$13))))</f>
        <v>1000000000000</v>
      </c>
      <c r="BA96" s="182">
        <f ca="1">IF($D96&lt;&gt;"Serviço",0,IF(OR(AND(AUTOEVENTO="Manual",$M96=1),$M96&gt;(ROW(PLE.lastrow)-ROW(PLE.firstrow))),0,IF(OFFSET(PLE!$G$14,$M96,BA$13)="",10^12,OFFSET(PLE!$G$14,$M96,BA$13))))</f>
        <v>1000000000000</v>
      </c>
      <c r="BB96" s="182">
        <f ca="1">IF($D96&lt;&gt;"Serviço",0,IF(OR(AND(AUTOEVENTO="Manual",$M96=1),$M96&gt;(ROW(PLE.lastrow)-ROW(PLE.firstrow))),0,IF(OFFSET(PLE!$G$14,$M96,BB$13)="",10^12,OFFSET(PLE!$G$14,$M96,BB$13))))</f>
        <v>1000000000000</v>
      </c>
      <c r="BC96" s="182">
        <f ca="1">IF($D96&lt;&gt;"Serviço",0,IF(OR(AND(AUTOEVENTO="Manual",$M96=1),$M96&gt;(ROW(PLE.lastrow)-ROW(PLE.firstrow))),0,IF(OFFSET(PLE!$G$14,$M96,BC$13)="",10^12,OFFSET(PLE!$G$14,$M96,BC$13))))</f>
        <v>1000000000000</v>
      </c>
      <c r="BD96" s="182">
        <f ca="1">IF($D96&lt;&gt;"Serviço",0,IF(OR(AND(AUTOEVENTO="Manual",$M96=1),$M96&gt;(ROW(PLE.lastrow)-ROW(PLE.firstrow))),0,IF(OFFSET(PLE!$G$14,$M96,BD$13)="",10^12,OFFSET(PLE!$G$14,$M96,BD$13))))</f>
        <v>1000000000000</v>
      </c>
      <c r="BE96" s="182">
        <f ca="1">IF($D96&lt;&gt;"Serviço",0,IF(OR(AND(AUTOEVENTO="Manual",$M96=1),$M96&gt;(ROW(PLE.lastrow)-ROW(PLE.firstrow))),0,IF(OFFSET(PLE!$G$14,$M96,BE$13)="",10^12,OFFSET(PLE!$G$14,$M96,BE$13))))</f>
        <v>1000000000000</v>
      </c>
      <c r="BF96" s="182">
        <f ca="1">IF($D96&lt;&gt;"Serviço",0,IF(OR(AND(AUTOEVENTO="Manual",$M96=1),$M96&gt;(ROW(PLE.lastrow)-ROW(PLE.firstrow))),0,IF(OFFSET(PLE!$G$14,$M96,BF$13)="",10^12,OFFSET(PLE!$G$14,$M96,BF$13))))</f>
        <v>1000000000000</v>
      </c>
      <c r="BG96" s="182">
        <f ca="1">IF($D96&lt;&gt;"Serviço",0,IF(OR(AND(AUTOEVENTO="Manual",$M96=1),$M96&gt;(ROW(PLE.lastrow)-ROW(PLE.firstrow))),0,IF(OFFSET(PLE!$G$14,$M96,BG$13)="",10^12,OFFSET(PLE!$G$14,$M96,BG$13))))</f>
        <v>1000000000000</v>
      </c>
    </row>
    <row r="97" spans="1:59" ht="25.5" x14ac:dyDescent="0.2">
      <c r="A97" s="7" t="str">
        <f t="shared" ca="1" si="9"/>
        <v>71</v>
      </c>
      <c r="B97" s="7" t="str">
        <f ca="1">OFFSET(ORÇAMENTO!C$15,ROW(B97)-ROW(B$15),0)</f>
        <v>S</v>
      </c>
      <c r="C97" s="7" t="str">
        <f ca="1">OFFSET(ORÇAMENTO!L$15,ROW(C97)-ROW(C$15),0)</f>
        <v>F</v>
      </c>
      <c r="D97" s="118" t="str">
        <f ca="1">OFFSET(ORÇAMENTO!N$15,ROW(D97)-ROW(D$15),0)</f>
        <v>Serviço</v>
      </c>
      <c r="E97" s="119" t="str">
        <f ca="1">OFFSET(ORÇAMENTO!O$15,ROW(E97)-ROW(E$15),0)</f>
        <v>1.6.2.3.</v>
      </c>
      <c r="F97" s="172" t="str">
        <f ca="1">OFFSET(ORÇAMENTO!R$15,ROW(F97)-ROW(F$15),0)</f>
        <v>(abra o arquivo 'Referência 03-2024.xlsm)</v>
      </c>
      <c r="G97" s="173" t="str">
        <f ca="1">IF($D97&lt;&gt;"Serviço","",OFFSET(ORÇAMENTO!S$15,ROW(G97)-ROW(G$15),0))</f>
        <v>-</v>
      </c>
      <c r="H97" s="124">
        <f ca="1">IF($D97&lt;&gt;"Serviço",0,IF(ACOMPANHAMENTO="BM",ROUND(OFFSET(ORÇAMENTO!AJ$15,ROW(H97)-ROW(H$15),0),15-13*ORÇAMENTO!$AF$7),SUMPRODUCT(($Q$12:$AA$12&lt;&gt;"")*ROUND($Q97:$AA97,15-13*ORÇAMENTO!$AF$7))))</f>
        <v>2.12</v>
      </c>
      <c r="I97" s="561"/>
      <c r="K97" s="174"/>
      <c r="L97" s="175" t="s">
        <v>255</v>
      </c>
      <c r="M97" s="176">
        <f ca="1">IF($D97&lt;&gt;"Serviço","",IF(AUTOEVENTO="manual",$A97,IF(ISERROR(MATCH($A97,$A$15:OFFSET($A97,-1,0),0)),MAX($M$15:OFFSET(M97,-1,0))+1,INDEX($M$15:OFFSET(M97,-1,0),MATCH($A97,$A$15:OFFSET($A97,-1,0),0)))))</f>
        <v>7</v>
      </c>
      <c r="N97" s="177" t="str">
        <f ca="1">IF($D97&lt;&gt;"Serviço","",IF(AUTOEVENTO="Manual",IF($A97=0,"&lt;-- defina o número do agrupador",OFFSET(EVENTOS!$D$14,$A97,0)),OFFSET($F$15,$A97,0)))</f>
        <v>SANITÁRIO PÚBLICO ACESSÍVEL</v>
      </c>
      <c r="O97" s="178"/>
      <c r="Q97" s="178"/>
      <c r="R97" s="179"/>
      <c r="S97" s="179"/>
      <c r="T97" s="179"/>
      <c r="U97" s="179"/>
      <c r="V97" s="179"/>
      <c r="W97" s="179"/>
      <c r="X97" s="179"/>
      <c r="Y97" s="179"/>
      <c r="Z97" s="180"/>
      <c r="AB97" s="544">
        <f ca="1">IF(AND($D97="Serviço",AB$12&lt;&gt;0,$H97&gt;0,OR(AUTOEVENTO&lt;&gt;"manual",$M97&lt;&gt;1)),
IF(Import.TipoArredondamento&lt;&gt;"TransfereGOV",
ROUND(OFFSET($P97,0,AB$13),15-13*ORÇAMENTO!$AF$7)/$H97*OFFSET(ORÇAMENTO!$X$15,ROW(AB97)-ROW(AB$15),0),
ROUND(ROUND(OFFSET($P97,0,AB$13),15-13*ORÇAMENTO!$AF$7)*OFFSET(ORÇAMENTO!$W$15,ROW(AB97)-ROW(AB$15),0),15-13*ORÇAMENTO!$AF$11)),0)</f>
        <v>0</v>
      </c>
      <c r="AC97" s="545">
        <f ca="1">IF(AND($D97="Serviço",AC$12&lt;&gt;0,$H97&gt;0,OR(AUTOEVENTO&lt;&gt;"manual",$M97&lt;&gt;1)),
IF(Import.TipoArredondamento&lt;&gt;"TransfereGOV",
ROUND(OFFSET($P97,0,AC$13),15-13*ORÇAMENTO!$AF$7)/$H97*OFFSET(ORÇAMENTO!$X$15,ROW(AC97)-ROW(AC$15),0),
ROUND(ROUND(OFFSET($P97,0,AC$13),15-13*ORÇAMENTO!$AF$7)*OFFSET(ORÇAMENTO!$W$15,ROW(AC97)-ROW(AC$15),0),15-13*ORÇAMENTO!$AF$11)),0)</f>
        <v>0</v>
      </c>
      <c r="AD97" s="545">
        <f ca="1">IF(AND($D97="Serviço",AD$12&lt;&gt;0,$H97&gt;0,OR(AUTOEVENTO&lt;&gt;"manual",$M97&lt;&gt;1)),
IF(Import.TipoArredondamento&lt;&gt;"TransfereGOV",
ROUND(OFFSET($P97,0,AD$13),15-13*ORÇAMENTO!$AF$7)/$H97*OFFSET(ORÇAMENTO!$X$15,ROW(AD97)-ROW(AD$15),0),
ROUND(ROUND(OFFSET($P97,0,AD$13),15-13*ORÇAMENTO!$AF$7)*OFFSET(ORÇAMENTO!$W$15,ROW(AD97)-ROW(AD$15),0),15-13*ORÇAMENTO!$AF$11)),0)</f>
        <v>0</v>
      </c>
      <c r="AE97" s="545">
        <f ca="1">IF(AND($D97="Serviço",AE$12&lt;&gt;0,$H97&gt;0,OR(AUTOEVENTO&lt;&gt;"manual",$M97&lt;&gt;1)),
IF(Import.TipoArredondamento&lt;&gt;"TransfereGOV",
ROUND(OFFSET($P97,0,AE$13),15-13*ORÇAMENTO!$AF$7)/$H97*OFFSET(ORÇAMENTO!$X$15,ROW(AE97)-ROW(AE$15),0),
ROUND(ROUND(OFFSET($P97,0,AE$13),15-13*ORÇAMENTO!$AF$7)*OFFSET(ORÇAMENTO!$W$15,ROW(AE97)-ROW(AE$15),0),15-13*ORÇAMENTO!$AF$11)),0)</f>
        <v>0</v>
      </c>
      <c r="AF97" s="545">
        <f ca="1">IF(AND($D97="Serviço",AF$12&lt;&gt;0,$H97&gt;0,OR(AUTOEVENTO&lt;&gt;"manual",$M97&lt;&gt;1)),
IF(Import.TipoArredondamento&lt;&gt;"TransfereGOV",
ROUND(OFFSET($P97,0,AF$13),15-13*ORÇAMENTO!$AF$7)/$H97*OFFSET(ORÇAMENTO!$X$15,ROW(AF97)-ROW(AF$15),0),
ROUND(ROUND(OFFSET($P97,0,AF$13),15-13*ORÇAMENTO!$AF$7)*OFFSET(ORÇAMENTO!$W$15,ROW(AF97)-ROW(AF$15),0),15-13*ORÇAMENTO!$AF$11)),0)</f>
        <v>0</v>
      </c>
      <c r="AG97" s="545">
        <f ca="1">IF(AND($D97="Serviço",AG$12&lt;&gt;0,$H97&gt;0,OR(AUTOEVENTO&lt;&gt;"manual",$M97&lt;&gt;1)),
IF(Import.TipoArredondamento&lt;&gt;"TransfereGOV",
ROUND(OFFSET($P97,0,AG$13),15-13*ORÇAMENTO!$AF$7)/$H97*OFFSET(ORÇAMENTO!$X$15,ROW(AG97)-ROW(AG$15),0),
ROUND(ROUND(OFFSET($P97,0,AG$13),15-13*ORÇAMENTO!$AF$7)*OFFSET(ORÇAMENTO!$W$15,ROW(AG97)-ROW(AG$15),0),15-13*ORÇAMENTO!$AF$11)),0)</f>
        <v>0</v>
      </c>
      <c r="AH97" s="545">
        <f ca="1">IF(AND($D97="Serviço",AH$12&lt;&gt;0,$H97&gt;0,OR(AUTOEVENTO&lt;&gt;"manual",$M97&lt;&gt;1)),
IF(Import.TipoArredondamento&lt;&gt;"TransfereGOV",
ROUND(OFFSET($P97,0,AH$13),15-13*ORÇAMENTO!$AF$7)/$H97*OFFSET(ORÇAMENTO!$X$15,ROW(AH97)-ROW(AH$15),0),
ROUND(ROUND(OFFSET($P97,0,AH$13),15-13*ORÇAMENTO!$AF$7)*OFFSET(ORÇAMENTO!$W$15,ROW(AH97)-ROW(AH$15),0),15-13*ORÇAMENTO!$AF$11)),0)</f>
        <v>0</v>
      </c>
      <c r="AI97" s="545">
        <f ca="1">IF(AND($D97="Serviço",AI$12&lt;&gt;0,$H97&gt;0,OR(AUTOEVENTO&lt;&gt;"manual",$M97&lt;&gt;1)),
IF(Import.TipoArredondamento&lt;&gt;"TransfereGOV",
ROUND(OFFSET($P97,0,AI$13),15-13*ORÇAMENTO!$AF$7)/$H97*OFFSET(ORÇAMENTO!$X$15,ROW(AI97)-ROW(AI$15),0),
ROUND(ROUND(OFFSET($P97,0,AI$13),15-13*ORÇAMENTO!$AF$7)*OFFSET(ORÇAMENTO!$W$15,ROW(AI97)-ROW(AI$15),0),15-13*ORÇAMENTO!$AF$11)),0)</f>
        <v>0</v>
      </c>
      <c r="AJ97" s="545">
        <f ca="1">IF(AND($D97="Serviço",AJ$12&lt;&gt;0,$H97&gt;0,OR(AUTOEVENTO&lt;&gt;"manual",$M97&lt;&gt;1)),
IF(Import.TipoArredondamento&lt;&gt;"TransfereGOV",
ROUND(OFFSET($P97,0,AJ$13),15-13*ORÇAMENTO!$AF$7)/$H97*OFFSET(ORÇAMENTO!$X$15,ROW(AJ97)-ROW(AJ$15),0),
ROUND(ROUND(OFFSET($P97,0,AJ$13),15-13*ORÇAMENTO!$AF$7)*OFFSET(ORÇAMENTO!$W$15,ROW(AJ97)-ROW(AJ$15),0),15-13*ORÇAMENTO!$AF$11)),0)</f>
        <v>0</v>
      </c>
      <c r="AK97" s="546">
        <f ca="1">IF(AND($D97="Serviço",AK$12&lt;&gt;0,$H97&gt;0,OR(AUTOEVENTO&lt;&gt;"manual",$M97&lt;&gt;1)),
IF(Import.TipoArredondamento&lt;&gt;"TransfereGOV",
ROUND(OFFSET($P97,0,AK$13),15-13*ORÇAMENTO!$AF$7)/$H97*OFFSET(ORÇAMENTO!$X$15,ROW(AK97)-ROW(AK$15),0),
ROUND(ROUND(OFFSET($P97,0,AK$13),15-13*ORÇAMENTO!$AF$7)*OFFSET(ORÇAMENTO!$W$15,ROW(AK97)-ROW(AK$15),0),15-13*ORÇAMENTO!$AF$11)),0)</f>
        <v>0</v>
      </c>
      <c r="AM97" s="181">
        <f ca="1">IF($D97&lt;&gt;"Serviço",0,IF(AND(AUTOEVENTO="Manual",$M97=1),0,IF(OFFSET(CRONOPLE!$F$14,$M97,AM$13)="",10^12,OFFSET(CRONOPLE!$F$14,$M97,AM$13))))</f>
        <v>1000000000000</v>
      </c>
      <c r="AN97" s="181">
        <f ca="1">IF($D97&lt;&gt;"Serviço",0,IF(AND(AUTOEVENTO="Manual",$M97=1),0,IF(OFFSET(CRONOPLE!$F$14,$M97,AN$13)="",10^12,OFFSET(CRONOPLE!$F$14,$M97,AN$13))))</f>
        <v>1000000000000</v>
      </c>
      <c r="AO97" s="181">
        <f ca="1">IF($D97&lt;&gt;"Serviço",0,IF(AND(AUTOEVENTO="Manual",$M97=1),0,IF(OFFSET(CRONOPLE!$F$14,$M97,AO$13)="",10^12,OFFSET(CRONOPLE!$F$14,$M97,AO$13))))</f>
        <v>1000000000000</v>
      </c>
      <c r="AP97" s="181">
        <f ca="1">IF($D97&lt;&gt;"Serviço",0,IF(AND(AUTOEVENTO="Manual",$M97=1),0,IF(OFFSET(CRONOPLE!$F$14,$M97,AP$13)="",10^12,OFFSET(CRONOPLE!$F$14,$M97,AP$13))))</f>
        <v>1000000000000</v>
      </c>
      <c r="AQ97" s="181">
        <f ca="1">IF($D97&lt;&gt;"Serviço",0,IF(AND(AUTOEVENTO="Manual",$M97=1),0,IF(OFFSET(CRONOPLE!$F$14,$M97,AQ$13)="",10^12,OFFSET(CRONOPLE!$F$14,$M97,AQ$13))))</f>
        <v>1000000000000</v>
      </c>
      <c r="AR97" s="181">
        <f ca="1">IF($D97&lt;&gt;"Serviço",0,IF(AND(AUTOEVENTO="Manual",$M97=1),0,IF(OFFSET(CRONOPLE!$F$14,$M97,AR$13)="",10^12,OFFSET(CRONOPLE!$F$14,$M97,AR$13))))</f>
        <v>1000000000000</v>
      </c>
      <c r="AS97" s="181">
        <f ca="1">IF($D97&lt;&gt;"Serviço",0,IF(AND(AUTOEVENTO="Manual",$M97=1),0,IF(OFFSET(CRONOPLE!$F$14,$M97,AS$13)="",10^12,OFFSET(CRONOPLE!$F$14,$M97,AS$13))))</f>
        <v>1000000000000</v>
      </c>
      <c r="AT97" s="181">
        <f ca="1">IF($D97&lt;&gt;"Serviço",0,IF(AND(AUTOEVENTO="Manual",$M97=1),0,IF(OFFSET(CRONOPLE!$F$14,$M97,AT$13)="",10^12,OFFSET(CRONOPLE!$F$14,$M97,AT$13))))</f>
        <v>1000000000000</v>
      </c>
      <c r="AU97" s="181">
        <f ca="1">IF($D97&lt;&gt;"Serviço",0,IF(AND(AUTOEVENTO="Manual",$M97=1),0,IF(OFFSET(CRONOPLE!$F$14,$M97,AU$13)="",10^12,OFFSET(CRONOPLE!$F$14,$M97,AU$13))))</f>
        <v>1000000000000</v>
      </c>
      <c r="AV97" s="181">
        <f ca="1">IF($D97&lt;&gt;"Serviço",0,IF(AND(AUTOEVENTO="Manual",$M97=1),0,IF(OFFSET(CRONOPLE!$F$14,$M97,AV$13)="",10^12,OFFSET(CRONOPLE!$F$14,$M97,AV$13))))</f>
        <v>1000000000000</v>
      </c>
      <c r="AX97" s="182">
        <f ca="1">IF($D97&lt;&gt;"Serviço",0,IF(OR(AND(AUTOEVENTO="Manual",$M97=1),$M97&gt;(ROW(PLE.lastrow)-ROW(PLE.firstrow))),0,IF(OFFSET(PLE!$G$14,$M97,AX$13)="",10^12,OFFSET(PLE!$G$14,$M97,AX$13))))</f>
        <v>1000000000000</v>
      </c>
      <c r="AY97" s="182">
        <f ca="1">IF($D97&lt;&gt;"Serviço",0,IF(OR(AND(AUTOEVENTO="Manual",$M97=1),$M97&gt;(ROW(PLE.lastrow)-ROW(PLE.firstrow))),0,IF(OFFSET(PLE!$G$14,$M97,AY$13)="",10^12,OFFSET(PLE!$G$14,$M97,AY$13))))</f>
        <v>1000000000000</v>
      </c>
      <c r="AZ97" s="182">
        <f ca="1">IF($D97&lt;&gt;"Serviço",0,IF(OR(AND(AUTOEVENTO="Manual",$M97=1),$M97&gt;(ROW(PLE.lastrow)-ROW(PLE.firstrow))),0,IF(OFFSET(PLE!$G$14,$M97,AZ$13)="",10^12,OFFSET(PLE!$G$14,$M97,AZ$13))))</f>
        <v>1000000000000</v>
      </c>
      <c r="BA97" s="182">
        <f ca="1">IF($D97&lt;&gt;"Serviço",0,IF(OR(AND(AUTOEVENTO="Manual",$M97=1),$M97&gt;(ROW(PLE.lastrow)-ROW(PLE.firstrow))),0,IF(OFFSET(PLE!$G$14,$M97,BA$13)="",10^12,OFFSET(PLE!$G$14,$M97,BA$13))))</f>
        <v>1000000000000</v>
      </c>
      <c r="BB97" s="182">
        <f ca="1">IF($D97&lt;&gt;"Serviço",0,IF(OR(AND(AUTOEVENTO="Manual",$M97=1),$M97&gt;(ROW(PLE.lastrow)-ROW(PLE.firstrow))),0,IF(OFFSET(PLE!$G$14,$M97,BB$13)="",10^12,OFFSET(PLE!$G$14,$M97,BB$13))))</f>
        <v>1000000000000</v>
      </c>
      <c r="BC97" s="182">
        <f ca="1">IF($D97&lt;&gt;"Serviço",0,IF(OR(AND(AUTOEVENTO="Manual",$M97=1),$M97&gt;(ROW(PLE.lastrow)-ROW(PLE.firstrow))),0,IF(OFFSET(PLE!$G$14,$M97,BC$13)="",10^12,OFFSET(PLE!$G$14,$M97,BC$13))))</f>
        <v>1000000000000</v>
      </c>
      <c r="BD97" s="182">
        <f ca="1">IF($D97&lt;&gt;"Serviço",0,IF(OR(AND(AUTOEVENTO="Manual",$M97=1),$M97&gt;(ROW(PLE.lastrow)-ROW(PLE.firstrow))),0,IF(OFFSET(PLE!$G$14,$M97,BD$13)="",10^12,OFFSET(PLE!$G$14,$M97,BD$13))))</f>
        <v>1000000000000</v>
      </c>
      <c r="BE97" s="182">
        <f ca="1">IF($D97&lt;&gt;"Serviço",0,IF(OR(AND(AUTOEVENTO="Manual",$M97=1),$M97&gt;(ROW(PLE.lastrow)-ROW(PLE.firstrow))),0,IF(OFFSET(PLE!$G$14,$M97,BE$13)="",10^12,OFFSET(PLE!$G$14,$M97,BE$13))))</f>
        <v>1000000000000</v>
      </c>
      <c r="BF97" s="182">
        <f ca="1">IF($D97&lt;&gt;"Serviço",0,IF(OR(AND(AUTOEVENTO="Manual",$M97=1),$M97&gt;(ROW(PLE.lastrow)-ROW(PLE.firstrow))),0,IF(OFFSET(PLE!$G$14,$M97,BF$13)="",10^12,OFFSET(PLE!$G$14,$M97,BF$13))))</f>
        <v>1000000000000</v>
      </c>
      <c r="BG97" s="182">
        <f ca="1">IF($D97&lt;&gt;"Serviço",0,IF(OR(AND(AUTOEVENTO="Manual",$M97=1),$M97&gt;(ROW(PLE.lastrow)-ROW(PLE.firstrow))),0,IF(OFFSET(PLE!$G$14,$M97,BG$13)="",10^12,OFFSET(PLE!$G$14,$M97,BG$13))))</f>
        <v>1000000000000</v>
      </c>
    </row>
    <row r="98" spans="1:59" ht="38.25" x14ac:dyDescent="0.2">
      <c r="A98" s="7" t="str">
        <f t="shared" ca="1" si="9"/>
        <v>71</v>
      </c>
      <c r="B98" s="7" t="str">
        <f ca="1">OFFSET(ORÇAMENTO!C$15,ROW(B98)-ROW(B$15),0)</f>
        <v>S</v>
      </c>
      <c r="C98" s="7" t="str">
        <f ca="1">OFFSET(ORÇAMENTO!L$15,ROW(C98)-ROW(C$15),0)</f>
        <v>F</v>
      </c>
      <c r="D98" s="118" t="str">
        <f ca="1">OFFSET(ORÇAMENTO!N$15,ROW(D98)-ROW(D$15),0)</f>
        <v>Serviço</v>
      </c>
      <c r="E98" s="119" t="str">
        <f ca="1">OFFSET(ORÇAMENTO!O$15,ROW(E98)-ROW(E$15),0)</f>
        <v>1.6.2.4.</v>
      </c>
      <c r="F98" s="172" t="str">
        <f ca="1">OFFSET(ORÇAMENTO!R$15,ROW(F98)-ROW(F$15),0)</f>
        <v>(abra o arquivo 'Referência 03-2024.xlsm)</v>
      </c>
      <c r="G98" s="173" t="str">
        <f ca="1">IF($D98&lt;&gt;"Serviço","",OFFSET(ORÇAMENTO!S$15,ROW(G98)-ROW(G$15),0))</f>
        <v>-</v>
      </c>
      <c r="H98" s="124">
        <f ca="1">IF($D98&lt;&gt;"Serviço",0,IF(ACOMPANHAMENTO="BM",ROUND(OFFSET(ORÇAMENTO!AJ$15,ROW(H98)-ROW(H$15),0),15-13*ORÇAMENTO!$AF$7),SUMPRODUCT(($Q$12:$AA$12&lt;&gt;"")*ROUND($Q98:$AA98,15-13*ORÇAMENTO!$AF$7))))</f>
        <v>8.49</v>
      </c>
      <c r="I98" s="561"/>
      <c r="K98" s="174"/>
      <c r="L98" s="175" t="s">
        <v>255</v>
      </c>
      <c r="M98" s="176">
        <f ca="1">IF($D98&lt;&gt;"Serviço","",IF(AUTOEVENTO="manual",$A98,IF(ISERROR(MATCH($A98,$A$15:OFFSET($A98,-1,0),0)),MAX($M$15:OFFSET(M98,-1,0))+1,INDEX($M$15:OFFSET(M98,-1,0),MATCH($A98,$A$15:OFFSET($A98,-1,0),0)))))</f>
        <v>7</v>
      </c>
      <c r="N98" s="177" t="str">
        <f ca="1">IF($D98&lt;&gt;"Serviço","",IF(AUTOEVENTO="Manual",IF($A98=0,"&lt;-- defina o número do agrupador",OFFSET(EVENTOS!$D$14,$A98,0)),OFFSET($F$15,$A98,0)))</f>
        <v>SANITÁRIO PÚBLICO ACESSÍVEL</v>
      </c>
      <c r="O98" s="178"/>
      <c r="Q98" s="178"/>
      <c r="R98" s="179"/>
      <c r="S98" s="179"/>
      <c r="T98" s="179"/>
      <c r="U98" s="179"/>
      <c r="V98" s="179"/>
      <c r="W98" s="179"/>
      <c r="X98" s="179"/>
      <c r="Y98" s="179"/>
      <c r="Z98" s="180"/>
      <c r="AB98" s="544">
        <f ca="1">IF(AND($D98="Serviço",AB$12&lt;&gt;0,$H98&gt;0,OR(AUTOEVENTO&lt;&gt;"manual",$M98&lt;&gt;1)),
IF(Import.TipoArredondamento&lt;&gt;"TransfereGOV",
ROUND(OFFSET($P98,0,AB$13),15-13*ORÇAMENTO!$AF$7)/$H98*OFFSET(ORÇAMENTO!$X$15,ROW(AB98)-ROW(AB$15),0),
ROUND(ROUND(OFFSET($P98,0,AB$13),15-13*ORÇAMENTO!$AF$7)*OFFSET(ORÇAMENTO!$W$15,ROW(AB98)-ROW(AB$15),0),15-13*ORÇAMENTO!$AF$11)),0)</f>
        <v>0</v>
      </c>
      <c r="AC98" s="545">
        <f ca="1">IF(AND($D98="Serviço",AC$12&lt;&gt;0,$H98&gt;0,OR(AUTOEVENTO&lt;&gt;"manual",$M98&lt;&gt;1)),
IF(Import.TipoArredondamento&lt;&gt;"TransfereGOV",
ROUND(OFFSET($P98,0,AC$13),15-13*ORÇAMENTO!$AF$7)/$H98*OFFSET(ORÇAMENTO!$X$15,ROW(AC98)-ROW(AC$15),0),
ROUND(ROUND(OFFSET($P98,0,AC$13),15-13*ORÇAMENTO!$AF$7)*OFFSET(ORÇAMENTO!$W$15,ROW(AC98)-ROW(AC$15),0),15-13*ORÇAMENTO!$AF$11)),0)</f>
        <v>0</v>
      </c>
      <c r="AD98" s="545">
        <f ca="1">IF(AND($D98="Serviço",AD$12&lt;&gt;0,$H98&gt;0,OR(AUTOEVENTO&lt;&gt;"manual",$M98&lt;&gt;1)),
IF(Import.TipoArredondamento&lt;&gt;"TransfereGOV",
ROUND(OFFSET($P98,0,AD$13),15-13*ORÇAMENTO!$AF$7)/$H98*OFFSET(ORÇAMENTO!$X$15,ROW(AD98)-ROW(AD$15),0),
ROUND(ROUND(OFFSET($P98,0,AD$13),15-13*ORÇAMENTO!$AF$7)*OFFSET(ORÇAMENTO!$W$15,ROW(AD98)-ROW(AD$15),0),15-13*ORÇAMENTO!$AF$11)),0)</f>
        <v>0</v>
      </c>
      <c r="AE98" s="545">
        <f ca="1">IF(AND($D98="Serviço",AE$12&lt;&gt;0,$H98&gt;0,OR(AUTOEVENTO&lt;&gt;"manual",$M98&lt;&gt;1)),
IF(Import.TipoArredondamento&lt;&gt;"TransfereGOV",
ROUND(OFFSET($P98,0,AE$13),15-13*ORÇAMENTO!$AF$7)/$H98*OFFSET(ORÇAMENTO!$X$15,ROW(AE98)-ROW(AE$15),0),
ROUND(ROUND(OFFSET($P98,0,AE$13),15-13*ORÇAMENTO!$AF$7)*OFFSET(ORÇAMENTO!$W$15,ROW(AE98)-ROW(AE$15),0),15-13*ORÇAMENTO!$AF$11)),0)</f>
        <v>0</v>
      </c>
      <c r="AF98" s="545">
        <f ca="1">IF(AND($D98="Serviço",AF$12&lt;&gt;0,$H98&gt;0,OR(AUTOEVENTO&lt;&gt;"manual",$M98&lt;&gt;1)),
IF(Import.TipoArredondamento&lt;&gt;"TransfereGOV",
ROUND(OFFSET($P98,0,AF$13),15-13*ORÇAMENTO!$AF$7)/$H98*OFFSET(ORÇAMENTO!$X$15,ROW(AF98)-ROW(AF$15),0),
ROUND(ROUND(OFFSET($P98,0,AF$13),15-13*ORÇAMENTO!$AF$7)*OFFSET(ORÇAMENTO!$W$15,ROW(AF98)-ROW(AF$15),0),15-13*ORÇAMENTO!$AF$11)),0)</f>
        <v>0</v>
      </c>
      <c r="AG98" s="545">
        <f ca="1">IF(AND($D98="Serviço",AG$12&lt;&gt;0,$H98&gt;0,OR(AUTOEVENTO&lt;&gt;"manual",$M98&lt;&gt;1)),
IF(Import.TipoArredondamento&lt;&gt;"TransfereGOV",
ROUND(OFFSET($P98,0,AG$13),15-13*ORÇAMENTO!$AF$7)/$H98*OFFSET(ORÇAMENTO!$X$15,ROW(AG98)-ROW(AG$15),0),
ROUND(ROUND(OFFSET($P98,0,AG$13),15-13*ORÇAMENTO!$AF$7)*OFFSET(ORÇAMENTO!$W$15,ROW(AG98)-ROW(AG$15),0),15-13*ORÇAMENTO!$AF$11)),0)</f>
        <v>0</v>
      </c>
      <c r="AH98" s="545">
        <f ca="1">IF(AND($D98="Serviço",AH$12&lt;&gt;0,$H98&gt;0,OR(AUTOEVENTO&lt;&gt;"manual",$M98&lt;&gt;1)),
IF(Import.TipoArredondamento&lt;&gt;"TransfereGOV",
ROUND(OFFSET($P98,0,AH$13),15-13*ORÇAMENTO!$AF$7)/$H98*OFFSET(ORÇAMENTO!$X$15,ROW(AH98)-ROW(AH$15),0),
ROUND(ROUND(OFFSET($P98,0,AH$13),15-13*ORÇAMENTO!$AF$7)*OFFSET(ORÇAMENTO!$W$15,ROW(AH98)-ROW(AH$15),0),15-13*ORÇAMENTO!$AF$11)),0)</f>
        <v>0</v>
      </c>
      <c r="AI98" s="545">
        <f ca="1">IF(AND($D98="Serviço",AI$12&lt;&gt;0,$H98&gt;0,OR(AUTOEVENTO&lt;&gt;"manual",$M98&lt;&gt;1)),
IF(Import.TipoArredondamento&lt;&gt;"TransfereGOV",
ROUND(OFFSET($P98,0,AI$13),15-13*ORÇAMENTO!$AF$7)/$H98*OFFSET(ORÇAMENTO!$X$15,ROW(AI98)-ROW(AI$15),0),
ROUND(ROUND(OFFSET($P98,0,AI$13),15-13*ORÇAMENTO!$AF$7)*OFFSET(ORÇAMENTO!$W$15,ROW(AI98)-ROW(AI$15),0),15-13*ORÇAMENTO!$AF$11)),0)</f>
        <v>0</v>
      </c>
      <c r="AJ98" s="545">
        <f ca="1">IF(AND($D98="Serviço",AJ$12&lt;&gt;0,$H98&gt;0,OR(AUTOEVENTO&lt;&gt;"manual",$M98&lt;&gt;1)),
IF(Import.TipoArredondamento&lt;&gt;"TransfereGOV",
ROUND(OFFSET($P98,0,AJ$13),15-13*ORÇAMENTO!$AF$7)/$H98*OFFSET(ORÇAMENTO!$X$15,ROW(AJ98)-ROW(AJ$15),0),
ROUND(ROUND(OFFSET($P98,0,AJ$13),15-13*ORÇAMENTO!$AF$7)*OFFSET(ORÇAMENTO!$W$15,ROW(AJ98)-ROW(AJ$15),0),15-13*ORÇAMENTO!$AF$11)),0)</f>
        <v>0</v>
      </c>
      <c r="AK98" s="546">
        <f ca="1">IF(AND($D98="Serviço",AK$12&lt;&gt;0,$H98&gt;0,OR(AUTOEVENTO&lt;&gt;"manual",$M98&lt;&gt;1)),
IF(Import.TipoArredondamento&lt;&gt;"TransfereGOV",
ROUND(OFFSET($P98,0,AK$13),15-13*ORÇAMENTO!$AF$7)/$H98*OFFSET(ORÇAMENTO!$X$15,ROW(AK98)-ROW(AK$15),0),
ROUND(ROUND(OFFSET($P98,0,AK$13),15-13*ORÇAMENTO!$AF$7)*OFFSET(ORÇAMENTO!$W$15,ROW(AK98)-ROW(AK$15),0),15-13*ORÇAMENTO!$AF$11)),0)</f>
        <v>0</v>
      </c>
      <c r="AM98" s="181">
        <f ca="1">IF($D98&lt;&gt;"Serviço",0,IF(AND(AUTOEVENTO="Manual",$M98=1),0,IF(OFFSET(CRONOPLE!$F$14,$M98,AM$13)="",10^12,OFFSET(CRONOPLE!$F$14,$M98,AM$13))))</f>
        <v>1000000000000</v>
      </c>
      <c r="AN98" s="181">
        <f ca="1">IF($D98&lt;&gt;"Serviço",0,IF(AND(AUTOEVENTO="Manual",$M98=1),0,IF(OFFSET(CRONOPLE!$F$14,$M98,AN$13)="",10^12,OFFSET(CRONOPLE!$F$14,$M98,AN$13))))</f>
        <v>1000000000000</v>
      </c>
      <c r="AO98" s="181">
        <f ca="1">IF($D98&lt;&gt;"Serviço",0,IF(AND(AUTOEVENTO="Manual",$M98=1),0,IF(OFFSET(CRONOPLE!$F$14,$M98,AO$13)="",10^12,OFFSET(CRONOPLE!$F$14,$M98,AO$13))))</f>
        <v>1000000000000</v>
      </c>
      <c r="AP98" s="181">
        <f ca="1">IF($D98&lt;&gt;"Serviço",0,IF(AND(AUTOEVENTO="Manual",$M98=1),0,IF(OFFSET(CRONOPLE!$F$14,$M98,AP$13)="",10^12,OFFSET(CRONOPLE!$F$14,$M98,AP$13))))</f>
        <v>1000000000000</v>
      </c>
      <c r="AQ98" s="181">
        <f ca="1">IF($D98&lt;&gt;"Serviço",0,IF(AND(AUTOEVENTO="Manual",$M98=1),0,IF(OFFSET(CRONOPLE!$F$14,$M98,AQ$13)="",10^12,OFFSET(CRONOPLE!$F$14,$M98,AQ$13))))</f>
        <v>1000000000000</v>
      </c>
      <c r="AR98" s="181">
        <f ca="1">IF($D98&lt;&gt;"Serviço",0,IF(AND(AUTOEVENTO="Manual",$M98=1),0,IF(OFFSET(CRONOPLE!$F$14,$M98,AR$13)="",10^12,OFFSET(CRONOPLE!$F$14,$M98,AR$13))))</f>
        <v>1000000000000</v>
      </c>
      <c r="AS98" s="181">
        <f ca="1">IF($D98&lt;&gt;"Serviço",0,IF(AND(AUTOEVENTO="Manual",$M98=1),0,IF(OFFSET(CRONOPLE!$F$14,$M98,AS$13)="",10^12,OFFSET(CRONOPLE!$F$14,$M98,AS$13))))</f>
        <v>1000000000000</v>
      </c>
      <c r="AT98" s="181">
        <f ca="1">IF($D98&lt;&gt;"Serviço",0,IF(AND(AUTOEVENTO="Manual",$M98=1),0,IF(OFFSET(CRONOPLE!$F$14,$M98,AT$13)="",10^12,OFFSET(CRONOPLE!$F$14,$M98,AT$13))))</f>
        <v>1000000000000</v>
      </c>
      <c r="AU98" s="181">
        <f ca="1">IF($D98&lt;&gt;"Serviço",0,IF(AND(AUTOEVENTO="Manual",$M98=1),0,IF(OFFSET(CRONOPLE!$F$14,$M98,AU$13)="",10^12,OFFSET(CRONOPLE!$F$14,$M98,AU$13))))</f>
        <v>1000000000000</v>
      </c>
      <c r="AV98" s="181">
        <f ca="1">IF($D98&lt;&gt;"Serviço",0,IF(AND(AUTOEVENTO="Manual",$M98=1),0,IF(OFFSET(CRONOPLE!$F$14,$M98,AV$13)="",10^12,OFFSET(CRONOPLE!$F$14,$M98,AV$13))))</f>
        <v>1000000000000</v>
      </c>
      <c r="AX98" s="182">
        <f ca="1">IF($D98&lt;&gt;"Serviço",0,IF(OR(AND(AUTOEVENTO="Manual",$M98=1),$M98&gt;(ROW(PLE.lastrow)-ROW(PLE.firstrow))),0,IF(OFFSET(PLE!$G$14,$M98,AX$13)="",10^12,OFFSET(PLE!$G$14,$M98,AX$13))))</f>
        <v>1000000000000</v>
      </c>
      <c r="AY98" s="182">
        <f ca="1">IF($D98&lt;&gt;"Serviço",0,IF(OR(AND(AUTOEVENTO="Manual",$M98=1),$M98&gt;(ROW(PLE.lastrow)-ROW(PLE.firstrow))),0,IF(OFFSET(PLE!$G$14,$M98,AY$13)="",10^12,OFFSET(PLE!$G$14,$M98,AY$13))))</f>
        <v>1000000000000</v>
      </c>
      <c r="AZ98" s="182">
        <f ca="1">IF($D98&lt;&gt;"Serviço",0,IF(OR(AND(AUTOEVENTO="Manual",$M98=1),$M98&gt;(ROW(PLE.lastrow)-ROW(PLE.firstrow))),0,IF(OFFSET(PLE!$G$14,$M98,AZ$13)="",10^12,OFFSET(PLE!$G$14,$M98,AZ$13))))</f>
        <v>1000000000000</v>
      </c>
      <c r="BA98" s="182">
        <f ca="1">IF($D98&lt;&gt;"Serviço",0,IF(OR(AND(AUTOEVENTO="Manual",$M98=1),$M98&gt;(ROW(PLE.lastrow)-ROW(PLE.firstrow))),0,IF(OFFSET(PLE!$G$14,$M98,BA$13)="",10^12,OFFSET(PLE!$G$14,$M98,BA$13))))</f>
        <v>1000000000000</v>
      </c>
      <c r="BB98" s="182">
        <f ca="1">IF($D98&lt;&gt;"Serviço",0,IF(OR(AND(AUTOEVENTO="Manual",$M98=1),$M98&gt;(ROW(PLE.lastrow)-ROW(PLE.firstrow))),0,IF(OFFSET(PLE!$G$14,$M98,BB$13)="",10^12,OFFSET(PLE!$G$14,$M98,BB$13))))</f>
        <v>1000000000000</v>
      </c>
      <c r="BC98" s="182">
        <f ca="1">IF($D98&lt;&gt;"Serviço",0,IF(OR(AND(AUTOEVENTO="Manual",$M98=1),$M98&gt;(ROW(PLE.lastrow)-ROW(PLE.firstrow))),0,IF(OFFSET(PLE!$G$14,$M98,BC$13)="",10^12,OFFSET(PLE!$G$14,$M98,BC$13))))</f>
        <v>1000000000000</v>
      </c>
      <c r="BD98" s="182">
        <f ca="1">IF($D98&lt;&gt;"Serviço",0,IF(OR(AND(AUTOEVENTO="Manual",$M98=1),$M98&gt;(ROW(PLE.lastrow)-ROW(PLE.firstrow))),0,IF(OFFSET(PLE!$G$14,$M98,BD$13)="",10^12,OFFSET(PLE!$G$14,$M98,BD$13))))</f>
        <v>1000000000000</v>
      </c>
      <c r="BE98" s="182">
        <f ca="1">IF($D98&lt;&gt;"Serviço",0,IF(OR(AND(AUTOEVENTO="Manual",$M98=1),$M98&gt;(ROW(PLE.lastrow)-ROW(PLE.firstrow))),0,IF(OFFSET(PLE!$G$14,$M98,BE$13)="",10^12,OFFSET(PLE!$G$14,$M98,BE$13))))</f>
        <v>1000000000000</v>
      </c>
      <c r="BF98" s="182">
        <f ca="1">IF($D98&lt;&gt;"Serviço",0,IF(OR(AND(AUTOEVENTO="Manual",$M98=1),$M98&gt;(ROW(PLE.lastrow)-ROW(PLE.firstrow))),0,IF(OFFSET(PLE!$G$14,$M98,BF$13)="",10^12,OFFSET(PLE!$G$14,$M98,BF$13))))</f>
        <v>1000000000000</v>
      </c>
      <c r="BG98" s="182">
        <f ca="1">IF($D98&lt;&gt;"Serviço",0,IF(OR(AND(AUTOEVENTO="Manual",$M98=1),$M98&gt;(ROW(PLE.lastrow)-ROW(PLE.firstrow))),0,IF(OFFSET(PLE!$G$14,$M98,BG$13)="",10^12,OFFSET(PLE!$G$14,$M98,BG$13))))</f>
        <v>1000000000000</v>
      </c>
    </row>
    <row r="99" spans="1:59" ht="51" x14ac:dyDescent="0.2">
      <c r="A99" s="7" t="str">
        <f t="shared" ca="1" si="9"/>
        <v>71</v>
      </c>
      <c r="B99" s="7" t="str">
        <f ca="1">OFFSET(ORÇAMENTO!C$15,ROW(B99)-ROW(B$15),0)</f>
        <v>S</v>
      </c>
      <c r="C99" s="7" t="str">
        <f ca="1">OFFSET(ORÇAMENTO!L$15,ROW(C99)-ROW(C$15),0)</f>
        <v>F</v>
      </c>
      <c r="D99" s="118" t="str">
        <f ca="1">OFFSET(ORÇAMENTO!N$15,ROW(D99)-ROW(D$15),0)</f>
        <v>Serviço</v>
      </c>
      <c r="E99" s="119" t="str">
        <f ca="1">OFFSET(ORÇAMENTO!O$15,ROW(E99)-ROW(E$15),0)</f>
        <v>1.6.2.5.</v>
      </c>
      <c r="F99" s="172" t="str">
        <f ca="1">OFFSET(ORÇAMENTO!R$15,ROW(F99)-ROW(F$15),0)</f>
        <v>(abra o arquivo 'Referência 03-2024.xlsm)</v>
      </c>
      <c r="G99" s="173" t="str">
        <f ca="1">IF($D99&lt;&gt;"Serviço","",OFFSET(ORÇAMENTO!S$15,ROW(G99)-ROW(G$15),0))</f>
        <v>-</v>
      </c>
      <c r="H99" s="124">
        <f ca="1">IF($D99&lt;&gt;"Serviço",0,IF(ACOMPANHAMENTO="BM",ROUND(OFFSET(ORÇAMENTO!AJ$15,ROW(H99)-ROW(H$15),0),15-13*ORÇAMENTO!$AF$7),SUMPRODUCT(($Q$12:$AA$12&lt;&gt;"")*ROUND($Q99:$AA99,15-13*ORÇAMENTO!$AF$7))))</f>
        <v>0.64</v>
      </c>
      <c r="I99" s="561"/>
      <c r="K99" s="174"/>
      <c r="L99" s="175" t="s">
        <v>255</v>
      </c>
      <c r="M99" s="176">
        <f ca="1">IF($D99&lt;&gt;"Serviço","",IF(AUTOEVENTO="manual",$A99,IF(ISERROR(MATCH($A99,$A$15:OFFSET($A99,-1,0),0)),MAX($M$15:OFFSET(M99,-1,0))+1,INDEX($M$15:OFFSET(M99,-1,0),MATCH($A99,$A$15:OFFSET($A99,-1,0),0)))))</f>
        <v>7</v>
      </c>
      <c r="N99" s="177" t="str">
        <f ca="1">IF($D99&lt;&gt;"Serviço","",IF(AUTOEVENTO="Manual",IF($A99=0,"&lt;-- defina o número do agrupador",OFFSET(EVENTOS!$D$14,$A99,0)),OFFSET($F$15,$A99,0)))</f>
        <v>SANITÁRIO PÚBLICO ACESSÍVEL</v>
      </c>
      <c r="O99" s="178"/>
      <c r="Q99" s="178"/>
      <c r="R99" s="179"/>
      <c r="S99" s="179"/>
      <c r="T99" s="179"/>
      <c r="U99" s="179"/>
      <c r="V99" s="179"/>
      <c r="W99" s="179"/>
      <c r="X99" s="179"/>
      <c r="Y99" s="179"/>
      <c r="Z99" s="180"/>
      <c r="AB99" s="544">
        <f ca="1">IF(AND($D99="Serviço",AB$12&lt;&gt;0,$H99&gt;0,OR(AUTOEVENTO&lt;&gt;"manual",$M99&lt;&gt;1)),
IF(Import.TipoArredondamento&lt;&gt;"TransfereGOV",
ROUND(OFFSET($P99,0,AB$13),15-13*ORÇAMENTO!$AF$7)/$H99*OFFSET(ORÇAMENTO!$X$15,ROW(AB99)-ROW(AB$15),0),
ROUND(ROUND(OFFSET($P99,0,AB$13),15-13*ORÇAMENTO!$AF$7)*OFFSET(ORÇAMENTO!$W$15,ROW(AB99)-ROW(AB$15),0),15-13*ORÇAMENTO!$AF$11)),0)</f>
        <v>0</v>
      </c>
      <c r="AC99" s="545">
        <f ca="1">IF(AND($D99="Serviço",AC$12&lt;&gt;0,$H99&gt;0,OR(AUTOEVENTO&lt;&gt;"manual",$M99&lt;&gt;1)),
IF(Import.TipoArredondamento&lt;&gt;"TransfereGOV",
ROUND(OFFSET($P99,0,AC$13),15-13*ORÇAMENTO!$AF$7)/$H99*OFFSET(ORÇAMENTO!$X$15,ROW(AC99)-ROW(AC$15),0),
ROUND(ROUND(OFFSET($P99,0,AC$13),15-13*ORÇAMENTO!$AF$7)*OFFSET(ORÇAMENTO!$W$15,ROW(AC99)-ROW(AC$15),0),15-13*ORÇAMENTO!$AF$11)),0)</f>
        <v>0</v>
      </c>
      <c r="AD99" s="545">
        <f ca="1">IF(AND($D99="Serviço",AD$12&lt;&gt;0,$H99&gt;0,OR(AUTOEVENTO&lt;&gt;"manual",$M99&lt;&gt;1)),
IF(Import.TipoArredondamento&lt;&gt;"TransfereGOV",
ROUND(OFFSET($P99,0,AD$13),15-13*ORÇAMENTO!$AF$7)/$H99*OFFSET(ORÇAMENTO!$X$15,ROW(AD99)-ROW(AD$15),0),
ROUND(ROUND(OFFSET($P99,0,AD$13),15-13*ORÇAMENTO!$AF$7)*OFFSET(ORÇAMENTO!$W$15,ROW(AD99)-ROW(AD$15),0),15-13*ORÇAMENTO!$AF$11)),0)</f>
        <v>0</v>
      </c>
      <c r="AE99" s="545">
        <f ca="1">IF(AND($D99="Serviço",AE$12&lt;&gt;0,$H99&gt;0,OR(AUTOEVENTO&lt;&gt;"manual",$M99&lt;&gt;1)),
IF(Import.TipoArredondamento&lt;&gt;"TransfereGOV",
ROUND(OFFSET($P99,0,AE$13),15-13*ORÇAMENTO!$AF$7)/$H99*OFFSET(ORÇAMENTO!$X$15,ROW(AE99)-ROW(AE$15),0),
ROUND(ROUND(OFFSET($P99,0,AE$13),15-13*ORÇAMENTO!$AF$7)*OFFSET(ORÇAMENTO!$W$15,ROW(AE99)-ROW(AE$15),0),15-13*ORÇAMENTO!$AF$11)),0)</f>
        <v>0</v>
      </c>
      <c r="AF99" s="545">
        <f ca="1">IF(AND($D99="Serviço",AF$12&lt;&gt;0,$H99&gt;0,OR(AUTOEVENTO&lt;&gt;"manual",$M99&lt;&gt;1)),
IF(Import.TipoArredondamento&lt;&gt;"TransfereGOV",
ROUND(OFFSET($P99,0,AF$13),15-13*ORÇAMENTO!$AF$7)/$H99*OFFSET(ORÇAMENTO!$X$15,ROW(AF99)-ROW(AF$15),0),
ROUND(ROUND(OFFSET($P99,0,AF$13),15-13*ORÇAMENTO!$AF$7)*OFFSET(ORÇAMENTO!$W$15,ROW(AF99)-ROW(AF$15),0),15-13*ORÇAMENTO!$AF$11)),0)</f>
        <v>0</v>
      </c>
      <c r="AG99" s="545">
        <f ca="1">IF(AND($D99="Serviço",AG$12&lt;&gt;0,$H99&gt;0,OR(AUTOEVENTO&lt;&gt;"manual",$M99&lt;&gt;1)),
IF(Import.TipoArredondamento&lt;&gt;"TransfereGOV",
ROUND(OFFSET($P99,0,AG$13),15-13*ORÇAMENTO!$AF$7)/$H99*OFFSET(ORÇAMENTO!$X$15,ROW(AG99)-ROW(AG$15),0),
ROUND(ROUND(OFFSET($P99,0,AG$13),15-13*ORÇAMENTO!$AF$7)*OFFSET(ORÇAMENTO!$W$15,ROW(AG99)-ROW(AG$15),0),15-13*ORÇAMENTO!$AF$11)),0)</f>
        <v>0</v>
      </c>
      <c r="AH99" s="545">
        <f ca="1">IF(AND($D99="Serviço",AH$12&lt;&gt;0,$H99&gt;0,OR(AUTOEVENTO&lt;&gt;"manual",$M99&lt;&gt;1)),
IF(Import.TipoArredondamento&lt;&gt;"TransfereGOV",
ROUND(OFFSET($P99,0,AH$13),15-13*ORÇAMENTO!$AF$7)/$H99*OFFSET(ORÇAMENTO!$X$15,ROW(AH99)-ROW(AH$15),0),
ROUND(ROUND(OFFSET($P99,0,AH$13),15-13*ORÇAMENTO!$AF$7)*OFFSET(ORÇAMENTO!$W$15,ROW(AH99)-ROW(AH$15),0),15-13*ORÇAMENTO!$AF$11)),0)</f>
        <v>0</v>
      </c>
      <c r="AI99" s="545">
        <f ca="1">IF(AND($D99="Serviço",AI$12&lt;&gt;0,$H99&gt;0,OR(AUTOEVENTO&lt;&gt;"manual",$M99&lt;&gt;1)),
IF(Import.TipoArredondamento&lt;&gt;"TransfereGOV",
ROUND(OFFSET($P99,0,AI$13),15-13*ORÇAMENTO!$AF$7)/$H99*OFFSET(ORÇAMENTO!$X$15,ROW(AI99)-ROW(AI$15),0),
ROUND(ROUND(OFFSET($P99,0,AI$13),15-13*ORÇAMENTO!$AF$7)*OFFSET(ORÇAMENTO!$W$15,ROW(AI99)-ROW(AI$15),0),15-13*ORÇAMENTO!$AF$11)),0)</f>
        <v>0</v>
      </c>
      <c r="AJ99" s="545">
        <f ca="1">IF(AND($D99="Serviço",AJ$12&lt;&gt;0,$H99&gt;0,OR(AUTOEVENTO&lt;&gt;"manual",$M99&lt;&gt;1)),
IF(Import.TipoArredondamento&lt;&gt;"TransfereGOV",
ROUND(OFFSET($P99,0,AJ$13),15-13*ORÇAMENTO!$AF$7)/$H99*OFFSET(ORÇAMENTO!$X$15,ROW(AJ99)-ROW(AJ$15),0),
ROUND(ROUND(OFFSET($P99,0,AJ$13),15-13*ORÇAMENTO!$AF$7)*OFFSET(ORÇAMENTO!$W$15,ROW(AJ99)-ROW(AJ$15),0),15-13*ORÇAMENTO!$AF$11)),0)</f>
        <v>0</v>
      </c>
      <c r="AK99" s="546">
        <f ca="1">IF(AND($D99="Serviço",AK$12&lt;&gt;0,$H99&gt;0,OR(AUTOEVENTO&lt;&gt;"manual",$M99&lt;&gt;1)),
IF(Import.TipoArredondamento&lt;&gt;"TransfereGOV",
ROUND(OFFSET($P99,0,AK$13),15-13*ORÇAMENTO!$AF$7)/$H99*OFFSET(ORÇAMENTO!$X$15,ROW(AK99)-ROW(AK$15),0),
ROUND(ROUND(OFFSET($P99,0,AK$13),15-13*ORÇAMENTO!$AF$7)*OFFSET(ORÇAMENTO!$W$15,ROW(AK99)-ROW(AK$15),0),15-13*ORÇAMENTO!$AF$11)),0)</f>
        <v>0</v>
      </c>
      <c r="AM99" s="181">
        <f ca="1">IF($D99&lt;&gt;"Serviço",0,IF(AND(AUTOEVENTO="Manual",$M99=1),0,IF(OFFSET(CRONOPLE!$F$14,$M99,AM$13)="",10^12,OFFSET(CRONOPLE!$F$14,$M99,AM$13))))</f>
        <v>1000000000000</v>
      </c>
      <c r="AN99" s="181">
        <f ca="1">IF($D99&lt;&gt;"Serviço",0,IF(AND(AUTOEVENTO="Manual",$M99=1),0,IF(OFFSET(CRONOPLE!$F$14,$M99,AN$13)="",10^12,OFFSET(CRONOPLE!$F$14,$M99,AN$13))))</f>
        <v>1000000000000</v>
      </c>
      <c r="AO99" s="181">
        <f ca="1">IF($D99&lt;&gt;"Serviço",0,IF(AND(AUTOEVENTO="Manual",$M99=1),0,IF(OFFSET(CRONOPLE!$F$14,$M99,AO$13)="",10^12,OFFSET(CRONOPLE!$F$14,$M99,AO$13))))</f>
        <v>1000000000000</v>
      </c>
      <c r="AP99" s="181">
        <f ca="1">IF($D99&lt;&gt;"Serviço",0,IF(AND(AUTOEVENTO="Manual",$M99=1),0,IF(OFFSET(CRONOPLE!$F$14,$M99,AP$13)="",10^12,OFFSET(CRONOPLE!$F$14,$M99,AP$13))))</f>
        <v>1000000000000</v>
      </c>
      <c r="AQ99" s="181">
        <f ca="1">IF($D99&lt;&gt;"Serviço",0,IF(AND(AUTOEVENTO="Manual",$M99=1),0,IF(OFFSET(CRONOPLE!$F$14,$M99,AQ$13)="",10^12,OFFSET(CRONOPLE!$F$14,$M99,AQ$13))))</f>
        <v>1000000000000</v>
      </c>
      <c r="AR99" s="181">
        <f ca="1">IF($D99&lt;&gt;"Serviço",0,IF(AND(AUTOEVENTO="Manual",$M99=1),0,IF(OFFSET(CRONOPLE!$F$14,$M99,AR$13)="",10^12,OFFSET(CRONOPLE!$F$14,$M99,AR$13))))</f>
        <v>1000000000000</v>
      </c>
      <c r="AS99" s="181">
        <f ca="1">IF($D99&lt;&gt;"Serviço",0,IF(AND(AUTOEVENTO="Manual",$M99=1),0,IF(OFFSET(CRONOPLE!$F$14,$M99,AS$13)="",10^12,OFFSET(CRONOPLE!$F$14,$M99,AS$13))))</f>
        <v>1000000000000</v>
      </c>
      <c r="AT99" s="181">
        <f ca="1">IF($D99&lt;&gt;"Serviço",0,IF(AND(AUTOEVENTO="Manual",$M99=1),0,IF(OFFSET(CRONOPLE!$F$14,$M99,AT$13)="",10^12,OFFSET(CRONOPLE!$F$14,$M99,AT$13))))</f>
        <v>1000000000000</v>
      </c>
      <c r="AU99" s="181">
        <f ca="1">IF($D99&lt;&gt;"Serviço",0,IF(AND(AUTOEVENTO="Manual",$M99=1),0,IF(OFFSET(CRONOPLE!$F$14,$M99,AU$13)="",10^12,OFFSET(CRONOPLE!$F$14,$M99,AU$13))))</f>
        <v>1000000000000</v>
      </c>
      <c r="AV99" s="181">
        <f ca="1">IF($D99&lt;&gt;"Serviço",0,IF(AND(AUTOEVENTO="Manual",$M99=1),0,IF(OFFSET(CRONOPLE!$F$14,$M99,AV$13)="",10^12,OFFSET(CRONOPLE!$F$14,$M99,AV$13))))</f>
        <v>1000000000000</v>
      </c>
      <c r="AX99" s="182">
        <f ca="1">IF($D99&lt;&gt;"Serviço",0,IF(OR(AND(AUTOEVENTO="Manual",$M99=1),$M99&gt;(ROW(PLE.lastrow)-ROW(PLE.firstrow))),0,IF(OFFSET(PLE!$G$14,$M99,AX$13)="",10^12,OFFSET(PLE!$G$14,$M99,AX$13))))</f>
        <v>1000000000000</v>
      </c>
      <c r="AY99" s="182">
        <f ca="1">IF($D99&lt;&gt;"Serviço",0,IF(OR(AND(AUTOEVENTO="Manual",$M99=1),$M99&gt;(ROW(PLE.lastrow)-ROW(PLE.firstrow))),0,IF(OFFSET(PLE!$G$14,$M99,AY$13)="",10^12,OFFSET(PLE!$G$14,$M99,AY$13))))</f>
        <v>1000000000000</v>
      </c>
      <c r="AZ99" s="182">
        <f ca="1">IF($D99&lt;&gt;"Serviço",0,IF(OR(AND(AUTOEVENTO="Manual",$M99=1),$M99&gt;(ROW(PLE.lastrow)-ROW(PLE.firstrow))),0,IF(OFFSET(PLE!$G$14,$M99,AZ$13)="",10^12,OFFSET(PLE!$G$14,$M99,AZ$13))))</f>
        <v>1000000000000</v>
      </c>
      <c r="BA99" s="182">
        <f ca="1">IF($D99&lt;&gt;"Serviço",0,IF(OR(AND(AUTOEVENTO="Manual",$M99=1),$M99&gt;(ROW(PLE.lastrow)-ROW(PLE.firstrow))),0,IF(OFFSET(PLE!$G$14,$M99,BA$13)="",10^12,OFFSET(PLE!$G$14,$M99,BA$13))))</f>
        <v>1000000000000</v>
      </c>
      <c r="BB99" s="182">
        <f ca="1">IF($D99&lt;&gt;"Serviço",0,IF(OR(AND(AUTOEVENTO="Manual",$M99=1),$M99&gt;(ROW(PLE.lastrow)-ROW(PLE.firstrow))),0,IF(OFFSET(PLE!$G$14,$M99,BB$13)="",10^12,OFFSET(PLE!$G$14,$M99,BB$13))))</f>
        <v>1000000000000</v>
      </c>
      <c r="BC99" s="182">
        <f ca="1">IF($D99&lt;&gt;"Serviço",0,IF(OR(AND(AUTOEVENTO="Manual",$M99=1),$M99&gt;(ROW(PLE.lastrow)-ROW(PLE.firstrow))),0,IF(OFFSET(PLE!$G$14,$M99,BC$13)="",10^12,OFFSET(PLE!$G$14,$M99,BC$13))))</f>
        <v>1000000000000</v>
      </c>
      <c r="BD99" s="182">
        <f ca="1">IF($D99&lt;&gt;"Serviço",0,IF(OR(AND(AUTOEVENTO="Manual",$M99=1),$M99&gt;(ROW(PLE.lastrow)-ROW(PLE.firstrow))),0,IF(OFFSET(PLE!$G$14,$M99,BD$13)="",10^12,OFFSET(PLE!$G$14,$M99,BD$13))))</f>
        <v>1000000000000</v>
      </c>
      <c r="BE99" s="182">
        <f ca="1">IF($D99&lt;&gt;"Serviço",0,IF(OR(AND(AUTOEVENTO="Manual",$M99=1),$M99&gt;(ROW(PLE.lastrow)-ROW(PLE.firstrow))),0,IF(OFFSET(PLE!$G$14,$M99,BE$13)="",10^12,OFFSET(PLE!$G$14,$M99,BE$13))))</f>
        <v>1000000000000</v>
      </c>
      <c r="BF99" s="182">
        <f ca="1">IF($D99&lt;&gt;"Serviço",0,IF(OR(AND(AUTOEVENTO="Manual",$M99=1),$M99&gt;(ROW(PLE.lastrow)-ROW(PLE.firstrow))),0,IF(OFFSET(PLE!$G$14,$M99,BF$13)="",10^12,OFFSET(PLE!$G$14,$M99,BF$13))))</f>
        <v>1000000000000</v>
      </c>
      <c r="BG99" s="182">
        <f ca="1">IF($D99&lt;&gt;"Serviço",0,IF(OR(AND(AUTOEVENTO="Manual",$M99=1),$M99&gt;(ROW(PLE.lastrow)-ROW(PLE.firstrow))),0,IF(OFFSET(PLE!$G$14,$M99,BG$13)="",10^12,OFFSET(PLE!$G$14,$M99,BG$13))))</f>
        <v>1000000000000</v>
      </c>
    </row>
    <row r="100" spans="1:59" ht="38.25" x14ac:dyDescent="0.2">
      <c r="A100" s="7" t="str">
        <f t="shared" ca="1" si="9"/>
        <v>71</v>
      </c>
      <c r="B100" s="7" t="str">
        <f ca="1">OFFSET(ORÇAMENTO!C$15,ROW(B100)-ROW(B$15),0)</f>
        <v>S</v>
      </c>
      <c r="C100" s="7" t="str">
        <f ca="1">OFFSET(ORÇAMENTO!L$15,ROW(C100)-ROW(C$15),0)</f>
        <v>F</v>
      </c>
      <c r="D100" s="118" t="str">
        <f ca="1">OFFSET(ORÇAMENTO!N$15,ROW(D100)-ROW(D$15),0)</f>
        <v>Serviço</v>
      </c>
      <c r="E100" s="119" t="str">
        <f ca="1">OFFSET(ORÇAMENTO!O$15,ROW(E100)-ROW(E$15),0)</f>
        <v>1.6.2.6.</v>
      </c>
      <c r="F100" s="172" t="str">
        <f ca="1">OFFSET(ORÇAMENTO!R$15,ROW(F100)-ROW(F$15),0)</f>
        <v>(abra o arquivo 'Referência 03-2024.xlsm)</v>
      </c>
      <c r="G100" s="173" t="str">
        <f ca="1">IF($D100&lt;&gt;"Serviço","",OFFSET(ORÇAMENTO!S$15,ROW(G100)-ROW(G$15),0))</f>
        <v>-</v>
      </c>
      <c r="H100" s="124">
        <f ca="1">IF($D100&lt;&gt;"Serviço",0,IF(ACOMPANHAMENTO="BM",ROUND(OFFSET(ORÇAMENTO!AJ$15,ROW(H100)-ROW(H$15),0),15-13*ORÇAMENTO!$AF$7),SUMPRODUCT(($Q$12:$AA$12&lt;&gt;"")*ROUND($Q100:$AA100,15-13*ORÇAMENTO!$AF$7))))</f>
        <v>11.12</v>
      </c>
      <c r="I100" s="561"/>
      <c r="K100" s="174"/>
      <c r="L100" s="175" t="s">
        <v>255</v>
      </c>
      <c r="M100" s="176">
        <f ca="1">IF($D100&lt;&gt;"Serviço","",IF(AUTOEVENTO="manual",$A100,IF(ISERROR(MATCH($A100,$A$15:OFFSET($A100,-1,0),0)),MAX($M$15:OFFSET(M100,-1,0))+1,INDEX($M$15:OFFSET(M100,-1,0),MATCH($A100,$A$15:OFFSET($A100,-1,0),0)))))</f>
        <v>7</v>
      </c>
      <c r="N100" s="177" t="str">
        <f ca="1">IF($D100&lt;&gt;"Serviço","",IF(AUTOEVENTO="Manual",IF($A100=0,"&lt;-- defina o número do agrupador",OFFSET(EVENTOS!$D$14,$A100,0)),OFFSET($F$15,$A100,0)))</f>
        <v>SANITÁRIO PÚBLICO ACESSÍVEL</v>
      </c>
      <c r="O100" s="178"/>
      <c r="Q100" s="178"/>
      <c r="R100" s="179"/>
      <c r="S100" s="179"/>
      <c r="T100" s="179"/>
      <c r="U100" s="179"/>
      <c r="V100" s="179"/>
      <c r="W100" s="179"/>
      <c r="X100" s="179"/>
      <c r="Y100" s="179"/>
      <c r="Z100" s="180"/>
      <c r="AB100" s="544">
        <f ca="1">IF(AND($D100="Serviço",AB$12&lt;&gt;0,$H100&gt;0,OR(AUTOEVENTO&lt;&gt;"manual",$M100&lt;&gt;1)),
IF(Import.TipoArredondamento&lt;&gt;"TransfereGOV",
ROUND(OFFSET($P100,0,AB$13),15-13*ORÇAMENTO!$AF$7)/$H100*OFFSET(ORÇAMENTO!$X$15,ROW(AB100)-ROW(AB$15),0),
ROUND(ROUND(OFFSET($P100,0,AB$13),15-13*ORÇAMENTO!$AF$7)*OFFSET(ORÇAMENTO!$W$15,ROW(AB100)-ROW(AB$15),0),15-13*ORÇAMENTO!$AF$11)),0)</f>
        <v>0</v>
      </c>
      <c r="AC100" s="545">
        <f ca="1">IF(AND($D100="Serviço",AC$12&lt;&gt;0,$H100&gt;0,OR(AUTOEVENTO&lt;&gt;"manual",$M100&lt;&gt;1)),
IF(Import.TipoArredondamento&lt;&gt;"TransfereGOV",
ROUND(OFFSET($P100,0,AC$13),15-13*ORÇAMENTO!$AF$7)/$H100*OFFSET(ORÇAMENTO!$X$15,ROW(AC100)-ROW(AC$15),0),
ROUND(ROUND(OFFSET($P100,0,AC$13),15-13*ORÇAMENTO!$AF$7)*OFFSET(ORÇAMENTO!$W$15,ROW(AC100)-ROW(AC$15),0),15-13*ORÇAMENTO!$AF$11)),0)</f>
        <v>0</v>
      </c>
      <c r="AD100" s="545">
        <f ca="1">IF(AND($D100="Serviço",AD$12&lt;&gt;0,$H100&gt;0,OR(AUTOEVENTO&lt;&gt;"manual",$M100&lt;&gt;1)),
IF(Import.TipoArredondamento&lt;&gt;"TransfereGOV",
ROUND(OFFSET($P100,0,AD$13),15-13*ORÇAMENTO!$AF$7)/$H100*OFFSET(ORÇAMENTO!$X$15,ROW(AD100)-ROW(AD$15),0),
ROUND(ROUND(OFFSET($P100,0,AD$13),15-13*ORÇAMENTO!$AF$7)*OFFSET(ORÇAMENTO!$W$15,ROW(AD100)-ROW(AD$15),0),15-13*ORÇAMENTO!$AF$11)),0)</f>
        <v>0</v>
      </c>
      <c r="AE100" s="545">
        <f ca="1">IF(AND($D100="Serviço",AE$12&lt;&gt;0,$H100&gt;0,OR(AUTOEVENTO&lt;&gt;"manual",$M100&lt;&gt;1)),
IF(Import.TipoArredondamento&lt;&gt;"TransfereGOV",
ROUND(OFFSET($P100,0,AE$13),15-13*ORÇAMENTO!$AF$7)/$H100*OFFSET(ORÇAMENTO!$X$15,ROW(AE100)-ROW(AE$15),0),
ROUND(ROUND(OFFSET($P100,0,AE$13),15-13*ORÇAMENTO!$AF$7)*OFFSET(ORÇAMENTO!$W$15,ROW(AE100)-ROW(AE$15),0),15-13*ORÇAMENTO!$AF$11)),0)</f>
        <v>0</v>
      </c>
      <c r="AF100" s="545">
        <f ca="1">IF(AND($D100="Serviço",AF$12&lt;&gt;0,$H100&gt;0,OR(AUTOEVENTO&lt;&gt;"manual",$M100&lt;&gt;1)),
IF(Import.TipoArredondamento&lt;&gt;"TransfereGOV",
ROUND(OFFSET($P100,0,AF$13),15-13*ORÇAMENTO!$AF$7)/$H100*OFFSET(ORÇAMENTO!$X$15,ROW(AF100)-ROW(AF$15),0),
ROUND(ROUND(OFFSET($P100,0,AF$13),15-13*ORÇAMENTO!$AF$7)*OFFSET(ORÇAMENTO!$W$15,ROW(AF100)-ROW(AF$15),0),15-13*ORÇAMENTO!$AF$11)),0)</f>
        <v>0</v>
      </c>
      <c r="AG100" s="545">
        <f ca="1">IF(AND($D100="Serviço",AG$12&lt;&gt;0,$H100&gt;0,OR(AUTOEVENTO&lt;&gt;"manual",$M100&lt;&gt;1)),
IF(Import.TipoArredondamento&lt;&gt;"TransfereGOV",
ROUND(OFFSET($P100,0,AG$13),15-13*ORÇAMENTO!$AF$7)/$H100*OFFSET(ORÇAMENTO!$X$15,ROW(AG100)-ROW(AG$15),0),
ROUND(ROUND(OFFSET($P100,0,AG$13),15-13*ORÇAMENTO!$AF$7)*OFFSET(ORÇAMENTO!$W$15,ROW(AG100)-ROW(AG$15),0),15-13*ORÇAMENTO!$AF$11)),0)</f>
        <v>0</v>
      </c>
      <c r="AH100" s="545">
        <f ca="1">IF(AND($D100="Serviço",AH$12&lt;&gt;0,$H100&gt;0,OR(AUTOEVENTO&lt;&gt;"manual",$M100&lt;&gt;1)),
IF(Import.TipoArredondamento&lt;&gt;"TransfereGOV",
ROUND(OFFSET($P100,0,AH$13),15-13*ORÇAMENTO!$AF$7)/$H100*OFFSET(ORÇAMENTO!$X$15,ROW(AH100)-ROW(AH$15),0),
ROUND(ROUND(OFFSET($P100,0,AH$13),15-13*ORÇAMENTO!$AF$7)*OFFSET(ORÇAMENTO!$W$15,ROW(AH100)-ROW(AH$15),0),15-13*ORÇAMENTO!$AF$11)),0)</f>
        <v>0</v>
      </c>
      <c r="AI100" s="545">
        <f ca="1">IF(AND($D100="Serviço",AI$12&lt;&gt;0,$H100&gt;0,OR(AUTOEVENTO&lt;&gt;"manual",$M100&lt;&gt;1)),
IF(Import.TipoArredondamento&lt;&gt;"TransfereGOV",
ROUND(OFFSET($P100,0,AI$13),15-13*ORÇAMENTO!$AF$7)/$H100*OFFSET(ORÇAMENTO!$X$15,ROW(AI100)-ROW(AI$15),0),
ROUND(ROUND(OFFSET($P100,0,AI$13),15-13*ORÇAMENTO!$AF$7)*OFFSET(ORÇAMENTO!$W$15,ROW(AI100)-ROW(AI$15),0),15-13*ORÇAMENTO!$AF$11)),0)</f>
        <v>0</v>
      </c>
      <c r="AJ100" s="545">
        <f ca="1">IF(AND($D100="Serviço",AJ$12&lt;&gt;0,$H100&gt;0,OR(AUTOEVENTO&lt;&gt;"manual",$M100&lt;&gt;1)),
IF(Import.TipoArredondamento&lt;&gt;"TransfereGOV",
ROUND(OFFSET($P100,0,AJ$13),15-13*ORÇAMENTO!$AF$7)/$H100*OFFSET(ORÇAMENTO!$X$15,ROW(AJ100)-ROW(AJ$15),0),
ROUND(ROUND(OFFSET($P100,0,AJ$13),15-13*ORÇAMENTO!$AF$7)*OFFSET(ORÇAMENTO!$W$15,ROW(AJ100)-ROW(AJ$15),0),15-13*ORÇAMENTO!$AF$11)),0)</f>
        <v>0</v>
      </c>
      <c r="AK100" s="546">
        <f ca="1">IF(AND($D100="Serviço",AK$12&lt;&gt;0,$H100&gt;0,OR(AUTOEVENTO&lt;&gt;"manual",$M100&lt;&gt;1)),
IF(Import.TipoArredondamento&lt;&gt;"TransfereGOV",
ROUND(OFFSET($P100,0,AK$13),15-13*ORÇAMENTO!$AF$7)/$H100*OFFSET(ORÇAMENTO!$X$15,ROW(AK100)-ROW(AK$15),0),
ROUND(ROUND(OFFSET($P100,0,AK$13),15-13*ORÇAMENTO!$AF$7)*OFFSET(ORÇAMENTO!$W$15,ROW(AK100)-ROW(AK$15),0),15-13*ORÇAMENTO!$AF$11)),0)</f>
        <v>0</v>
      </c>
      <c r="AM100" s="181">
        <f ca="1">IF($D100&lt;&gt;"Serviço",0,IF(AND(AUTOEVENTO="Manual",$M100=1),0,IF(OFFSET(CRONOPLE!$F$14,$M100,AM$13)="",10^12,OFFSET(CRONOPLE!$F$14,$M100,AM$13))))</f>
        <v>1000000000000</v>
      </c>
      <c r="AN100" s="181">
        <f ca="1">IF($D100&lt;&gt;"Serviço",0,IF(AND(AUTOEVENTO="Manual",$M100=1),0,IF(OFFSET(CRONOPLE!$F$14,$M100,AN$13)="",10^12,OFFSET(CRONOPLE!$F$14,$M100,AN$13))))</f>
        <v>1000000000000</v>
      </c>
      <c r="AO100" s="181">
        <f ca="1">IF($D100&lt;&gt;"Serviço",0,IF(AND(AUTOEVENTO="Manual",$M100=1),0,IF(OFFSET(CRONOPLE!$F$14,$M100,AO$13)="",10^12,OFFSET(CRONOPLE!$F$14,$M100,AO$13))))</f>
        <v>1000000000000</v>
      </c>
      <c r="AP100" s="181">
        <f ca="1">IF($D100&lt;&gt;"Serviço",0,IF(AND(AUTOEVENTO="Manual",$M100=1),0,IF(OFFSET(CRONOPLE!$F$14,$M100,AP$13)="",10^12,OFFSET(CRONOPLE!$F$14,$M100,AP$13))))</f>
        <v>1000000000000</v>
      </c>
      <c r="AQ100" s="181">
        <f ca="1">IF($D100&lt;&gt;"Serviço",0,IF(AND(AUTOEVENTO="Manual",$M100=1),0,IF(OFFSET(CRONOPLE!$F$14,$M100,AQ$13)="",10^12,OFFSET(CRONOPLE!$F$14,$M100,AQ$13))))</f>
        <v>1000000000000</v>
      </c>
      <c r="AR100" s="181">
        <f ca="1">IF($D100&lt;&gt;"Serviço",0,IF(AND(AUTOEVENTO="Manual",$M100=1),0,IF(OFFSET(CRONOPLE!$F$14,$M100,AR$13)="",10^12,OFFSET(CRONOPLE!$F$14,$M100,AR$13))))</f>
        <v>1000000000000</v>
      </c>
      <c r="AS100" s="181">
        <f ca="1">IF($D100&lt;&gt;"Serviço",0,IF(AND(AUTOEVENTO="Manual",$M100=1),0,IF(OFFSET(CRONOPLE!$F$14,$M100,AS$13)="",10^12,OFFSET(CRONOPLE!$F$14,$M100,AS$13))))</f>
        <v>1000000000000</v>
      </c>
      <c r="AT100" s="181">
        <f ca="1">IF($D100&lt;&gt;"Serviço",0,IF(AND(AUTOEVENTO="Manual",$M100=1),0,IF(OFFSET(CRONOPLE!$F$14,$M100,AT$13)="",10^12,OFFSET(CRONOPLE!$F$14,$M100,AT$13))))</f>
        <v>1000000000000</v>
      </c>
      <c r="AU100" s="181">
        <f ca="1">IF($D100&lt;&gt;"Serviço",0,IF(AND(AUTOEVENTO="Manual",$M100=1),0,IF(OFFSET(CRONOPLE!$F$14,$M100,AU$13)="",10^12,OFFSET(CRONOPLE!$F$14,$M100,AU$13))))</f>
        <v>1000000000000</v>
      </c>
      <c r="AV100" s="181">
        <f ca="1">IF($D100&lt;&gt;"Serviço",0,IF(AND(AUTOEVENTO="Manual",$M100=1),0,IF(OFFSET(CRONOPLE!$F$14,$M100,AV$13)="",10^12,OFFSET(CRONOPLE!$F$14,$M100,AV$13))))</f>
        <v>1000000000000</v>
      </c>
      <c r="AX100" s="182">
        <f ca="1">IF($D100&lt;&gt;"Serviço",0,IF(OR(AND(AUTOEVENTO="Manual",$M100=1),$M100&gt;(ROW(PLE.lastrow)-ROW(PLE.firstrow))),0,IF(OFFSET(PLE!$G$14,$M100,AX$13)="",10^12,OFFSET(PLE!$G$14,$M100,AX$13))))</f>
        <v>1000000000000</v>
      </c>
      <c r="AY100" s="182">
        <f ca="1">IF($D100&lt;&gt;"Serviço",0,IF(OR(AND(AUTOEVENTO="Manual",$M100=1),$M100&gt;(ROW(PLE.lastrow)-ROW(PLE.firstrow))),0,IF(OFFSET(PLE!$G$14,$M100,AY$13)="",10^12,OFFSET(PLE!$G$14,$M100,AY$13))))</f>
        <v>1000000000000</v>
      </c>
      <c r="AZ100" s="182">
        <f ca="1">IF($D100&lt;&gt;"Serviço",0,IF(OR(AND(AUTOEVENTO="Manual",$M100=1),$M100&gt;(ROW(PLE.lastrow)-ROW(PLE.firstrow))),0,IF(OFFSET(PLE!$G$14,$M100,AZ$13)="",10^12,OFFSET(PLE!$G$14,$M100,AZ$13))))</f>
        <v>1000000000000</v>
      </c>
      <c r="BA100" s="182">
        <f ca="1">IF($D100&lt;&gt;"Serviço",0,IF(OR(AND(AUTOEVENTO="Manual",$M100=1),$M100&gt;(ROW(PLE.lastrow)-ROW(PLE.firstrow))),0,IF(OFFSET(PLE!$G$14,$M100,BA$13)="",10^12,OFFSET(PLE!$G$14,$M100,BA$13))))</f>
        <v>1000000000000</v>
      </c>
      <c r="BB100" s="182">
        <f ca="1">IF($D100&lt;&gt;"Serviço",0,IF(OR(AND(AUTOEVENTO="Manual",$M100=1),$M100&gt;(ROW(PLE.lastrow)-ROW(PLE.firstrow))),0,IF(OFFSET(PLE!$G$14,$M100,BB$13)="",10^12,OFFSET(PLE!$G$14,$M100,BB$13))))</f>
        <v>1000000000000</v>
      </c>
      <c r="BC100" s="182">
        <f ca="1">IF($D100&lt;&gt;"Serviço",0,IF(OR(AND(AUTOEVENTO="Manual",$M100=1),$M100&gt;(ROW(PLE.lastrow)-ROW(PLE.firstrow))),0,IF(OFFSET(PLE!$G$14,$M100,BC$13)="",10^12,OFFSET(PLE!$G$14,$M100,BC$13))))</f>
        <v>1000000000000</v>
      </c>
      <c r="BD100" s="182">
        <f ca="1">IF($D100&lt;&gt;"Serviço",0,IF(OR(AND(AUTOEVENTO="Manual",$M100=1),$M100&gt;(ROW(PLE.lastrow)-ROW(PLE.firstrow))),0,IF(OFFSET(PLE!$G$14,$M100,BD$13)="",10^12,OFFSET(PLE!$G$14,$M100,BD$13))))</f>
        <v>1000000000000</v>
      </c>
      <c r="BE100" s="182">
        <f ca="1">IF($D100&lt;&gt;"Serviço",0,IF(OR(AND(AUTOEVENTO="Manual",$M100=1),$M100&gt;(ROW(PLE.lastrow)-ROW(PLE.firstrow))),0,IF(OFFSET(PLE!$G$14,$M100,BE$13)="",10^12,OFFSET(PLE!$G$14,$M100,BE$13))))</f>
        <v>1000000000000</v>
      </c>
      <c r="BF100" s="182">
        <f ca="1">IF($D100&lt;&gt;"Serviço",0,IF(OR(AND(AUTOEVENTO="Manual",$M100=1),$M100&gt;(ROW(PLE.lastrow)-ROW(PLE.firstrow))),0,IF(OFFSET(PLE!$G$14,$M100,BF$13)="",10^12,OFFSET(PLE!$G$14,$M100,BF$13))))</f>
        <v>1000000000000</v>
      </c>
      <c r="BG100" s="182">
        <f ca="1">IF($D100&lt;&gt;"Serviço",0,IF(OR(AND(AUTOEVENTO="Manual",$M100=1),$M100&gt;(ROW(PLE.lastrow)-ROW(PLE.firstrow))),0,IF(OFFSET(PLE!$G$14,$M100,BG$13)="",10^12,OFFSET(PLE!$G$14,$M100,BG$13))))</f>
        <v>1000000000000</v>
      </c>
    </row>
    <row r="101" spans="1:59" ht="38.25" x14ac:dyDescent="0.2">
      <c r="A101" s="7" t="str">
        <f t="shared" ca="1" si="9"/>
        <v>71</v>
      </c>
      <c r="B101" s="7" t="str">
        <f ca="1">OFFSET(ORÇAMENTO!C$15,ROW(B101)-ROW(B$15),0)</f>
        <v>S</v>
      </c>
      <c r="C101" s="7" t="str">
        <f ca="1">OFFSET(ORÇAMENTO!L$15,ROW(C101)-ROW(C$15),0)</f>
        <v>F</v>
      </c>
      <c r="D101" s="118" t="str">
        <f ca="1">OFFSET(ORÇAMENTO!N$15,ROW(D101)-ROW(D$15),0)</f>
        <v>Serviço</v>
      </c>
      <c r="E101" s="119" t="str">
        <f ca="1">OFFSET(ORÇAMENTO!O$15,ROW(E101)-ROW(E$15),0)</f>
        <v>1.6.2.7.</v>
      </c>
      <c r="F101" s="172" t="str">
        <f ca="1">OFFSET(ORÇAMENTO!R$15,ROW(F101)-ROW(F$15),0)</f>
        <v>(abra o arquivo 'Referência 03-2024.xlsm)</v>
      </c>
      <c r="G101" s="173" t="str">
        <f ca="1">IF($D101&lt;&gt;"Serviço","",OFFSET(ORÇAMENTO!S$15,ROW(G101)-ROW(G$15),0))</f>
        <v>-</v>
      </c>
      <c r="H101" s="124">
        <f ca="1">IF($D101&lt;&gt;"Serviço",0,IF(ACOMPANHAMENTO="BM",ROUND(OFFSET(ORÇAMENTO!AJ$15,ROW(H101)-ROW(H$15),0),15-13*ORÇAMENTO!$AF$7),SUMPRODUCT(($Q$12:$AA$12&lt;&gt;"")*ROUND($Q101:$AA101,15-13*ORÇAMENTO!$AF$7))))</f>
        <v>34.92</v>
      </c>
      <c r="I101" s="561"/>
      <c r="K101" s="174"/>
      <c r="L101" s="175" t="s">
        <v>255</v>
      </c>
      <c r="M101" s="176">
        <f ca="1">IF($D101&lt;&gt;"Serviço","",IF(AUTOEVENTO="manual",$A101,IF(ISERROR(MATCH($A101,$A$15:OFFSET($A101,-1,0),0)),MAX($M$15:OFFSET(M101,-1,0))+1,INDEX($M$15:OFFSET(M101,-1,0),MATCH($A101,$A$15:OFFSET($A101,-1,0),0)))))</f>
        <v>7</v>
      </c>
      <c r="N101" s="177" t="str">
        <f ca="1">IF($D101&lt;&gt;"Serviço","",IF(AUTOEVENTO="Manual",IF($A101=0,"&lt;-- defina o número do agrupador",OFFSET(EVENTOS!$D$14,$A101,0)),OFFSET($F$15,$A101,0)))</f>
        <v>SANITÁRIO PÚBLICO ACESSÍVEL</v>
      </c>
      <c r="O101" s="178"/>
      <c r="Q101" s="178"/>
      <c r="R101" s="179"/>
      <c r="S101" s="179"/>
      <c r="T101" s="179"/>
      <c r="U101" s="179"/>
      <c r="V101" s="179"/>
      <c r="W101" s="179"/>
      <c r="X101" s="179"/>
      <c r="Y101" s="179"/>
      <c r="Z101" s="180"/>
      <c r="AB101" s="544">
        <f ca="1">IF(AND($D101="Serviço",AB$12&lt;&gt;0,$H101&gt;0,OR(AUTOEVENTO&lt;&gt;"manual",$M101&lt;&gt;1)),
IF(Import.TipoArredondamento&lt;&gt;"TransfereGOV",
ROUND(OFFSET($P101,0,AB$13),15-13*ORÇAMENTO!$AF$7)/$H101*OFFSET(ORÇAMENTO!$X$15,ROW(AB101)-ROW(AB$15),0),
ROUND(ROUND(OFFSET($P101,0,AB$13),15-13*ORÇAMENTO!$AF$7)*OFFSET(ORÇAMENTO!$W$15,ROW(AB101)-ROW(AB$15),0),15-13*ORÇAMENTO!$AF$11)),0)</f>
        <v>0</v>
      </c>
      <c r="AC101" s="545">
        <f ca="1">IF(AND($D101="Serviço",AC$12&lt;&gt;0,$H101&gt;0,OR(AUTOEVENTO&lt;&gt;"manual",$M101&lt;&gt;1)),
IF(Import.TipoArredondamento&lt;&gt;"TransfereGOV",
ROUND(OFFSET($P101,0,AC$13),15-13*ORÇAMENTO!$AF$7)/$H101*OFFSET(ORÇAMENTO!$X$15,ROW(AC101)-ROW(AC$15),0),
ROUND(ROUND(OFFSET($P101,0,AC$13),15-13*ORÇAMENTO!$AF$7)*OFFSET(ORÇAMENTO!$W$15,ROW(AC101)-ROW(AC$15),0),15-13*ORÇAMENTO!$AF$11)),0)</f>
        <v>0</v>
      </c>
      <c r="AD101" s="545">
        <f ca="1">IF(AND($D101="Serviço",AD$12&lt;&gt;0,$H101&gt;0,OR(AUTOEVENTO&lt;&gt;"manual",$M101&lt;&gt;1)),
IF(Import.TipoArredondamento&lt;&gt;"TransfereGOV",
ROUND(OFFSET($P101,0,AD$13),15-13*ORÇAMENTO!$AF$7)/$H101*OFFSET(ORÇAMENTO!$X$15,ROW(AD101)-ROW(AD$15),0),
ROUND(ROUND(OFFSET($P101,0,AD$13),15-13*ORÇAMENTO!$AF$7)*OFFSET(ORÇAMENTO!$W$15,ROW(AD101)-ROW(AD$15),0),15-13*ORÇAMENTO!$AF$11)),0)</f>
        <v>0</v>
      </c>
      <c r="AE101" s="545">
        <f ca="1">IF(AND($D101="Serviço",AE$12&lt;&gt;0,$H101&gt;0,OR(AUTOEVENTO&lt;&gt;"manual",$M101&lt;&gt;1)),
IF(Import.TipoArredondamento&lt;&gt;"TransfereGOV",
ROUND(OFFSET($P101,0,AE$13),15-13*ORÇAMENTO!$AF$7)/$H101*OFFSET(ORÇAMENTO!$X$15,ROW(AE101)-ROW(AE$15),0),
ROUND(ROUND(OFFSET($P101,0,AE$13),15-13*ORÇAMENTO!$AF$7)*OFFSET(ORÇAMENTO!$W$15,ROW(AE101)-ROW(AE$15),0),15-13*ORÇAMENTO!$AF$11)),0)</f>
        <v>0</v>
      </c>
      <c r="AF101" s="545">
        <f ca="1">IF(AND($D101="Serviço",AF$12&lt;&gt;0,$H101&gt;0,OR(AUTOEVENTO&lt;&gt;"manual",$M101&lt;&gt;1)),
IF(Import.TipoArredondamento&lt;&gt;"TransfereGOV",
ROUND(OFFSET($P101,0,AF$13),15-13*ORÇAMENTO!$AF$7)/$H101*OFFSET(ORÇAMENTO!$X$15,ROW(AF101)-ROW(AF$15),0),
ROUND(ROUND(OFFSET($P101,0,AF$13),15-13*ORÇAMENTO!$AF$7)*OFFSET(ORÇAMENTO!$W$15,ROW(AF101)-ROW(AF$15),0),15-13*ORÇAMENTO!$AF$11)),0)</f>
        <v>0</v>
      </c>
      <c r="AG101" s="545">
        <f ca="1">IF(AND($D101="Serviço",AG$12&lt;&gt;0,$H101&gt;0,OR(AUTOEVENTO&lt;&gt;"manual",$M101&lt;&gt;1)),
IF(Import.TipoArredondamento&lt;&gt;"TransfereGOV",
ROUND(OFFSET($P101,0,AG$13),15-13*ORÇAMENTO!$AF$7)/$H101*OFFSET(ORÇAMENTO!$X$15,ROW(AG101)-ROW(AG$15),0),
ROUND(ROUND(OFFSET($P101,0,AG$13),15-13*ORÇAMENTO!$AF$7)*OFFSET(ORÇAMENTO!$W$15,ROW(AG101)-ROW(AG$15),0),15-13*ORÇAMENTO!$AF$11)),0)</f>
        <v>0</v>
      </c>
      <c r="AH101" s="545">
        <f ca="1">IF(AND($D101="Serviço",AH$12&lt;&gt;0,$H101&gt;0,OR(AUTOEVENTO&lt;&gt;"manual",$M101&lt;&gt;1)),
IF(Import.TipoArredondamento&lt;&gt;"TransfereGOV",
ROUND(OFFSET($P101,0,AH$13),15-13*ORÇAMENTO!$AF$7)/$H101*OFFSET(ORÇAMENTO!$X$15,ROW(AH101)-ROW(AH$15),0),
ROUND(ROUND(OFFSET($P101,0,AH$13),15-13*ORÇAMENTO!$AF$7)*OFFSET(ORÇAMENTO!$W$15,ROW(AH101)-ROW(AH$15),0),15-13*ORÇAMENTO!$AF$11)),0)</f>
        <v>0</v>
      </c>
      <c r="AI101" s="545">
        <f ca="1">IF(AND($D101="Serviço",AI$12&lt;&gt;0,$H101&gt;0,OR(AUTOEVENTO&lt;&gt;"manual",$M101&lt;&gt;1)),
IF(Import.TipoArredondamento&lt;&gt;"TransfereGOV",
ROUND(OFFSET($P101,0,AI$13),15-13*ORÇAMENTO!$AF$7)/$H101*OFFSET(ORÇAMENTO!$X$15,ROW(AI101)-ROW(AI$15),0),
ROUND(ROUND(OFFSET($P101,0,AI$13),15-13*ORÇAMENTO!$AF$7)*OFFSET(ORÇAMENTO!$W$15,ROW(AI101)-ROW(AI$15),0),15-13*ORÇAMENTO!$AF$11)),0)</f>
        <v>0</v>
      </c>
      <c r="AJ101" s="545">
        <f ca="1">IF(AND($D101="Serviço",AJ$12&lt;&gt;0,$H101&gt;0,OR(AUTOEVENTO&lt;&gt;"manual",$M101&lt;&gt;1)),
IF(Import.TipoArredondamento&lt;&gt;"TransfereGOV",
ROUND(OFFSET($P101,0,AJ$13),15-13*ORÇAMENTO!$AF$7)/$H101*OFFSET(ORÇAMENTO!$X$15,ROW(AJ101)-ROW(AJ$15),0),
ROUND(ROUND(OFFSET($P101,0,AJ$13),15-13*ORÇAMENTO!$AF$7)*OFFSET(ORÇAMENTO!$W$15,ROW(AJ101)-ROW(AJ$15),0),15-13*ORÇAMENTO!$AF$11)),0)</f>
        <v>0</v>
      </c>
      <c r="AK101" s="546">
        <f ca="1">IF(AND($D101="Serviço",AK$12&lt;&gt;0,$H101&gt;0,OR(AUTOEVENTO&lt;&gt;"manual",$M101&lt;&gt;1)),
IF(Import.TipoArredondamento&lt;&gt;"TransfereGOV",
ROUND(OFFSET($P101,0,AK$13),15-13*ORÇAMENTO!$AF$7)/$H101*OFFSET(ORÇAMENTO!$X$15,ROW(AK101)-ROW(AK$15),0),
ROUND(ROUND(OFFSET($P101,0,AK$13),15-13*ORÇAMENTO!$AF$7)*OFFSET(ORÇAMENTO!$W$15,ROW(AK101)-ROW(AK$15),0),15-13*ORÇAMENTO!$AF$11)),0)</f>
        <v>0</v>
      </c>
      <c r="AM101" s="181">
        <f ca="1">IF($D101&lt;&gt;"Serviço",0,IF(AND(AUTOEVENTO="Manual",$M101=1),0,IF(OFFSET(CRONOPLE!$F$14,$M101,AM$13)="",10^12,OFFSET(CRONOPLE!$F$14,$M101,AM$13))))</f>
        <v>1000000000000</v>
      </c>
      <c r="AN101" s="181">
        <f ca="1">IF($D101&lt;&gt;"Serviço",0,IF(AND(AUTOEVENTO="Manual",$M101=1),0,IF(OFFSET(CRONOPLE!$F$14,$M101,AN$13)="",10^12,OFFSET(CRONOPLE!$F$14,$M101,AN$13))))</f>
        <v>1000000000000</v>
      </c>
      <c r="AO101" s="181">
        <f ca="1">IF($D101&lt;&gt;"Serviço",0,IF(AND(AUTOEVENTO="Manual",$M101=1),0,IF(OFFSET(CRONOPLE!$F$14,$M101,AO$13)="",10^12,OFFSET(CRONOPLE!$F$14,$M101,AO$13))))</f>
        <v>1000000000000</v>
      </c>
      <c r="AP101" s="181">
        <f ca="1">IF($D101&lt;&gt;"Serviço",0,IF(AND(AUTOEVENTO="Manual",$M101=1),0,IF(OFFSET(CRONOPLE!$F$14,$M101,AP$13)="",10^12,OFFSET(CRONOPLE!$F$14,$M101,AP$13))))</f>
        <v>1000000000000</v>
      </c>
      <c r="AQ101" s="181">
        <f ca="1">IF($D101&lt;&gt;"Serviço",0,IF(AND(AUTOEVENTO="Manual",$M101=1),0,IF(OFFSET(CRONOPLE!$F$14,$M101,AQ$13)="",10^12,OFFSET(CRONOPLE!$F$14,$M101,AQ$13))))</f>
        <v>1000000000000</v>
      </c>
      <c r="AR101" s="181">
        <f ca="1">IF($D101&lt;&gt;"Serviço",0,IF(AND(AUTOEVENTO="Manual",$M101=1),0,IF(OFFSET(CRONOPLE!$F$14,$M101,AR$13)="",10^12,OFFSET(CRONOPLE!$F$14,$M101,AR$13))))</f>
        <v>1000000000000</v>
      </c>
      <c r="AS101" s="181">
        <f ca="1">IF($D101&lt;&gt;"Serviço",0,IF(AND(AUTOEVENTO="Manual",$M101=1),0,IF(OFFSET(CRONOPLE!$F$14,$M101,AS$13)="",10^12,OFFSET(CRONOPLE!$F$14,$M101,AS$13))))</f>
        <v>1000000000000</v>
      </c>
      <c r="AT101" s="181">
        <f ca="1">IF($D101&lt;&gt;"Serviço",0,IF(AND(AUTOEVENTO="Manual",$M101=1),0,IF(OFFSET(CRONOPLE!$F$14,$M101,AT$13)="",10^12,OFFSET(CRONOPLE!$F$14,$M101,AT$13))))</f>
        <v>1000000000000</v>
      </c>
      <c r="AU101" s="181">
        <f ca="1">IF($D101&lt;&gt;"Serviço",0,IF(AND(AUTOEVENTO="Manual",$M101=1),0,IF(OFFSET(CRONOPLE!$F$14,$M101,AU$13)="",10^12,OFFSET(CRONOPLE!$F$14,$M101,AU$13))))</f>
        <v>1000000000000</v>
      </c>
      <c r="AV101" s="181">
        <f ca="1">IF($D101&lt;&gt;"Serviço",0,IF(AND(AUTOEVENTO="Manual",$M101=1),0,IF(OFFSET(CRONOPLE!$F$14,$M101,AV$13)="",10^12,OFFSET(CRONOPLE!$F$14,$M101,AV$13))))</f>
        <v>1000000000000</v>
      </c>
      <c r="AX101" s="182">
        <f ca="1">IF($D101&lt;&gt;"Serviço",0,IF(OR(AND(AUTOEVENTO="Manual",$M101=1),$M101&gt;(ROW(PLE.lastrow)-ROW(PLE.firstrow))),0,IF(OFFSET(PLE!$G$14,$M101,AX$13)="",10^12,OFFSET(PLE!$G$14,$M101,AX$13))))</f>
        <v>1000000000000</v>
      </c>
      <c r="AY101" s="182">
        <f ca="1">IF($D101&lt;&gt;"Serviço",0,IF(OR(AND(AUTOEVENTO="Manual",$M101=1),$M101&gt;(ROW(PLE.lastrow)-ROW(PLE.firstrow))),0,IF(OFFSET(PLE!$G$14,$M101,AY$13)="",10^12,OFFSET(PLE!$G$14,$M101,AY$13))))</f>
        <v>1000000000000</v>
      </c>
      <c r="AZ101" s="182">
        <f ca="1">IF($D101&lt;&gt;"Serviço",0,IF(OR(AND(AUTOEVENTO="Manual",$M101=1),$M101&gt;(ROW(PLE.lastrow)-ROW(PLE.firstrow))),0,IF(OFFSET(PLE!$G$14,$M101,AZ$13)="",10^12,OFFSET(PLE!$G$14,$M101,AZ$13))))</f>
        <v>1000000000000</v>
      </c>
      <c r="BA101" s="182">
        <f ca="1">IF($D101&lt;&gt;"Serviço",0,IF(OR(AND(AUTOEVENTO="Manual",$M101=1),$M101&gt;(ROW(PLE.lastrow)-ROW(PLE.firstrow))),0,IF(OFFSET(PLE!$G$14,$M101,BA$13)="",10^12,OFFSET(PLE!$G$14,$M101,BA$13))))</f>
        <v>1000000000000</v>
      </c>
      <c r="BB101" s="182">
        <f ca="1">IF($D101&lt;&gt;"Serviço",0,IF(OR(AND(AUTOEVENTO="Manual",$M101=1),$M101&gt;(ROW(PLE.lastrow)-ROW(PLE.firstrow))),0,IF(OFFSET(PLE!$G$14,$M101,BB$13)="",10^12,OFFSET(PLE!$G$14,$M101,BB$13))))</f>
        <v>1000000000000</v>
      </c>
      <c r="BC101" s="182">
        <f ca="1">IF($D101&lt;&gt;"Serviço",0,IF(OR(AND(AUTOEVENTO="Manual",$M101=1),$M101&gt;(ROW(PLE.lastrow)-ROW(PLE.firstrow))),0,IF(OFFSET(PLE!$G$14,$M101,BC$13)="",10^12,OFFSET(PLE!$G$14,$M101,BC$13))))</f>
        <v>1000000000000</v>
      </c>
      <c r="BD101" s="182">
        <f ca="1">IF($D101&lt;&gt;"Serviço",0,IF(OR(AND(AUTOEVENTO="Manual",$M101=1),$M101&gt;(ROW(PLE.lastrow)-ROW(PLE.firstrow))),0,IF(OFFSET(PLE!$G$14,$M101,BD$13)="",10^12,OFFSET(PLE!$G$14,$M101,BD$13))))</f>
        <v>1000000000000</v>
      </c>
      <c r="BE101" s="182">
        <f ca="1">IF($D101&lt;&gt;"Serviço",0,IF(OR(AND(AUTOEVENTO="Manual",$M101=1),$M101&gt;(ROW(PLE.lastrow)-ROW(PLE.firstrow))),0,IF(OFFSET(PLE!$G$14,$M101,BE$13)="",10^12,OFFSET(PLE!$G$14,$M101,BE$13))))</f>
        <v>1000000000000</v>
      </c>
      <c r="BF101" s="182">
        <f ca="1">IF($D101&lt;&gt;"Serviço",0,IF(OR(AND(AUTOEVENTO="Manual",$M101=1),$M101&gt;(ROW(PLE.lastrow)-ROW(PLE.firstrow))),0,IF(OFFSET(PLE!$G$14,$M101,BF$13)="",10^12,OFFSET(PLE!$G$14,$M101,BF$13))))</f>
        <v>1000000000000</v>
      </c>
      <c r="BG101" s="182">
        <f ca="1">IF($D101&lt;&gt;"Serviço",0,IF(OR(AND(AUTOEVENTO="Manual",$M101=1),$M101&gt;(ROW(PLE.lastrow)-ROW(PLE.firstrow))),0,IF(OFFSET(PLE!$G$14,$M101,BG$13)="",10^12,OFFSET(PLE!$G$14,$M101,BG$13))))</f>
        <v>1000000000000</v>
      </c>
    </row>
    <row r="102" spans="1:59" ht="12.75" x14ac:dyDescent="0.2">
      <c r="A102" s="7" t="str">
        <f t="shared" ca="1" si="9"/>
        <v>71</v>
      </c>
      <c r="B102" s="7">
        <f ca="1">OFFSET(ORÇAMENTO!C$15,ROW(B102)-ROW(B$15),0)</f>
        <v>3</v>
      </c>
      <c r="C102" s="7" t="str">
        <f ca="1">OFFSET(ORÇAMENTO!L$15,ROW(C102)-ROW(C$15),0)</f>
        <v>F</v>
      </c>
      <c r="D102" s="118" t="str">
        <f ca="1">OFFSET(ORÇAMENTO!N$15,ROW(D102)-ROW(D$15),0)</f>
        <v>Nível 3</v>
      </c>
      <c r="E102" s="119" t="str">
        <f ca="1">OFFSET(ORÇAMENTO!O$15,ROW(E102)-ROW(E$15),0)</f>
        <v>1.6.3.</v>
      </c>
      <c r="F102" s="172" t="str">
        <f ca="1">OFFSET(ORÇAMENTO!R$15,ROW(F102)-ROW(F$15),0)</f>
        <v>IMPERMEABILIZAÇÃO</v>
      </c>
      <c r="G102" s="173" t="str">
        <f ca="1">IF($D102&lt;&gt;"Serviço","",OFFSET(ORÇAMENTO!S$15,ROW(G102)-ROW(G$15),0))</f>
        <v/>
      </c>
      <c r="H102" s="124">
        <f ca="1">IF($D102&lt;&gt;"Serviço",0,IF(ACOMPANHAMENTO="BM",ROUND(OFFSET(ORÇAMENTO!AJ$15,ROW(H102)-ROW(H$15),0),15-13*ORÇAMENTO!$AF$7),SUMPRODUCT(($Q$12:$AA$12&lt;&gt;"")*ROUND($Q102:$AA102,15-13*ORÇAMENTO!$AF$7))))</f>
        <v>0</v>
      </c>
      <c r="I102" s="561"/>
      <c r="K102" s="174"/>
      <c r="L102" s="175" t="s">
        <v>255</v>
      </c>
      <c r="M102" s="176" t="str">
        <f ca="1">IF($D102&lt;&gt;"Serviço","",IF(AUTOEVENTO="manual",$A102,IF(ISERROR(MATCH($A102,$A$15:OFFSET($A102,-1,0),0)),MAX($M$15:OFFSET(M102,-1,0))+1,INDEX($M$15:OFFSET(M102,-1,0),MATCH($A102,$A$15:OFFSET($A102,-1,0),0)))))</f>
        <v/>
      </c>
      <c r="N102" s="177" t="str">
        <f ca="1">IF($D102&lt;&gt;"Serviço","",IF(AUTOEVENTO="Manual",IF($A102=0,"&lt;-- defina o número do agrupador",OFFSET(EVENTOS!$D$14,$A102,0)),OFFSET($F$15,$A102,0)))</f>
        <v/>
      </c>
      <c r="O102" s="178"/>
      <c r="Q102" s="178"/>
      <c r="R102" s="179"/>
      <c r="S102" s="179"/>
      <c r="T102" s="179"/>
      <c r="U102" s="179"/>
      <c r="V102" s="179"/>
      <c r="W102" s="179"/>
      <c r="X102" s="179"/>
      <c r="Y102" s="179"/>
      <c r="Z102" s="180"/>
      <c r="AB102" s="544">
        <f ca="1">IF(AND($D102="Serviço",AB$12&lt;&gt;0,$H102&gt;0,OR(AUTOEVENTO&lt;&gt;"manual",$M102&lt;&gt;1)),
IF(Import.TipoArredondamento&lt;&gt;"TransfereGOV",
ROUND(OFFSET($P102,0,AB$13),15-13*ORÇAMENTO!$AF$7)/$H102*OFFSET(ORÇAMENTO!$X$15,ROW(AB102)-ROW(AB$15),0),
ROUND(ROUND(OFFSET($P102,0,AB$13),15-13*ORÇAMENTO!$AF$7)*OFFSET(ORÇAMENTO!$W$15,ROW(AB102)-ROW(AB$15),0),15-13*ORÇAMENTO!$AF$11)),0)</f>
        <v>0</v>
      </c>
      <c r="AC102" s="545">
        <f ca="1">IF(AND($D102="Serviço",AC$12&lt;&gt;0,$H102&gt;0,OR(AUTOEVENTO&lt;&gt;"manual",$M102&lt;&gt;1)),
IF(Import.TipoArredondamento&lt;&gt;"TransfereGOV",
ROUND(OFFSET($P102,0,AC$13),15-13*ORÇAMENTO!$AF$7)/$H102*OFFSET(ORÇAMENTO!$X$15,ROW(AC102)-ROW(AC$15),0),
ROUND(ROUND(OFFSET($P102,0,AC$13),15-13*ORÇAMENTO!$AF$7)*OFFSET(ORÇAMENTO!$W$15,ROW(AC102)-ROW(AC$15),0),15-13*ORÇAMENTO!$AF$11)),0)</f>
        <v>0</v>
      </c>
      <c r="AD102" s="545">
        <f ca="1">IF(AND($D102="Serviço",AD$12&lt;&gt;0,$H102&gt;0,OR(AUTOEVENTO&lt;&gt;"manual",$M102&lt;&gt;1)),
IF(Import.TipoArredondamento&lt;&gt;"TransfereGOV",
ROUND(OFFSET($P102,0,AD$13),15-13*ORÇAMENTO!$AF$7)/$H102*OFFSET(ORÇAMENTO!$X$15,ROW(AD102)-ROW(AD$15),0),
ROUND(ROUND(OFFSET($P102,0,AD$13),15-13*ORÇAMENTO!$AF$7)*OFFSET(ORÇAMENTO!$W$15,ROW(AD102)-ROW(AD$15),0),15-13*ORÇAMENTO!$AF$11)),0)</f>
        <v>0</v>
      </c>
      <c r="AE102" s="545">
        <f ca="1">IF(AND($D102="Serviço",AE$12&lt;&gt;0,$H102&gt;0,OR(AUTOEVENTO&lt;&gt;"manual",$M102&lt;&gt;1)),
IF(Import.TipoArredondamento&lt;&gt;"TransfereGOV",
ROUND(OFFSET($P102,0,AE$13),15-13*ORÇAMENTO!$AF$7)/$H102*OFFSET(ORÇAMENTO!$X$15,ROW(AE102)-ROW(AE$15),0),
ROUND(ROUND(OFFSET($P102,0,AE$13),15-13*ORÇAMENTO!$AF$7)*OFFSET(ORÇAMENTO!$W$15,ROW(AE102)-ROW(AE$15),0),15-13*ORÇAMENTO!$AF$11)),0)</f>
        <v>0</v>
      </c>
      <c r="AF102" s="545">
        <f ca="1">IF(AND($D102="Serviço",AF$12&lt;&gt;0,$H102&gt;0,OR(AUTOEVENTO&lt;&gt;"manual",$M102&lt;&gt;1)),
IF(Import.TipoArredondamento&lt;&gt;"TransfereGOV",
ROUND(OFFSET($P102,0,AF$13),15-13*ORÇAMENTO!$AF$7)/$H102*OFFSET(ORÇAMENTO!$X$15,ROW(AF102)-ROW(AF$15),0),
ROUND(ROUND(OFFSET($P102,0,AF$13),15-13*ORÇAMENTO!$AF$7)*OFFSET(ORÇAMENTO!$W$15,ROW(AF102)-ROW(AF$15),0),15-13*ORÇAMENTO!$AF$11)),0)</f>
        <v>0</v>
      </c>
      <c r="AG102" s="545">
        <f ca="1">IF(AND($D102="Serviço",AG$12&lt;&gt;0,$H102&gt;0,OR(AUTOEVENTO&lt;&gt;"manual",$M102&lt;&gt;1)),
IF(Import.TipoArredondamento&lt;&gt;"TransfereGOV",
ROUND(OFFSET($P102,0,AG$13),15-13*ORÇAMENTO!$AF$7)/$H102*OFFSET(ORÇAMENTO!$X$15,ROW(AG102)-ROW(AG$15),0),
ROUND(ROUND(OFFSET($P102,0,AG$13),15-13*ORÇAMENTO!$AF$7)*OFFSET(ORÇAMENTO!$W$15,ROW(AG102)-ROW(AG$15),0),15-13*ORÇAMENTO!$AF$11)),0)</f>
        <v>0</v>
      </c>
      <c r="AH102" s="545">
        <f ca="1">IF(AND($D102="Serviço",AH$12&lt;&gt;0,$H102&gt;0,OR(AUTOEVENTO&lt;&gt;"manual",$M102&lt;&gt;1)),
IF(Import.TipoArredondamento&lt;&gt;"TransfereGOV",
ROUND(OFFSET($P102,0,AH$13),15-13*ORÇAMENTO!$AF$7)/$H102*OFFSET(ORÇAMENTO!$X$15,ROW(AH102)-ROW(AH$15),0),
ROUND(ROUND(OFFSET($P102,0,AH$13),15-13*ORÇAMENTO!$AF$7)*OFFSET(ORÇAMENTO!$W$15,ROW(AH102)-ROW(AH$15),0),15-13*ORÇAMENTO!$AF$11)),0)</f>
        <v>0</v>
      </c>
      <c r="AI102" s="545">
        <f ca="1">IF(AND($D102="Serviço",AI$12&lt;&gt;0,$H102&gt;0,OR(AUTOEVENTO&lt;&gt;"manual",$M102&lt;&gt;1)),
IF(Import.TipoArredondamento&lt;&gt;"TransfereGOV",
ROUND(OFFSET($P102,0,AI$13),15-13*ORÇAMENTO!$AF$7)/$H102*OFFSET(ORÇAMENTO!$X$15,ROW(AI102)-ROW(AI$15),0),
ROUND(ROUND(OFFSET($P102,0,AI$13),15-13*ORÇAMENTO!$AF$7)*OFFSET(ORÇAMENTO!$W$15,ROW(AI102)-ROW(AI$15),0),15-13*ORÇAMENTO!$AF$11)),0)</f>
        <v>0</v>
      </c>
      <c r="AJ102" s="545">
        <f ca="1">IF(AND($D102="Serviço",AJ$12&lt;&gt;0,$H102&gt;0,OR(AUTOEVENTO&lt;&gt;"manual",$M102&lt;&gt;1)),
IF(Import.TipoArredondamento&lt;&gt;"TransfereGOV",
ROUND(OFFSET($P102,0,AJ$13),15-13*ORÇAMENTO!$AF$7)/$H102*OFFSET(ORÇAMENTO!$X$15,ROW(AJ102)-ROW(AJ$15),0),
ROUND(ROUND(OFFSET($P102,0,AJ$13),15-13*ORÇAMENTO!$AF$7)*OFFSET(ORÇAMENTO!$W$15,ROW(AJ102)-ROW(AJ$15),0),15-13*ORÇAMENTO!$AF$11)),0)</f>
        <v>0</v>
      </c>
      <c r="AK102" s="546">
        <f ca="1">IF(AND($D102="Serviço",AK$12&lt;&gt;0,$H102&gt;0,OR(AUTOEVENTO&lt;&gt;"manual",$M102&lt;&gt;1)),
IF(Import.TipoArredondamento&lt;&gt;"TransfereGOV",
ROUND(OFFSET($P102,0,AK$13),15-13*ORÇAMENTO!$AF$7)/$H102*OFFSET(ORÇAMENTO!$X$15,ROW(AK102)-ROW(AK$15),0),
ROUND(ROUND(OFFSET($P102,0,AK$13),15-13*ORÇAMENTO!$AF$7)*OFFSET(ORÇAMENTO!$W$15,ROW(AK102)-ROW(AK$15),0),15-13*ORÇAMENTO!$AF$11)),0)</f>
        <v>0</v>
      </c>
      <c r="AM102" s="181">
        <f ca="1">IF($D102&lt;&gt;"Serviço",0,IF(AND(AUTOEVENTO="Manual",$M102=1),0,IF(OFFSET(CRONOPLE!$F$14,$M102,AM$13)="",10^12,OFFSET(CRONOPLE!$F$14,$M102,AM$13))))</f>
        <v>0</v>
      </c>
      <c r="AN102" s="181">
        <f ca="1">IF($D102&lt;&gt;"Serviço",0,IF(AND(AUTOEVENTO="Manual",$M102=1),0,IF(OFFSET(CRONOPLE!$F$14,$M102,AN$13)="",10^12,OFFSET(CRONOPLE!$F$14,$M102,AN$13))))</f>
        <v>0</v>
      </c>
      <c r="AO102" s="181">
        <f ca="1">IF($D102&lt;&gt;"Serviço",0,IF(AND(AUTOEVENTO="Manual",$M102=1),0,IF(OFFSET(CRONOPLE!$F$14,$M102,AO$13)="",10^12,OFFSET(CRONOPLE!$F$14,$M102,AO$13))))</f>
        <v>0</v>
      </c>
      <c r="AP102" s="181">
        <f ca="1">IF($D102&lt;&gt;"Serviço",0,IF(AND(AUTOEVENTO="Manual",$M102=1),0,IF(OFFSET(CRONOPLE!$F$14,$M102,AP$13)="",10^12,OFFSET(CRONOPLE!$F$14,$M102,AP$13))))</f>
        <v>0</v>
      </c>
      <c r="AQ102" s="181">
        <f ca="1">IF($D102&lt;&gt;"Serviço",0,IF(AND(AUTOEVENTO="Manual",$M102=1),0,IF(OFFSET(CRONOPLE!$F$14,$M102,AQ$13)="",10^12,OFFSET(CRONOPLE!$F$14,$M102,AQ$13))))</f>
        <v>0</v>
      </c>
      <c r="AR102" s="181">
        <f ca="1">IF($D102&lt;&gt;"Serviço",0,IF(AND(AUTOEVENTO="Manual",$M102=1),0,IF(OFFSET(CRONOPLE!$F$14,$M102,AR$13)="",10^12,OFFSET(CRONOPLE!$F$14,$M102,AR$13))))</f>
        <v>0</v>
      </c>
      <c r="AS102" s="181">
        <f ca="1">IF($D102&lt;&gt;"Serviço",0,IF(AND(AUTOEVENTO="Manual",$M102=1),0,IF(OFFSET(CRONOPLE!$F$14,$M102,AS$13)="",10^12,OFFSET(CRONOPLE!$F$14,$M102,AS$13))))</f>
        <v>0</v>
      </c>
      <c r="AT102" s="181">
        <f ca="1">IF($D102&lt;&gt;"Serviço",0,IF(AND(AUTOEVENTO="Manual",$M102=1),0,IF(OFFSET(CRONOPLE!$F$14,$M102,AT$13)="",10^12,OFFSET(CRONOPLE!$F$14,$M102,AT$13))))</f>
        <v>0</v>
      </c>
      <c r="AU102" s="181">
        <f ca="1">IF($D102&lt;&gt;"Serviço",0,IF(AND(AUTOEVENTO="Manual",$M102=1),0,IF(OFFSET(CRONOPLE!$F$14,$M102,AU$13)="",10^12,OFFSET(CRONOPLE!$F$14,$M102,AU$13))))</f>
        <v>0</v>
      </c>
      <c r="AV102" s="181">
        <f ca="1">IF($D102&lt;&gt;"Serviço",0,IF(AND(AUTOEVENTO="Manual",$M102=1),0,IF(OFFSET(CRONOPLE!$F$14,$M102,AV$13)="",10^12,OFFSET(CRONOPLE!$F$14,$M102,AV$13))))</f>
        <v>0</v>
      </c>
      <c r="AX102" s="182">
        <f ca="1">IF($D102&lt;&gt;"Serviço",0,IF(OR(AND(AUTOEVENTO="Manual",$M102=1),$M102&gt;(ROW(PLE.lastrow)-ROW(PLE.firstrow))),0,IF(OFFSET(PLE!$G$14,$M102,AX$13)="",10^12,OFFSET(PLE!$G$14,$M102,AX$13))))</f>
        <v>0</v>
      </c>
      <c r="AY102" s="182">
        <f ca="1">IF($D102&lt;&gt;"Serviço",0,IF(OR(AND(AUTOEVENTO="Manual",$M102=1),$M102&gt;(ROW(PLE.lastrow)-ROW(PLE.firstrow))),0,IF(OFFSET(PLE!$G$14,$M102,AY$13)="",10^12,OFFSET(PLE!$G$14,$M102,AY$13))))</f>
        <v>0</v>
      </c>
      <c r="AZ102" s="182">
        <f ca="1">IF($D102&lt;&gt;"Serviço",0,IF(OR(AND(AUTOEVENTO="Manual",$M102=1),$M102&gt;(ROW(PLE.lastrow)-ROW(PLE.firstrow))),0,IF(OFFSET(PLE!$G$14,$M102,AZ$13)="",10^12,OFFSET(PLE!$G$14,$M102,AZ$13))))</f>
        <v>0</v>
      </c>
      <c r="BA102" s="182">
        <f ca="1">IF($D102&lt;&gt;"Serviço",0,IF(OR(AND(AUTOEVENTO="Manual",$M102=1),$M102&gt;(ROW(PLE.lastrow)-ROW(PLE.firstrow))),0,IF(OFFSET(PLE!$G$14,$M102,BA$13)="",10^12,OFFSET(PLE!$G$14,$M102,BA$13))))</f>
        <v>0</v>
      </c>
      <c r="BB102" s="182">
        <f ca="1">IF($D102&lt;&gt;"Serviço",0,IF(OR(AND(AUTOEVENTO="Manual",$M102=1),$M102&gt;(ROW(PLE.lastrow)-ROW(PLE.firstrow))),0,IF(OFFSET(PLE!$G$14,$M102,BB$13)="",10^12,OFFSET(PLE!$G$14,$M102,BB$13))))</f>
        <v>0</v>
      </c>
      <c r="BC102" s="182">
        <f ca="1">IF($D102&lt;&gt;"Serviço",0,IF(OR(AND(AUTOEVENTO="Manual",$M102=1),$M102&gt;(ROW(PLE.lastrow)-ROW(PLE.firstrow))),0,IF(OFFSET(PLE!$G$14,$M102,BC$13)="",10^12,OFFSET(PLE!$G$14,$M102,BC$13))))</f>
        <v>0</v>
      </c>
      <c r="BD102" s="182">
        <f ca="1">IF($D102&lt;&gt;"Serviço",0,IF(OR(AND(AUTOEVENTO="Manual",$M102=1),$M102&gt;(ROW(PLE.lastrow)-ROW(PLE.firstrow))),0,IF(OFFSET(PLE!$G$14,$M102,BD$13)="",10^12,OFFSET(PLE!$G$14,$M102,BD$13))))</f>
        <v>0</v>
      </c>
      <c r="BE102" s="182">
        <f ca="1">IF($D102&lt;&gt;"Serviço",0,IF(OR(AND(AUTOEVENTO="Manual",$M102=1),$M102&gt;(ROW(PLE.lastrow)-ROW(PLE.firstrow))),0,IF(OFFSET(PLE!$G$14,$M102,BE$13)="",10^12,OFFSET(PLE!$G$14,$M102,BE$13))))</f>
        <v>0</v>
      </c>
      <c r="BF102" s="182">
        <f ca="1">IF($D102&lt;&gt;"Serviço",0,IF(OR(AND(AUTOEVENTO="Manual",$M102=1),$M102&gt;(ROW(PLE.lastrow)-ROW(PLE.firstrow))),0,IF(OFFSET(PLE!$G$14,$M102,BF$13)="",10^12,OFFSET(PLE!$G$14,$M102,BF$13))))</f>
        <v>0</v>
      </c>
      <c r="BG102" s="182">
        <f ca="1">IF($D102&lt;&gt;"Serviço",0,IF(OR(AND(AUTOEVENTO="Manual",$M102=1),$M102&gt;(ROW(PLE.lastrow)-ROW(PLE.firstrow))),0,IF(OFFSET(PLE!$G$14,$M102,BG$13)="",10^12,OFFSET(PLE!$G$14,$M102,BG$13))))</f>
        <v>0</v>
      </c>
    </row>
    <row r="103" spans="1:59" ht="25.5" x14ac:dyDescent="0.2">
      <c r="A103" s="7" t="str">
        <f t="shared" ca="1" si="9"/>
        <v>71</v>
      </c>
      <c r="B103" s="7" t="str">
        <f ca="1">OFFSET(ORÇAMENTO!C$15,ROW(B103)-ROW(B$15),0)</f>
        <v>S</v>
      </c>
      <c r="C103" s="7" t="str">
        <f ca="1">OFFSET(ORÇAMENTO!L$15,ROW(C103)-ROW(C$15),0)</f>
        <v>F</v>
      </c>
      <c r="D103" s="118" t="str">
        <f ca="1">OFFSET(ORÇAMENTO!N$15,ROW(D103)-ROW(D$15),0)</f>
        <v>Serviço</v>
      </c>
      <c r="E103" s="119" t="str">
        <f ca="1">OFFSET(ORÇAMENTO!O$15,ROW(E103)-ROW(E$15),0)</f>
        <v>1.6.3.1.</v>
      </c>
      <c r="F103" s="172" t="str">
        <f ca="1">OFFSET(ORÇAMENTO!R$15,ROW(F103)-ROW(F$15),0)</f>
        <v>(abra o arquivo 'Referência 03-2024.xlsm)</v>
      </c>
      <c r="G103" s="173" t="str">
        <f ca="1">IF($D103&lt;&gt;"Serviço","",OFFSET(ORÇAMENTO!S$15,ROW(G103)-ROW(G$15),0))</f>
        <v>-</v>
      </c>
      <c r="H103" s="124">
        <f ca="1">IF($D103&lt;&gt;"Serviço",0,IF(ACOMPANHAMENTO="BM",ROUND(OFFSET(ORÇAMENTO!AJ$15,ROW(H103)-ROW(H$15),0),15-13*ORÇAMENTO!$AF$7),SUMPRODUCT(($Q$12:$AA$12&lt;&gt;"")*ROUND($Q103:$AA103,15-13*ORÇAMENTO!$AF$7))))</f>
        <v>4.95</v>
      </c>
      <c r="I103" s="561"/>
      <c r="K103" s="174"/>
      <c r="L103" s="175" t="s">
        <v>255</v>
      </c>
      <c r="M103" s="176">
        <f ca="1">IF($D103&lt;&gt;"Serviço","",IF(AUTOEVENTO="manual",$A103,IF(ISERROR(MATCH($A103,$A$15:OFFSET($A103,-1,0),0)),MAX($M$15:OFFSET(M103,-1,0))+1,INDEX($M$15:OFFSET(M103,-1,0),MATCH($A103,$A$15:OFFSET($A103,-1,0),0)))))</f>
        <v>7</v>
      </c>
      <c r="N103" s="177" t="str">
        <f ca="1">IF($D103&lt;&gt;"Serviço","",IF(AUTOEVENTO="Manual",IF($A103=0,"&lt;-- defina o número do agrupador",OFFSET(EVENTOS!$D$14,$A103,0)),OFFSET($F$15,$A103,0)))</f>
        <v>SANITÁRIO PÚBLICO ACESSÍVEL</v>
      </c>
      <c r="O103" s="178"/>
      <c r="Q103" s="178"/>
      <c r="R103" s="179"/>
      <c r="S103" s="179"/>
      <c r="T103" s="179"/>
      <c r="U103" s="179"/>
      <c r="V103" s="179"/>
      <c r="W103" s="179"/>
      <c r="X103" s="179"/>
      <c r="Y103" s="179"/>
      <c r="Z103" s="180"/>
      <c r="AB103" s="544">
        <f ca="1">IF(AND($D103="Serviço",AB$12&lt;&gt;0,$H103&gt;0,OR(AUTOEVENTO&lt;&gt;"manual",$M103&lt;&gt;1)),
IF(Import.TipoArredondamento&lt;&gt;"TransfereGOV",
ROUND(OFFSET($P103,0,AB$13),15-13*ORÇAMENTO!$AF$7)/$H103*OFFSET(ORÇAMENTO!$X$15,ROW(AB103)-ROW(AB$15),0),
ROUND(ROUND(OFFSET($P103,0,AB$13),15-13*ORÇAMENTO!$AF$7)*OFFSET(ORÇAMENTO!$W$15,ROW(AB103)-ROW(AB$15),0),15-13*ORÇAMENTO!$AF$11)),0)</f>
        <v>0</v>
      </c>
      <c r="AC103" s="545">
        <f ca="1">IF(AND($D103="Serviço",AC$12&lt;&gt;0,$H103&gt;0,OR(AUTOEVENTO&lt;&gt;"manual",$M103&lt;&gt;1)),
IF(Import.TipoArredondamento&lt;&gt;"TransfereGOV",
ROUND(OFFSET($P103,0,AC$13),15-13*ORÇAMENTO!$AF$7)/$H103*OFFSET(ORÇAMENTO!$X$15,ROW(AC103)-ROW(AC$15),0),
ROUND(ROUND(OFFSET($P103,0,AC$13),15-13*ORÇAMENTO!$AF$7)*OFFSET(ORÇAMENTO!$W$15,ROW(AC103)-ROW(AC$15),0),15-13*ORÇAMENTO!$AF$11)),0)</f>
        <v>0</v>
      </c>
      <c r="AD103" s="545">
        <f ca="1">IF(AND($D103="Serviço",AD$12&lt;&gt;0,$H103&gt;0,OR(AUTOEVENTO&lt;&gt;"manual",$M103&lt;&gt;1)),
IF(Import.TipoArredondamento&lt;&gt;"TransfereGOV",
ROUND(OFFSET($P103,0,AD$13),15-13*ORÇAMENTO!$AF$7)/$H103*OFFSET(ORÇAMENTO!$X$15,ROW(AD103)-ROW(AD$15),0),
ROUND(ROUND(OFFSET($P103,0,AD$13),15-13*ORÇAMENTO!$AF$7)*OFFSET(ORÇAMENTO!$W$15,ROW(AD103)-ROW(AD$15),0),15-13*ORÇAMENTO!$AF$11)),0)</f>
        <v>0</v>
      </c>
      <c r="AE103" s="545">
        <f ca="1">IF(AND($D103="Serviço",AE$12&lt;&gt;0,$H103&gt;0,OR(AUTOEVENTO&lt;&gt;"manual",$M103&lt;&gt;1)),
IF(Import.TipoArredondamento&lt;&gt;"TransfereGOV",
ROUND(OFFSET($P103,0,AE$13),15-13*ORÇAMENTO!$AF$7)/$H103*OFFSET(ORÇAMENTO!$X$15,ROW(AE103)-ROW(AE$15),0),
ROUND(ROUND(OFFSET($P103,0,AE$13),15-13*ORÇAMENTO!$AF$7)*OFFSET(ORÇAMENTO!$W$15,ROW(AE103)-ROW(AE$15),0),15-13*ORÇAMENTO!$AF$11)),0)</f>
        <v>0</v>
      </c>
      <c r="AF103" s="545">
        <f ca="1">IF(AND($D103="Serviço",AF$12&lt;&gt;0,$H103&gt;0,OR(AUTOEVENTO&lt;&gt;"manual",$M103&lt;&gt;1)),
IF(Import.TipoArredondamento&lt;&gt;"TransfereGOV",
ROUND(OFFSET($P103,0,AF$13),15-13*ORÇAMENTO!$AF$7)/$H103*OFFSET(ORÇAMENTO!$X$15,ROW(AF103)-ROW(AF$15),0),
ROUND(ROUND(OFFSET($P103,0,AF$13),15-13*ORÇAMENTO!$AF$7)*OFFSET(ORÇAMENTO!$W$15,ROW(AF103)-ROW(AF$15),0),15-13*ORÇAMENTO!$AF$11)),0)</f>
        <v>0</v>
      </c>
      <c r="AG103" s="545">
        <f ca="1">IF(AND($D103="Serviço",AG$12&lt;&gt;0,$H103&gt;0,OR(AUTOEVENTO&lt;&gt;"manual",$M103&lt;&gt;1)),
IF(Import.TipoArredondamento&lt;&gt;"TransfereGOV",
ROUND(OFFSET($P103,0,AG$13),15-13*ORÇAMENTO!$AF$7)/$H103*OFFSET(ORÇAMENTO!$X$15,ROW(AG103)-ROW(AG$15),0),
ROUND(ROUND(OFFSET($P103,0,AG$13),15-13*ORÇAMENTO!$AF$7)*OFFSET(ORÇAMENTO!$W$15,ROW(AG103)-ROW(AG$15),0),15-13*ORÇAMENTO!$AF$11)),0)</f>
        <v>0</v>
      </c>
      <c r="AH103" s="545">
        <f ca="1">IF(AND($D103="Serviço",AH$12&lt;&gt;0,$H103&gt;0,OR(AUTOEVENTO&lt;&gt;"manual",$M103&lt;&gt;1)),
IF(Import.TipoArredondamento&lt;&gt;"TransfereGOV",
ROUND(OFFSET($P103,0,AH$13),15-13*ORÇAMENTO!$AF$7)/$H103*OFFSET(ORÇAMENTO!$X$15,ROW(AH103)-ROW(AH$15),0),
ROUND(ROUND(OFFSET($P103,0,AH$13),15-13*ORÇAMENTO!$AF$7)*OFFSET(ORÇAMENTO!$W$15,ROW(AH103)-ROW(AH$15),0),15-13*ORÇAMENTO!$AF$11)),0)</f>
        <v>0</v>
      </c>
      <c r="AI103" s="545">
        <f ca="1">IF(AND($D103="Serviço",AI$12&lt;&gt;0,$H103&gt;0,OR(AUTOEVENTO&lt;&gt;"manual",$M103&lt;&gt;1)),
IF(Import.TipoArredondamento&lt;&gt;"TransfereGOV",
ROUND(OFFSET($P103,0,AI$13),15-13*ORÇAMENTO!$AF$7)/$H103*OFFSET(ORÇAMENTO!$X$15,ROW(AI103)-ROW(AI$15),0),
ROUND(ROUND(OFFSET($P103,0,AI$13),15-13*ORÇAMENTO!$AF$7)*OFFSET(ORÇAMENTO!$W$15,ROW(AI103)-ROW(AI$15),0),15-13*ORÇAMENTO!$AF$11)),0)</f>
        <v>0</v>
      </c>
      <c r="AJ103" s="545">
        <f ca="1">IF(AND($D103="Serviço",AJ$12&lt;&gt;0,$H103&gt;0,OR(AUTOEVENTO&lt;&gt;"manual",$M103&lt;&gt;1)),
IF(Import.TipoArredondamento&lt;&gt;"TransfereGOV",
ROUND(OFFSET($P103,0,AJ$13),15-13*ORÇAMENTO!$AF$7)/$H103*OFFSET(ORÇAMENTO!$X$15,ROW(AJ103)-ROW(AJ$15),0),
ROUND(ROUND(OFFSET($P103,0,AJ$13),15-13*ORÇAMENTO!$AF$7)*OFFSET(ORÇAMENTO!$W$15,ROW(AJ103)-ROW(AJ$15),0),15-13*ORÇAMENTO!$AF$11)),0)</f>
        <v>0</v>
      </c>
      <c r="AK103" s="546">
        <f ca="1">IF(AND($D103="Serviço",AK$12&lt;&gt;0,$H103&gt;0,OR(AUTOEVENTO&lt;&gt;"manual",$M103&lt;&gt;1)),
IF(Import.TipoArredondamento&lt;&gt;"TransfereGOV",
ROUND(OFFSET($P103,0,AK$13),15-13*ORÇAMENTO!$AF$7)/$H103*OFFSET(ORÇAMENTO!$X$15,ROW(AK103)-ROW(AK$15),0),
ROUND(ROUND(OFFSET($P103,0,AK$13),15-13*ORÇAMENTO!$AF$7)*OFFSET(ORÇAMENTO!$W$15,ROW(AK103)-ROW(AK$15),0),15-13*ORÇAMENTO!$AF$11)),0)</f>
        <v>0</v>
      </c>
      <c r="AM103" s="181">
        <f ca="1">IF($D103&lt;&gt;"Serviço",0,IF(AND(AUTOEVENTO="Manual",$M103=1),0,IF(OFFSET(CRONOPLE!$F$14,$M103,AM$13)="",10^12,OFFSET(CRONOPLE!$F$14,$M103,AM$13))))</f>
        <v>1000000000000</v>
      </c>
      <c r="AN103" s="181">
        <f ca="1">IF($D103&lt;&gt;"Serviço",0,IF(AND(AUTOEVENTO="Manual",$M103=1),0,IF(OFFSET(CRONOPLE!$F$14,$M103,AN$13)="",10^12,OFFSET(CRONOPLE!$F$14,$M103,AN$13))))</f>
        <v>1000000000000</v>
      </c>
      <c r="AO103" s="181">
        <f ca="1">IF($D103&lt;&gt;"Serviço",0,IF(AND(AUTOEVENTO="Manual",$M103=1),0,IF(OFFSET(CRONOPLE!$F$14,$M103,AO$13)="",10^12,OFFSET(CRONOPLE!$F$14,$M103,AO$13))))</f>
        <v>1000000000000</v>
      </c>
      <c r="AP103" s="181">
        <f ca="1">IF($D103&lt;&gt;"Serviço",0,IF(AND(AUTOEVENTO="Manual",$M103=1),0,IF(OFFSET(CRONOPLE!$F$14,$M103,AP$13)="",10^12,OFFSET(CRONOPLE!$F$14,$M103,AP$13))))</f>
        <v>1000000000000</v>
      </c>
      <c r="AQ103" s="181">
        <f ca="1">IF($D103&lt;&gt;"Serviço",0,IF(AND(AUTOEVENTO="Manual",$M103=1),0,IF(OFFSET(CRONOPLE!$F$14,$M103,AQ$13)="",10^12,OFFSET(CRONOPLE!$F$14,$M103,AQ$13))))</f>
        <v>1000000000000</v>
      </c>
      <c r="AR103" s="181">
        <f ca="1">IF($D103&lt;&gt;"Serviço",0,IF(AND(AUTOEVENTO="Manual",$M103=1),0,IF(OFFSET(CRONOPLE!$F$14,$M103,AR$13)="",10^12,OFFSET(CRONOPLE!$F$14,$M103,AR$13))))</f>
        <v>1000000000000</v>
      </c>
      <c r="AS103" s="181">
        <f ca="1">IF($D103&lt;&gt;"Serviço",0,IF(AND(AUTOEVENTO="Manual",$M103=1),0,IF(OFFSET(CRONOPLE!$F$14,$M103,AS$13)="",10^12,OFFSET(CRONOPLE!$F$14,$M103,AS$13))))</f>
        <v>1000000000000</v>
      </c>
      <c r="AT103" s="181">
        <f ca="1">IF($D103&lt;&gt;"Serviço",0,IF(AND(AUTOEVENTO="Manual",$M103=1),0,IF(OFFSET(CRONOPLE!$F$14,$M103,AT$13)="",10^12,OFFSET(CRONOPLE!$F$14,$M103,AT$13))))</f>
        <v>1000000000000</v>
      </c>
      <c r="AU103" s="181">
        <f ca="1">IF($D103&lt;&gt;"Serviço",0,IF(AND(AUTOEVENTO="Manual",$M103=1),0,IF(OFFSET(CRONOPLE!$F$14,$M103,AU$13)="",10^12,OFFSET(CRONOPLE!$F$14,$M103,AU$13))))</f>
        <v>1000000000000</v>
      </c>
      <c r="AV103" s="181">
        <f ca="1">IF($D103&lt;&gt;"Serviço",0,IF(AND(AUTOEVENTO="Manual",$M103=1),0,IF(OFFSET(CRONOPLE!$F$14,$M103,AV$13)="",10^12,OFFSET(CRONOPLE!$F$14,$M103,AV$13))))</f>
        <v>1000000000000</v>
      </c>
      <c r="AX103" s="182">
        <f ca="1">IF($D103&lt;&gt;"Serviço",0,IF(OR(AND(AUTOEVENTO="Manual",$M103=1),$M103&gt;(ROW(PLE.lastrow)-ROW(PLE.firstrow))),0,IF(OFFSET(PLE!$G$14,$M103,AX$13)="",10^12,OFFSET(PLE!$G$14,$M103,AX$13))))</f>
        <v>1000000000000</v>
      </c>
      <c r="AY103" s="182">
        <f ca="1">IF($D103&lt;&gt;"Serviço",0,IF(OR(AND(AUTOEVENTO="Manual",$M103=1),$M103&gt;(ROW(PLE.lastrow)-ROW(PLE.firstrow))),0,IF(OFFSET(PLE!$G$14,$M103,AY$13)="",10^12,OFFSET(PLE!$G$14,$M103,AY$13))))</f>
        <v>1000000000000</v>
      </c>
      <c r="AZ103" s="182">
        <f ca="1">IF($D103&lt;&gt;"Serviço",0,IF(OR(AND(AUTOEVENTO="Manual",$M103=1),$M103&gt;(ROW(PLE.lastrow)-ROW(PLE.firstrow))),0,IF(OFFSET(PLE!$G$14,$M103,AZ$13)="",10^12,OFFSET(PLE!$G$14,$M103,AZ$13))))</f>
        <v>1000000000000</v>
      </c>
      <c r="BA103" s="182">
        <f ca="1">IF($D103&lt;&gt;"Serviço",0,IF(OR(AND(AUTOEVENTO="Manual",$M103=1),$M103&gt;(ROW(PLE.lastrow)-ROW(PLE.firstrow))),0,IF(OFFSET(PLE!$G$14,$M103,BA$13)="",10^12,OFFSET(PLE!$G$14,$M103,BA$13))))</f>
        <v>1000000000000</v>
      </c>
      <c r="BB103" s="182">
        <f ca="1">IF($D103&lt;&gt;"Serviço",0,IF(OR(AND(AUTOEVENTO="Manual",$M103=1),$M103&gt;(ROW(PLE.lastrow)-ROW(PLE.firstrow))),0,IF(OFFSET(PLE!$G$14,$M103,BB$13)="",10^12,OFFSET(PLE!$G$14,$M103,BB$13))))</f>
        <v>1000000000000</v>
      </c>
      <c r="BC103" s="182">
        <f ca="1">IF($D103&lt;&gt;"Serviço",0,IF(OR(AND(AUTOEVENTO="Manual",$M103=1),$M103&gt;(ROW(PLE.lastrow)-ROW(PLE.firstrow))),0,IF(OFFSET(PLE!$G$14,$M103,BC$13)="",10^12,OFFSET(PLE!$G$14,$M103,BC$13))))</f>
        <v>1000000000000</v>
      </c>
      <c r="BD103" s="182">
        <f ca="1">IF($D103&lt;&gt;"Serviço",0,IF(OR(AND(AUTOEVENTO="Manual",$M103=1),$M103&gt;(ROW(PLE.lastrow)-ROW(PLE.firstrow))),0,IF(OFFSET(PLE!$G$14,$M103,BD$13)="",10^12,OFFSET(PLE!$G$14,$M103,BD$13))))</f>
        <v>1000000000000</v>
      </c>
      <c r="BE103" s="182">
        <f ca="1">IF($D103&lt;&gt;"Serviço",0,IF(OR(AND(AUTOEVENTO="Manual",$M103=1),$M103&gt;(ROW(PLE.lastrow)-ROW(PLE.firstrow))),0,IF(OFFSET(PLE!$G$14,$M103,BE$13)="",10^12,OFFSET(PLE!$G$14,$M103,BE$13))))</f>
        <v>1000000000000</v>
      </c>
      <c r="BF103" s="182">
        <f ca="1">IF($D103&lt;&gt;"Serviço",0,IF(OR(AND(AUTOEVENTO="Manual",$M103=1),$M103&gt;(ROW(PLE.lastrow)-ROW(PLE.firstrow))),0,IF(OFFSET(PLE!$G$14,$M103,BF$13)="",10^12,OFFSET(PLE!$G$14,$M103,BF$13))))</f>
        <v>1000000000000</v>
      </c>
      <c r="BG103" s="182">
        <f ca="1">IF($D103&lt;&gt;"Serviço",0,IF(OR(AND(AUTOEVENTO="Manual",$M103=1),$M103&gt;(ROW(PLE.lastrow)-ROW(PLE.firstrow))),0,IF(OFFSET(PLE!$G$14,$M103,BG$13)="",10^12,OFFSET(PLE!$G$14,$M103,BG$13))))</f>
        <v>1000000000000</v>
      </c>
    </row>
    <row r="104" spans="1:59" ht="12.75" x14ac:dyDescent="0.2">
      <c r="A104" s="7" t="str">
        <f t="shared" ca="1" si="9"/>
        <v>71</v>
      </c>
      <c r="B104" s="7">
        <f ca="1">OFFSET(ORÇAMENTO!C$15,ROW(B104)-ROW(B$15),0)</f>
        <v>3</v>
      </c>
      <c r="C104" s="7" t="str">
        <f ca="1">OFFSET(ORÇAMENTO!L$15,ROW(C104)-ROW(C$15),0)</f>
        <v>F</v>
      </c>
      <c r="D104" s="118" t="str">
        <f ca="1">OFFSET(ORÇAMENTO!N$15,ROW(D104)-ROW(D$15),0)</f>
        <v>Nível 3</v>
      </c>
      <c r="E104" s="119" t="str">
        <f ca="1">OFFSET(ORÇAMENTO!O$15,ROW(E104)-ROW(E$15),0)</f>
        <v>1.6.4.</v>
      </c>
      <c r="F104" s="172" t="str">
        <f ca="1">OFFSET(ORÇAMENTO!R$15,ROW(F104)-ROW(F$15),0)</f>
        <v>ARRANQUE DE PILARES</v>
      </c>
      <c r="G104" s="173" t="str">
        <f ca="1">IF($D104&lt;&gt;"Serviço","",OFFSET(ORÇAMENTO!S$15,ROW(G104)-ROW(G$15),0))</f>
        <v/>
      </c>
      <c r="H104" s="124">
        <f ca="1">IF($D104&lt;&gt;"Serviço",0,IF(ACOMPANHAMENTO="BM",ROUND(OFFSET(ORÇAMENTO!AJ$15,ROW(H104)-ROW(H$15),0),15-13*ORÇAMENTO!$AF$7),SUMPRODUCT(($Q$12:$AA$12&lt;&gt;"")*ROUND($Q104:$AA104,15-13*ORÇAMENTO!$AF$7))))</f>
        <v>0</v>
      </c>
      <c r="I104" s="561"/>
      <c r="K104" s="174"/>
      <c r="L104" s="175" t="s">
        <v>255</v>
      </c>
      <c r="M104" s="176" t="str">
        <f ca="1">IF($D104&lt;&gt;"Serviço","",IF(AUTOEVENTO="manual",$A104,IF(ISERROR(MATCH($A104,$A$15:OFFSET($A104,-1,0),0)),MAX($M$15:OFFSET(M104,-1,0))+1,INDEX($M$15:OFFSET(M104,-1,0),MATCH($A104,$A$15:OFFSET($A104,-1,0),0)))))</f>
        <v/>
      </c>
      <c r="N104" s="177" t="str">
        <f ca="1">IF($D104&lt;&gt;"Serviço","",IF(AUTOEVENTO="Manual",IF($A104=0,"&lt;-- defina o número do agrupador",OFFSET(EVENTOS!$D$14,$A104,0)),OFFSET($F$15,$A104,0)))</f>
        <v/>
      </c>
      <c r="O104" s="178"/>
      <c r="Q104" s="178"/>
      <c r="R104" s="179"/>
      <c r="S104" s="179"/>
      <c r="T104" s="179"/>
      <c r="U104" s="179"/>
      <c r="V104" s="179"/>
      <c r="W104" s="179"/>
      <c r="X104" s="179"/>
      <c r="Y104" s="179"/>
      <c r="Z104" s="180"/>
      <c r="AB104" s="544">
        <f ca="1">IF(AND($D104="Serviço",AB$12&lt;&gt;0,$H104&gt;0,OR(AUTOEVENTO&lt;&gt;"manual",$M104&lt;&gt;1)),
IF(Import.TipoArredondamento&lt;&gt;"TransfereGOV",
ROUND(OFFSET($P104,0,AB$13),15-13*ORÇAMENTO!$AF$7)/$H104*OFFSET(ORÇAMENTO!$X$15,ROW(AB104)-ROW(AB$15),0),
ROUND(ROUND(OFFSET($P104,0,AB$13),15-13*ORÇAMENTO!$AF$7)*OFFSET(ORÇAMENTO!$W$15,ROW(AB104)-ROW(AB$15),0),15-13*ORÇAMENTO!$AF$11)),0)</f>
        <v>0</v>
      </c>
      <c r="AC104" s="545">
        <f ca="1">IF(AND($D104="Serviço",AC$12&lt;&gt;0,$H104&gt;0,OR(AUTOEVENTO&lt;&gt;"manual",$M104&lt;&gt;1)),
IF(Import.TipoArredondamento&lt;&gt;"TransfereGOV",
ROUND(OFFSET($P104,0,AC$13),15-13*ORÇAMENTO!$AF$7)/$H104*OFFSET(ORÇAMENTO!$X$15,ROW(AC104)-ROW(AC$15),0),
ROUND(ROUND(OFFSET($P104,0,AC$13),15-13*ORÇAMENTO!$AF$7)*OFFSET(ORÇAMENTO!$W$15,ROW(AC104)-ROW(AC$15),0),15-13*ORÇAMENTO!$AF$11)),0)</f>
        <v>0</v>
      </c>
      <c r="AD104" s="545">
        <f ca="1">IF(AND($D104="Serviço",AD$12&lt;&gt;0,$H104&gt;0,OR(AUTOEVENTO&lt;&gt;"manual",$M104&lt;&gt;1)),
IF(Import.TipoArredondamento&lt;&gt;"TransfereGOV",
ROUND(OFFSET($P104,0,AD$13),15-13*ORÇAMENTO!$AF$7)/$H104*OFFSET(ORÇAMENTO!$X$15,ROW(AD104)-ROW(AD$15),0),
ROUND(ROUND(OFFSET($P104,0,AD$13),15-13*ORÇAMENTO!$AF$7)*OFFSET(ORÇAMENTO!$W$15,ROW(AD104)-ROW(AD$15),0),15-13*ORÇAMENTO!$AF$11)),0)</f>
        <v>0</v>
      </c>
      <c r="AE104" s="545">
        <f ca="1">IF(AND($D104="Serviço",AE$12&lt;&gt;0,$H104&gt;0,OR(AUTOEVENTO&lt;&gt;"manual",$M104&lt;&gt;1)),
IF(Import.TipoArredondamento&lt;&gt;"TransfereGOV",
ROUND(OFFSET($P104,0,AE$13),15-13*ORÇAMENTO!$AF$7)/$H104*OFFSET(ORÇAMENTO!$X$15,ROW(AE104)-ROW(AE$15),0),
ROUND(ROUND(OFFSET($P104,0,AE$13),15-13*ORÇAMENTO!$AF$7)*OFFSET(ORÇAMENTO!$W$15,ROW(AE104)-ROW(AE$15),0),15-13*ORÇAMENTO!$AF$11)),0)</f>
        <v>0</v>
      </c>
      <c r="AF104" s="545">
        <f ca="1">IF(AND($D104="Serviço",AF$12&lt;&gt;0,$H104&gt;0,OR(AUTOEVENTO&lt;&gt;"manual",$M104&lt;&gt;1)),
IF(Import.TipoArredondamento&lt;&gt;"TransfereGOV",
ROUND(OFFSET($P104,0,AF$13),15-13*ORÇAMENTO!$AF$7)/$H104*OFFSET(ORÇAMENTO!$X$15,ROW(AF104)-ROW(AF$15),0),
ROUND(ROUND(OFFSET($P104,0,AF$13),15-13*ORÇAMENTO!$AF$7)*OFFSET(ORÇAMENTO!$W$15,ROW(AF104)-ROW(AF$15),0),15-13*ORÇAMENTO!$AF$11)),0)</f>
        <v>0</v>
      </c>
      <c r="AG104" s="545">
        <f ca="1">IF(AND($D104="Serviço",AG$12&lt;&gt;0,$H104&gt;0,OR(AUTOEVENTO&lt;&gt;"manual",$M104&lt;&gt;1)),
IF(Import.TipoArredondamento&lt;&gt;"TransfereGOV",
ROUND(OFFSET($P104,0,AG$13),15-13*ORÇAMENTO!$AF$7)/$H104*OFFSET(ORÇAMENTO!$X$15,ROW(AG104)-ROW(AG$15),0),
ROUND(ROUND(OFFSET($P104,0,AG$13),15-13*ORÇAMENTO!$AF$7)*OFFSET(ORÇAMENTO!$W$15,ROW(AG104)-ROW(AG$15),0),15-13*ORÇAMENTO!$AF$11)),0)</f>
        <v>0</v>
      </c>
      <c r="AH104" s="545">
        <f ca="1">IF(AND($D104="Serviço",AH$12&lt;&gt;0,$H104&gt;0,OR(AUTOEVENTO&lt;&gt;"manual",$M104&lt;&gt;1)),
IF(Import.TipoArredondamento&lt;&gt;"TransfereGOV",
ROUND(OFFSET($P104,0,AH$13),15-13*ORÇAMENTO!$AF$7)/$H104*OFFSET(ORÇAMENTO!$X$15,ROW(AH104)-ROW(AH$15),0),
ROUND(ROUND(OFFSET($P104,0,AH$13),15-13*ORÇAMENTO!$AF$7)*OFFSET(ORÇAMENTO!$W$15,ROW(AH104)-ROW(AH$15),0),15-13*ORÇAMENTO!$AF$11)),0)</f>
        <v>0</v>
      </c>
      <c r="AI104" s="545">
        <f ca="1">IF(AND($D104="Serviço",AI$12&lt;&gt;0,$H104&gt;0,OR(AUTOEVENTO&lt;&gt;"manual",$M104&lt;&gt;1)),
IF(Import.TipoArredondamento&lt;&gt;"TransfereGOV",
ROUND(OFFSET($P104,0,AI$13),15-13*ORÇAMENTO!$AF$7)/$H104*OFFSET(ORÇAMENTO!$X$15,ROW(AI104)-ROW(AI$15),0),
ROUND(ROUND(OFFSET($P104,0,AI$13),15-13*ORÇAMENTO!$AF$7)*OFFSET(ORÇAMENTO!$W$15,ROW(AI104)-ROW(AI$15),0),15-13*ORÇAMENTO!$AF$11)),0)</f>
        <v>0</v>
      </c>
      <c r="AJ104" s="545">
        <f ca="1">IF(AND($D104="Serviço",AJ$12&lt;&gt;0,$H104&gt;0,OR(AUTOEVENTO&lt;&gt;"manual",$M104&lt;&gt;1)),
IF(Import.TipoArredondamento&lt;&gt;"TransfereGOV",
ROUND(OFFSET($P104,0,AJ$13),15-13*ORÇAMENTO!$AF$7)/$H104*OFFSET(ORÇAMENTO!$X$15,ROW(AJ104)-ROW(AJ$15),0),
ROUND(ROUND(OFFSET($P104,0,AJ$13),15-13*ORÇAMENTO!$AF$7)*OFFSET(ORÇAMENTO!$W$15,ROW(AJ104)-ROW(AJ$15),0),15-13*ORÇAMENTO!$AF$11)),0)</f>
        <v>0</v>
      </c>
      <c r="AK104" s="546">
        <f ca="1">IF(AND($D104="Serviço",AK$12&lt;&gt;0,$H104&gt;0,OR(AUTOEVENTO&lt;&gt;"manual",$M104&lt;&gt;1)),
IF(Import.TipoArredondamento&lt;&gt;"TransfereGOV",
ROUND(OFFSET($P104,0,AK$13),15-13*ORÇAMENTO!$AF$7)/$H104*OFFSET(ORÇAMENTO!$X$15,ROW(AK104)-ROW(AK$15),0),
ROUND(ROUND(OFFSET($P104,0,AK$13),15-13*ORÇAMENTO!$AF$7)*OFFSET(ORÇAMENTO!$W$15,ROW(AK104)-ROW(AK$15),0),15-13*ORÇAMENTO!$AF$11)),0)</f>
        <v>0</v>
      </c>
      <c r="AM104" s="181">
        <f ca="1">IF($D104&lt;&gt;"Serviço",0,IF(AND(AUTOEVENTO="Manual",$M104=1),0,IF(OFFSET(CRONOPLE!$F$14,$M104,AM$13)="",10^12,OFFSET(CRONOPLE!$F$14,$M104,AM$13))))</f>
        <v>0</v>
      </c>
      <c r="AN104" s="181">
        <f ca="1">IF($D104&lt;&gt;"Serviço",0,IF(AND(AUTOEVENTO="Manual",$M104=1),0,IF(OFFSET(CRONOPLE!$F$14,$M104,AN$13)="",10^12,OFFSET(CRONOPLE!$F$14,$M104,AN$13))))</f>
        <v>0</v>
      </c>
      <c r="AO104" s="181">
        <f ca="1">IF($D104&lt;&gt;"Serviço",0,IF(AND(AUTOEVENTO="Manual",$M104=1),0,IF(OFFSET(CRONOPLE!$F$14,$M104,AO$13)="",10^12,OFFSET(CRONOPLE!$F$14,$M104,AO$13))))</f>
        <v>0</v>
      </c>
      <c r="AP104" s="181">
        <f ca="1">IF($D104&lt;&gt;"Serviço",0,IF(AND(AUTOEVENTO="Manual",$M104=1),0,IF(OFFSET(CRONOPLE!$F$14,$M104,AP$13)="",10^12,OFFSET(CRONOPLE!$F$14,$M104,AP$13))))</f>
        <v>0</v>
      </c>
      <c r="AQ104" s="181">
        <f ca="1">IF($D104&lt;&gt;"Serviço",0,IF(AND(AUTOEVENTO="Manual",$M104=1),0,IF(OFFSET(CRONOPLE!$F$14,$M104,AQ$13)="",10^12,OFFSET(CRONOPLE!$F$14,$M104,AQ$13))))</f>
        <v>0</v>
      </c>
      <c r="AR104" s="181">
        <f ca="1">IF($D104&lt;&gt;"Serviço",0,IF(AND(AUTOEVENTO="Manual",$M104=1),0,IF(OFFSET(CRONOPLE!$F$14,$M104,AR$13)="",10^12,OFFSET(CRONOPLE!$F$14,$M104,AR$13))))</f>
        <v>0</v>
      </c>
      <c r="AS104" s="181">
        <f ca="1">IF($D104&lt;&gt;"Serviço",0,IF(AND(AUTOEVENTO="Manual",$M104=1),0,IF(OFFSET(CRONOPLE!$F$14,$M104,AS$13)="",10^12,OFFSET(CRONOPLE!$F$14,$M104,AS$13))))</f>
        <v>0</v>
      </c>
      <c r="AT104" s="181">
        <f ca="1">IF($D104&lt;&gt;"Serviço",0,IF(AND(AUTOEVENTO="Manual",$M104=1),0,IF(OFFSET(CRONOPLE!$F$14,$M104,AT$13)="",10^12,OFFSET(CRONOPLE!$F$14,$M104,AT$13))))</f>
        <v>0</v>
      </c>
      <c r="AU104" s="181">
        <f ca="1">IF($D104&lt;&gt;"Serviço",0,IF(AND(AUTOEVENTO="Manual",$M104=1),0,IF(OFFSET(CRONOPLE!$F$14,$M104,AU$13)="",10^12,OFFSET(CRONOPLE!$F$14,$M104,AU$13))))</f>
        <v>0</v>
      </c>
      <c r="AV104" s="181">
        <f ca="1">IF($D104&lt;&gt;"Serviço",0,IF(AND(AUTOEVENTO="Manual",$M104=1),0,IF(OFFSET(CRONOPLE!$F$14,$M104,AV$13)="",10^12,OFFSET(CRONOPLE!$F$14,$M104,AV$13))))</f>
        <v>0</v>
      </c>
      <c r="AX104" s="182">
        <f ca="1">IF($D104&lt;&gt;"Serviço",0,IF(OR(AND(AUTOEVENTO="Manual",$M104=1),$M104&gt;(ROW(PLE.lastrow)-ROW(PLE.firstrow))),0,IF(OFFSET(PLE!$G$14,$M104,AX$13)="",10^12,OFFSET(PLE!$G$14,$M104,AX$13))))</f>
        <v>0</v>
      </c>
      <c r="AY104" s="182">
        <f ca="1">IF($D104&lt;&gt;"Serviço",0,IF(OR(AND(AUTOEVENTO="Manual",$M104=1),$M104&gt;(ROW(PLE.lastrow)-ROW(PLE.firstrow))),0,IF(OFFSET(PLE!$G$14,$M104,AY$13)="",10^12,OFFSET(PLE!$G$14,$M104,AY$13))))</f>
        <v>0</v>
      </c>
      <c r="AZ104" s="182">
        <f ca="1">IF($D104&lt;&gt;"Serviço",0,IF(OR(AND(AUTOEVENTO="Manual",$M104=1),$M104&gt;(ROW(PLE.lastrow)-ROW(PLE.firstrow))),0,IF(OFFSET(PLE!$G$14,$M104,AZ$13)="",10^12,OFFSET(PLE!$G$14,$M104,AZ$13))))</f>
        <v>0</v>
      </c>
      <c r="BA104" s="182">
        <f ca="1">IF($D104&lt;&gt;"Serviço",0,IF(OR(AND(AUTOEVENTO="Manual",$M104=1),$M104&gt;(ROW(PLE.lastrow)-ROW(PLE.firstrow))),0,IF(OFFSET(PLE!$G$14,$M104,BA$13)="",10^12,OFFSET(PLE!$G$14,$M104,BA$13))))</f>
        <v>0</v>
      </c>
      <c r="BB104" s="182">
        <f ca="1">IF($D104&lt;&gt;"Serviço",0,IF(OR(AND(AUTOEVENTO="Manual",$M104=1),$M104&gt;(ROW(PLE.lastrow)-ROW(PLE.firstrow))),0,IF(OFFSET(PLE!$G$14,$M104,BB$13)="",10^12,OFFSET(PLE!$G$14,$M104,BB$13))))</f>
        <v>0</v>
      </c>
      <c r="BC104" s="182">
        <f ca="1">IF($D104&lt;&gt;"Serviço",0,IF(OR(AND(AUTOEVENTO="Manual",$M104=1),$M104&gt;(ROW(PLE.lastrow)-ROW(PLE.firstrow))),0,IF(OFFSET(PLE!$G$14,$M104,BC$13)="",10^12,OFFSET(PLE!$G$14,$M104,BC$13))))</f>
        <v>0</v>
      </c>
      <c r="BD104" s="182">
        <f ca="1">IF($D104&lt;&gt;"Serviço",0,IF(OR(AND(AUTOEVENTO="Manual",$M104=1),$M104&gt;(ROW(PLE.lastrow)-ROW(PLE.firstrow))),0,IF(OFFSET(PLE!$G$14,$M104,BD$13)="",10^12,OFFSET(PLE!$G$14,$M104,BD$13))))</f>
        <v>0</v>
      </c>
      <c r="BE104" s="182">
        <f ca="1">IF($D104&lt;&gt;"Serviço",0,IF(OR(AND(AUTOEVENTO="Manual",$M104=1),$M104&gt;(ROW(PLE.lastrow)-ROW(PLE.firstrow))),0,IF(OFFSET(PLE!$G$14,$M104,BE$13)="",10^12,OFFSET(PLE!$G$14,$M104,BE$13))))</f>
        <v>0</v>
      </c>
      <c r="BF104" s="182">
        <f ca="1">IF($D104&lt;&gt;"Serviço",0,IF(OR(AND(AUTOEVENTO="Manual",$M104=1),$M104&gt;(ROW(PLE.lastrow)-ROW(PLE.firstrow))),0,IF(OFFSET(PLE!$G$14,$M104,BF$13)="",10^12,OFFSET(PLE!$G$14,$M104,BF$13))))</f>
        <v>0</v>
      </c>
      <c r="BG104" s="182">
        <f ca="1">IF($D104&lt;&gt;"Serviço",0,IF(OR(AND(AUTOEVENTO="Manual",$M104=1),$M104&gt;(ROW(PLE.lastrow)-ROW(PLE.firstrow))),0,IF(OFFSET(PLE!$G$14,$M104,BG$13)="",10^12,OFFSET(PLE!$G$14,$M104,BG$13))))</f>
        <v>0</v>
      </c>
    </row>
    <row r="105" spans="1:59" ht="38.25" x14ac:dyDescent="0.2">
      <c r="A105" s="7" t="str">
        <f t="shared" ca="1" si="9"/>
        <v>71</v>
      </c>
      <c r="B105" s="7" t="str">
        <f ca="1">OFFSET(ORÇAMENTO!C$15,ROW(B105)-ROW(B$15),0)</f>
        <v>S</v>
      </c>
      <c r="C105" s="7" t="str">
        <f ca="1">OFFSET(ORÇAMENTO!L$15,ROW(C105)-ROW(C$15),0)</f>
        <v>F</v>
      </c>
      <c r="D105" s="118" t="str">
        <f ca="1">OFFSET(ORÇAMENTO!N$15,ROW(D105)-ROW(D$15),0)</f>
        <v>Serviço</v>
      </c>
      <c r="E105" s="119" t="str">
        <f ca="1">OFFSET(ORÇAMENTO!O$15,ROW(E105)-ROW(E$15),0)</f>
        <v>1.6.4.1.</v>
      </c>
      <c r="F105" s="172" t="str">
        <f ca="1">OFFSET(ORÇAMENTO!R$15,ROW(F105)-ROW(F$15),0)</f>
        <v>(abra o arquivo 'Referência 03-2024.xlsm)</v>
      </c>
      <c r="G105" s="173" t="str">
        <f ca="1">IF($D105&lt;&gt;"Serviço","",OFFSET(ORÇAMENTO!S$15,ROW(G105)-ROW(G$15),0))</f>
        <v>-</v>
      </c>
      <c r="H105" s="124">
        <f ca="1">IF($D105&lt;&gt;"Serviço",0,IF(ACOMPANHAMENTO="BM",ROUND(OFFSET(ORÇAMENTO!AJ$15,ROW(H105)-ROW(H$15),0),15-13*ORÇAMENTO!$AF$7),SUMPRODUCT(($Q$12:$AA$12&lt;&gt;"")*ROUND($Q105:$AA105,15-13*ORÇAMENTO!$AF$7))))</f>
        <v>3.6</v>
      </c>
      <c r="I105" s="561"/>
      <c r="K105" s="174"/>
      <c r="L105" s="175" t="s">
        <v>255</v>
      </c>
      <c r="M105" s="176">
        <f ca="1">IF($D105&lt;&gt;"Serviço","",IF(AUTOEVENTO="manual",$A105,IF(ISERROR(MATCH($A105,$A$15:OFFSET($A105,-1,0),0)),MAX($M$15:OFFSET(M105,-1,0))+1,INDEX($M$15:OFFSET(M105,-1,0),MATCH($A105,$A$15:OFFSET($A105,-1,0),0)))))</f>
        <v>7</v>
      </c>
      <c r="N105" s="177" t="str">
        <f ca="1">IF($D105&lt;&gt;"Serviço","",IF(AUTOEVENTO="Manual",IF($A105=0,"&lt;-- defina o número do agrupador",OFFSET(EVENTOS!$D$14,$A105,0)),OFFSET($F$15,$A105,0)))</f>
        <v>SANITÁRIO PÚBLICO ACESSÍVEL</v>
      </c>
      <c r="O105" s="178"/>
      <c r="Q105" s="178"/>
      <c r="R105" s="179"/>
      <c r="S105" s="179"/>
      <c r="T105" s="179"/>
      <c r="U105" s="179"/>
      <c r="V105" s="179"/>
      <c r="W105" s="179"/>
      <c r="X105" s="179"/>
      <c r="Y105" s="179"/>
      <c r="Z105" s="180"/>
      <c r="AB105" s="544">
        <f ca="1">IF(AND($D105="Serviço",AB$12&lt;&gt;0,$H105&gt;0,OR(AUTOEVENTO&lt;&gt;"manual",$M105&lt;&gt;1)),
IF(Import.TipoArredondamento&lt;&gt;"TransfereGOV",
ROUND(OFFSET($P105,0,AB$13),15-13*ORÇAMENTO!$AF$7)/$H105*OFFSET(ORÇAMENTO!$X$15,ROW(AB105)-ROW(AB$15),0),
ROUND(ROUND(OFFSET($P105,0,AB$13),15-13*ORÇAMENTO!$AF$7)*OFFSET(ORÇAMENTO!$W$15,ROW(AB105)-ROW(AB$15),0),15-13*ORÇAMENTO!$AF$11)),0)</f>
        <v>0</v>
      </c>
      <c r="AC105" s="545">
        <f ca="1">IF(AND($D105="Serviço",AC$12&lt;&gt;0,$H105&gt;0,OR(AUTOEVENTO&lt;&gt;"manual",$M105&lt;&gt;1)),
IF(Import.TipoArredondamento&lt;&gt;"TransfereGOV",
ROUND(OFFSET($P105,0,AC$13),15-13*ORÇAMENTO!$AF$7)/$H105*OFFSET(ORÇAMENTO!$X$15,ROW(AC105)-ROW(AC$15),0),
ROUND(ROUND(OFFSET($P105,0,AC$13),15-13*ORÇAMENTO!$AF$7)*OFFSET(ORÇAMENTO!$W$15,ROW(AC105)-ROW(AC$15),0),15-13*ORÇAMENTO!$AF$11)),0)</f>
        <v>0</v>
      </c>
      <c r="AD105" s="545">
        <f ca="1">IF(AND($D105="Serviço",AD$12&lt;&gt;0,$H105&gt;0,OR(AUTOEVENTO&lt;&gt;"manual",$M105&lt;&gt;1)),
IF(Import.TipoArredondamento&lt;&gt;"TransfereGOV",
ROUND(OFFSET($P105,0,AD$13),15-13*ORÇAMENTO!$AF$7)/$H105*OFFSET(ORÇAMENTO!$X$15,ROW(AD105)-ROW(AD$15),0),
ROUND(ROUND(OFFSET($P105,0,AD$13),15-13*ORÇAMENTO!$AF$7)*OFFSET(ORÇAMENTO!$W$15,ROW(AD105)-ROW(AD$15),0),15-13*ORÇAMENTO!$AF$11)),0)</f>
        <v>0</v>
      </c>
      <c r="AE105" s="545">
        <f ca="1">IF(AND($D105="Serviço",AE$12&lt;&gt;0,$H105&gt;0,OR(AUTOEVENTO&lt;&gt;"manual",$M105&lt;&gt;1)),
IF(Import.TipoArredondamento&lt;&gt;"TransfereGOV",
ROUND(OFFSET($P105,0,AE$13),15-13*ORÇAMENTO!$AF$7)/$H105*OFFSET(ORÇAMENTO!$X$15,ROW(AE105)-ROW(AE$15),0),
ROUND(ROUND(OFFSET($P105,0,AE$13),15-13*ORÇAMENTO!$AF$7)*OFFSET(ORÇAMENTO!$W$15,ROW(AE105)-ROW(AE$15),0),15-13*ORÇAMENTO!$AF$11)),0)</f>
        <v>0</v>
      </c>
      <c r="AF105" s="545">
        <f ca="1">IF(AND($D105="Serviço",AF$12&lt;&gt;0,$H105&gt;0,OR(AUTOEVENTO&lt;&gt;"manual",$M105&lt;&gt;1)),
IF(Import.TipoArredondamento&lt;&gt;"TransfereGOV",
ROUND(OFFSET($P105,0,AF$13),15-13*ORÇAMENTO!$AF$7)/$H105*OFFSET(ORÇAMENTO!$X$15,ROW(AF105)-ROW(AF$15),0),
ROUND(ROUND(OFFSET($P105,0,AF$13),15-13*ORÇAMENTO!$AF$7)*OFFSET(ORÇAMENTO!$W$15,ROW(AF105)-ROW(AF$15),0),15-13*ORÇAMENTO!$AF$11)),0)</f>
        <v>0</v>
      </c>
      <c r="AG105" s="545">
        <f ca="1">IF(AND($D105="Serviço",AG$12&lt;&gt;0,$H105&gt;0,OR(AUTOEVENTO&lt;&gt;"manual",$M105&lt;&gt;1)),
IF(Import.TipoArredondamento&lt;&gt;"TransfereGOV",
ROUND(OFFSET($P105,0,AG$13),15-13*ORÇAMENTO!$AF$7)/$H105*OFFSET(ORÇAMENTO!$X$15,ROW(AG105)-ROW(AG$15),0),
ROUND(ROUND(OFFSET($P105,0,AG$13),15-13*ORÇAMENTO!$AF$7)*OFFSET(ORÇAMENTO!$W$15,ROW(AG105)-ROW(AG$15),0),15-13*ORÇAMENTO!$AF$11)),0)</f>
        <v>0</v>
      </c>
      <c r="AH105" s="545">
        <f ca="1">IF(AND($D105="Serviço",AH$12&lt;&gt;0,$H105&gt;0,OR(AUTOEVENTO&lt;&gt;"manual",$M105&lt;&gt;1)),
IF(Import.TipoArredondamento&lt;&gt;"TransfereGOV",
ROUND(OFFSET($P105,0,AH$13),15-13*ORÇAMENTO!$AF$7)/$H105*OFFSET(ORÇAMENTO!$X$15,ROW(AH105)-ROW(AH$15),0),
ROUND(ROUND(OFFSET($P105,0,AH$13),15-13*ORÇAMENTO!$AF$7)*OFFSET(ORÇAMENTO!$W$15,ROW(AH105)-ROW(AH$15),0),15-13*ORÇAMENTO!$AF$11)),0)</f>
        <v>0</v>
      </c>
      <c r="AI105" s="545">
        <f ca="1">IF(AND($D105="Serviço",AI$12&lt;&gt;0,$H105&gt;0,OR(AUTOEVENTO&lt;&gt;"manual",$M105&lt;&gt;1)),
IF(Import.TipoArredondamento&lt;&gt;"TransfereGOV",
ROUND(OFFSET($P105,0,AI$13),15-13*ORÇAMENTO!$AF$7)/$H105*OFFSET(ORÇAMENTO!$X$15,ROW(AI105)-ROW(AI$15),0),
ROUND(ROUND(OFFSET($P105,0,AI$13),15-13*ORÇAMENTO!$AF$7)*OFFSET(ORÇAMENTO!$W$15,ROW(AI105)-ROW(AI$15),0),15-13*ORÇAMENTO!$AF$11)),0)</f>
        <v>0</v>
      </c>
      <c r="AJ105" s="545">
        <f ca="1">IF(AND($D105="Serviço",AJ$12&lt;&gt;0,$H105&gt;0,OR(AUTOEVENTO&lt;&gt;"manual",$M105&lt;&gt;1)),
IF(Import.TipoArredondamento&lt;&gt;"TransfereGOV",
ROUND(OFFSET($P105,0,AJ$13),15-13*ORÇAMENTO!$AF$7)/$H105*OFFSET(ORÇAMENTO!$X$15,ROW(AJ105)-ROW(AJ$15),0),
ROUND(ROUND(OFFSET($P105,0,AJ$13),15-13*ORÇAMENTO!$AF$7)*OFFSET(ORÇAMENTO!$W$15,ROW(AJ105)-ROW(AJ$15),0),15-13*ORÇAMENTO!$AF$11)),0)</f>
        <v>0</v>
      </c>
      <c r="AK105" s="546">
        <f ca="1">IF(AND($D105="Serviço",AK$12&lt;&gt;0,$H105&gt;0,OR(AUTOEVENTO&lt;&gt;"manual",$M105&lt;&gt;1)),
IF(Import.TipoArredondamento&lt;&gt;"TransfereGOV",
ROUND(OFFSET($P105,0,AK$13),15-13*ORÇAMENTO!$AF$7)/$H105*OFFSET(ORÇAMENTO!$X$15,ROW(AK105)-ROW(AK$15),0),
ROUND(ROUND(OFFSET($P105,0,AK$13),15-13*ORÇAMENTO!$AF$7)*OFFSET(ORÇAMENTO!$W$15,ROW(AK105)-ROW(AK$15),0),15-13*ORÇAMENTO!$AF$11)),0)</f>
        <v>0</v>
      </c>
      <c r="AM105" s="181">
        <f ca="1">IF($D105&lt;&gt;"Serviço",0,IF(AND(AUTOEVENTO="Manual",$M105=1),0,IF(OFFSET(CRONOPLE!$F$14,$M105,AM$13)="",10^12,OFFSET(CRONOPLE!$F$14,$M105,AM$13))))</f>
        <v>1000000000000</v>
      </c>
      <c r="AN105" s="181">
        <f ca="1">IF($D105&lt;&gt;"Serviço",0,IF(AND(AUTOEVENTO="Manual",$M105=1),0,IF(OFFSET(CRONOPLE!$F$14,$M105,AN$13)="",10^12,OFFSET(CRONOPLE!$F$14,$M105,AN$13))))</f>
        <v>1000000000000</v>
      </c>
      <c r="AO105" s="181">
        <f ca="1">IF($D105&lt;&gt;"Serviço",0,IF(AND(AUTOEVENTO="Manual",$M105=1),0,IF(OFFSET(CRONOPLE!$F$14,$M105,AO$13)="",10^12,OFFSET(CRONOPLE!$F$14,$M105,AO$13))))</f>
        <v>1000000000000</v>
      </c>
      <c r="AP105" s="181">
        <f ca="1">IF($D105&lt;&gt;"Serviço",0,IF(AND(AUTOEVENTO="Manual",$M105=1),0,IF(OFFSET(CRONOPLE!$F$14,$M105,AP$13)="",10^12,OFFSET(CRONOPLE!$F$14,$M105,AP$13))))</f>
        <v>1000000000000</v>
      </c>
      <c r="AQ105" s="181">
        <f ca="1">IF($D105&lt;&gt;"Serviço",0,IF(AND(AUTOEVENTO="Manual",$M105=1),0,IF(OFFSET(CRONOPLE!$F$14,$M105,AQ$13)="",10^12,OFFSET(CRONOPLE!$F$14,$M105,AQ$13))))</f>
        <v>1000000000000</v>
      </c>
      <c r="AR105" s="181">
        <f ca="1">IF($D105&lt;&gt;"Serviço",0,IF(AND(AUTOEVENTO="Manual",$M105=1),0,IF(OFFSET(CRONOPLE!$F$14,$M105,AR$13)="",10^12,OFFSET(CRONOPLE!$F$14,$M105,AR$13))))</f>
        <v>1000000000000</v>
      </c>
      <c r="AS105" s="181">
        <f ca="1">IF($D105&lt;&gt;"Serviço",0,IF(AND(AUTOEVENTO="Manual",$M105=1),0,IF(OFFSET(CRONOPLE!$F$14,$M105,AS$13)="",10^12,OFFSET(CRONOPLE!$F$14,$M105,AS$13))))</f>
        <v>1000000000000</v>
      </c>
      <c r="AT105" s="181">
        <f ca="1">IF($D105&lt;&gt;"Serviço",0,IF(AND(AUTOEVENTO="Manual",$M105=1),0,IF(OFFSET(CRONOPLE!$F$14,$M105,AT$13)="",10^12,OFFSET(CRONOPLE!$F$14,$M105,AT$13))))</f>
        <v>1000000000000</v>
      </c>
      <c r="AU105" s="181">
        <f ca="1">IF($D105&lt;&gt;"Serviço",0,IF(AND(AUTOEVENTO="Manual",$M105=1),0,IF(OFFSET(CRONOPLE!$F$14,$M105,AU$13)="",10^12,OFFSET(CRONOPLE!$F$14,$M105,AU$13))))</f>
        <v>1000000000000</v>
      </c>
      <c r="AV105" s="181">
        <f ca="1">IF($D105&lt;&gt;"Serviço",0,IF(AND(AUTOEVENTO="Manual",$M105=1),0,IF(OFFSET(CRONOPLE!$F$14,$M105,AV$13)="",10^12,OFFSET(CRONOPLE!$F$14,$M105,AV$13))))</f>
        <v>1000000000000</v>
      </c>
      <c r="AX105" s="182">
        <f ca="1">IF($D105&lt;&gt;"Serviço",0,IF(OR(AND(AUTOEVENTO="Manual",$M105=1),$M105&gt;(ROW(PLE.lastrow)-ROW(PLE.firstrow))),0,IF(OFFSET(PLE!$G$14,$M105,AX$13)="",10^12,OFFSET(PLE!$G$14,$M105,AX$13))))</f>
        <v>1000000000000</v>
      </c>
      <c r="AY105" s="182">
        <f ca="1">IF($D105&lt;&gt;"Serviço",0,IF(OR(AND(AUTOEVENTO="Manual",$M105=1),$M105&gt;(ROW(PLE.lastrow)-ROW(PLE.firstrow))),0,IF(OFFSET(PLE!$G$14,$M105,AY$13)="",10^12,OFFSET(PLE!$G$14,$M105,AY$13))))</f>
        <v>1000000000000</v>
      </c>
      <c r="AZ105" s="182">
        <f ca="1">IF($D105&lt;&gt;"Serviço",0,IF(OR(AND(AUTOEVENTO="Manual",$M105=1),$M105&gt;(ROW(PLE.lastrow)-ROW(PLE.firstrow))),0,IF(OFFSET(PLE!$G$14,$M105,AZ$13)="",10^12,OFFSET(PLE!$G$14,$M105,AZ$13))))</f>
        <v>1000000000000</v>
      </c>
      <c r="BA105" s="182">
        <f ca="1">IF($D105&lt;&gt;"Serviço",0,IF(OR(AND(AUTOEVENTO="Manual",$M105=1),$M105&gt;(ROW(PLE.lastrow)-ROW(PLE.firstrow))),0,IF(OFFSET(PLE!$G$14,$M105,BA$13)="",10^12,OFFSET(PLE!$G$14,$M105,BA$13))))</f>
        <v>1000000000000</v>
      </c>
      <c r="BB105" s="182">
        <f ca="1">IF($D105&lt;&gt;"Serviço",0,IF(OR(AND(AUTOEVENTO="Manual",$M105=1),$M105&gt;(ROW(PLE.lastrow)-ROW(PLE.firstrow))),0,IF(OFFSET(PLE!$G$14,$M105,BB$13)="",10^12,OFFSET(PLE!$G$14,$M105,BB$13))))</f>
        <v>1000000000000</v>
      </c>
      <c r="BC105" s="182">
        <f ca="1">IF($D105&lt;&gt;"Serviço",0,IF(OR(AND(AUTOEVENTO="Manual",$M105=1),$M105&gt;(ROW(PLE.lastrow)-ROW(PLE.firstrow))),0,IF(OFFSET(PLE!$G$14,$M105,BC$13)="",10^12,OFFSET(PLE!$G$14,$M105,BC$13))))</f>
        <v>1000000000000</v>
      </c>
      <c r="BD105" s="182">
        <f ca="1">IF($D105&lt;&gt;"Serviço",0,IF(OR(AND(AUTOEVENTO="Manual",$M105=1),$M105&gt;(ROW(PLE.lastrow)-ROW(PLE.firstrow))),0,IF(OFFSET(PLE!$G$14,$M105,BD$13)="",10^12,OFFSET(PLE!$G$14,$M105,BD$13))))</f>
        <v>1000000000000</v>
      </c>
      <c r="BE105" s="182">
        <f ca="1">IF($D105&lt;&gt;"Serviço",0,IF(OR(AND(AUTOEVENTO="Manual",$M105=1),$M105&gt;(ROW(PLE.lastrow)-ROW(PLE.firstrow))),0,IF(OFFSET(PLE!$G$14,$M105,BE$13)="",10^12,OFFSET(PLE!$G$14,$M105,BE$13))))</f>
        <v>1000000000000</v>
      </c>
      <c r="BF105" s="182">
        <f ca="1">IF($D105&lt;&gt;"Serviço",0,IF(OR(AND(AUTOEVENTO="Manual",$M105=1),$M105&gt;(ROW(PLE.lastrow)-ROW(PLE.firstrow))),0,IF(OFFSET(PLE!$G$14,$M105,BF$13)="",10^12,OFFSET(PLE!$G$14,$M105,BF$13))))</f>
        <v>1000000000000</v>
      </c>
      <c r="BG105" s="182">
        <f ca="1">IF($D105&lt;&gt;"Serviço",0,IF(OR(AND(AUTOEVENTO="Manual",$M105=1),$M105&gt;(ROW(PLE.lastrow)-ROW(PLE.firstrow))),0,IF(OFFSET(PLE!$G$14,$M105,BG$13)="",10^12,OFFSET(PLE!$G$14,$M105,BG$13))))</f>
        <v>1000000000000</v>
      </c>
    </row>
    <row r="106" spans="1:59" ht="51" x14ac:dyDescent="0.2">
      <c r="A106" s="7" t="str">
        <f t="shared" ca="1" si="9"/>
        <v>71</v>
      </c>
      <c r="B106" s="7" t="str">
        <f ca="1">OFFSET(ORÇAMENTO!C$15,ROW(B106)-ROW(B$15),0)</f>
        <v>S</v>
      </c>
      <c r="C106" s="7" t="str">
        <f ca="1">OFFSET(ORÇAMENTO!L$15,ROW(C106)-ROW(C$15),0)</f>
        <v>F</v>
      </c>
      <c r="D106" s="118" t="str">
        <f ca="1">OFFSET(ORÇAMENTO!N$15,ROW(D106)-ROW(D$15),0)</f>
        <v>Serviço</v>
      </c>
      <c r="E106" s="119" t="str">
        <f ca="1">OFFSET(ORÇAMENTO!O$15,ROW(E106)-ROW(E$15),0)</f>
        <v>1.6.4.2.</v>
      </c>
      <c r="F106" s="172" t="str">
        <f ca="1">OFFSET(ORÇAMENTO!R$15,ROW(F106)-ROW(F$15),0)</f>
        <v>(abra o arquivo 'Referência 03-2024.xlsm)</v>
      </c>
      <c r="G106" s="173" t="str">
        <f ca="1">IF($D106&lt;&gt;"Serviço","",OFFSET(ORÇAMENTO!S$15,ROW(G106)-ROW(G$15),0))</f>
        <v>-</v>
      </c>
      <c r="H106" s="124">
        <f ca="1">IF($D106&lt;&gt;"Serviço",0,IF(ACOMPANHAMENTO="BM",ROUND(OFFSET(ORÇAMENTO!AJ$15,ROW(H106)-ROW(H$15),0),15-13*ORÇAMENTO!$AF$7),SUMPRODUCT(($Q$12:$AA$12&lt;&gt;"")*ROUND($Q106:$AA106,15-13*ORÇAMENTO!$AF$7))))</f>
        <v>0.18</v>
      </c>
      <c r="I106" s="561"/>
      <c r="K106" s="174"/>
      <c r="L106" s="175" t="s">
        <v>255</v>
      </c>
      <c r="M106" s="176">
        <f ca="1">IF($D106&lt;&gt;"Serviço","",IF(AUTOEVENTO="manual",$A106,IF(ISERROR(MATCH($A106,$A$15:OFFSET($A106,-1,0),0)),MAX($M$15:OFFSET(M106,-1,0))+1,INDEX($M$15:OFFSET(M106,-1,0),MATCH($A106,$A$15:OFFSET($A106,-1,0),0)))))</f>
        <v>7</v>
      </c>
      <c r="N106" s="177" t="str">
        <f ca="1">IF($D106&lt;&gt;"Serviço","",IF(AUTOEVENTO="Manual",IF($A106=0,"&lt;-- defina o número do agrupador",OFFSET(EVENTOS!$D$14,$A106,0)),OFFSET($F$15,$A106,0)))</f>
        <v>SANITÁRIO PÚBLICO ACESSÍVEL</v>
      </c>
      <c r="O106" s="178"/>
      <c r="Q106" s="178"/>
      <c r="R106" s="179"/>
      <c r="S106" s="179"/>
      <c r="T106" s="179"/>
      <c r="U106" s="179"/>
      <c r="V106" s="179"/>
      <c r="W106" s="179"/>
      <c r="X106" s="179"/>
      <c r="Y106" s="179"/>
      <c r="Z106" s="180"/>
      <c r="AB106" s="544">
        <f ca="1">IF(AND($D106="Serviço",AB$12&lt;&gt;0,$H106&gt;0,OR(AUTOEVENTO&lt;&gt;"manual",$M106&lt;&gt;1)),
IF(Import.TipoArredondamento&lt;&gt;"TransfereGOV",
ROUND(OFFSET($P106,0,AB$13),15-13*ORÇAMENTO!$AF$7)/$H106*OFFSET(ORÇAMENTO!$X$15,ROW(AB106)-ROW(AB$15),0),
ROUND(ROUND(OFFSET($P106,0,AB$13),15-13*ORÇAMENTO!$AF$7)*OFFSET(ORÇAMENTO!$W$15,ROW(AB106)-ROW(AB$15),0),15-13*ORÇAMENTO!$AF$11)),0)</f>
        <v>0</v>
      </c>
      <c r="AC106" s="545">
        <f ca="1">IF(AND($D106="Serviço",AC$12&lt;&gt;0,$H106&gt;0,OR(AUTOEVENTO&lt;&gt;"manual",$M106&lt;&gt;1)),
IF(Import.TipoArredondamento&lt;&gt;"TransfereGOV",
ROUND(OFFSET($P106,0,AC$13),15-13*ORÇAMENTO!$AF$7)/$H106*OFFSET(ORÇAMENTO!$X$15,ROW(AC106)-ROW(AC$15),0),
ROUND(ROUND(OFFSET($P106,0,AC$13),15-13*ORÇAMENTO!$AF$7)*OFFSET(ORÇAMENTO!$W$15,ROW(AC106)-ROW(AC$15),0),15-13*ORÇAMENTO!$AF$11)),0)</f>
        <v>0</v>
      </c>
      <c r="AD106" s="545">
        <f ca="1">IF(AND($D106="Serviço",AD$12&lt;&gt;0,$H106&gt;0,OR(AUTOEVENTO&lt;&gt;"manual",$M106&lt;&gt;1)),
IF(Import.TipoArredondamento&lt;&gt;"TransfereGOV",
ROUND(OFFSET($P106,0,AD$13),15-13*ORÇAMENTO!$AF$7)/$H106*OFFSET(ORÇAMENTO!$X$15,ROW(AD106)-ROW(AD$15),0),
ROUND(ROUND(OFFSET($P106,0,AD$13),15-13*ORÇAMENTO!$AF$7)*OFFSET(ORÇAMENTO!$W$15,ROW(AD106)-ROW(AD$15),0),15-13*ORÇAMENTO!$AF$11)),0)</f>
        <v>0</v>
      </c>
      <c r="AE106" s="545">
        <f ca="1">IF(AND($D106="Serviço",AE$12&lt;&gt;0,$H106&gt;0,OR(AUTOEVENTO&lt;&gt;"manual",$M106&lt;&gt;1)),
IF(Import.TipoArredondamento&lt;&gt;"TransfereGOV",
ROUND(OFFSET($P106,0,AE$13),15-13*ORÇAMENTO!$AF$7)/$H106*OFFSET(ORÇAMENTO!$X$15,ROW(AE106)-ROW(AE$15),0),
ROUND(ROUND(OFFSET($P106,0,AE$13),15-13*ORÇAMENTO!$AF$7)*OFFSET(ORÇAMENTO!$W$15,ROW(AE106)-ROW(AE$15),0),15-13*ORÇAMENTO!$AF$11)),0)</f>
        <v>0</v>
      </c>
      <c r="AF106" s="545">
        <f ca="1">IF(AND($D106="Serviço",AF$12&lt;&gt;0,$H106&gt;0,OR(AUTOEVENTO&lt;&gt;"manual",$M106&lt;&gt;1)),
IF(Import.TipoArredondamento&lt;&gt;"TransfereGOV",
ROUND(OFFSET($P106,0,AF$13),15-13*ORÇAMENTO!$AF$7)/$H106*OFFSET(ORÇAMENTO!$X$15,ROW(AF106)-ROW(AF$15),0),
ROUND(ROUND(OFFSET($P106,0,AF$13),15-13*ORÇAMENTO!$AF$7)*OFFSET(ORÇAMENTO!$W$15,ROW(AF106)-ROW(AF$15),0),15-13*ORÇAMENTO!$AF$11)),0)</f>
        <v>0</v>
      </c>
      <c r="AG106" s="545">
        <f ca="1">IF(AND($D106="Serviço",AG$12&lt;&gt;0,$H106&gt;0,OR(AUTOEVENTO&lt;&gt;"manual",$M106&lt;&gt;1)),
IF(Import.TipoArredondamento&lt;&gt;"TransfereGOV",
ROUND(OFFSET($P106,0,AG$13),15-13*ORÇAMENTO!$AF$7)/$H106*OFFSET(ORÇAMENTO!$X$15,ROW(AG106)-ROW(AG$15),0),
ROUND(ROUND(OFFSET($P106,0,AG$13),15-13*ORÇAMENTO!$AF$7)*OFFSET(ORÇAMENTO!$W$15,ROW(AG106)-ROW(AG$15),0),15-13*ORÇAMENTO!$AF$11)),0)</f>
        <v>0</v>
      </c>
      <c r="AH106" s="545">
        <f ca="1">IF(AND($D106="Serviço",AH$12&lt;&gt;0,$H106&gt;0,OR(AUTOEVENTO&lt;&gt;"manual",$M106&lt;&gt;1)),
IF(Import.TipoArredondamento&lt;&gt;"TransfereGOV",
ROUND(OFFSET($P106,0,AH$13),15-13*ORÇAMENTO!$AF$7)/$H106*OFFSET(ORÇAMENTO!$X$15,ROW(AH106)-ROW(AH$15),0),
ROUND(ROUND(OFFSET($P106,0,AH$13),15-13*ORÇAMENTO!$AF$7)*OFFSET(ORÇAMENTO!$W$15,ROW(AH106)-ROW(AH$15),0),15-13*ORÇAMENTO!$AF$11)),0)</f>
        <v>0</v>
      </c>
      <c r="AI106" s="545">
        <f ca="1">IF(AND($D106="Serviço",AI$12&lt;&gt;0,$H106&gt;0,OR(AUTOEVENTO&lt;&gt;"manual",$M106&lt;&gt;1)),
IF(Import.TipoArredondamento&lt;&gt;"TransfereGOV",
ROUND(OFFSET($P106,0,AI$13),15-13*ORÇAMENTO!$AF$7)/$H106*OFFSET(ORÇAMENTO!$X$15,ROW(AI106)-ROW(AI$15),0),
ROUND(ROUND(OFFSET($P106,0,AI$13),15-13*ORÇAMENTO!$AF$7)*OFFSET(ORÇAMENTO!$W$15,ROW(AI106)-ROW(AI$15),0),15-13*ORÇAMENTO!$AF$11)),0)</f>
        <v>0</v>
      </c>
      <c r="AJ106" s="545">
        <f ca="1">IF(AND($D106="Serviço",AJ$12&lt;&gt;0,$H106&gt;0,OR(AUTOEVENTO&lt;&gt;"manual",$M106&lt;&gt;1)),
IF(Import.TipoArredondamento&lt;&gt;"TransfereGOV",
ROUND(OFFSET($P106,0,AJ$13),15-13*ORÇAMENTO!$AF$7)/$H106*OFFSET(ORÇAMENTO!$X$15,ROW(AJ106)-ROW(AJ$15),0),
ROUND(ROUND(OFFSET($P106,0,AJ$13),15-13*ORÇAMENTO!$AF$7)*OFFSET(ORÇAMENTO!$W$15,ROW(AJ106)-ROW(AJ$15),0),15-13*ORÇAMENTO!$AF$11)),0)</f>
        <v>0</v>
      </c>
      <c r="AK106" s="546">
        <f ca="1">IF(AND($D106="Serviço",AK$12&lt;&gt;0,$H106&gt;0,OR(AUTOEVENTO&lt;&gt;"manual",$M106&lt;&gt;1)),
IF(Import.TipoArredondamento&lt;&gt;"TransfereGOV",
ROUND(OFFSET($P106,0,AK$13),15-13*ORÇAMENTO!$AF$7)/$H106*OFFSET(ORÇAMENTO!$X$15,ROW(AK106)-ROW(AK$15),0),
ROUND(ROUND(OFFSET($P106,0,AK$13),15-13*ORÇAMENTO!$AF$7)*OFFSET(ORÇAMENTO!$W$15,ROW(AK106)-ROW(AK$15),0),15-13*ORÇAMENTO!$AF$11)),0)</f>
        <v>0</v>
      </c>
      <c r="AM106" s="181">
        <f ca="1">IF($D106&lt;&gt;"Serviço",0,IF(AND(AUTOEVENTO="Manual",$M106=1),0,IF(OFFSET(CRONOPLE!$F$14,$M106,AM$13)="",10^12,OFFSET(CRONOPLE!$F$14,$M106,AM$13))))</f>
        <v>1000000000000</v>
      </c>
      <c r="AN106" s="181">
        <f ca="1">IF($D106&lt;&gt;"Serviço",0,IF(AND(AUTOEVENTO="Manual",$M106=1),0,IF(OFFSET(CRONOPLE!$F$14,$M106,AN$13)="",10^12,OFFSET(CRONOPLE!$F$14,$M106,AN$13))))</f>
        <v>1000000000000</v>
      </c>
      <c r="AO106" s="181">
        <f ca="1">IF($D106&lt;&gt;"Serviço",0,IF(AND(AUTOEVENTO="Manual",$M106=1),0,IF(OFFSET(CRONOPLE!$F$14,$M106,AO$13)="",10^12,OFFSET(CRONOPLE!$F$14,$M106,AO$13))))</f>
        <v>1000000000000</v>
      </c>
      <c r="AP106" s="181">
        <f ca="1">IF($D106&lt;&gt;"Serviço",0,IF(AND(AUTOEVENTO="Manual",$M106=1),0,IF(OFFSET(CRONOPLE!$F$14,$M106,AP$13)="",10^12,OFFSET(CRONOPLE!$F$14,$M106,AP$13))))</f>
        <v>1000000000000</v>
      </c>
      <c r="AQ106" s="181">
        <f ca="1">IF($D106&lt;&gt;"Serviço",0,IF(AND(AUTOEVENTO="Manual",$M106=1),0,IF(OFFSET(CRONOPLE!$F$14,$M106,AQ$13)="",10^12,OFFSET(CRONOPLE!$F$14,$M106,AQ$13))))</f>
        <v>1000000000000</v>
      </c>
      <c r="AR106" s="181">
        <f ca="1">IF($D106&lt;&gt;"Serviço",0,IF(AND(AUTOEVENTO="Manual",$M106=1),0,IF(OFFSET(CRONOPLE!$F$14,$M106,AR$13)="",10^12,OFFSET(CRONOPLE!$F$14,$M106,AR$13))))</f>
        <v>1000000000000</v>
      </c>
      <c r="AS106" s="181">
        <f ca="1">IF($D106&lt;&gt;"Serviço",0,IF(AND(AUTOEVENTO="Manual",$M106=1),0,IF(OFFSET(CRONOPLE!$F$14,$M106,AS$13)="",10^12,OFFSET(CRONOPLE!$F$14,$M106,AS$13))))</f>
        <v>1000000000000</v>
      </c>
      <c r="AT106" s="181">
        <f ca="1">IF($D106&lt;&gt;"Serviço",0,IF(AND(AUTOEVENTO="Manual",$M106=1),0,IF(OFFSET(CRONOPLE!$F$14,$M106,AT$13)="",10^12,OFFSET(CRONOPLE!$F$14,$M106,AT$13))))</f>
        <v>1000000000000</v>
      </c>
      <c r="AU106" s="181">
        <f ca="1">IF($D106&lt;&gt;"Serviço",0,IF(AND(AUTOEVENTO="Manual",$M106=1),0,IF(OFFSET(CRONOPLE!$F$14,$M106,AU$13)="",10^12,OFFSET(CRONOPLE!$F$14,$M106,AU$13))))</f>
        <v>1000000000000</v>
      </c>
      <c r="AV106" s="181">
        <f ca="1">IF($D106&lt;&gt;"Serviço",0,IF(AND(AUTOEVENTO="Manual",$M106=1),0,IF(OFFSET(CRONOPLE!$F$14,$M106,AV$13)="",10^12,OFFSET(CRONOPLE!$F$14,$M106,AV$13))))</f>
        <v>1000000000000</v>
      </c>
      <c r="AX106" s="182">
        <f ca="1">IF($D106&lt;&gt;"Serviço",0,IF(OR(AND(AUTOEVENTO="Manual",$M106=1),$M106&gt;(ROW(PLE.lastrow)-ROW(PLE.firstrow))),0,IF(OFFSET(PLE!$G$14,$M106,AX$13)="",10^12,OFFSET(PLE!$G$14,$M106,AX$13))))</f>
        <v>1000000000000</v>
      </c>
      <c r="AY106" s="182">
        <f ca="1">IF($D106&lt;&gt;"Serviço",0,IF(OR(AND(AUTOEVENTO="Manual",$M106=1),$M106&gt;(ROW(PLE.lastrow)-ROW(PLE.firstrow))),0,IF(OFFSET(PLE!$G$14,$M106,AY$13)="",10^12,OFFSET(PLE!$G$14,$M106,AY$13))))</f>
        <v>1000000000000</v>
      </c>
      <c r="AZ106" s="182">
        <f ca="1">IF($D106&lt;&gt;"Serviço",0,IF(OR(AND(AUTOEVENTO="Manual",$M106=1),$M106&gt;(ROW(PLE.lastrow)-ROW(PLE.firstrow))),0,IF(OFFSET(PLE!$G$14,$M106,AZ$13)="",10^12,OFFSET(PLE!$G$14,$M106,AZ$13))))</f>
        <v>1000000000000</v>
      </c>
      <c r="BA106" s="182">
        <f ca="1">IF($D106&lt;&gt;"Serviço",0,IF(OR(AND(AUTOEVENTO="Manual",$M106=1),$M106&gt;(ROW(PLE.lastrow)-ROW(PLE.firstrow))),0,IF(OFFSET(PLE!$G$14,$M106,BA$13)="",10^12,OFFSET(PLE!$G$14,$M106,BA$13))))</f>
        <v>1000000000000</v>
      </c>
      <c r="BB106" s="182">
        <f ca="1">IF($D106&lt;&gt;"Serviço",0,IF(OR(AND(AUTOEVENTO="Manual",$M106=1),$M106&gt;(ROW(PLE.lastrow)-ROW(PLE.firstrow))),0,IF(OFFSET(PLE!$G$14,$M106,BB$13)="",10^12,OFFSET(PLE!$G$14,$M106,BB$13))))</f>
        <v>1000000000000</v>
      </c>
      <c r="BC106" s="182">
        <f ca="1">IF($D106&lt;&gt;"Serviço",0,IF(OR(AND(AUTOEVENTO="Manual",$M106=1),$M106&gt;(ROW(PLE.lastrow)-ROW(PLE.firstrow))),0,IF(OFFSET(PLE!$G$14,$M106,BC$13)="",10^12,OFFSET(PLE!$G$14,$M106,BC$13))))</f>
        <v>1000000000000</v>
      </c>
      <c r="BD106" s="182">
        <f ca="1">IF($D106&lt;&gt;"Serviço",0,IF(OR(AND(AUTOEVENTO="Manual",$M106=1),$M106&gt;(ROW(PLE.lastrow)-ROW(PLE.firstrow))),0,IF(OFFSET(PLE!$G$14,$M106,BD$13)="",10^12,OFFSET(PLE!$G$14,$M106,BD$13))))</f>
        <v>1000000000000</v>
      </c>
      <c r="BE106" s="182">
        <f ca="1">IF($D106&lt;&gt;"Serviço",0,IF(OR(AND(AUTOEVENTO="Manual",$M106=1),$M106&gt;(ROW(PLE.lastrow)-ROW(PLE.firstrow))),0,IF(OFFSET(PLE!$G$14,$M106,BE$13)="",10^12,OFFSET(PLE!$G$14,$M106,BE$13))))</f>
        <v>1000000000000</v>
      </c>
      <c r="BF106" s="182">
        <f ca="1">IF($D106&lt;&gt;"Serviço",0,IF(OR(AND(AUTOEVENTO="Manual",$M106=1),$M106&gt;(ROW(PLE.lastrow)-ROW(PLE.firstrow))),0,IF(OFFSET(PLE!$G$14,$M106,BF$13)="",10^12,OFFSET(PLE!$G$14,$M106,BF$13))))</f>
        <v>1000000000000</v>
      </c>
      <c r="BG106" s="182">
        <f ca="1">IF($D106&lt;&gt;"Serviço",0,IF(OR(AND(AUTOEVENTO="Manual",$M106=1),$M106&gt;(ROW(PLE.lastrow)-ROW(PLE.firstrow))),0,IF(OFFSET(PLE!$G$14,$M106,BG$13)="",10^12,OFFSET(PLE!$G$14,$M106,BG$13))))</f>
        <v>1000000000000</v>
      </c>
    </row>
    <row r="107" spans="1:59" ht="38.25" x14ac:dyDescent="0.2">
      <c r="A107" s="7" t="str">
        <f t="shared" ca="1" si="9"/>
        <v>71</v>
      </c>
      <c r="B107" s="7" t="str">
        <f ca="1">OFFSET(ORÇAMENTO!C$15,ROW(B107)-ROW(B$15),0)</f>
        <v>S</v>
      </c>
      <c r="C107" s="7" t="str">
        <f ca="1">OFFSET(ORÇAMENTO!L$15,ROW(C107)-ROW(C$15),0)</f>
        <v>F</v>
      </c>
      <c r="D107" s="118" t="str">
        <f ca="1">OFFSET(ORÇAMENTO!N$15,ROW(D107)-ROW(D$15),0)</f>
        <v>Serviço</v>
      </c>
      <c r="E107" s="119" t="str">
        <f ca="1">OFFSET(ORÇAMENTO!O$15,ROW(E107)-ROW(E$15),0)</f>
        <v>1.6.4.3.</v>
      </c>
      <c r="F107" s="172" t="str">
        <f ca="1">OFFSET(ORÇAMENTO!R$15,ROW(F107)-ROW(F$15),0)</f>
        <v>(abra o arquivo 'Referência 03-2024.xlsm)</v>
      </c>
      <c r="G107" s="173" t="str">
        <f ca="1">IF($D107&lt;&gt;"Serviço","",OFFSET(ORÇAMENTO!S$15,ROW(G107)-ROW(G$15),0))</f>
        <v>-</v>
      </c>
      <c r="H107" s="124">
        <f ca="1">IF($D107&lt;&gt;"Serviço",0,IF(ACOMPANHAMENTO="BM",ROUND(OFFSET(ORÇAMENTO!AJ$15,ROW(H107)-ROW(H$15),0),15-13*ORÇAMENTO!$AF$7),SUMPRODUCT(($Q$12:$AA$12&lt;&gt;"")*ROUND($Q107:$AA107,15-13*ORÇAMENTO!$AF$7))))</f>
        <v>3.74</v>
      </c>
      <c r="I107" s="561"/>
      <c r="K107" s="174"/>
      <c r="L107" s="175" t="s">
        <v>255</v>
      </c>
      <c r="M107" s="176">
        <f ca="1">IF($D107&lt;&gt;"Serviço","",IF(AUTOEVENTO="manual",$A107,IF(ISERROR(MATCH($A107,$A$15:OFFSET($A107,-1,0),0)),MAX($M$15:OFFSET(M107,-1,0))+1,INDEX($M$15:OFFSET(M107,-1,0),MATCH($A107,$A$15:OFFSET($A107,-1,0),0)))))</f>
        <v>7</v>
      </c>
      <c r="N107" s="177" t="str">
        <f ca="1">IF($D107&lt;&gt;"Serviço","",IF(AUTOEVENTO="Manual",IF($A107=0,"&lt;-- defina o número do agrupador",OFFSET(EVENTOS!$D$14,$A107,0)),OFFSET($F$15,$A107,0)))</f>
        <v>SANITÁRIO PÚBLICO ACESSÍVEL</v>
      </c>
      <c r="O107" s="178"/>
      <c r="Q107" s="178"/>
      <c r="R107" s="179"/>
      <c r="S107" s="179"/>
      <c r="T107" s="179"/>
      <c r="U107" s="179"/>
      <c r="V107" s="179"/>
      <c r="W107" s="179"/>
      <c r="X107" s="179"/>
      <c r="Y107" s="179"/>
      <c r="Z107" s="180"/>
      <c r="AB107" s="544">
        <f ca="1">IF(AND($D107="Serviço",AB$12&lt;&gt;0,$H107&gt;0,OR(AUTOEVENTO&lt;&gt;"manual",$M107&lt;&gt;1)),
IF(Import.TipoArredondamento&lt;&gt;"TransfereGOV",
ROUND(OFFSET($P107,0,AB$13),15-13*ORÇAMENTO!$AF$7)/$H107*OFFSET(ORÇAMENTO!$X$15,ROW(AB107)-ROW(AB$15),0),
ROUND(ROUND(OFFSET($P107,0,AB$13),15-13*ORÇAMENTO!$AF$7)*OFFSET(ORÇAMENTO!$W$15,ROW(AB107)-ROW(AB$15),0),15-13*ORÇAMENTO!$AF$11)),0)</f>
        <v>0</v>
      </c>
      <c r="AC107" s="545">
        <f ca="1">IF(AND($D107="Serviço",AC$12&lt;&gt;0,$H107&gt;0,OR(AUTOEVENTO&lt;&gt;"manual",$M107&lt;&gt;1)),
IF(Import.TipoArredondamento&lt;&gt;"TransfereGOV",
ROUND(OFFSET($P107,0,AC$13),15-13*ORÇAMENTO!$AF$7)/$H107*OFFSET(ORÇAMENTO!$X$15,ROW(AC107)-ROW(AC$15),0),
ROUND(ROUND(OFFSET($P107,0,AC$13),15-13*ORÇAMENTO!$AF$7)*OFFSET(ORÇAMENTO!$W$15,ROW(AC107)-ROW(AC$15),0),15-13*ORÇAMENTO!$AF$11)),0)</f>
        <v>0</v>
      </c>
      <c r="AD107" s="545">
        <f ca="1">IF(AND($D107="Serviço",AD$12&lt;&gt;0,$H107&gt;0,OR(AUTOEVENTO&lt;&gt;"manual",$M107&lt;&gt;1)),
IF(Import.TipoArredondamento&lt;&gt;"TransfereGOV",
ROUND(OFFSET($P107,0,AD$13),15-13*ORÇAMENTO!$AF$7)/$H107*OFFSET(ORÇAMENTO!$X$15,ROW(AD107)-ROW(AD$15),0),
ROUND(ROUND(OFFSET($P107,0,AD$13),15-13*ORÇAMENTO!$AF$7)*OFFSET(ORÇAMENTO!$W$15,ROW(AD107)-ROW(AD$15),0),15-13*ORÇAMENTO!$AF$11)),0)</f>
        <v>0</v>
      </c>
      <c r="AE107" s="545">
        <f ca="1">IF(AND($D107="Serviço",AE$12&lt;&gt;0,$H107&gt;0,OR(AUTOEVENTO&lt;&gt;"manual",$M107&lt;&gt;1)),
IF(Import.TipoArredondamento&lt;&gt;"TransfereGOV",
ROUND(OFFSET($P107,0,AE$13),15-13*ORÇAMENTO!$AF$7)/$H107*OFFSET(ORÇAMENTO!$X$15,ROW(AE107)-ROW(AE$15),0),
ROUND(ROUND(OFFSET($P107,0,AE$13),15-13*ORÇAMENTO!$AF$7)*OFFSET(ORÇAMENTO!$W$15,ROW(AE107)-ROW(AE$15),0),15-13*ORÇAMENTO!$AF$11)),0)</f>
        <v>0</v>
      </c>
      <c r="AF107" s="545">
        <f ca="1">IF(AND($D107="Serviço",AF$12&lt;&gt;0,$H107&gt;0,OR(AUTOEVENTO&lt;&gt;"manual",$M107&lt;&gt;1)),
IF(Import.TipoArredondamento&lt;&gt;"TransfereGOV",
ROUND(OFFSET($P107,0,AF$13),15-13*ORÇAMENTO!$AF$7)/$H107*OFFSET(ORÇAMENTO!$X$15,ROW(AF107)-ROW(AF$15),0),
ROUND(ROUND(OFFSET($P107,0,AF$13),15-13*ORÇAMENTO!$AF$7)*OFFSET(ORÇAMENTO!$W$15,ROW(AF107)-ROW(AF$15),0),15-13*ORÇAMENTO!$AF$11)),0)</f>
        <v>0</v>
      </c>
      <c r="AG107" s="545">
        <f ca="1">IF(AND($D107="Serviço",AG$12&lt;&gt;0,$H107&gt;0,OR(AUTOEVENTO&lt;&gt;"manual",$M107&lt;&gt;1)),
IF(Import.TipoArredondamento&lt;&gt;"TransfereGOV",
ROUND(OFFSET($P107,0,AG$13),15-13*ORÇAMENTO!$AF$7)/$H107*OFFSET(ORÇAMENTO!$X$15,ROW(AG107)-ROW(AG$15),0),
ROUND(ROUND(OFFSET($P107,0,AG$13),15-13*ORÇAMENTO!$AF$7)*OFFSET(ORÇAMENTO!$W$15,ROW(AG107)-ROW(AG$15),0),15-13*ORÇAMENTO!$AF$11)),0)</f>
        <v>0</v>
      </c>
      <c r="AH107" s="545">
        <f ca="1">IF(AND($D107="Serviço",AH$12&lt;&gt;0,$H107&gt;0,OR(AUTOEVENTO&lt;&gt;"manual",$M107&lt;&gt;1)),
IF(Import.TipoArredondamento&lt;&gt;"TransfereGOV",
ROUND(OFFSET($P107,0,AH$13),15-13*ORÇAMENTO!$AF$7)/$H107*OFFSET(ORÇAMENTO!$X$15,ROW(AH107)-ROW(AH$15),0),
ROUND(ROUND(OFFSET($P107,0,AH$13),15-13*ORÇAMENTO!$AF$7)*OFFSET(ORÇAMENTO!$W$15,ROW(AH107)-ROW(AH$15),0),15-13*ORÇAMENTO!$AF$11)),0)</f>
        <v>0</v>
      </c>
      <c r="AI107" s="545">
        <f ca="1">IF(AND($D107="Serviço",AI$12&lt;&gt;0,$H107&gt;0,OR(AUTOEVENTO&lt;&gt;"manual",$M107&lt;&gt;1)),
IF(Import.TipoArredondamento&lt;&gt;"TransfereGOV",
ROUND(OFFSET($P107,0,AI$13),15-13*ORÇAMENTO!$AF$7)/$H107*OFFSET(ORÇAMENTO!$X$15,ROW(AI107)-ROW(AI$15),0),
ROUND(ROUND(OFFSET($P107,0,AI$13),15-13*ORÇAMENTO!$AF$7)*OFFSET(ORÇAMENTO!$W$15,ROW(AI107)-ROW(AI$15),0),15-13*ORÇAMENTO!$AF$11)),0)</f>
        <v>0</v>
      </c>
      <c r="AJ107" s="545">
        <f ca="1">IF(AND($D107="Serviço",AJ$12&lt;&gt;0,$H107&gt;0,OR(AUTOEVENTO&lt;&gt;"manual",$M107&lt;&gt;1)),
IF(Import.TipoArredondamento&lt;&gt;"TransfereGOV",
ROUND(OFFSET($P107,0,AJ$13),15-13*ORÇAMENTO!$AF$7)/$H107*OFFSET(ORÇAMENTO!$X$15,ROW(AJ107)-ROW(AJ$15),0),
ROUND(ROUND(OFFSET($P107,0,AJ$13),15-13*ORÇAMENTO!$AF$7)*OFFSET(ORÇAMENTO!$W$15,ROW(AJ107)-ROW(AJ$15),0),15-13*ORÇAMENTO!$AF$11)),0)</f>
        <v>0</v>
      </c>
      <c r="AK107" s="546">
        <f ca="1">IF(AND($D107="Serviço",AK$12&lt;&gt;0,$H107&gt;0,OR(AUTOEVENTO&lt;&gt;"manual",$M107&lt;&gt;1)),
IF(Import.TipoArredondamento&lt;&gt;"TransfereGOV",
ROUND(OFFSET($P107,0,AK$13),15-13*ORÇAMENTO!$AF$7)/$H107*OFFSET(ORÇAMENTO!$X$15,ROW(AK107)-ROW(AK$15),0),
ROUND(ROUND(OFFSET($P107,0,AK$13),15-13*ORÇAMENTO!$AF$7)*OFFSET(ORÇAMENTO!$W$15,ROW(AK107)-ROW(AK$15),0),15-13*ORÇAMENTO!$AF$11)),0)</f>
        <v>0</v>
      </c>
      <c r="AM107" s="181">
        <f ca="1">IF($D107&lt;&gt;"Serviço",0,IF(AND(AUTOEVENTO="Manual",$M107=1),0,IF(OFFSET(CRONOPLE!$F$14,$M107,AM$13)="",10^12,OFFSET(CRONOPLE!$F$14,$M107,AM$13))))</f>
        <v>1000000000000</v>
      </c>
      <c r="AN107" s="181">
        <f ca="1">IF($D107&lt;&gt;"Serviço",0,IF(AND(AUTOEVENTO="Manual",$M107=1),0,IF(OFFSET(CRONOPLE!$F$14,$M107,AN$13)="",10^12,OFFSET(CRONOPLE!$F$14,$M107,AN$13))))</f>
        <v>1000000000000</v>
      </c>
      <c r="AO107" s="181">
        <f ca="1">IF($D107&lt;&gt;"Serviço",0,IF(AND(AUTOEVENTO="Manual",$M107=1),0,IF(OFFSET(CRONOPLE!$F$14,$M107,AO$13)="",10^12,OFFSET(CRONOPLE!$F$14,$M107,AO$13))))</f>
        <v>1000000000000</v>
      </c>
      <c r="AP107" s="181">
        <f ca="1">IF($D107&lt;&gt;"Serviço",0,IF(AND(AUTOEVENTO="Manual",$M107=1),0,IF(OFFSET(CRONOPLE!$F$14,$M107,AP$13)="",10^12,OFFSET(CRONOPLE!$F$14,$M107,AP$13))))</f>
        <v>1000000000000</v>
      </c>
      <c r="AQ107" s="181">
        <f ca="1">IF($D107&lt;&gt;"Serviço",0,IF(AND(AUTOEVENTO="Manual",$M107=1),0,IF(OFFSET(CRONOPLE!$F$14,$M107,AQ$13)="",10^12,OFFSET(CRONOPLE!$F$14,$M107,AQ$13))))</f>
        <v>1000000000000</v>
      </c>
      <c r="AR107" s="181">
        <f ca="1">IF($D107&lt;&gt;"Serviço",0,IF(AND(AUTOEVENTO="Manual",$M107=1),0,IF(OFFSET(CRONOPLE!$F$14,$M107,AR$13)="",10^12,OFFSET(CRONOPLE!$F$14,$M107,AR$13))))</f>
        <v>1000000000000</v>
      </c>
      <c r="AS107" s="181">
        <f ca="1">IF($D107&lt;&gt;"Serviço",0,IF(AND(AUTOEVENTO="Manual",$M107=1),0,IF(OFFSET(CRONOPLE!$F$14,$M107,AS$13)="",10^12,OFFSET(CRONOPLE!$F$14,$M107,AS$13))))</f>
        <v>1000000000000</v>
      </c>
      <c r="AT107" s="181">
        <f ca="1">IF($D107&lt;&gt;"Serviço",0,IF(AND(AUTOEVENTO="Manual",$M107=1),0,IF(OFFSET(CRONOPLE!$F$14,$M107,AT$13)="",10^12,OFFSET(CRONOPLE!$F$14,$M107,AT$13))))</f>
        <v>1000000000000</v>
      </c>
      <c r="AU107" s="181">
        <f ca="1">IF($D107&lt;&gt;"Serviço",0,IF(AND(AUTOEVENTO="Manual",$M107=1),0,IF(OFFSET(CRONOPLE!$F$14,$M107,AU$13)="",10^12,OFFSET(CRONOPLE!$F$14,$M107,AU$13))))</f>
        <v>1000000000000</v>
      </c>
      <c r="AV107" s="181">
        <f ca="1">IF($D107&lt;&gt;"Serviço",0,IF(AND(AUTOEVENTO="Manual",$M107=1),0,IF(OFFSET(CRONOPLE!$F$14,$M107,AV$13)="",10^12,OFFSET(CRONOPLE!$F$14,$M107,AV$13))))</f>
        <v>1000000000000</v>
      </c>
      <c r="AX107" s="182">
        <f ca="1">IF($D107&lt;&gt;"Serviço",0,IF(OR(AND(AUTOEVENTO="Manual",$M107=1),$M107&gt;(ROW(PLE.lastrow)-ROW(PLE.firstrow))),0,IF(OFFSET(PLE!$G$14,$M107,AX$13)="",10^12,OFFSET(PLE!$G$14,$M107,AX$13))))</f>
        <v>1000000000000</v>
      </c>
      <c r="AY107" s="182">
        <f ca="1">IF($D107&lt;&gt;"Serviço",0,IF(OR(AND(AUTOEVENTO="Manual",$M107=1),$M107&gt;(ROW(PLE.lastrow)-ROW(PLE.firstrow))),0,IF(OFFSET(PLE!$G$14,$M107,AY$13)="",10^12,OFFSET(PLE!$G$14,$M107,AY$13))))</f>
        <v>1000000000000</v>
      </c>
      <c r="AZ107" s="182">
        <f ca="1">IF($D107&lt;&gt;"Serviço",0,IF(OR(AND(AUTOEVENTO="Manual",$M107=1),$M107&gt;(ROW(PLE.lastrow)-ROW(PLE.firstrow))),0,IF(OFFSET(PLE!$G$14,$M107,AZ$13)="",10^12,OFFSET(PLE!$G$14,$M107,AZ$13))))</f>
        <v>1000000000000</v>
      </c>
      <c r="BA107" s="182">
        <f ca="1">IF($D107&lt;&gt;"Serviço",0,IF(OR(AND(AUTOEVENTO="Manual",$M107=1),$M107&gt;(ROW(PLE.lastrow)-ROW(PLE.firstrow))),0,IF(OFFSET(PLE!$G$14,$M107,BA$13)="",10^12,OFFSET(PLE!$G$14,$M107,BA$13))))</f>
        <v>1000000000000</v>
      </c>
      <c r="BB107" s="182">
        <f ca="1">IF($D107&lt;&gt;"Serviço",0,IF(OR(AND(AUTOEVENTO="Manual",$M107=1),$M107&gt;(ROW(PLE.lastrow)-ROW(PLE.firstrow))),0,IF(OFFSET(PLE!$G$14,$M107,BB$13)="",10^12,OFFSET(PLE!$G$14,$M107,BB$13))))</f>
        <v>1000000000000</v>
      </c>
      <c r="BC107" s="182">
        <f ca="1">IF($D107&lt;&gt;"Serviço",0,IF(OR(AND(AUTOEVENTO="Manual",$M107=1),$M107&gt;(ROW(PLE.lastrow)-ROW(PLE.firstrow))),0,IF(OFFSET(PLE!$G$14,$M107,BC$13)="",10^12,OFFSET(PLE!$G$14,$M107,BC$13))))</f>
        <v>1000000000000</v>
      </c>
      <c r="BD107" s="182">
        <f ca="1">IF($D107&lt;&gt;"Serviço",0,IF(OR(AND(AUTOEVENTO="Manual",$M107=1),$M107&gt;(ROW(PLE.lastrow)-ROW(PLE.firstrow))),0,IF(OFFSET(PLE!$G$14,$M107,BD$13)="",10^12,OFFSET(PLE!$G$14,$M107,BD$13))))</f>
        <v>1000000000000</v>
      </c>
      <c r="BE107" s="182">
        <f ca="1">IF($D107&lt;&gt;"Serviço",0,IF(OR(AND(AUTOEVENTO="Manual",$M107=1),$M107&gt;(ROW(PLE.lastrow)-ROW(PLE.firstrow))),0,IF(OFFSET(PLE!$G$14,$M107,BE$13)="",10^12,OFFSET(PLE!$G$14,$M107,BE$13))))</f>
        <v>1000000000000</v>
      </c>
      <c r="BF107" s="182">
        <f ca="1">IF($D107&lt;&gt;"Serviço",0,IF(OR(AND(AUTOEVENTO="Manual",$M107=1),$M107&gt;(ROW(PLE.lastrow)-ROW(PLE.firstrow))),0,IF(OFFSET(PLE!$G$14,$M107,BF$13)="",10^12,OFFSET(PLE!$G$14,$M107,BF$13))))</f>
        <v>1000000000000</v>
      </c>
      <c r="BG107" s="182">
        <f ca="1">IF($D107&lt;&gt;"Serviço",0,IF(OR(AND(AUTOEVENTO="Manual",$M107=1),$M107&gt;(ROW(PLE.lastrow)-ROW(PLE.firstrow))),0,IF(OFFSET(PLE!$G$14,$M107,BG$13)="",10^12,OFFSET(PLE!$G$14,$M107,BG$13))))</f>
        <v>1000000000000</v>
      </c>
    </row>
    <row r="108" spans="1:59" ht="38.25" x14ac:dyDescent="0.2">
      <c r="A108" s="7" t="str">
        <f t="shared" ca="1" si="9"/>
        <v>71</v>
      </c>
      <c r="B108" s="7" t="str">
        <f ca="1">OFFSET(ORÇAMENTO!C$15,ROW(B108)-ROW(B$15),0)</f>
        <v>S</v>
      </c>
      <c r="C108" s="7" t="str">
        <f ca="1">OFFSET(ORÇAMENTO!L$15,ROW(C108)-ROW(C$15),0)</f>
        <v>F</v>
      </c>
      <c r="D108" s="118" t="str">
        <f ca="1">OFFSET(ORÇAMENTO!N$15,ROW(D108)-ROW(D$15),0)</f>
        <v>Serviço</v>
      </c>
      <c r="E108" s="119" t="str">
        <f ca="1">OFFSET(ORÇAMENTO!O$15,ROW(E108)-ROW(E$15),0)</f>
        <v>1.6.4.4.</v>
      </c>
      <c r="F108" s="172" t="str">
        <f ca="1">OFFSET(ORÇAMENTO!R$15,ROW(F108)-ROW(F$15),0)</f>
        <v>(abra o arquivo 'Referência 03-2024.xlsm)</v>
      </c>
      <c r="G108" s="173" t="str">
        <f ca="1">IF($D108&lt;&gt;"Serviço","",OFFSET(ORÇAMENTO!S$15,ROW(G108)-ROW(G$15),0))</f>
        <v>-</v>
      </c>
      <c r="H108" s="124">
        <f ca="1">IF($D108&lt;&gt;"Serviço",0,IF(ACOMPANHAMENTO="BM",ROUND(OFFSET(ORÇAMENTO!AJ$15,ROW(H108)-ROW(H$15),0),15-13*ORÇAMENTO!$AF$7),SUMPRODUCT(($Q$12:$AA$12&lt;&gt;"")*ROUND($Q108:$AA108,15-13*ORÇAMENTO!$AF$7))))</f>
        <v>9.8699999999999992</v>
      </c>
      <c r="I108" s="561"/>
      <c r="K108" s="174"/>
      <c r="L108" s="175" t="s">
        <v>255</v>
      </c>
      <c r="M108" s="176">
        <f ca="1">IF($D108&lt;&gt;"Serviço","",IF(AUTOEVENTO="manual",$A108,IF(ISERROR(MATCH($A108,$A$15:OFFSET($A108,-1,0),0)),MAX($M$15:OFFSET(M108,-1,0))+1,INDEX($M$15:OFFSET(M108,-1,0),MATCH($A108,$A$15:OFFSET($A108,-1,0),0)))))</f>
        <v>7</v>
      </c>
      <c r="N108" s="177" t="str">
        <f ca="1">IF($D108&lt;&gt;"Serviço","",IF(AUTOEVENTO="Manual",IF($A108=0,"&lt;-- defina o número do agrupador",OFFSET(EVENTOS!$D$14,$A108,0)),OFFSET($F$15,$A108,0)))</f>
        <v>SANITÁRIO PÚBLICO ACESSÍVEL</v>
      </c>
      <c r="O108" s="178"/>
      <c r="Q108" s="178"/>
      <c r="R108" s="179"/>
      <c r="S108" s="179"/>
      <c r="T108" s="179"/>
      <c r="U108" s="179"/>
      <c r="V108" s="179"/>
      <c r="W108" s="179"/>
      <c r="X108" s="179"/>
      <c r="Y108" s="179"/>
      <c r="Z108" s="180"/>
      <c r="AB108" s="544">
        <f ca="1">IF(AND($D108="Serviço",AB$12&lt;&gt;0,$H108&gt;0,OR(AUTOEVENTO&lt;&gt;"manual",$M108&lt;&gt;1)),
IF(Import.TipoArredondamento&lt;&gt;"TransfereGOV",
ROUND(OFFSET($P108,0,AB$13),15-13*ORÇAMENTO!$AF$7)/$H108*OFFSET(ORÇAMENTO!$X$15,ROW(AB108)-ROW(AB$15),0),
ROUND(ROUND(OFFSET($P108,0,AB$13),15-13*ORÇAMENTO!$AF$7)*OFFSET(ORÇAMENTO!$W$15,ROW(AB108)-ROW(AB$15),0),15-13*ORÇAMENTO!$AF$11)),0)</f>
        <v>0</v>
      </c>
      <c r="AC108" s="545">
        <f ca="1">IF(AND($D108="Serviço",AC$12&lt;&gt;0,$H108&gt;0,OR(AUTOEVENTO&lt;&gt;"manual",$M108&lt;&gt;1)),
IF(Import.TipoArredondamento&lt;&gt;"TransfereGOV",
ROUND(OFFSET($P108,0,AC$13),15-13*ORÇAMENTO!$AF$7)/$H108*OFFSET(ORÇAMENTO!$X$15,ROW(AC108)-ROW(AC$15),0),
ROUND(ROUND(OFFSET($P108,0,AC$13),15-13*ORÇAMENTO!$AF$7)*OFFSET(ORÇAMENTO!$W$15,ROW(AC108)-ROW(AC$15),0),15-13*ORÇAMENTO!$AF$11)),0)</f>
        <v>0</v>
      </c>
      <c r="AD108" s="545">
        <f ca="1">IF(AND($D108="Serviço",AD$12&lt;&gt;0,$H108&gt;0,OR(AUTOEVENTO&lt;&gt;"manual",$M108&lt;&gt;1)),
IF(Import.TipoArredondamento&lt;&gt;"TransfereGOV",
ROUND(OFFSET($P108,0,AD$13),15-13*ORÇAMENTO!$AF$7)/$H108*OFFSET(ORÇAMENTO!$X$15,ROW(AD108)-ROW(AD$15),0),
ROUND(ROUND(OFFSET($P108,0,AD$13),15-13*ORÇAMENTO!$AF$7)*OFFSET(ORÇAMENTO!$W$15,ROW(AD108)-ROW(AD$15),0),15-13*ORÇAMENTO!$AF$11)),0)</f>
        <v>0</v>
      </c>
      <c r="AE108" s="545">
        <f ca="1">IF(AND($D108="Serviço",AE$12&lt;&gt;0,$H108&gt;0,OR(AUTOEVENTO&lt;&gt;"manual",$M108&lt;&gt;1)),
IF(Import.TipoArredondamento&lt;&gt;"TransfereGOV",
ROUND(OFFSET($P108,0,AE$13),15-13*ORÇAMENTO!$AF$7)/$H108*OFFSET(ORÇAMENTO!$X$15,ROW(AE108)-ROW(AE$15),0),
ROUND(ROUND(OFFSET($P108,0,AE$13),15-13*ORÇAMENTO!$AF$7)*OFFSET(ORÇAMENTO!$W$15,ROW(AE108)-ROW(AE$15),0),15-13*ORÇAMENTO!$AF$11)),0)</f>
        <v>0</v>
      </c>
      <c r="AF108" s="545">
        <f ca="1">IF(AND($D108="Serviço",AF$12&lt;&gt;0,$H108&gt;0,OR(AUTOEVENTO&lt;&gt;"manual",$M108&lt;&gt;1)),
IF(Import.TipoArredondamento&lt;&gt;"TransfereGOV",
ROUND(OFFSET($P108,0,AF$13),15-13*ORÇAMENTO!$AF$7)/$H108*OFFSET(ORÇAMENTO!$X$15,ROW(AF108)-ROW(AF$15),0),
ROUND(ROUND(OFFSET($P108,0,AF$13),15-13*ORÇAMENTO!$AF$7)*OFFSET(ORÇAMENTO!$W$15,ROW(AF108)-ROW(AF$15),0),15-13*ORÇAMENTO!$AF$11)),0)</f>
        <v>0</v>
      </c>
      <c r="AG108" s="545">
        <f ca="1">IF(AND($D108="Serviço",AG$12&lt;&gt;0,$H108&gt;0,OR(AUTOEVENTO&lt;&gt;"manual",$M108&lt;&gt;1)),
IF(Import.TipoArredondamento&lt;&gt;"TransfereGOV",
ROUND(OFFSET($P108,0,AG$13),15-13*ORÇAMENTO!$AF$7)/$H108*OFFSET(ORÇAMENTO!$X$15,ROW(AG108)-ROW(AG$15),0),
ROUND(ROUND(OFFSET($P108,0,AG$13),15-13*ORÇAMENTO!$AF$7)*OFFSET(ORÇAMENTO!$W$15,ROW(AG108)-ROW(AG$15),0),15-13*ORÇAMENTO!$AF$11)),0)</f>
        <v>0</v>
      </c>
      <c r="AH108" s="545">
        <f ca="1">IF(AND($D108="Serviço",AH$12&lt;&gt;0,$H108&gt;0,OR(AUTOEVENTO&lt;&gt;"manual",$M108&lt;&gt;1)),
IF(Import.TipoArredondamento&lt;&gt;"TransfereGOV",
ROUND(OFFSET($P108,0,AH$13),15-13*ORÇAMENTO!$AF$7)/$H108*OFFSET(ORÇAMENTO!$X$15,ROW(AH108)-ROW(AH$15),0),
ROUND(ROUND(OFFSET($P108,0,AH$13),15-13*ORÇAMENTO!$AF$7)*OFFSET(ORÇAMENTO!$W$15,ROW(AH108)-ROW(AH$15),0),15-13*ORÇAMENTO!$AF$11)),0)</f>
        <v>0</v>
      </c>
      <c r="AI108" s="545">
        <f ca="1">IF(AND($D108="Serviço",AI$12&lt;&gt;0,$H108&gt;0,OR(AUTOEVENTO&lt;&gt;"manual",$M108&lt;&gt;1)),
IF(Import.TipoArredondamento&lt;&gt;"TransfereGOV",
ROUND(OFFSET($P108,0,AI$13),15-13*ORÇAMENTO!$AF$7)/$H108*OFFSET(ORÇAMENTO!$X$15,ROW(AI108)-ROW(AI$15),0),
ROUND(ROUND(OFFSET($P108,0,AI$13),15-13*ORÇAMENTO!$AF$7)*OFFSET(ORÇAMENTO!$W$15,ROW(AI108)-ROW(AI$15),0),15-13*ORÇAMENTO!$AF$11)),0)</f>
        <v>0</v>
      </c>
      <c r="AJ108" s="545">
        <f ca="1">IF(AND($D108="Serviço",AJ$12&lt;&gt;0,$H108&gt;0,OR(AUTOEVENTO&lt;&gt;"manual",$M108&lt;&gt;1)),
IF(Import.TipoArredondamento&lt;&gt;"TransfereGOV",
ROUND(OFFSET($P108,0,AJ$13),15-13*ORÇAMENTO!$AF$7)/$H108*OFFSET(ORÇAMENTO!$X$15,ROW(AJ108)-ROW(AJ$15),0),
ROUND(ROUND(OFFSET($P108,0,AJ$13),15-13*ORÇAMENTO!$AF$7)*OFFSET(ORÇAMENTO!$W$15,ROW(AJ108)-ROW(AJ$15),0),15-13*ORÇAMENTO!$AF$11)),0)</f>
        <v>0</v>
      </c>
      <c r="AK108" s="546">
        <f ca="1">IF(AND($D108="Serviço",AK$12&lt;&gt;0,$H108&gt;0,OR(AUTOEVENTO&lt;&gt;"manual",$M108&lt;&gt;1)),
IF(Import.TipoArredondamento&lt;&gt;"TransfereGOV",
ROUND(OFFSET($P108,0,AK$13),15-13*ORÇAMENTO!$AF$7)/$H108*OFFSET(ORÇAMENTO!$X$15,ROW(AK108)-ROW(AK$15),0),
ROUND(ROUND(OFFSET($P108,0,AK$13),15-13*ORÇAMENTO!$AF$7)*OFFSET(ORÇAMENTO!$W$15,ROW(AK108)-ROW(AK$15),0),15-13*ORÇAMENTO!$AF$11)),0)</f>
        <v>0</v>
      </c>
      <c r="AM108" s="181">
        <f ca="1">IF($D108&lt;&gt;"Serviço",0,IF(AND(AUTOEVENTO="Manual",$M108=1),0,IF(OFFSET(CRONOPLE!$F$14,$M108,AM$13)="",10^12,OFFSET(CRONOPLE!$F$14,$M108,AM$13))))</f>
        <v>1000000000000</v>
      </c>
      <c r="AN108" s="181">
        <f ca="1">IF($D108&lt;&gt;"Serviço",0,IF(AND(AUTOEVENTO="Manual",$M108=1),0,IF(OFFSET(CRONOPLE!$F$14,$M108,AN$13)="",10^12,OFFSET(CRONOPLE!$F$14,$M108,AN$13))))</f>
        <v>1000000000000</v>
      </c>
      <c r="AO108" s="181">
        <f ca="1">IF($D108&lt;&gt;"Serviço",0,IF(AND(AUTOEVENTO="Manual",$M108=1),0,IF(OFFSET(CRONOPLE!$F$14,$M108,AO$13)="",10^12,OFFSET(CRONOPLE!$F$14,$M108,AO$13))))</f>
        <v>1000000000000</v>
      </c>
      <c r="AP108" s="181">
        <f ca="1">IF($D108&lt;&gt;"Serviço",0,IF(AND(AUTOEVENTO="Manual",$M108=1),0,IF(OFFSET(CRONOPLE!$F$14,$M108,AP$13)="",10^12,OFFSET(CRONOPLE!$F$14,$M108,AP$13))))</f>
        <v>1000000000000</v>
      </c>
      <c r="AQ108" s="181">
        <f ca="1">IF($D108&lt;&gt;"Serviço",0,IF(AND(AUTOEVENTO="Manual",$M108=1),0,IF(OFFSET(CRONOPLE!$F$14,$M108,AQ$13)="",10^12,OFFSET(CRONOPLE!$F$14,$M108,AQ$13))))</f>
        <v>1000000000000</v>
      </c>
      <c r="AR108" s="181">
        <f ca="1">IF($D108&lt;&gt;"Serviço",0,IF(AND(AUTOEVENTO="Manual",$M108=1),0,IF(OFFSET(CRONOPLE!$F$14,$M108,AR$13)="",10^12,OFFSET(CRONOPLE!$F$14,$M108,AR$13))))</f>
        <v>1000000000000</v>
      </c>
      <c r="AS108" s="181">
        <f ca="1">IF($D108&lt;&gt;"Serviço",0,IF(AND(AUTOEVENTO="Manual",$M108=1),0,IF(OFFSET(CRONOPLE!$F$14,$M108,AS$13)="",10^12,OFFSET(CRONOPLE!$F$14,$M108,AS$13))))</f>
        <v>1000000000000</v>
      </c>
      <c r="AT108" s="181">
        <f ca="1">IF($D108&lt;&gt;"Serviço",0,IF(AND(AUTOEVENTO="Manual",$M108=1),0,IF(OFFSET(CRONOPLE!$F$14,$M108,AT$13)="",10^12,OFFSET(CRONOPLE!$F$14,$M108,AT$13))))</f>
        <v>1000000000000</v>
      </c>
      <c r="AU108" s="181">
        <f ca="1">IF($D108&lt;&gt;"Serviço",0,IF(AND(AUTOEVENTO="Manual",$M108=1),0,IF(OFFSET(CRONOPLE!$F$14,$M108,AU$13)="",10^12,OFFSET(CRONOPLE!$F$14,$M108,AU$13))))</f>
        <v>1000000000000</v>
      </c>
      <c r="AV108" s="181">
        <f ca="1">IF($D108&lt;&gt;"Serviço",0,IF(AND(AUTOEVENTO="Manual",$M108=1),0,IF(OFFSET(CRONOPLE!$F$14,$M108,AV$13)="",10^12,OFFSET(CRONOPLE!$F$14,$M108,AV$13))))</f>
        <v>1000000000000</v>
      </c>
      <c r="AX108" s="182">
        <f ca="1">IF($D108&lt;&gt;"Serviço",0,IF(OR(AND(AUTOEVENTO="Manual",$M108=1),$M108&gt;(ROW(PLE.lastrow)-ROW(PLE.firstrow))),0,IF(OFFSET(PLE!$G$14,$M108,AX$13)="",10^12,OFFSET(PLE!$G$14,$M108,AX$13))))</f>
        <v>1000000000000</v>
      </c>
      <c r="AY108" s="182">
        <f ca="1">IF($D108&lt;&gt;"Serviço",0,IF(OR(AND(AUTOEVENTO="Manual",$M108=1),$M108&gt;(ROW(PLE.lastrow)-ROW(PLE.firstrow))),0,IF(OFFSET(PLE!$G$14,$M108,AY$13)="",10^12,OFFSET(PLE!$G$14,$M108,AY$13))))</f>
        <v>1000000000000</v>
      </c>
      <c r="AZ108" s="182">
        <f ca="1">IF($D108&lt;&gt;"Serviço",0,IF(OR(AND(AUTOEVENTO="Manual",$M108=1),$M108&gt;(ROW(PLE.lastrow)-ROW(PLE.firstrow))),0,IF(OFFSET(PLE!$G$14,$M108,AZ$13)="",10^12,OFFSET(PLE!$G$14,$M108,AZ$13))))</f>
        <v>1000000000000</v>
      </c>
      <c r="BA108" s="182">
        <f ca="1">IF($D108&lt;&gt;"Serviço",0,IF(OR(AND(AUTOEVENTO="Manual",$M108=1),$M108&gt;(ROW(PLE.lastrow)-ROW(PLE.firstrow))),0,IF(OFFSET(PLE!$G$14,$M108,BA$13)="",10^12,OFFSET(PLE!$G$14,$M108,BA$13))))</f>
        <v>1000000000000</v>
      </c>
      <c r="BB108" s="182">
        <f ca="1">IF($D108&lt;&gt;"Serviço",0,IF(OR(AND(AUTOEVENTO="Manual",$M108=1),$M108&gt;(ROW(PLE.lastrow)-ROW(PLE.firstrow))),0,IF(OFFSET(PLE!$G$14,$M108,BB$13)="",10^12,OFFSET(PLE!$G$14,$M108,BB$13))))</f>
        <v>1000000000000</v>
      </c>
      <c r="BC108" s="182">
        <f ca="1">IF($D108&lt;&gt;"Serviço",0,IF(OR(AND(AUTOEVENTO="Manual",$M108=1),$M108&gt;(ROW(PLE.lastrow)-ROW(PLE.firstrow))),0,IF(OFFSET(PLE!$G$14,$M108,BC$13)="",10^12,OFFSET(PLE!$G$14,$M108,BC$13))))</f>
        <v>1000000000000</v>
      </c>
      <c r="BD108" s="182">
        <f ca="1">IF($D108&lt;&gt;"Serviço",0,IF(OR(AND(AUTOEVENTO="Manual",$M108=1),$M108&gt;(ROW(PLE.lastrow)-ROW(PLE.firstrow))),0,IF(OFFSET(PLE!$G$14,$M108,BD$13)="",10^12,OFFSET(PLE!$G$14,$M108,BD$13))))</f>
        <v>1000000000000</v>
      </c>
      <c r="BE108" s="182">
        <f ca="1">IF($D108&lt;&gt;"Serviço",0,IF(OR(AND(AUTOEVENTO="Manual",$M108=1),$M108&gt;(ROW(PLE.lastrow)-ROW(PLE.firstrow))),0,IF(OFFSET(PLE!$G$14,$M108,BE$13)="",10^12,OFFSET(PLE!$G$14,$M108,BE$13))))</f>
        <v>1000000000000</v>
      </c>
      <c r="BF108" s="182">
        <f ca="1">IF($D108&lt;&gt;"Serviço",0,IF(OR(AND(AUTOEVENTO="Manual",$M108=1),$M108&gt;(ROW(PLE.lastrow)-ROW(PLE.firstrow))),0,IF(OFFSET(PLE!$G$14,$M108,BF$13)="",10^12,OFFSET(PLE!$G$14,$M108,BF$13))))</f>
        <v>1000000000000</v>
      </c>
      <c r="BG108" s="182">
        <f ca="1">IF($D108&lt;&gt;"Serviço",0,IF(OR(AND(AUTOEVENTO="Manual",$M108=1),$M108&gt;(ROW(PLE.lastrow)-ROW(PLE.firstrow))),0,IF(OFFSET(PLE!$G$14,$M108,BG$13)="",10^12,OFFSET(PLE!$G$14,$M108,BG$13))))</f>
        <v>1000000000000</v>
      </c>
    </row>
    <row r="109" spans="1:59" ht="12.75" x14ac:dyDescent="0.2">
      <c r="A109" s="7" t="str">
        <f t="shared" ca="1" si="9"/>
        <v>71</v>
      </c>
      <c r="B109" s="7">
        <f ca="1">OFFSET(ORÇAMENTO!C$15,ROW(B109)-ROW(B$15),0)</f>
        <v>3</v>
      </c>
      <c r="C109" s="7" t="str">
        <f ca="1">OFFSET(ORÇAMENTO!L$15,ROW(C109)-ROW(C$15),0)</f>
        <v>F</v>
      </c>
      <c r="D109" s="118" t="str">
        <f ca="1">OFFSET(ORÇAMENTO!N$15,ROW(D109)-ROW(D$15),0)</f>
        <v>Nível 3</v>
      </c>
      <c r="E109" s="119" t="str">
        <f ca="1">OFFSET(ORÇAMENTO!O$15,ROW(E109)-ROW(E$15),0)</f>
        <v>1.6.5.</v>
      </c>
      <c r="F109" s="172" t="str">
        <f ca="1">OFFSET(ORÇAMENTO!R$15,ROW(F109)-ROW(F$15),0)</f>
        <v>ALVENARIA</v>
      </c>
      <c r="G109" s="173" t="str">
        <f ca="1">IF($D109&lt;&gt;"Serviço","",OFFSET(ORÇAMENTO!S$15,ROW(G109)-ROW(G$15),0))</f>
        <v/>
      </c>
      <c r="H109" s="124">
        <f ca="1">IF($D109&lt;&gt;"Serviço",0,IF(ACOMPANHAMENTO="BM",ROUND(OFFSET(ORÇAMENTO!AJ$15,ROW(H109)-ROW(H$15),0),15-13*ORÇAMENTO!$AF$7),SUMPRODUCT(($Q$12:$AA$12&lt;&gt;"")*ROUND($Q109:$AA109,15-13*ORÇAMENTO!$AF$7))))</f>
        <v>0</v>
      </c>
      <c r="I109" s="561"/>
      <c r="K109" s="174"/>
      <c r="L109" s="175" t="s">
        <v>255</v>
      </c>
      <c r="M109" s="176" t="str">
        <f ca="1">IF($D109&lt;&gt;"Serviço","",IF(AUTOEVENTO="manual",$A109,IF(ISERROR(MATCH($A109,$A$15:OFFSET($A109,-1,0),0)),MAX($M$15:OFFSET(M109,-1,0))+1,INDEX($M$15:OFFSET(M109,-1,0),MATCH($A109,$A$15:OFFSET($A109,-1,0),0)))))</f>
        <v/>
      </c>
      <c r="N109" s="177" t="str">
        <f ca="1">IF($D109&lt;&gt;"Serviço","",IF(AUTOEVENTO="Manual",IF($A109=0,"&lt;-- defina o número do agrupador",OFFSET(EVENTOS!$D$14,$A109,0)),OFFSET($F$15,$A109,0)))</f>
        <v/>
      </c>
      <c r="O109" s="178"/>
      <c r="Q109" s="178"/>
      <c r="R109" s="179"/>
      <c r="S109" s="179"/>
      <c r="T109" s="179"/>
      <c r="U109" s="179"/>
      <c r="V109" s="179"/>
      <c r="W109" s="179"/>
      <c r="X109" s="179"/>
      <c r="Y109" s="179"/>
      <c r="Z109" s="180"/>
      <c r="AB109" s="544">
        <f ca="1">IF(AND($D109="Serviço",AB$12&lt;&gt;0,$H109&gt;0,OR(AUTOEVENTO&lt;&gt;"manual",$M109&lt;&gt;1)),
IF(Import.TipoArredondamento&lt;&gt;"TransfereGOV",
ROUND(OFFSET($P109,0,AB$13),15-13*ORÇAMENTO!$AF$7)/$H109*OFFSET(ORÇAMENTO!$X$15,ROW(AB109)-ROW(AB$15),0),
ROUND(ROUND(OFFSET($P109,0,AB$13),15-13*ORÇAMENTO!$AF$7)*OFFSET(ORÇAMENTO!$W$15,ROW(AB109)-ROW(AB$15),0),15-13*ORÇAMENTO!$AF$11)),0)</f>
        <v>0</v>
      </c>
      <c r="AC109" s="545">
        <f ca="1">IF(AND($D109="Serviço",AC$12&lt;&gt;0,$H109&gt;0,OR(AUTOEVENTO&lt;&gt;"manual",$M109&lt;&gt;1)),
IF(Import.TipoArredondamento&lt;&gt;"TransfereGOV",
ROUND(OFFSET($P109,0,AC$13),15-13*ORÇAMENTO!$AF$7)/$H109*OFFSET(ORÇAMENTO!$X$15,ROW(AC109)-ROW(AC$15),0),
ROUND(ROUND(OFFSET($P109,0,AC$13),15-13*ORÇAMENTO!$AF$7)*OFFSET(ORÇAMENTO!$W$15,ROW(AC109)-ROW(AC$15),0),15-13*ORÇAMENTO!$AF$11)),0)</f>
        <v>0</v>
      </c>
      <c r="AD109" s="545">
        <f ca="1">IF(AND($D109="Serviço",AD$12&lt;&gt;0,$H109&gt;0,OR(AUTOEVENTO&lt;&gt;"manual",$M109&lt;&gt;1)),
IF(Import.TipoArredondamento&lt;&gt;"TransfereGOV",
ROUND(OFFSET($P109,0,AD$13),15-13*ORÇAMENTO!$AF$7)/$H109*OFFSET(ORÇAMENTO!$X$15,ROW(AD109)-ROW(AD$15),0),
ROUND(ROUND(OFFSET($P109,0,AD$13),15-13*ORÇAMENTO!$AF$7)*OFFSET(ORÇAMENTO!$W$15,ROW(AD109)-ROW(AD$15),0),15-13*ORÇAMENTO!$AF$11)),0)</f>
        <v>0</v>
      </c>
      <c r="AE109" s="545">
        <f ca="1">IF(AND($D109="Serviço",AE$12&lt;&gt;0,$H109&gt;0,OR(AUTOEVENTO&lt;&gt;"manual",$M109&lt;&gt;1)),
IF(Import.TipoArredondamento&lt;&gt;"TransfereGOV",
ROUND(OFFSET($P109,0,AE$13),15-13*ORÇAMENTO!$AF$7)/$H109*OFFSET(ORÇAMENTO!$X$15,ROW(AE109)-ROW(AE$15),0),
ROUND(ROUND(OFFSET($P109,0,AE$13),15-13*ORÇAMENTO!$AF$7)*OFFSET(ORÇAMENTO!$W$15,ROW(AE109)-ROW(AE$15),0),15-13*ORÇAMENTO!$AF$11)),0)</f>
        <v>0</v>
      </c>
      <c r="AF109" s="545">
        <f ca="1">IF(AND($D109="Serviço",AF$12&lt;&gt;0,$H109&gt;0,OR(AUTOEVENTO&lt;&gt;"manual",$M109&lt;&gt;1)),
IF(Import.TipoArredondamento&lt;&gt;"TransfereGOV",
ROUND(OFFSET($P109,0,AF$13),15-13*ORÇAMENTO!$AF$7)/$H109*OFFSET(ORÇAMENTO!$X$15,ROW(AF109)-ROW(AF$15),0),
ROUND(ROUND(OFFSET($P109,0,AF$13),15-13*ORÇAMENTO!$AF$7)*OFFSET(ORÇAMENTO!$W$15,ROW(AF109)-ROW(AF$15),0),15-13*ORÇAMENTO!$AF$11)),0)</f>
        <v>0</v>
      </c>
      <c r="AG109" s="545">
        <f ca="1">IF(AND($D109="Serviço",AG$12&lt;&gt;0,$H109&gt;0,OR(AUTOEVENTO&lt;&gt;"manual",$M109&lt;&gt;1)),
IF(Import.TipoArredondamento&lt;&gt;"TransfereGOV",
ROUND(OFFSET($P109,0,AG$13),15-13*ORÇAMENTO!$AF$7)/$H109*OFFSET(ORÇAMENTO!$X$15,ROW(AG109)-ROW(AG$15),0),
ROUND(ROUND(OFFSET($P109,0,AG$13),15-13*ORÇAMENTO!$AF$7)*OFFSET(ORÇAMENTO!$W$15,ROW(AG109)-ROW(AG$15),0),15-13*ORÇAMENTO!$AF$11)),0)</f>
        <v>0</v>
      </c>
      <c r="AH109" s="545">
        <f ca="1">IF(AND($D109="Serviço",AH$12&lt;&gt;0,$H109&gt;0,OR(AUTOEVENTO&lt;&gt;"manual",$M109&lt;&gt;1)),
IF(Import.TipoArredondamento&lt;&gt;"TransfereGOV",
ROUND(OFFSET($P109,0,AH$13),15-13*ORÇAMENTO!$AF$7)/$H109*OFFSET(ORÇAMENTO!$X$15,ROW(AH109)-ROW(AH$15),0),
ROUND(ROUND(OFFSET($P109,0,AH$13),15-13*ORÇAMENTO!$AF$7)*OFFSET(ORÇAMENTO!$W$15,ROW(AH109)-ROW(AH$15),0),15-13*ORÇAMENTO!$AF$11)),0)</f>
        <v>0</v>
      </c>
      <c r="AI109" s="545">
        <f ca="1">IF(AND($D109="Serviço",AI$12&lt;&gt;0,$H109&gt;0,OR(AUTOEVENTO&lt;&gt;"manual",$M109&lt;&gt;1)),
IF(Import.TipoArredondamento&lt;&gt;"TransfereGOV",
ROUND(OFFSET($P109,0,AI$13),15-13*ORÇAMENTO!$AF$7)/$H109*OFFSET(ORÇAMENTO!$X$15,ROW(AI109)-ROW(AI$15),0),
ROUND(ROUND(OFFSET($P109,0,AI$13),15-13*ORÇAMENTO!$AF$7)*OFFSET(ORÇAMENTO!$W$15,ROW(AI109)-ROW(AI$15),0),15-13*ORÇAMENTO!$AF$11)),0)</f>
        <v>0</v>
      </c>
      <c r="AJ109" s="545">
        <f ca="1">IF(AND($D109="Serviço",AJ$12&lt;&gt;0,$H109&gt;0,OR(AUTOEVENTO&lt;&gt;"manual",$M109&lt;&gt;1)),
IF(Import.TipoArredondamento&lt;&gt;"TransfereGOV",
ROUND(OFFSET($P109,0,AJ$13),15-13*ORÇAMENTO!$AF$7)/$H109*OFFSET(ORÇAMENTO!$X$15,ROW(AJ109)-ROW(AJ$15),0),
ROUND(ROUND(OFFSET($P109,0,AJ$13),15-13*ORÇAMENTO!$AF$7)*OFFSET(ORÇAMENTO!$W$15,ROW(AJ109)-ROW(AJ$15),0),15-13*ORÇAMENTO!$AF$11)),0)</f>
        <v>0</v>
      </c>
      <c r="AK109" s="546">
        <f ca="1">IF(AND($D109="Serviço",AK$12&lt;&gt;0,$H109&gt;0,OR(AUTOEVENTO&lt;&gt;"manual",$M109&lt;&gt;1)),
IF(Import.TipoArredondamento&lt;&gt;"TransfereGOV",
ROUND(OFFSET($P109,0,AK$13),15-13*ORÇAMENTO!$AF$7)/$H109*OFFSET(ORÇAMENTO!$X$15,ROW(AK109)-ROW(AK$15),0),
ROUND(ROUND(OFFSET($P109,0,AK$13),15-13*ORÇAMENTO!$AF$7)*OFFSET(ORÇAMENTO!$W$15,ROW(AK109)-ROW(AK$15),0),15-13*ORÇAMENTO!$AF$11)),0)</f>
        <v>0</v>
      </c>
      <c r="AM109" s="181">
        <f ca="1">IF($D109&lt;&gt;"Serviço",0,IF(AND(AUTOEVENTO="Manual",$M109=1),0,IF(OFFSET(CRONOPLE!$F$14,$M109,AM$13)="",10^12,OFFSET(CRONOPLE!$F$14,$M109,AM$13))))</f>
        <v>0</v>
      </c>
      <c r="AN109" s="181">
        <f ca="1">IF($D109&lt;&gt;"Serviço",0,IF(AND(AUTOEVENTO="Manual",$M109=1),0,IF(OFFSET(CRONOPLE!$F$14,$M109,AN$13)="",10^12,OFFSET(CRONOPLE!$F$14,$M109,AN$13))))</f>
        <v>0</v>
      </c>
      <c r="AO109" s="181">
        <f ca="1">IF($D109&lt;&gt;"Serviço",0,IF(AND(AUTOEVENTO="Manual",$M109=1),0,IF(OFFSET(CRONOPLE!$F$14,$M109,AO$13)="",10^12,OFFSET(CRONOPLE!$F$14,$M109,AO$13))))</f>
        <v>0</v>
      </c>
      <c r="AP109" s="181">
        <f ca="1">IF($D109&lt;&gt;"Serviço",0,IF(AND(AUTOEVENTO="Manual",$M109=1),0,IF(OFFSET(CRONOPLE!$F$14,$M109,AP$13)="",10^12,OFFSET(CRONOPLE!$F$14,$M109,AP$13))))</f>
        <v>0</v>
      </c>
      <c r="AQ109" s="181">
        <f ca="1">IF($D109&lt;&gt;"Serviço",0,IF(AND(AUTOEVENTO="Manual",$M109=1),0,IF(OFFSET(CRONOPLE!$F$14,$M109,AQ$13)="",10^12,OFFSET(CRONOPLE!$F$14,$M109,AQ$13))))</f>
        <v>0</v>
      </c>
      <c r="AR109" s="181">
        <f ca="1">IF($D109&lt;&gt;"Serviço",0,IF(AND(AUTOEVENTO="Manual",$M109=1),0,IF(OFFSET(CRONOPLE!$F$14,$M109,AR$13)="",10^12,OFFSET(CRONOPLE!$F$14,$M109,AR$13))))</f>
        <v>0</v>
      </c>
      <c r="AS109" s="181">
        <f ca="1">IF($D109&lt;&gt;"Serviço",0,IF(AND(AUTOEVENTO="Manual",$M109=1),0,IF(OFFSET(CRONOPLE!$F$14,$M109,AS$13)="",10^12,OFFSET(CRONOPLE!$F$14,$M109,AS$13))))</f>
        <v>0</v>
      </c>
      <c r="AT109" s="181">
        <f ca="1">IF($D109&lt;&gt;"Serviço",0,IF(AND(AUTOEVENTO="Manual",$M109=1),0,IF(OFFSET(CRONOPLE!$F$14,$M109,AT$13)="",10^12,OFFSET(CRONOPLE!$F$14,$M109,AT$13))))</f>
        <v>0</v>
      </c>
      <c r="AU109" s="181">
        <f ca="1">IF($D109&lt;&gt;"Serviço",0,IF(AND(AUTOEVENTO="Manual",$M109=1),0,IF(OFFSET(CRONOPLE!$F$14,$M109,AU$13)="",10^12,OFFSET(CRONOPLE!$F$14,$M109,AU$13))))</f>
        <v>0</v>
      </c>
      <c r="AV109" s="181">
        <f ca="1">IF($D109&lt;&gt;"Serviço",0,IF(AND(AUTOEVENTO="Manual",$M109=1),0,IF(OFFSET(CRONOPLE!$F$14,$M109,AV$13)="",10^12,OFFSET(CRONOPLE!$F$14,$M109,AV$13))))</f>
        <v>0</v>
      </c>
      <c r="AX109" s="182">
        <f ca="1">IF($D109&lt;&gt;"Serviço",0,IF(OR(AND(AUTOEVENTO="Manual",$M109=1),$M109&gt;(ROW(PLE.lastrow)-ROW(PLE.firstrow))),0,IF(OFFSET(PLE!$G$14,$M109,AX$13)="",10^12,OFFSET(PLE!$G$14,$M109,AX$13))))</f>
        <v>0</v>
      </c>
      <c r="AY109" s="182">
        <f ca="1">IF($D109&lt;&gt;"Serviço",0,IF(OR(AND(AUTOEVENTO="Manual",$M109=1),$M109&gt;(ROW(PLE.lastrow)-ROW(PLE.firstrow))),0,IF(OFFSET(PLE!$G$14,$M109,AY$13)="",10^12,OFFSET(PLE!$G$14,$M109,AY$13))))</f>
        <v>0</v>
      </c>
      <c r="AZ109" s="182">
        <f ca="1">IF($D109&lt;&gt;"Serviço",0,IF(OR(AND(AUTOEVENTO="Manual",$M109=1),$M109&gt;(ROW(PLE.lastrow)-ROW(PLE.firstrow))),0,IF(OFFSET(PLE!$G$14,$M109,AZ$13)="",10^12,OFFSET(PLE!$G$14,$M109,AZ$13))))</f>
        <v>0</v>
      </c>
      <c r="BA109" s="182">
        <f ca="1">IF($D109&lt;&gt;"Serviço",0,IF(OR(AND(AUTOEVENTO="Manual",$M109=1),$M109&gt;(ROW(PLE.lastrow)-ROW(PLE.firstrow))),0,IF(OFFSET(PLE!$G$14,$M109,BA$13)="",10^12,OFFSET(PLE!$G$14,$M109,BA$13))))</f>
        <v>0</v>
      </c>
      <c r="BB109" s="182">
        <f ca="1">IF($D109&lt;&gt;"Serviço",0,IF(OR(AND(AUTOEVENTO="Manual",$M109=1),$M109&gt;(ROW(PLE.lastrow)-ROW(PLE.firstrow))),0,IF(OFFSET(PLE!$G$14,$M109,BB$13)="",10^12,OFFSET(PLE!$G$14,$M109,BB$13))))</f>
        <v>0</v>
      </c>
      <c r="BC109" s="182">
        <f ca="1">IF($D109&lt;&gt;"Serviço",0,IF(OR(AND(AUTOEVENTO="Manual",$M109=1),$M109&gt;(ROW(PLE.lastrow)-ROW(PLE.firstrow))),0,IF(OFFSET(PLE!$G$14,$M109,BC$13)="",10^12,OFFSET(PLE!$G$14,$M109,BC$13))))</f>
        <v>0</v>
      </c>
      <c r="BD109" s="182">
        <f ca="1">IF($D109&lt;&gt;"Serviço",0,IF(OR(AND(AUTOEVENTO="Manual",$M109=1),$M109&gt;(ROW(PLE.lastrow)-ROW(PLE.firstrow))),0,IF(OFFSET(PLE!$G$14,$M109,BD$13)="",10^12,OFFSET(PLE!$G$14,$M109,BD$13))))</f>
        <v>0</v>
      </c>
      <c r="BE109" s="182">
        <f ca="1">IF($D109&lt;&gt;"Serviço",0,IF(OR(AND(AUTOEVENTO="Manual",$M109=1),$M109&gt;(ROW(PLE.lastrow)-ROW(PLE.firstrow))),0,IF(OFFSET(PLE!$G$14,$M109,BE$13)="",10^12,OFFSET(PLE!$G$14,$M109,BE$13))))</f>
        <v>0</v>
      </c>
      <c r="BF109" s="182">
        <f ca="1">IF($D109&lt;&gt;"Serviço",0,IF(OR(AND(AUTOEVENTO="Manual",$M109=1),$M109&gt;(ROW(PLE.lastrow)-ROW(PLE.firstrow))),0,IF(OFFSET(PLE!$G$14,$M109,BF$13)="",10^12,OFFSET(PLE!$G$14,$M109,BF$13))))</f>
        <v>0</v>
      </c>
      <c r="BG109" s="182">
        <f ca="1">IF($D109&lt;&gt;"Serviço",0,IF(OR(AND(AUTOEVENTO="Manual",$M109=1),$M109&gt;(ROW(PLE.lastrow)-ROW(PLE.firstrow))),0,IF(OFFSET(PLE!$G$14,$M109,BG$13)="",10^12,OFFSET(PLE!$G$14,$M109,BG$13))))</f>
        <v>0</v>
      </c>
    </row>
    <row r="110" spans="1:59" ht="51" x14ac:dyDescent="0.2">
      <c r="A110" s="7" t="str">
        <f t="shared" ca="1" si="9"/>
        <v>71</v>
      </c>
      <c r="B110" s="7" t="str">
        <f ca="1">OFFSET(ORÇAMENTO!C$15,ROW(B110)-ROW(B$15),0)</f>
        <v>S</v>
      </c>
      <c r="C110" s="7" t="str">
        <f ca="1">OFFSET(ORÇAMENTO!L$15,ROW(C110)-ROW(C$15),0)</f>
        <v>F</v>
      </c>
      <c r="D110" s="118" t="str">
        <f ca="1">OFFSET(ORÇAMENTO!N$15,ROW(D110)-ROW(D$15),0)</f>
        <v>Serviço</v>
      </c>
      <c r="E110" s="119" t="str">
        <f ca="1">OFFSET(ORÇAMENTO!O$15,ROW(E110)-ROW(E$15),0)</f>
        <v>1.6.5.1.</v>
      </c>
      <c r="F110" s="172" t="str">
        <f ca="1">OFFSET(ORÇAMENTO!R$15,ROW(F110)-ROW(F$15),0)</f>
        <v>(abra o arquivo 'Referência 03-2024.xlsm)</v>
      </c>
      <c r="G110" s="173" t="str">
        <f ca="1">IF($D110&lt;&gt;"Serviço","",OFFSET(ORÇAMENTO!S$15,ROW(G110)-ROW(G$15),0))</f>
        <v>-</v>
      </c>
      <c r="H110" s="124">
        <f ca="1">IF($D110&lt;&gt;"Serviço",0,IF(ACOMPANHAMENTO="BM",ROUND(OFFSET(ORÇAMENTO!AJ$15,ROW(H110)-ROW(H$15),0),15-13*ORÇAMENTO!$AF$7),SUMPRODUCT(($Q$12:$AA$12&lt;&gt;"")*ROUND($Q110:$AA110,15-13*ORÇAMENTO!$AF$7))))</f>
        <v>46.07</v>
      </c>
      <c r="I110" s="561"/>
      <c r="K110" s="174"/>
      <c r="L110" s="175" t="s">
        <v>255</v>
      </c>
      <c r="M110" s="176">
        <f ca="1">IF($D110&lt;&gt;"Serviço","",IF(AUTOEVENTO="manual",$A110,IF(ISERROR(MATCH($A110,$A$15:OFFSET($A110,-1,0),0)),MAX($M$15:OFFSET(M110,-1,0))+1,INDEX($M$15:OFFSET(M110,-1,0),MATCH($A110,$A$15:OFFSET($A110,-1,0),0)))))</f>
        <v>7</v>
      </c>
      <c r="N110" s="177" t="str">
        <f ca="1">IF($D110&lt;&gt;"Serviço","",IF(AUTOEVENTO="Manual",IF($A110=0,"&lt;-- defina o número do agrupador",OFFSET(EVENTOS!$D$14,$A110,0)),OFFSET($F$15,$A110,0)))</f>
        <v>SANITÁRIO PÚBLICO ACESSÍVEL</v>
      </c>
      <c r="O110" s="178"/>
      <c r="Q110" s="178"/>
      <c r="R110" s="179"/>
      <c r="S110" s="179"/>
      <c r="T110" s="179"/>
      <c r="U110" s="179"/>
      <c r="V110" s="179"/>
      <c r="W110" s="179"/>
      <c r="X110" s="179"/>
      <c r="Y110" s="179"/>
      <c r="Z110" s="180"/>
      <c r="AB110" s="544">
        <f ca="1">IF(AND($D110="Serviço",AB$12&lt;&gt;0,$H110&gt;0,OR(AUTOEVENTO&lt;&gt;"manual",$M110&lt;&gt;1)),
IF(Import.TipoArredondamento&lt;&gt;"TransfereGOV",
ROUND(OFFSET($P110,0,AB$13),15-13*ORÇAMENTO!$AF$7)/$H110*OFFSET(ORÇAMENTO!$X$15,ROW(AB110)-ROW(AB$15),0),
ROUND(ROUND(OFFSET($P110,0,AB$13),15-13*ORÇAMENTO!$AF$7)*OFFSET(ORÇAMENTO!$W$15,ROW(AB110)-ROW(AB$15),0),15-13*ORÇAMENTO!$AF$11)),0)</f>
        <v>0</v>
      </c>
      <c r="AC110" s="545">
        <f ca="1">IF(AND($D110="Serviço",AC$12&lt;&gt;0,$H110&gt;0,OR(AUTOEVENTO&lt;&gt;"manual",$M110&lt;&gt;1)),
IF(Import.TipoArredondamento&lt;&gt;"TransfereGOV",
ROUND(OFFSET($P110,0,AC$13),15-13*ORÇAMENTO!$AF$7)/$H110*OFFSET(ORÇAMENTO!$X$15,ROW(AC110)-ROW(AC$15),0),
ROUND(ROUND(OFFSET($P110,0,AC$13),15-13*ORÇAMENTO!$AF$7)*OFFSET(ORÇAMENTO!$W$15,ROW(AC110)-ROW(AC$15),0),15-13*ORÇAMENTO!$AF$11)),0)</f>
        <v>0</v>
      </c>
      <c r="AD110" s="545">
        <f ca="1">IF(AND($D110="Serviço",AD$12&lt;&gt;0,$H110&gt;0,OR(AUTOEVENTO&lt;&gt;"manual",$M110&lt;&gt;1)),
IF(Import.TipoArredondamento&lt;&gt;"TransfereGOV",
ROUND(OFFSET($P110,0,AD$13),15-13*ORÇAMENTO!$AF$7)/$H110*OFFSET(ORÇAMENTO!$X$15,ROW(AD110)-ROW(AD$15),0),
ROUND(ROUND(OFFSET($P110,0,AD$13),15-13*ORÇAMENTO!$AF$7)*OFFSET(ORÇAMENTO!$W$15,ROW(AD110)-ROW(AD$15),0),15-13*ORÇAMENTO!$AF$11)),0)</f>
        <v>0</v>
      </c>
      <c r="AE110" s="545">
        <f ca="1">IF(AND($D110="Serviço",AE$12&lt;&gt;0,$H110&gt;0,OR(AUTOEVENTO&lt;&gt;"manual",$M110&lt;&gt;1)),
IF(Import.TipoArredondamento&lt;&gt;"TransfereGOV",
ROUND(OFFSET($P110,0,AE$13),15-13*ORÇAMENTO!$AF$7)/$H110*OFFSET(ORÇAMENTO!$X$15,ROW(AE110)-ROW(AE$15),0),
ROUND(ROUND(OFFSET($P110,0,AE$13),15-13*ORÇAMENTO!$AF$7)*OFFSET(ORÇAMENTO!$W$15,ROW(AE110)-ROW(AE$15),0),15-13*ORÇAMENTO!$AF$11)),0)</f>
        <v>0</v>
      </c>
      <c r="AF110" s="545">
        <f ca="1">IF(AND($D110="Serviço",AF$12&lt;&gt;0,$H110&gt;0,OR(AUTOEVENTO&lt;&gt;"manual",$M110&lt;&gt;1)),
IF(Import.TipoArredondamento&lt;&gt;"TransfereGOV",
ROUND(OFFSET($P110,0,AF$13),15-13*ORÇAMENTO!$AF$7)/$H110*OFFSET(ORÇAMENTO!$X$15,ROW(AF110)-ROW(AF$15),0),
ROUND(ROUND(OFFSET($P110,0,AF$13),15-13*ORÇAMENTO!$AF$7)*OFFSET(ORÇAMENTO!$W$15,ROW(AF110)-ROW(AF$15),0),15-13*ORÇAMENTO!$AF$11)),0)</f>
        <v>0</v>
      </c>
      <c r="AG110" s="545">
        <f ca="1">IF(AND($D110="Serviço",AG$12&lt;&gt;0,$H110&gt;0,OR(AUTOEVENTO&lt;&gt;"manual",$M110&lt;&gt;1)),
IF(Import.TipoArredondamento&lt;&gt;"TransfereGOV",
ROUND(OFFSET($P110,0,AG$13),15-13*ORÇAMENTO!$AF$7)/$H110*OFFSET(ORÇAMENTO!$X$15,ROW(AG110)-ROW(AG$15),0),
ROUND(ROUND(OFFSET($P110,0,AG$13),15-13*ORÇAMENTO!$AF$7)*OFFSET(ORÇAMENTO!$W$15,ROW(AG110)-ROW(AG$15),0),15-13*ORÇAMENTO!$AF$11)),0)</f>
        <v>0</v>
      </c>
      <c r="AH110" s="545">
        <f ca="1">IF(AND($D110="Serviço",AH$12&lt;&gt;0,$H110&gt;0,OR(AUTOEVENTO&lt;&gt;"manual",$M110&lt;&gt;1)),
IF(Import.TipoArredondamento&lt;&gt;"TransfereGOV",
ROUND(OFFSET($P110,0,AH$13),15-13*ORÇAMENTO!$AF$7)/$H110*OFFSET(ORÇAMENTO!$X$15,ROW(AH110)-ROW(AH$15),0),
ROUND(ROUND(OFFSET($P110,0,AH$13),15-13*ORÇAMENTO!$AF$7)*OFFSET(ORÇAMENTO!$W$15,ROW(AH110)-ROW(AH$15),0),15-13*ORÇAMENTO!$AF$11)),0)</f>
        <v>0</v>
      </c>
      <c r="AI110" s="545">
        <f ca="1">IF(AND($D110="Serviço",AI$12&lt;&gt;0,$H110&gt;0,OR(AUTOEVENTO&lt;&gt;"manual",$M110&lt;&gt;1)),
IF(Import.TipoArredondamento&lt;&gt;"TransfereGOV",
ROUND(OFFSET($P110,0,AI$13),15-13*ORÇAMENTO!$AF$7)/$H110*OFFSET(ORÇAMENTO!$X$15,ROW(AI110)-ROW(AI$15),0),
ROUND(ROUND(OFFSET($P110,0,AI$13),15-13*ORÇAMENTO!$AF$7)*OFFSET(ORÇAMENTO!$W$15,ROW(AI110)-ROW(AI$15),0),15-13*ORÇAMENTO!$AF$11)),0)</f>
        <v>0</v>
      </c>
      <c r="AJ110" s="545">
        <f ca="1">IF(AND($D110="Serviço",AJ$12&lt;&gt;0,$H110&gt;0,OR(AUTOEVENTO&lt;&gt;"manual",$M110&lt;&gt;1)),
IF(Import.TipoArredondamento&lt;&gt;"TransfereGOV",
ROUND(OFFSET($P110,0,AJ$13),15-13*ORÇAMENTO!$AF$7)/$H110*OFFSET(ORÇAMENTO!$X$15,ROW(AJ110)-ROW(AJ$15),0),
ROUND(ROUND(OFFSET($P110,0,AJ$13),15-13*ORÇAMENTO!$AF$7)*OFFSET(ORÇAMENTO!$W$15,ROW(AJ110)-ROW(AJ$15),0),15-13*ORÇAMENTO!$AF$11)),0)</f>
        <v>0</v>
      </c>
      <c r="AK110" s="546">
        <f ca="1">IF(AND($D110="Serviço",AK$12&lt;&gt;0,$H110&gt;0,OR(AUTOEVENTO&lt;&gt;"manual",$M110&lt;&gt;1)),
IF(Import.TipoArredondamento&lt;&gt;"TransfereGOV",
ROUND(OFFSET($P110,0,AK$13),15-13*ORÇAMENTO!$AF$7)/$H110*OFFSET(ORÇAMENTO!$X$15,ROW(AK110)-ROW(AK$15),0),
ROUND(ROUND(OFFSET($P110,0,AK$13),15-13*ORÇAMENTO!$AF$7)*OFFSET(ORÇAMENTO!$W$15,ROW(AK110)-ROW(AK$15),0),15-13*ORÇAMENTO!$AF$11)),0)</f>
        <v>0</v>
      </c>
      <c r="AM110" s="181">
        <f ca="1">IF($D110&lt;&gt;"Serviço",0,IF(AND(AUTOEVENTO="Manual",$M110=1),0,IF(OFFSET(CRONOPLE!$F$14,$M110,AM$13)="",10^12,OFFSET(CRONOPLE!$F$14,$M110,AM$13))))</f>
        <v>1000000000000</v>
      </c>
      <c r="AN110" s="181">
        <f ca="1">IF($D110&lt;&gt;"Serviço",0,IF(AND(AUTOEVENTO="Manual",$M110=1),0,IF(OFFSET(CRONOPLE!$F$14,$M110,AN$13)="",10^12,OFFSET(CRONOPLE!$F$14,$M110,AN$13))))</f>
        <v>1000000000000</v>
      </c>
      <c r="AO110" s="181">
        <f ca="1">IF($D110&lt;&gt;"Serviço",0,IF(AND(AUTOEVENTO="Manual",$M110=1),0,IF(OFFSET(CRONOPLE!$F$14,$M110,AO$13)="",10^12,OFFSET(CRONOPLE!$F$14,$M110,AO$13))))</f>
        <v>1000000000000</v>
      </c>
      <c r="AP110" s="181">
        <f ca="1">IF($D110&lt;&gt;"Serviço",0,IF(AND(AUTOEVENTO="Manual",$M110=1),0,IF(OFFSET(CRONOPLE!$F$14,$M110,AP$13)="",10^12,OFFSET(CRONOPLE!$F$14,$M110,AP$13))))</f>
        <v>1000000000000</v>
      </c>
      <c r="AQ110" s="181">
        <f ca="1">IF($D110&lt;&gt;"Serviço",0,IF(AND(AUTOEVENTO="Manual",$M110=1),0,IF(OFFSET(CRONOPLE!$F$14,$M110,AQ$13)="",10^12,OFFSET(CRONOPLE!$F$14,$M110,AQ$13))))</f>
        <v>1000000000000</v>
      </c>
      <c r="AR110" s="181">
        <f ca="1">IF($D110&lt;&gt;"Serviço",0,IF(AND(AUTOEVENTO="Manual",$M110=1),0,IF(OFFSET(CRONOPLE!$F$14,$M110,AR$13)="",10^12,OFFSET(CRONOPLE!$F$14,$M110,AR$13))))</f>
        <v>1000000000000</v>
      </c>
      <c r="AS110" s="181">
        <f ca="1">IF($D110&lt;&gt;"Serviço",0,IF(AND(AUTOEVENTO="Manual",$M110=1),0,IF(OFFSET(CRONOPLE!$F$14,$M110,AS$13)="",10^12,OFFSET(CRONOPLE!$F$14,$M110,AS$13))))</f>
        <v>1000000000000</v>
      </c>
      <c r="AT110" s="181">
        <f ca="1">IF($D110&lt;&gt;"Serviço",0,IF(AND(AUTOEVENTO="Manual",$M110=1),0,IF(OFFSET(CRONOPLE!$F$14,$M110,AT$13)="",10^12,OFFSET(CRONOPLE!$F$14,$M110,AT$13))))</f>
        <v>1000000000000</v>
      </c>
      <c r="AU110" s="181">
        <f ca="1">IF($D110&lt;&gt;"Serviço",0,IF(AND(AUTOEVENTO="Manual",$M110=1),0,IF(OFFSET(CRONOPLE!$F$14,$M110,AU$13)="",10^12,OFFSET(CRONOPLE!$F$14,$M110,AU$13))))</f>
        <v>1000000000000</v>
      </c>
      <c r="AV110" s="181">
        <f ca="1">IF($D110&lt;&gt;"Serviço",0,IF(AND(AUTOEVENTO="Manual",$M110=1),0,IF(OFFSET(CRONOPLE!$F$14,$M110,AV$13)="",10^12,OFFSET(CRONOPLE!$F$14,$M110,AV$13))))</f>
        <v>1000000000000</v>
      </c>
      <c r="AX110" s="182">
        <f ca="1">IF($D110&lt;&gt;"Serviço",0,IF(OR(AND(AUTOEVENTO="Manual",$M110=1),$M110&gt;(ROW(PLE.lastrow)-ROW(PLE.firstrow))),0,IF(OFFSET(PLE!$G$14,$M110,AX$13)="",10^12,OFFSET(PLE!$G$14,$M110,AX$13))))</f>
        <v>1000000000000</v>
      </c>
      <c r="AY110" s="182">
        <f ca="1">IF($D110&lt;&gt;"Serviço",0,IF(OR(AND(AUTOEVENTO="Manual",$M110=1),$M110&gt;(ROW(PLE.lastrow)-ROW(PLE.firstrow))),0,IF(OFFSET(PLE!$G$14,$M110,AY$13)="",10^12,OFFSET(PLE!$G$14,$M110,AY$13))))</f>
        <v>1000000000000</v>
      </c>
      <c r="AZ110" s="182">
        <f ca="1">IF($D110&lt;&gt;"Serviço",0,IF(OR(AND(AUTOEVENTO="Manual",$M110=1),$M110&gt;(ROW(PLE.lastrow)-ROW(PLE.firstrow))),0,IF(OFFSET(PLE!$G$14,$M110,AZ$13)="",10^12,OFFSET(PLE!$G$14,$M110,AZ$13))))</f>
        <v>1000000000000</v>
      </c>
      <c r="BA110" s="182">
        <f ca="1">IF($D110&lt;&gt;"Serviço",0,IF(OR(AND(AUTOEVENTO="Manual",$M110=1),$M110&gt;(ROW(PLE.lastrow)-ROW(PLE.firstrow))),0,IF(OFFSET(PLE!$G$14,$M110,BA$13)="",10^12,OFFSET(PLE!$G$14,$M110,BA$13))))</f>
        <v>1000000000000</v>
      </c>
      <c r="BB110" s="182">
        <f ca="1">IF($D110&lt;&gt;"Serviço",0,IF(OR(AND(AUTOEVENTO="Manual",$M110=1),$M110&gt;(ROW(PLE.lastrow)-ROW(PLE.firstrow))),0,IF(OFFSET(PLE!$G$14,$M110,BB$13)="",10^12,OFFSET(PLE!$G$14,$M110,BB$13))))</f>
        <v>1000000000000</v>
      </c>
      <c r="BC110" s="182">
        <f ca="1">IF($D110&lt;&gt;"Serviço",0,IF(OR(AND(AUTOEVENTO="Manual",$M110=1),$M110&gt;(ROW(PLE.lastrow)-ROW(PLE.firstrow))),0,IF(OFFSET(PLE!$G$14,$M110,BC$13)="",10^12,OFFSET(PLE!$G$14,$M110,BC$13))))</f>
        <v>1000000000000</v>
      </c>
      <c r="BD110" s="182">
        <f ca="1">IF($D110&lt;&gt;"Serviço",0,IF(OR(AND(AUTOEVENTO="Manual",$M110=1),$M110&gt;(ROW(PLE.lastrow)-ROW(PLE.firstrow))),0,IF(OFFSET(PLE!$G$14,$M110,BD$13)="",10^12,OFFSET(PLE!$G$14,$M110,BD$13))))</f>
        <v>1000000000000</v>
      </c>
      <c r="BE110" s="182">
        <f ca="1">IF($D110&lt;&gt;"Serviço",0,IF(OR(AND(AUTOEVENTO="Manual",$M110=1),$M110&gt;(ROW(PLE.lastrow)-ROW(PLE.firstrow))),0,IF(OFFSET(PLE!$G$14,$M110,BE$13)="",10^12,OFFSET(PLE!$G$14,$M110,BE$13))))</f>
        <v>1000000000000</v>
      </c>
      <c r="BF110" s="182">
        <f ca="1">IF($D110&lt;&gt;"Serviço",0,IF(OR(AND(AUTOEVENTO="Manual",$M110=1),$M110&gt;(ROW(PLE.lastrow)-ROW(PLE.firstrow))),0,IF(OFFSET(PLE!$G$14,$M110,BF$13)="",10^12,OFFSET(PLE!$G$14,$M110,BF$13))))</f>
        <v>1000000000000</v>
      </c>
      <c r="BG110" s="182">
        <f ca="1">IF($D110&lt;&gt;"Serviço",0,IF(OR(AND(AUTOEVENTO="Manual",$M110=1),$M110&gt;(ROW(PLE.lastrow)-ROW(PLE.firstrow))),0,IF(OFFSET(PLE!$G$14,$M110,BG$13)="",10^12,OFFSET(PLE!$G$14,$M110,BG$13))))</f>
        <v>1000000000000</v>
      </c>
    </row>
    <row r="111" spans="1:59" ht="25.5" x14ac:dyDescent="0.2">
      <c r="A111" s="7" t="str">
        <f t="shared" ca="1" si="9"/>
        <v>71</v>
      </c>
      <c r="B111" s="7" t="str">
        <f ca="1">OFFSET(ORÇAMENTO!C$15,ROW(B111)-ROW(B$15),0)</f>
        <v>S</v>
      </c>
      <c r="C111" s="7" t="str">
        <f ca="1">OFFSET(ORÇAMENTO!L$15,ROW(C111)-ROW(C$15),0)</f>
        <v>F</v>
      </c>
      <c r="D111" s="118" t="str">
        <f ca="1">OFFSET(ORÇAMENTO!N$15,ROW(D111)-ROW(D$15),0)</f>
        <v>Serviço</v>
      </c>
      <c r="E111" s="119" t="str">
        <f ca="1">OFFSET(ORÇAMENTO!O$15,ROW(E111)-ROW(E$15),0)</f>
        <v>1.6.5.2.</v>
      </c>
      <c r="F111" s="172" t="str">
        <f ca="1">OFFSET(ORÇAMENTO!R$15,ROW(F111)-ROW(F$15),0)</f>
        <v>(abra o arquivo 'Referência 03-2024.xlsm)</v>
      </c>
      <c r="G111" s="173" t="str">
        <f ca="1">IF($D111&lt;&gt;"Serviço","",OFFSET(ORÇAMENTO!S$15,ROW(G111)-ROW(G$15),0))</f>
        <v>-</v>
      </c>
      <c r="H111" s="124">
        <f ca="1">IF($D111&lt;&gt;"Serviço",0,IF(ACOMPANHAMENTO="BM",ROUND(OFFSET(ORÇAMENTO!AJ$15,ROW(H111)-ROW(H$15),0),15-13*ORÇAMENTO!$AF$7),SUMPRODUCT(($Q$12:$AA$12&lt;&gt;"")*ROUND($Q111:$AA111,15-13*ORÇAMENTO!$AF$7))))</f>
        <v>2</v>
      </c>
      <c r="I111" s="561"/>
      <c r="K111" s="174"/>
      <c r="L111" s="175" t="s">
        <v>255</v>
      </c>
      <c r="M111" s="176">
        <f ca="1">IF($D111&lt;&gt;"Serviço","",IF(AUTOEVENTO="manual",$A111,IF(ISERROR(MATCH($A111,$A$15:OFFSET($A111,-1,0),0)),MAX($M$15:OFFSET(M111,-1,0))+1,INDEX($M$15:OFFSET(M111,-1,0),MATCH($A111,$A$15:OFFSET($A111,-1,0),0)))))</f>
        <v>7</v>
      </c>
      <c r="N111" s="177" t="str">
        <f ca="1">IF($D111&lt;&gt;"Serviço","",IF(AUTOEVENTO="Manual",IF($A111=0,"&lt;-- defina o número do agrupador",OFFSET(EVENTOS!$D$14,$A111,0)),OFFSET($F$15,$A111,0)))</f>
        <v>SANITÁRIO PÚBLICO ACESSÍVEL</v>
      </c>
      <c r="O111" s="178"/>
      <c r="Q111" s="178"/>
      <c r="R111" s="179"/>
      <c r="S111" s="179"/>
      <c r="T111" s="179"/>
      <c r="U111" s="179"/>
      <c r="V111" s="179"/>
      <c r="W111" s="179"/>
      <c r="X111" s="179"/>
      <c r="Y111" s="179"/>
      <c r="Z111" s="180"/>
      <c r="AB111" s="544">
        <f ca="1">IF(AND($D111="Serviço",AB$12&lt;&gt;0,$H111&gt;0,OR(AUTOEVENTO&lt;&gt;"manual",$M111&lt;&gt;1)),
IF(Import.TipoArredondamento&lt;&gt;"TransfereGOV",
ROUND(OFFSET($P111,0,AB$13),15-13*ORÇAMENTO!$AF$7)/$H111*OFFSET(ORÇAMENTO!$X$15,ROW(AB111)-ROW(AB$15),0),
ROUND(ROUND(OFFSET($P111,0,AB$13),15-13*ORÇAMENTO!$AF$7)*OFFSET(ORÇAMENTO!$W$15,ROW(AB111)-ROW(AB$15),0),15-13*ORÇAMENTO!$AF$11)),0)</f>
        <v>0</v>
      </c>
      <c r="AC111" s="545">
        <f ca="1">IF(AND($D111="Serviço",AC$12&lt;&gt;0,$H111&gt;0,OR(AUTOEVENTO&lt;&gt;"manual",$M111&lt;&gt;1)),
IF(Import.TipoArredondamento&lt;&gt;"TransfereGOV",
ROUND(OFFSET($P111,0,AC$13),15-13*ORÇAMENTO!$AF$7)/$H111*OFFSET(ORÇAMENTO!$X$15,ROW(AC111)-ROW(AC$15),0),
ROUND(ROUND(OFFSET($P111,0,AC$13),15-13*ORÇAMENTO!$AF$7)*OFFSET(ORÇAMENTO!$W$15,ROW(AC111)-ROW(AC$15),0),15-13*ORÇAMENTO!$AF$11)),0)</f>
        <v>0</v>
      </c>
      <c r="AD111" s="545">
        <f ca="1">IF(AND($D111="Serviço",AD$12&lt;&gt;0,$H111&gt;0,OR(AUTOEVENTO&lt;&gt;"manual",$M111&lt;&gt;1)),
IF(Import.TipoArredondamento&lt;&gt;"TransfereGOV",
ROUND(OFFSET($P111,0,AD$13),15-13*ORÇAMENTO!$AF$7)/$H111*OFFSET(ORÇAMENTO!$X$15,ROW(AD111)-ROW(AD$15),0),
ROUND(ROUND(OFFSET($P111,0,AD$13),15-13*ORÇAMENTO!$AF$7)*OFFSET(ORÇAMENTO!$W$15,ROW(AD111)-ROW(AD$15),0),15-13*ORÇAMENTO!$AF$11)),0)</f>
        <v>0</v>
      </c>
      <c r="AE111" s="545">
        <f ca="1">IF(AND($D111="Serviço",AE$12&lt;&gt;0,$H111&gt;0,OR(AUTOEVENTO&lt;&gt;"manual",$M111&lt;&gt;1)),
IF(Import.TipoArredondamento&lt;&gt;"TransfereGOV",
ROUND(OFFSET($P111,0,AE$13),15-13*ORÇAMENTO!$AF$7)/$H111*OFFSET(ORÇAMENTO!$X$15,ROW(AE111)-ROW(AE$15),0),
ROUND(ROUND(OFFSET($P111,0,AE$13),15-13*ORÇAMENTO!$AF$7)*OFFSET(ORÇAMENTO!$W$15,ROW(AE111)-ROW(AE$15),0),15-13*ORÇAMENTO!$AF$11)),0)</f>
        <v>0</v>
      </c>
      <c r="AF111" s="545">
        <f ca="1">IF(AND($D111="Serviço",AF$12&lt;&gt;0,$H111&gt;0,OR(AUTOEVENTO&lt;&gt;"manual",$M111&lt;&gt;1)),
IF(Import.TipoArredondamento&lt;&gt;"TransfereGOV",
ROUND(OFFSET($P111,0,AF$13),15-13*ORÇAMENTO!$AF$7)/$H111*OFFSET(ORÇAMENTO!$X$15,ROW(AF111)-ROW(AF$15),0),
ROUND(ROUND(OFFSET($P111,0,AF$13),15-13*ORÇAMENTO!$AF$7)*OFFSET(ORÇAMENTO!$W$15,ROW(AF111)-ROW(AF$15),0),15-13*ORÇAMENTO!$AF$11)),0)</f>
        <v>0</v>
      </c>
      <c r="AG111" s="545">
        <f ca="1">IF(AND($D111="Serviço",AG$12&lt;&gt;0,$H111&gt;0,OR(AUTOEVENTO&lt;&gt;"manual",$M111&lt;&gt;1)),
IF(Import.TipoArredondamento&lt;&gt;"TransfereGOV",
ROUND(OFFSET($P111,0,AG$13),15-13*ORÇAMENTO!$AF$7)/$H111*OFFSET(ORÇAMENTO!$X$15,ROW(AG111)-ROW(AG$15),0),
ROUND(ROUND(OFFSET($P111,0,AG$13),15-13*ORÇAMENTO!$AF$7)*OFFSET(ORÇAMENTO!$W$15,ROW(AG111)-ROW(AG$15),0),15-13*ORÇAMENTO!$AF$11)),0)</f>
        <v>0</v>
      </c>
      <c r="AH111" s="545">
        <f ca="1">IF(AND($D111="Serviço",AH$12&lt;&gt;0,$H111&gt;0,OR(AUTOEVENTO&lt;&gt;"manual",$M111&lt;&gt;1)),
IF(Import.TipoArredondamento&lt;&gt;"TransfereGOV",
ROUND(OFFSET($P111,0,AH$13),15-13*ORÇAMENTO!$AF$7)/$H111*OFFSET(ORÇAMENTO!$X$15,ROW(AH111)-ROW(AH$15),0),
ROUND(ROUND(OFFSET($P111,0,AH$13),15-13*ORÇAMENTO!$AF$7)*OFFSET(ORÇAMENTO!$W$15,ROW(AH111)-ROW(AH$15),0),15-13*ORÇAMENTO!$AF$11)),0)</f>
        <v>0</v>
      </c>
      <c r="AI111" s="545">
        <f ca="1">IF(AND($D111="Serviço",AI$12&lt;&gt;0,$H111&gt;0,OR(AUTOEVENTO&lt;&gt;"manual",$M111&lt;&gt;1)),
IF(Import.TipoArredondamento&lt;&gt;"TransfereGOV",
ROUND(OFFSET($P111,0,AI$13),15-13*ORÇAMENTO!$AF$7)/$H111*OFFSET(ORÇAMENTO!$X$15,ROW(AI111)-ROW(AI$15),0),
ROUND(ROUND(OFFSET($P111,0,AI$13),15-13*ORÇAMENTO!$AF$7)*OFFSET(ORÇAMENTO!$W$15,ROW(AI111)-ROW(AI$15),0),15-13*ORÇAMENTO!$AF$11)),0)</f>
        <v>0</v>
      </c>
      <c r="AJ111" s="545">
        <f ca="1">IF(AND($D111="Serviço",AJ$12&lt;&gt;0,$H111&gt;0,OR(AUTOEVENTO&lt;&gt;"manual",$M111&lt;&gt;1)),
IF(Import.TipoArredondamento&lt;&gt;"TransfereGOV",
ROUND(OFFSET($P111,0,AJ$13),15-13*ORÇAMENTO!$AF$7)/$H111*OFFSET(ORÇAMENTO!$X$15,ROW(AJ111)-ROW(AJ$15),0),
ROUND(ROUND(OFFSET($P111,0,AJ$13),15-13*ORÇAMENTO!$AF$7)*OFFSET(ORÇAMENTO!$W$15,ROW(AJ111)-ROW(AJ$15),0),15-13*ORÇAMENTO!$AF$11)),0)</f>
        <v>0</v>
      </c>
      <c r="AK111" s="546">
        <f ca="1">IF(AND($D111="Serviço",AK$12&lt;&gt;0,$H111&gt;0,OR(AUTOEVENTO&lt;&gt;"manual",$M111&lt;&gt;1)),
IF(Import.TipoArredondamento&lt;&gt;"TransfereGOV",
ROUND(OFFSET($P111,0,AK$13),15-13*ORÇAMENTO!$AF$7)/$H111*OFFSET(ORÇAMENTO!$X$15,ROW(AK111)-ROW(AK$15),0),
ROUND(ROUND(OFFSET($P111,0,AK$13),15-13*ORÇAMENTO!$AF$7)*OFFSET(ORÇAMENTO!$W$15,ROW(AK111)-ROW(AK$15),0),15-13*ORÇAMENTO!$AF$11)),0)</f>
        <v>0</v>
      </c>
      <c r="AM111" s="181">
        <f ca="1">IF($D111&lt;&gt;"Serviço",0,IF(AND(AUTOEVENTO="Manual",$M111=1),0,IF(OFFSET(CRONOPLE!$F$14,$M111,AM$13)="",10^12,OFFSET(CRONOPLE!$F$14,$M111,AM$13))))</f>
        <v>1000000000000</v>
      </c>
      <c r="AN111" s="181">
        <f ca="1">IF($D111&lt;&gt;"Serviço",0,IF(AND(AUTOEVENTO="Manual",$M111=1),0,IF(OFFSET(CRONOPLE!$F$14,$M111,AN$13)="",10^12,OFFSET(CRONOPLE!$F$14,$M111,AN$13))))</f>
        <v>1000000000000</v>
      </c>
      <c r="AO111" s="181">
        <f ca="1">IF($D111&lt;&gt;"Serviço",0,IF(AND(AUTOEVENTO="Manual",$M111=1),0,IF(OFFSET(CRONOPLE!$F$14,$M111,AO$13)="",10^12,OFFSET(CRONOPLE!$F$14,$M111,AO$13))))</f>
        <v>1000000000000</v>
      </c>
      <c r="AP111" s="181">
        <f ca="1">IF($D111&lt;&gt;"Serviço",0,IF(AND(AUTOEVENTO="Manual",$M111=1),0,IF(OFFSET(CRONOPLE!$F$14,$M111,AP$13)="",10^12,OFFSET(CRONOPLE!$F$14,$M111,AP$13))))</f>
        <v>1000000000000</v>
      </c>
      <c r="AQ111" s="181">
        <f ca="1">IF($D111&lt;&gt;"Serviço",0,IF(AND(AUTOEVENTO="Manual",$M111=1),0,IF(OFFSET(CRONOPLE!$F$14,$M111,AQ$13)="",10^12,OFFSET(CRONOPLE!$F$14,$M111,AQ$13))))</f>
        <v>1000000000000</v>
      </c>
      <c r="AR111" s="181">
        <f ca="1">IF($D111&lt;&gt;"Serviço",0,IF(AND(AUTOEVENTO="Manual",$M111=1),0,IF(OFFSET(CRONOPLE!$F$14,$M111,AR$13)="",10^12,OFFSET(CRONOPLE!$F$14,$M111,AR$13))))</f>
        <v>1000000000000</v>
      </c>
      <c r="AS111" s="181">
        <f ca="1">IF($D111&lt;&gt;"Serviço",0,IF(AND(AUTOEVENTO="Manual",$M111=1),0,IF(OFFSET(CRONOPLE!$F$14,$M111,AS$13)="",10^12,OFFSET(CRONOPLE!$F$14,$M111,AS$13))))</f>
        <v>1000000000000</v>
      </c>
      <c r="AT111" s="181">
        <f ca="1">IF($D111&lt;&gt;"Serviço",0,IF(AND(AUTOEVENTO="Manual",$M111=1),0,IF(OFFSET(CRONOPLE!$F$14,$M111,AT$13)="",10^12,OFFSET(CRONOPLE!$F$14,$M111,AT$13))))</f>
        <v>1000000000000</v>
      </c>
      <c r="AU111" s="181">
        <f ca="1">IF($D111&lt;&gt;"Serviço",0,IF(AND(AUTOEVENTO="Manual",$M111=1),0,IF(OFFSET(CRONOPLE!$F$14,$M111,AU$13)="",10^12,OFFSET(CRONOPLE!$F$14,$M111,AU$13))))</f>
        <v>1000000000000</v>
      </c>
      <c r="AV111" s="181">
        <f ca="1">IF($D111&lt;&gt;"Serviço",0,IF(AND(AUTOEVENTO="Manual",$M111=1),0,IF(OFFSET(CRONOPLE!$F$14,$M111,AV$13)="",10^12,OFFSET(CRONOPLE!$F$14,$M111,AV$13))))</f>
        <v>1000000000000</v>
      </c>
      <c r="AX111" s="182">
        <f ca="1">IF($D111&lt;&gt;"Serviço",0,IF(OR(AND(AUTOEVENTO="Manual",$M111=1),$M111&gt;(ROW(PLE.lastrow)-ROW(PLE.firstrow))),0,IF(OFFSET(PLE!$G$14,$M111,AX$13)="",10^12,OFFSET(PLE!$G$14,$M111,AX$13))))</f>
        <v>1000000000000</v>
      </c>
      <c r="AY111" s="182">
        <f ca="1">IF($D111&lt;&gt;"Serviço",0,IF(OR(AND(AUTOEVENTO="Manual",$M111=1),$M111&gt;(ROW(PLE.lastrow)-ROW(PLE.firstrow))),0,IF(OFFSET(PLE!$G$14,$M111,AY$13)="",10^12,OFFSET(PLE!$G$14,$M111,AY$13))))</f>
        <v>1000000000000</v>
      </c>
      <c r="AZ111" s="182">
        <f ca="1">IF($D111&lt;&gt;"Serviço",0,IF(OR(AND(AUTOEVENTO="Manual",$M111=1),$M111&gt;(ROW(PLE.lastrow)-ROW(PLE.firstrow))),0,IF(OFFSET(PLE!$G$14,$M111,AZ$13)="",10^12,OFFSET(PLE!$G$14,$M111,AZ$13))))</f>
        <v>1000000000000</v>
      </c>
      <c r="BA111" s="182">
        <f ca="1">IF($D111&lt;&gt;"Serviço",0,IF(OR(AND(AUTOEVENTO="Manual",$M111=1),$M111&gt;(ROW(PLE.lastrow)-ROW(PLE.firstrow))),0,IF(OFFSET(PLE!$G$14,$M111,BA$13)="",10^12,OFFSET(PLE!$G$14,$M111,BA$13))))</f>
        <v>1000000000000</v>
      </c>
      <c r="BB111" s="182">
        <f ca="1">IF($D111&lt;&gt;"Serviço",0,IF(OR(AND(AUTOEVENTO="Manual",$M111=1),$M111&gt;(ROW(PLE.lastrow)-ROW(PLE.firstrow))),0,IF(OFFSET(PLE!$G$14,$M111,BB$13)="",10^12,OFFSET(PLE!$G$14,$M111,BB$13))))</f>
        <v>1000000000000</v>
      </c>
      <c r="BC111" s="182">
        <f ca="1">IF($D111&lt;&gt;"Serviço",0,IF(OR(AND(AUTOEVENTO="Manual",$M111=1),$M111&gt;(ROW(PLE.lastrow)-ROW(PLE.firstrow))),0,IF(OFFSET(PLE!$G$14,$M111,BC$13)="",10^12,OFFSET(PLE!$G$14,$M111,BC$13))))</f>
        <v>1000000000000</v>
      </c>
      <c r="BD111" s="182">
        <f ca="1">IF($D111&lt;&gt;"Serviço",0,IF(OR(AND(AUTOEVENTO="Manual",$M111=1),$M111&gt;(ROW(PLE.lastrow)-ROW(PLE.firstrow))),0,IF(OFFSET(PLE!$G$14,$M111,BD$13)="",10^12,OFFSET(PLE!$G$14,$M111,BD$13))))</f>
        <v>1000000000000</v>
      </c>
      <c r="BE111" s="182">
        <f ca="1">IF($D111&lt;&gt;"Serviço",0,IF(OR(AND(AUTOEVENTO="Manual",$M111=1),$M111&gt;(ROW(PLE.lastrow)-ROW(PLE.firstrow))),0,IF(OFFSET(PLE!$G$14,$M111,BE$13)="",10^12,OFFSET(PLE!$G$14,$M111,BE$13))))</f>
        <v>1000000000000</v>
      </c>
      <c r="BF111" s="182">
        <f ca="1">IF($D111&lt;&gt;"Serviço",0,IF(OR(AND(AUTOEVENTO="Manual",$M111=1),$M111&gt;(ROW(PLE.lastrow)-ROW(PLE.firstrow))),0,IF(OFFSET(PLE!$G$14,$M111,BF$13)="",10^12,OFFSET(PLE!$G$14,$M111,BF$13))))</f>
        <v>1000000000000</v>
      </c>
      <c r="BG111" s="182">
        <f ca="1">IF($D111&lt;&gt;"Serviço",0,IF(OR(AND(AUTOEVENTO="Manual",$M111=1),$M111&gt;(ROW(PLE.lastrow)-ROW(PLE.firstrow))),0,IF(OFFSET(PLE!$G$14,$M111,BG$13)="",10^12,OFFSET(PLE!$G$14,$M111,BG$13))))</f>
        <v>1000000000000</v>
      </c>
    </row>
    <row r="112" spans="1:59" ht="25.5" x14ac:dyDescent="0.2">
      <c r="A112" s="7" t="str">
        <f t="shared" ca="1" si="9"/>
        <v>71</v>
      </c>
      <c r="B112" s="7" t="str">
        <f ca="1">OFFSET(ORÇAMENTO!C$15,ROW(B112)-ROW(B$15),0)</f>
        <v>S</v>
      </c>
      <c r="C112" s="7" t="str">
        <f ca="1">OFFSET(ORÇAMENTO!L$15,ROW(C112)-ROW(C$15),0)</f>
        <v>F</v>
      </c>
      <c r="D112" s="118" t="str">
        <f ca="1">OFFSET(ORÇAMENTO!N$15,ROW(D112)-ROW(D$15),0)</f>
        <v>Serviço</v>
      </c>
      <c r="E112" s="119" t="str">
        <f ca="1">OFFSET(ORÇAMENTO!O$15,ROW(E112)-ROW(E$15),0)</f>
        <v>1.6.5.3.</v>
      </c>
      <c r="F112" s="172" t="str">
        <f ca="1">OFFSET(ORÇAMENTO!R$15,ROW(F112)-ROW(F$15),0)</f>
        <v>(abra o arquivo 'Referência 03-2024.xlsm)</v>
      </c>
      <c r="G112" s="173" t="str">
        <f ca="1">IF($D112&lt;&gt;"Serviço","",OFFSET(ORÇAMENTO!S$15,ROW(G112)-ROW(G$15),0))</f>
        <v>-</v>
      </c>
      <c r="H112" s="124">
        <f ca="1">IF($D112&lt;&gt;"Serviço",0,IF(ACOMPANHAMENTO="BM",ROUND(OFFSET(ORÇAMENTO!AJ$15,ROW(H112)-ROW(H$15),0),15-13*ORÇAMENTO!$AF$7),SUMPRODUCT(($Q$12:$AA$12&lt;&gt;"")*ROUND($Q112:$AA112,15-13*ORÇAMENTO!$AF$7))))</f>
        <v>2</v>
      </c>
      <c r="I112" s="561"/>
      <c r="K112" s="174"/>
      <c r="L112" s="175" t="s">
        <v>255</v>
      </c>
      <c r="M112" s="176">
        <f ca="1">IF($D112&lt;&gt;"Serviço","",IF(AUTOEVENTO="manual",$A112,IF(ISERROR(MATCH($A112,$A$15:OFFSET($A112,-1,0),0)),MAX($M$15:OFFSET(M112,-1,0))+1,INDEX($M$15:OFFSET(M112,-1,0),MATCH($A112,$A$15:OFFSET($A112,-1,0),0)))))</f>
        <v>7</v>
      </c>
      <c r="N112" s="177" t="str">
        <f ca="1">IF($D112&lt;&gt;"Serviço","",IF(AUTOEVENTO="Manual",IF($A112=0,"&lt;-- defina o número do agrupador",OFFSET(EVENTOS!$D$14,$A112,0)),OFFSET($F$15,$A112,0)))</f>
        <v>SANITÁRIO PÚBLICO ACESSÍVEL</v>
      </c>
      <c r="O112" s="178"/>
      <c r="Q112" s="178"/>
      <c r="R112" s="179"/>
      <c r="S112" s="179"/>
      <c r="T112" s="179"/>
      <c r="U112" s="179"/>
      <c r="V112" s="179"/>
      <c r="W112" s="179"/>
      <c r="X112" s="179"/>
      <c r="Y112" s="179"/>
      <c r="Z112" s="180"/>
      <c r="AB112" s="544">
        <f ca="1">IF(AND($D112="Serviço",AB$12&lt;&gt;0,$H112&gt;0,OR(AUTOEVENTO&lt;&gt;"manual",$M112&lt;&gt;1)),
IF(Import.TipoArredondamento&lt;&gt;"TransfereGOV",
ROUND(OFFSET($P112,0,AB$13),15-13*ORÇAMENTO!$AF$7)/$H112*OFFSET(ORÇAMENTO!$X$15,ROW(AB112)-ROW(AB$15),0),
ROUND(ROUND(OFFSET($P112,0,AB$13),15-13*ORÇAMENTO!$AF$7)*OFFSET(ORÇAMENTO!$W$15,ROW(AB112)-ROW(AB$15),0),15-13*ORÇAMENTO!$AF$11)),0)</f>
        <v>0</v>
      </c>
      <c r="AC112" s="545">
        <f ca="1">IF(AND($D112="Serviço",AC$12&lt;&gt;0,$H112&gt;0,OR(AUTOEVENTO&lt;&gt;"manual",$M112&lt;&gt;1)),
IF(Import.TipoArredondamento&lt;&gt;"TransfereGOV",
ROUND(OFFSET($P112,0,AC$13),15-13*ORÇAMENTO!$AF$7)/$H112*OFFSET(ORÇAMENTO!$X$15,ROW(AC112)-ROW(AC$15),0),
ROUND(ROUND(OFFSET($P112,0,AC$13),15-13*ORÇAMENTO!$AF$7)*OFFSET(ORÇAMENTO!$W$15,ROW(AC112)-ROW(AC$15),0),15-13*ORÇAMENTO!$AF$11)),0)</f>
        <v>0</v>
      </c>
      <c r="AD112" s="545">
        <f ca="1">IF(AND($D112="Serviço",AD$12&lt;&gt;0,$H112&gt;0,OR(AUTOEVENTO&lt;&gt;"manual",$M112&lt;&gt;1)),
IF(Import.TipoArredondamento&lt;&gt;"TransfereGOV",
ROUND(OFFSET($P112,0,AD$13),15-13*ORÇAMENTO!$AF$7)/$H112*OFFSET(ORÇAMENTO!$X$15,ROW(AD112)-ROW(AD$15),0),
ROUND(ROUND(OFFSET($P112,0,AD$13),15-13*ORÇAMENTO!$AF$7)*OFFSET(ORÇAMENTO!$W$15,ROW(AD112)-ROW(AD$15),0),15-13*ORÇAMENTO!$AF$11)),0)</f>
        <v>0</v>
      </c>
      <c r="AE112" s="545">
        <f ca="1">IF(AND($D112="Serviço",AE$12&lt;&gt;0,$H112&gt;0,OR(AUTOEVENTO&lt;&gt;"manual",$M112&lt;&gt;1)),
IF(Import.TipoArredondamento&lt;&gt;"TransfereGOV",
ROUND(OFFSET($P112,0,AE$13),15-13*ORÇAMENTO!$AF$7)/$H112*OFFSET(ORÇAMENTO!$X$15,ROW(AE112)-ROW(AE$15),0),
ROUND(ROUND(OFFSET($P112,0,AE$13),15-13*ORÇAMENTO!$AF$7)*OFFSET(ORÇAMENTO!$W$15,ROW(AE112)-ROW(AE$15),0),15-13*ORÇAMENTO!$AF$11)),0)</f>
        <v>0</v>
      </c>
      <c r="AF112" s="545">
        <f ca="1">IF(AND($D112="Serviço",AF$12&lt;&gt;0,$H112&gt;0,OR(AUTOEVENTO&lt;&gt;"manual",$M112&lt;&gt;1)),
IF(Import.TipoArredondamento&lt;&gt;"TransfereGOV",
ROUND(OFFSET($P112,0,AF$13),15-13*ORÇAMENTO!$AF$7)/$H112*OFFSET(ORÇAMENTO!$X$15,ROW(AF112)-ROW(AF$15),0),
ROUND(ROUND(OFFSET($P112,0,AF$13),15-13*ORÇAMENTO!$AF$7)*OFFSET(ORÇAMENTO!$W$15,ROW(AF112)-ROW(AF$15),0),15-13*ORÇAMENTO!$AF$11)),0)</f>
        <v>0</v>
      </c>
      <c r="AG112" s="545">
        <f ca="1">IF(AND($D112="Serviço",AG$12&lt;&gt;0,$H112&gt;0,OR(AUTOEVENTO&lt;&gt;"manual",$M112&lt;&gt;1)),
IF(Import.TipoArredondamento&lt;&gt;"TransfereGOV",
ROUND(OFFSET($P112,0,AG$13),15-13*ORÇAMENTO!$AF$7)/$H112*OFFSET(ORÇAMENTO!$X$15,ROW(AG112)-ROW(AG$15),0),
ROUND(ROUND(OFFSET($P112,0,AG$13),15-13*ORÇAMENTO!$AF$7)*OFFSET(ORÇAMENTO!$W$15,ROW(AG112)-ROW(AG$15),0),15-13*ORÇAMENTO!$AF$11)),0)</f>
        <v>0</v>
      </c>
      <c r="AH112" s="545">
        <f ca="1">IF(AND($D112="Serviço",AH$12&lt;&gt;0,$H112&gt;0,OR(AUTOEVENTO&lt;&gt;"manual",$M112&lt;&gt;1)),
IF(Import.TipoArredondamento&lt;&gt;"TransfereGOV",
ROUND(OFFSET($P112,0,AH$13),15-13*ORÇAMENTO!$AF$7)/$H112*OFFSET(ORÇAMENTO!$X$15,ROW(AH112)-ROW(AH$15),0),
ROUND(ROUND(OFFSET($P112,0,AH$13),15-13*ORÇAMENTO!$AF$7)*OFFSET(ORÇAMENTO!$W$15,ROW(AH112)-ROW(AH$15),0),15-13*ORÇAMENTO!$AF$11)),0)</f>
        <v>0</v>
      </c>
      <c r="AI112" s="545">
        <f ca="1">IF(AND($D112="Serviço",AI$12&lt;&gt;0,$H112&gt;0,OR(AUTOEVENTO&lt;&gt;"manual",$M112&lt;&gt;1)),
IF(Import.TipoArredondamento&lt;&gt;"TransfereGOV",
ROUND(OFFSET($P112,0,AI$13),15-13*ORÇAMENTO!$AF$7)/$H112*OFFSET(ORÇAMENTO!$X$15,ROW(AI112)-ROW(AI$15),0),
ROUND(ROUND(OFFSET($P112,0,AI$13),15-13*ORÇAMENTO!$AF$7)*OFFSET(ORÇAMENTO!$W$15,ROW(AI112)-ROW(AI$15),0),15-13*ORÇAMENTO!$AF$11)),0)</f>
        <v>0</v>
      </c>
      <c r="AJ112" s="545">
        <f ca="1">IF(AND($D112="Serviço",AJ$12&lt;&gt;0,$H112&gt;0,OR(AUTOEVENTO&lt;&gt;"manual",$M112&lt;&gt;1)),
IF(Import.TipoArredondamento&lt;&gt;"TransfereGOV",
ROUND(OFFSET($P112,0,AJ$13),15-13*ORÇAMENTO!$AF$7)/$H112*OFFSET(ORÇAMENTO!$X$15,ROW(AJ112)-ROW(AJ$15),0),
ROUND(ROUND(OFFSET($P112,0,AJ$13),15-13*ORÇAMENTO!$AF$7)*OFFSET(ORÇAMENTO!$W$15,ROW(AJ112)-ROW(AJ$15),0),15-13*ORÇAMENTO!$AF$11)),0)</f>
        <v>0</v>
      </c>
      <c r="AK112" s="546">
        <f ca="1">IF(AND($D112="Serviço",AK$12&lt;&gt;0,$H112&gt;0,OR(AUTOEVENTO&lt;&gt;"manual",$M112&lt;&gt;1)),
IF(Import.TipoArredondamento&lt;&gt;"TransfereGOV",
ROUND(OFFSET($P112,0,AK$13),15-13*ORÇAMENTO!$AF$7)/$H112*OFFSET(ORÇAMENTO!$X$15,ROW(AK112)-ROW(AK$15),0),
ROUND(ROUND(OFFSET($P112,0,AK$13),15-13*ORÇAMENTO!$AF$7)*OFFSET(ORÇAMENTO!$W$15,ROW(AK112)-ROW(AK$15),0),15-13*ORÇAMENTO!$AF$11)),0)</f>
        <v>0</v>
      </c>
      <c r="AM112" s="181">
        <f ca="1">IF($D112&lt;&gt;"Serviço",0,IF(AND(AUTOEVENTO="Manual",$M112=1),0,IF(OFFSET(CRONOPLE!$F$14,$M112,AM$13)="",10^12,OFFSET(CRONOPLE!$F$14,$M112,AM$13))))</f>
        <v>1000000000000</v>
      </c>
      <c r="AN112" s="181">
        <f ca="1">IF($D112&lt;&gt;"Serviço",0,IF(AND(AUTOEVENTO="Manual",$M112=1),0,IF(OFFSET(CRONOPLE!$F$14,$M112,AN$13)="",10^12,OFFSET(CRONOPLE!$F$14,$M112,AN$13))))</f>
        <v>1000000000000</v>
      </c>
      <c r="AO112" s="181">
        <f ca="1">IF($D112&lt;&gt;"Serviço",0,IF(AND(AUTOEVENTO="Manual",$M112=1),0,IF(OFFSET(CRONOPLE!$F$14,$M112,AO$13)="",10^12,OFFSET(CRONOPLE!$F$14,$M112,AO$13))))</f>
        <v>1000000000000</v>
      </c>
      <c r="AP112" s="181">
        <f ca="1">IF($D112&lt;&gt;"Serviço",0,IF(AND(AUTOEVENTO="Manual",$M112=1),0,IF(OFFSET(CRONOPLE!$F$14,$M112,AP$13)="",10^12,OFFSET(CRONOPLE!$F$14,$M112,AP$13))))</f>
        <v>1000000000000</v>
      </c>
      <c r="AQ112" s="181">
        <f ca="1">IF($D112&lt;&gt;"Serviço",0,IF(AND(AUTOEVENTO="Manual",$M112=1),0,IF(OFFSET(CRONOPLE!$F$14,$M112,AQ$13)="",10^12,OFFSET(CRONOPLE!$F$14,$M112,AQ$13))))</f>
        <v>1000000000000</v>
      </c>
      <c r="AR112" s="181">
        <f ca="1">IF($D112&lt;&gt;"Serviço",0,IF(AND(AUTOEVENTO="Manual",$M112=1),0,IF(OFFSET(CRONOPLE!$F$14,$M112,AR$13)="",10^12,OFFSET(CRONOPLE!$F$14,$M112,AR$13))))</f>
        <v>1000000000000</v>
      </c>
      <c r="AS112" s="181">
        <f ca="1">IF($D112&lt;&gt;"Serviço",0,IF(AND(AUTOEVENTO="Manual",$M112=1),0,IF(OFFSET(CRONOPLE!$F$14,$M112,AS$13)="",10^12,OFFSET(CRONOPLE!$F$14,$M112,AS$13))))</f>
        <v>1000000000000</v>
      </c>
      <c r="AT112" s="181">
        <f ca="1">IF($D112&lt;&gt;"Serviço",0,IF(AND(AUTOEVENTO="Manual",$M112=1),0,IF(OFFSET(CRONOPLE!$F$14,$M112,AT$13)="",10^12,OFFSET(CRONOPLE!$F$14,$M112,AT$13))))</f>
        <v>1000000000000</v>
      </c>
      <c r="AU112" s="181">
        <f ca="1">IF($D112&lt;&gt;"Serviço",0,IF(AND(AUTOEVENTO="Manual",$M112=1),0,IF(OFFSET(CRONOPLE!$F$14,$M112,AU$13)="",10^12,OFFSET(CRONOPLE!$F$14,$M112,AU$13))))</f>
        <v>1000000000000</v>
      </c>
      <c r="AV112" s="181">
        <f ca="1">IF($D112&lt;&gt;"Serviço",0,IF(AND(AUTOEVENTO="Manual",$M112=1),0,IF(OFFSET(CRONOPLE!$F$14,$M112,AV$13)="",10^12,OFFSET(CRONOPLE!$F$14,$M112,AV$13))))</f>
        <v>1000000000000</v>
      </c>
      <c r="AX112" s="182">
        <f ca="1">IF($D112&lt;&gt;"Serviço",0,IF(OR(AND(AUTOEVENTO="Manual",$M112=1),$M112&gt;(ROW(PLE.lastrow)-ROW(PLE.firstrow))),0,IF(OFFSET(PLE!$G$14,$M112,AX$13)="",10^12,OFFSET(PLE!$G$14,$M112,AX$13))))</f>
        <v>1000000000000</v>
      </c>
      <c r="AY112" s="182">
        <f ca="1">IF($D112&lt;&gt;"Serviço",0,IF(OR(AND(AUTOEVENTO="Manual",$M112=1),$M112&gt;(ROW(PLE.lastrow)-ROW(PLE.firstrow))),0,IF(OFFSET(PLE!$G$14,$M112,AY$13)="",10^12,OFFSET(PLE!$G$14,$M112,AY$13))))</f>
        <v>1000000000000</v>
      </c>
      <c r="AZ112" s="182">
        <f ca="1">IF($D112&lt;&gt;"Serviço",0,IF(OR(AND(AUTOEVENTO="Manual",$M112=1),$M112&gt;(ROW(PLE.lastrow)-ROW(PLE.firstrow))),0,IF(OFFSET(PLE!$G$14,$M112,AZ$13)="",10^12,OFFSET(PLE!$G$14,$M112,AZ$13))))</f>
        <v>1000000000000</v>
      </c>
      <c r="BA112" s="182">
        <f ca="1">IF($D112&lt;&gt;"Serviço",0,IF(OR(AND(AUTOEVENTO="Manual",$M112=1),$M112&gt;(ROW(PLE.lastrow)-ROW(PLE.firstrow))),0,IF(OFFSET(PLE!$G$14,$M112,BA$13)="",10^12,OFFSET(PLE!$G$14,$M112,BA$13))))</f>
        <v>1000000000000</v>
      </c>
      <c r="BB112" s="182">
        <f ca="1">IF($D112&lt;&gt;"Serviço",0,IF(OR(AND(AUTOEVENTO="Manual",$M112=1),$M112&gt;(ROW(PLE.lastrow)-ROW(PLE.firstrow))),0,IF(OFFSET(PLE!$G$14,$M112,BB$13)="",10^12,OFFSET(PLE!$G$14,$M112,BB$13))))</f>
        <v>1000000000000</v>
      </c>
      <c r="BC112" s="182">
        <f ca="1">IF($D112&lt;&gt;"Serviço",0,IF(OR(AND(AUTOEVENTO="Manual",$M112=1),$M112&gt;(ROW(PLE.lastrow)-ROW(PLE.firstrow))),0,IF(OFFSET(PLE!$G$14,$M112,BC$13)="",10^12,OFFSET(PLE!$G$14,$M112,BC$13))))</f>
        <v>1000000000000</v>
      </c>
      <c r="BD112" s="182">
        <f ca="1">IF($D112&lt;&gt;"Serviço",0,IF(OR(AND(AUTOEVENTO="Manual",$M112=1),$M112&gt;(ROW(PLE.lastrow)-ROW(PLE.firstrow))),0,IF(OFFSET(PLE!$G$14,$M112,BD$13)="",10^12,OFFSET(PLE!$G$14,$M112,BD$13))))</f>
        <v>1000000000000</v>
      </c>
      <c r="BE112" s="182">
        <f ca="1">IF($D112&lt;&gt;"Serviço",0,IF(OR(AND(AUTOEVENTO="Manual",$M112=1),$M112&gt;(ROW(PLE.lastrow)-ROW(PLE.firstrow))),0,IF(OFFSET(PLE!$G$14,$M112,BE$13)="",10^12,OFFSET(PLE!$G$14,$M112,BE$13))))</f>
        <v>1000000000000</v>
      </c>
      <c r="BF112" s="182">
        <f ca="1">IF($D112&lt;&gt;"Serviço",0,IF(OR(AND(AUTOEVENTO="Manual",$M112=1),$M112&gt;(ROW(PLE.lastrow)-ROW(PLE.firstrow))),0,IF(OFFSET(PLE!$G$14,$M112,BF$13)="",10^12,OFFSET(PLE!$G$14,$M112,BF$13))))</f>
        <v>1000000000000</v>
      </c>
      <c r="BG112" s="182">
        <f ca="1">IF($D112&lt;&gt;"Serviço",0,IF(OR(AND(AUTOEVENTO="Manual",$M112=1),$M112&gt;(ROW(PLE.lastrow)-ROW(PLE.firstrow))),0,IF(OFFSET(PLE!$G$14,$M112,BG$13)="",10^12,OFFSET(PLE!$G$14,$M112,BG$13))))</f>
        <v>1000000000000</v>
      </c>
    </row>
    <row r="113" spans="1:59" ht="25.5" x14ac:dyDescent="0.2">
      <c r="A113" s="7" t="str">
        <f t="shared" ca="1" si="9"/>
        <v>71</v>
      </c>
      <c r="B113" s="7" t="str">
        <f ca="1">OFFSET(ORÇAMENTO!C$15,ROW(B113)-ROW(B$15),0)</f>
        <v>S</v>
      </c>
      <c r="C113" s="7" t="str">
        <f ca="1">OFFSET(ORÇAMENTO!L$15,ROW(C113)-ROW(C$15),0)</f>
        <v>F</v>
      </c>
      <c r="D113" s="118" t="str">
        <f ca="1">OFFSET(ORÇAMENTO!N$15,ROW(D113)-ROW(D$15),0)</f>
        <v>Serviço</v>
      </c>
      <c r="E113" s="119" t="str">
        <f ca="1">OFFSET(ORÇAMENTO!O$15,ROW(E113)-ROW(E$15),0)</f>
        <v>1.6.5.4.</v>
      </c>
      <c r="F113" s="172" t="str">
        <f ca="1">OFFSET(ORÇAMENTO!R$15,ROW(F113)-ROW(F$15),0)</f>
        <v>(abra o arquivo 'Referência 03-2024.xlsm)</v>
      </c>
      <c r="G113" s="173" t="str">
        <f ca="1">IF($D113&lt;&gt;"Serviço","",OFFSET(ORÇAMENTO!S$15,ROW(G113)-ROW(G$15),0))</f>
        <v>-</v>
      </c>
      <c r="H113" s="124">
        <f ca="1">IF($D113&lt;&gt;"Serviço",0,IF(ACOMPANHAMENTO="BM",ROUND(OFFSET(ORÇAMENTO!AJ$15,ROW(H113)-ROW(H$15),0),15-13*ORÇAMENTO!$AF$7),SUMPRODUCT(($Q$12:$AA$12&lt;&gt;"")*ROUND($Q113:$AA113,15-13*ORÇAMENTO!$AF$7))))</f>
        <v>5</v>
      </c>
      <c r="I113" s="561"/>
      <c r="K113" s="174"/>
      <c r="L113" s="175" t="s">
        <v>255</v>
      </c>
      <c r="M113" s="176">
        <f ca="1">IF($D113&lt;&gt;"Serviço","",IF(AUTOEVENTO="manual",$A113,IF(ISERROR(MATCH($A113,$A$15:OFFSET($A113,-1,0),0)),MAX($M$15:OFFSET(M113,-1,0))+1,INDEX($M$15:OFFSET(M113,-1,0),MATCH($A113,$A$15:OFFSET($A113,-1,0),0)))))</f>
        <v>7</v>
      </c>
      <c r="N113" s="177" t="str">
        <f ca="1">IF($D113&lt;&gt;"Serviço","",IF(AUTOEVENTO="Manual",IF($A113=0,"&lt;-- defina o número do agrupador",OFFSET(EVENTOS!$D$14,$A113,0)),OFFSET($F$15,$A113,0)))</f>
        <v>SANITÁRIO PÚBLICO ACESSÍVEL</v>
      </c>
      <c r="O113" s="178"/>
      <c r="Q113" s="178"/>
      <c r="R113" s="179"/>
      <c r="S113" s="179"/>
      <c r="T113" s="179"/>
      <c r="U113" s="179"/>
      <c r="V113" s="179"/>
      <c r="W113" s="179"/>
      <c r="X113" s="179"/>
      <c r="Y113" s="179"/>
      <c r="Z113" s="180"/>
      <c r="AB113" s="544">
        <f ca="1">IF(AND($D113="Serviço",AB$12&lt;&gt;0,$H113&gt;0,OR(AUTOEVENTO&lt;&gt;"manual",$M113&lt;&gt;1)),
IF(Import.TipoArredondamento&lt;&gt;"TransfereGOV",
ROUND(OFFSET($P113,0,AB$13),15-13*ORÇAMENTO!$AF$7)/$H113*OFFSET(ORÇAMENTO!$X$15,ROW(AB113)-ROW(AB$15),0),
ROUND(ROUND(OFFSET($P113,0,AB$13),15-13*ORÇAMENTO!$AF$7)*OFFSET(ORÇAMENTO!$W$15,ROW(AB113)-ROW(AB$15),0),15-13*ORÇAMENTO!$AF$11)),0)</f>
        <v>0</v>
      </c>
      <c r="AC113" s="545">
        <f ca="1">IF(AND($D113="Serviço",AC$12&lt;&gt;0,$H113&gt;0,OR(AUTOEVENTO&lt;&gt;"manual",$M113&lt;&gt;1)),
IF(Import.TipoArredondamento&lt;&gt;"TransfereGOV",
ROUND(OFFSET($P113,0,AC$13),15-13*ORÇAMENTO!$AF$7)/$H113*OFFSET(ORÇAMENTO!$X$15,ROW(AC113)-ROW(AC$15),0),
ROUND(ROUND(OFFSET($P113,0,AC$13),15-13*ORÇAMENTO!$AF$7)*OFFSET(ORÇAMENTO!$W$15,ROW(AC113)-ROW(AC$15),0),15-13*ORÇAMENTO!$AF$11)),0)</f>
        <v>0</v>
      </c>
      <c r="AD113" s="545">
        <f ca="1">IF(AND($D113="Serviço",AD$12&lt;&gt;0,$H113&gt;0,OR(AUTOEVENTO&lt;&gt;"manual",$M113&lt;&gt;1)),
IF(Import.TipoArredondamento&lt;&gt;"TransfereGOV",
ROUND(OFFSET($P113,0,AD$13),15-13*ORÇAMENTO!$AF$7)/$H113*OFFSET(ORÇAMENTO!$X$15,ROW(AD113)-ROW(AD$15),0),
ROUND(ROUND(OFFSET($P113,0,AD$13),15-13*ORÇAMENTO!$AF$7)*OFFSET(ORÇAMENTO!$W$15,ROW(AD113)-ROW(AD$15),0),15-13*ORÇAMENTO!$AF$11)),0)</f>
        <v>0</v>
      </c>
      <c r="AE113" s="545">
        <f ca="1">IF(AND($D113="Serviço",AE$12&lt;&gt;0,$H113&gt;0,OR(AUTOEVENTO&lt;&gt;"manual",$M113&lt;&gt;1)),
IF(Import.TipoArredondamento&lt;&gt;"TransfereGOV",
ROUND(OFFSET($P113,0,AE$13),15-13*ORÇAMENTO!$AF$7)/$H113*OFFSET(ORÇAMENTO!$X$15,ROW(AE113)-ROW(AE$15),0),
ROUND(ROUND(OFFSET($P113,0,AE$13),15-13*ORÇAMENTO!$AF$7)*OFFSET(ORÇAMENTO!$W$15,ROW(AE113)-ROW(AE$15),0),15-13*ORÇAMENTO!$AF$11)),0)</f>
        <v>0</v>
      </c>
      <c r="AF113" s="545">
        <f ca="1">IF(AND($D113="Serviço",AF$12&lt;&gt;0,$H113&gt;0,OR(AUTOEVENTO&lt;&gt;"manual",$M113&lt;&gt;1)),
IF(Import.TipoArredondamento&lt;&gt;"TransfereGOV",
ROUND(OFFSET($P113,0,AF$13),15-13*ORÇAMENTO!$AF$7)/$H113*OFFSET(ORÇAMENTO!$X$15,ROW(AF113)-ROW(AF$15),0),
ROUND(ROUND(OFFSET($P113,0,AF$13),15-13*ORÇAMENTO!$AF$7)*OFFSET(ORÇAMENTO!$W$15,ROW(AF113)-ROW(AF$15),0),15-13*ORÇAMENTO!$AF$11)),0)</f>
        <v>0</v>
      </c>
      <c r="AG113" s="545">
        <f ca="1">IF(AND($D113="Serviço",AG$12&lt;&gt;0,$H113&gt;0,OR(AUTOEVENTO&lt;&gt;"manual",$M113&lt;&gt;1)),
IF(Import.TipoArredondamento&lt;&gt;"TransfereGOV",
ROUND(OFFSET($P113,0,AG$13),15-13*ORÇAMENTO!$AF$7)/$H113*OFFSET(ORÇAMENTO!$X$15,ROW(AG113)-ROW(AG$15),0),
ROUND(ROUND(OFFSET($P113,0,AG$13),15-13*ORÇAMENTO!$AF$7)*OFFSET(ORÇAMENTO!$W$15,ROW(AG113)-ROW(AG$15),0),15-13*ORÇAMENTO!$AF$11)),0)</f>
        <v>0</v>
      </c>
      <c r="AH113" s="545">
        <f ca="1">IF(AND($D113="Serviço",AH$12&lt;&gt;0,$H113&gt;0,OR(AUTOEVENTO&lt;&gt;"manual",$M113&lt;&gt;1)),
IF(Import.TipoArredondamento&lt;&gt;"TransfereGOV",
ROUND(OFFSET($P113,0,AH$13),15-13*ORÇAMENTO!$AF$7)/$H113*OFFSET(ORÇAMENTO!$X$15,ROW(AH113)-ROW(AH$15),0),
ROUND(ROUND(OFFSET($P113,0,AH$13),15-13*ORÇAMENTO!$AF$7)*OFFSET(ORÇAMENTO!$W$15,ROW(AH113)-ROW(AH$15),0),15-13*ORÇAMENTO!$AF$11)),0)</f>
        <v>0</v>
      </c>
      <c r="AI113" s="545">
        <f ca="1">IF(AND($D113="Serviço",AI$12&lt;&gt;0,$H113&gt;0,OR(AUTOEVENTO&lt;&gt;"manual",$M113&lt;&gt;1)),
IF(Import.TipoArredondamento&lt;&gt;"TransfereGOV",
ROUND(OFFSET($P113,0,AI$13),15-13*ORÇAMENTO!$AF$7)/$H113*OFFSET(ORÇAMENTO!$X$15,ROW(AI113)-ROW(AI$15),0),
ROUND(ROUND(OFFSET($P113,0,AI$13),15-13*ORÇAMENTO!$AF$7)*OFFSET(ORÇAMENTO!$W$15,ROW(AI113)-ROW(AI$15),0),15-13*ORÇAMENTO!$AF$11)),0)</f>
        <v>0</v>
      </c>
      <c r="AJ113" s="545">
        <f ca="1">IF(AND($D113="Serviço",AJ$12&lt;&gt;0,$H113&gt;0,OR(AUTOEVENTO&lt;&gt;"manual",$M113&lt;&gt;1)),
IF(Import.TipoArredondamento&lt;&gt;"TransfereGOV",
ROUND(OFFSET($P113,0,AJ$13),15-13*ORÇAMENTO!$AF$7)/$H113*OFFSET(ORÇAMENTO!$X$15,ROW(AJ113)-ROW(AJ$15),0),
ROUND(ROUND(OFFSET($P113,0,AJ$13),15-13*ORÇAMENTO!$AF$7)*OFFSET(ORÇAMENTO!$W$15,ROW(AJ113)-ROW(AJ$15),0),15-13*ORÇAMENTO!$AF$11)),0)</f>
        <v>0</v>
      </c>
      <c r="AK113" s="546">
        <f ca="1">IF(AND($D113="Serviço",AK$12&lt;&gt;0,$H113&gt;0,OR(AUTOEVENTO&lt;&gt;"manual",$M113&lt;&gt;1)),
IF(Import.TipoArredondamento&lt;&gt;"TransfereGOV",
ROUND(OFFSET($P113,0,AK$13),15-13*ORÇAMENTO!$AF$7)/$H113*OFFSET(ORÇAMENTO!$X$15,ROW(AK113)-ROW(AK$15),0),
ROUND(ROUND(OFFSET($P113,0,AK$13),15-13*ORÇAMENTO!$AF$7)*OFFSET(ORÇAMENTO!$W$15,ROW(AK113)-ROW(AK$15),0),15-13*ORÇAMENTO!$AF$11)),0)</f>
        <v>0</v>
      </c>
      <c r="AM113" s="181">
        <f ca="1">IF($D113&lt;&gt;"Serviço",0,IF(AND(AUTOEVENTO="Manual",$M113=1),0,IF(OFFSET(CRONOPLE!$F$14,$M113,AM$13)="",10^12,OFFSET(CRONOPLE!$F$14,$M113,AM$13))))</f>
        <v>1000000000000</v>
      </c>
      <c r="AN113" s="181">
        <f ca="1">IF($D113&lt;&gt;"Serviço",0,IF(AND(AUTOEVENTO="Manual",$M113=1),0,IF(OFFSET(CRONOPLE!$F$14,$M113,AN$13)="",10^12,OFFSET(CRONOPLE!$F$14,$M113,AN$13))))</f>
        <v>1000000000000</v>
      </c>
      <c r="AO113" s="181">
        <f ca="1">IF($D113&lt;&gt;"Serviço",0,IF(AND(AUTOEVENTO="Manual",$M113=1),0,IF(OFFSET(CRONOPLE!$F$14,$M113,AO$13)="",10^12,OFFSET(CRONOPLE!$F$14,$M113,AO$13))))</f>
        <v>1000000000000</v>
      </c>
      <c r="AP113" s="181">
        <f ca="1">IF($D113&lt;&gt;"Serviço",0,IF(AND(AUTOEVENTO="Manual",$M113=1),0,IF(OFFSET(CRONOPLE!$F$14,$M113,AP$13)="",10^12,OFFSET(CRONOPLE!$F$14,$M113,AP$13))))</f>
        <v>1000000000000</v>
      </c>
      <c r="AQ113" s="181">
        <f ca="1">IF($D113&lt;&gt;"Serviço",0,IF(AND(AUTOEVENTO="Manual",$M113=1),0,IF(OFFSET(CRONOPLE!$F$14,$M113,AQ$13)="",10^12,OFFSET(CRONOPLE!$F$14,$M113,AQ$13))))</f>
        <v>1000000000000</v>
      </c>
      <c r="AR113" s="181">
        <f ca="1">IF($D113&lt;&gt;"Serviço",0,IF(AND(AUTOEVENTO="Manual",$M113=1),0,IF(OFFSET(CRONOPLE!$F$14,$M113,AR$13)="",10^12,OFFSET(CRONOPLE!$F$14,$M113,AR$13))))</f>
        <v>1000000000000</v>
      </c>
      <c r="AS113" s="181">
        <f ca="1">IF($D113&lt;&gt;"Serviço",0,IF(AND(AUTOEVENTO="Manual",$M113=1),0,IF(OFFSET(CRONOPLE!$F$14,$M113,AS$13)="",10^12,OFFSET(CRONOPLE!$F$14,$M113,AS$13))))</f>
        <v>1000000000000</v>
      </c>
      <c r="AT113" s="181">
        <f ca="1">IF($D113&lt;&gt;"Serviço",0,IF(AND(AUTOEVENTO="Manual",$M113=1),0,IF(OFFSET(CRONOPLE!$F$14,$M113,AT$13)="",10^12,OFFSET(CRONOPLE!$F$14,$M113,AT$13))))</f>
        <v>1000000000000</v>
      </c>
      <c r="AU113" s="181">
        <f ca="1">IF($D113&lt;&gt;"Serviço",0,IF(AND(AUTOEVENTO="Manual",$M113=1),0,IF(OFFSET(CRONOPLE!$F$14,$M113,AU$13)="",10^12,OFFSET(CRONOPLE!$F$14,$M113,AU$13))))</f>
        <v>1000000000000</v>
      </c>
      <c r="AV113" s="181">
        <f ca="1">IF($D113&lt;&gt;"Serviço",0,IF(AND(AUTOEVENTO="Manual",$M113=1),0,IF(OFFSET(CRONOPLE!$F$14,$M113,AV$13)="",10^12,OFFSET(CRONOPLE!$F$14,$M113,AV$13))))</f>
        <v>1000000000000</v>
      </c>
      <c r="AX113" s="182">
        <f ca="1">IF($D113&lt;&gt;"Serviço",0,IF(OR(AND(AUTOEVENTO="Manual",$M113=1),$M113&gt;(ROW(PLE.lastrow)-ROW(PLE.firstrow))),0,IF(OFFSET(PLE!$G$14,$M113,AX$13)="",10^12,OFFSET(PLE!$G$14,$M113,AX$13))))</f>
        <v>1000000000000</v>
      </c>
      <c r="AY113" s="182">
        <f ca="1">IF($D113&lt;&gt;"Serviço",0,IF(OR(AND(AUTOEVENTO="Manual",$M113=1),$M113&gt;(ROW(PLE.lastrow)-ROW(PLE.firstrow))),0,IF(OFFSET(PLE!$G$14,$M113,AY$13)="",10^12,OFFSET(PLE!$G$14,$M113,AY$13))))</f>
        <v>1000000000000</v>
      </c>
      <c r="AZ113" s="182">
        <f ca="1">IF($D113&lt;&gt;"Serviço",0,IF(OR(AND(AUTOEVENTO="Manual",$M113=1),$M113&gt;(ROW(PLE.lastrow)-ROW(PLE.firstrow))),0,IF(OFFSET(PLE!$G$14,$M113,AZ$13)="",10^12,OFFSET(PLE!$G$14,$M113,AZ$13))))</f>
        <v>1000000000000</v>
      </c>
      <c r="BA113" s="182">
        <f ca="1">IF($D113&lt;&gt;"Serviço",0,IF(OR(AND(AUTOEVENTO="Manual",$M113=1),$M113&gt;(ROW(PLE.lastrow)-ROW(PLE.firstrow))),0,IF(OFFSET(PLE!$G$14,$M113,BA$13)="",10^12,OFFSET(PLE!$G$14,$M113,BA$13))))</f>
        <v>1000000000000</v>
      </c>
      <c r="BB113" s="182">
        <f ca="1">IF($D113&lt;&gt;"Serviço",0,IF(OR(AND(AUTOEVENTO="Manual",$M113=1),$M113&gt;(ROW(PLE.lastrow)-ROW(PLE.firstrow))),0,IF(OFFSET(PLE!$G$14,$M113,BB$13)="",10^12,OFFSET(PLE!$G$14,$M113,BB$13))))</f>
        <v>1000000000000</v>
      </c>
      <c r="BC113" s="182">
        <f ca="1">IF($D113&lt;&gt;"Serviço",0,IF(OR(AND(AUTOEVENTO="Manual",$M113=1),$M113&gt;(ROW(PLE.lastrow)-ROW(PLE.firstrow))),0,IF(OFFSET(PLE!$G$14,$M113,BC$13)="",10^12,OFFSET(PLE!$G$14,$M113,BC$13))))</f>
        <v>1000000000000</v>
      </c>
      <c r="BD113" s="182">
        <f ca="1">IF($D113&lt;&gt;"Serviço",0,IF(OR(AND(AUTOEVENTO="Manual",$M113=1),$M113&gt;(ROW(PLE.lastrow)-ROW(PLE.firstrow))),0,IF(OFFSET(PLE!$G$14,$M113,BD$13)="",10^12,OFFSET(PLE!$G$14,$M113,BD$13))))</f>
        <v>1000000000000</v>
      </c>
      <c r="BE113" s="182">
        <f ca="1">IF($D113&lt;&gt;"Serviço",0,IF(OR(AND(AUTOEVENTO="Manual",$M113=1),$M113&gt;(ROW(PLE.lastrow)-ROW(PLE.firstrow))),0,IF(OFFSET(PLE!$G$14,$M113,BE$13)="",10^12,OFFSET(PLE!$G$14,$M113,BE$13))))</f>
        <v>1000000000000</v>
      </c>
      <c r="BF113" s="182">
        <f ca="1">IF($D113&lt;&gt;"Serviço",0,IF(OR(AND(AUTOEVENTO="Manual",$M113=1),$M113&gt;(ROW(PLE.lastrow)-ROW(PLE.firstrow))),0,IF(OFFSET(PLE!$G$14,$M113,BF$13)="",10^12,OFFSET(PLE!$G$14,$M113,BF$13))))</f>
        <v>1000000000000</v>
      </c>
      <c r="BG113" s="182">
        <f ca="1">IF($D113&lt;&gt;"Serviço",0,IF(OR(AND(AUTOEVENTO="Manual",$M113=1),$M113&gt;(ROW(PLE.lastrow)-ROW(PLE.firstrow))),0,IF(OFFSET(PLE!$G$14,$M113,BG$13)="",10^12,OFFSET(PLE!$G$14,$M113,BG$13))))</f>
        <v>1000000000000</v>
      </c>
    </row>
    <row r="114" spans="1:59" ht="12.75" x14ac:dyDescent="0.2">
      <c r="A114" s="7" t="str">
        <f t="shared" ca="1" si="9"/>
        <v>71</v>
      </c>
      <c r="B114" s="7">
        <f ca="1">OFFSET(ORÇAMENTO!C$15,ROW(B114)-ROW(B$15),0)</f>
        <v>3</v>
      </c>
      <c r="C114" s="7" t="str">
        <f ca="1">OFFSET(ORÇAMENTO!L$15,ROW(C114)-ROW(C$15),0)</f>
        <v>F</v>
      </c>
      <c r="D114" s="118" t="str">
        <f ca="1">OFFSET(ORÇAMENTO!N$15,ROW(D114)-ROW(D$15),0)</f>
        <v>Nível 3</v>
      </c>
      <c r="E114" s="119" t="str">
        <f ca="1">OFFSET(ORÇAMENTO!O$15,ROW(E114)-ROW(E$15),0)</f>
        <v>1.6.6.</v>
      </c>
      <c r="F114" s="172" t="str">
        <f ca="1">OFFSET(ORÇAMENTO!R$15,ROW(F114)-ROW(F$15),0)</f>
        <v>PILARES</v>
      </c>
      <c r="G114" s="173" t="str">
        <f ca="1">IF($D114&lt;&gt;"Serviço","",OFFSET(ORÇAMENTO!S$15,ROW(G114)-ROW(G$15),0))</f>
        <v/>
      </c>
      <c r="H114" s="124">
        <f ca="1">IF($D114&lt;&gt;"Serviço",0,IF(ACOMPANHAMENTO="BM",ROUND(OFFSET(ORÇAMENTO!AJ$15,ROW(H114)-ROW(H$15),0),15-13*ORÇAMENTO!$AF$7),SUMPRODUCT(($Q$12:$AA$12&lt;&gt;"")*ROUND($Q114:$AA114,15-13*ORÇAMENTO!$AF$7))))</f>
        <v>0</v>
      </c>
      <c r="I114" s="561"/>
      <c r="K114" s="174"/>
      <c r="L114" s="175" t="s">
        <v>255</v>
      </c>
      <c r="M114" s="176" t="str">
        <f ca="1">IF($D114&lt;&gt;"Serviço","",IF(AUTOEVENTO="manual",$A114,IF(ISERROR(MATCH($A114,$A$15:OFFSET($A114,-1,0),0)),MAX($M$15:OFFSET(M114,-1,0))+1,INDEX($M$15:OFFSET(M114,-1,0),MATCH($A114,$A$15:OFFSET($A114,-1,0),0)))))</f>
        <v/>
      </c>
      <c r="N114" s="177" t="str">
        <f ca="1">IF($D114&lt;&gt;"Serviço","",IF(AUTOEVENTO="Manual",IF($A114=0,"&lt;-- defina o número do agrupador",OFFSET(EVENTOS!$D$14,$A114,0)),OFFSET($F$15,$A114,0)))</f>
        <v/>
      </c>
      <c r="O114" s="178"/>
      <c r="Q114" s="178"/>
      <c r="R114" s="179"/>
      <c r="S114" s="179"/>
      <c r="T114" s="179"/>
      <c r="U114" s="179"/>
      <c r="V114" s="179"/>
      <c r="W114" s="179"/>
      <c r="X114" s="179"/>
      <c r="Y114" s="179"/>
      <c r="Z114" s="180"/>
      <c r="AB114" s="544">
        <f ca="1">IF(AND($D114="Serviço",AB$12&lt;&gt;0,$H114&gt;0,OR(AUTOEVENTO&lt;&gt;"manual",$M114&lt;&gt;1)),
IF(Import.TipoArredondamento&lt;&gt;"TransfereGOV",
ROUND(OFFSET($P114,0,AB$13),15-13*ORÇAMENTO!$AF$7)/$H114*OFFSET(ORÇAMENTO!$X$15,ROW(AB114)-ROW(AB$15),0),
ROUND(ROUND(OFFSET($P114,0,AB$13),15-13*ORÇAMENTO!$AF$7)*OFFSET(ORÇAMENTO!$W$15,ROW(AB114)-ROW(AB$15),0),15-13*ORÇAMENTO!$AF$11)),0)</f>
        <v>0</v>
      </c>
      <c r="AC114" s="545">
        <f ca="1">IF(AND($D114="Serviço",AC$12&lt;&gt;0,$H114&gt;0,OR(AUTOEVENTO&lt;&gt;"manual",$M114&lt;&gt;1)),
IF(Import.TipoArredondamento&lt;&gt;"TransfereGOV",
ROUND(OFFSET($P114,0,AC$13),15-13*ORÇAMENTO!$AF$7)/$H114*OFFSET(ORÇAMENTO!$X$15,ROW(AC114)-ROW(AC$15),0),
ROUND(ROUND(OFFSET($P114,0,AC$13),15-13*ORÇAMENTO!$AF$7)*OFFSET(ORÇAMENTO!$W$15,ROW(AC114)-ROW(AC$15),0),15-13*ORÇAMENTO!$AF$11)),0)</f>
        <v>0</v>
      </c>
      <c r="AD114" s="545">
        <f ca="1">IF(AND($D114="Serviço",AD$12&lt;&gt;0,$H114&gt;0,OR(AUTOEVENTO&lt;&gt;"manual",$M114&lt;&gt;1)),
IF(Import.TipoArredondamento&lt;&gt;"TransfereGOV",
ROUND(OFFSET($P114,0,AD$13),15-13*ORÇAMENTO!$AF$7)/$H114*OFFSET(ORÇAMENTO!$X$15,ROW(AD114)-ROW(AD$15),0),
ROUND(ROUND(OFFSET($P114,0,AD$13),15-13*ORÇAMENTO!$AF$7)*OFFSET(ORÇAMENTO!$W$15,ROW(AD114)-ROW(AD$15),0),15-13*ORÇAMENTO!$AF$11)),0)</f>
        <v>0</v>
      </c>
      <c r="AE114" s="545">
        <f ca="1">IF(AND($D114="Serviço",AE$12&lt;&gt;0,$H114&gt;0,OR(AUTOEVENTO&lt;&gt;"manual",$M114&lt;&gt;1)),
IF(Import.TipoArredondamento&lt;&gt;"TransfereGOV",
ROUND(OFFSET($P114,0,AE$13),15-13*ORÇAMENTO!$AF$7)/$H114*OFFSET(ORÇAMENTO!$X$15,ROW(AE114)-ROW(AE$15),0),
ROUND(ROUND(OFFSET($P114,0,AE$13),15-13*ORÇAMENTO!$AF$7)*OFFSET(ORÇAMENTO!$W$15,ROW(AE114)-ROW(AE$15),0),15-13*ORÇAMENTO!$AF$11)),0)</f>
        <v>0</v>
      </c>
      <c r="AF114" s="545">
        <f ca="1">IF(AND($D114="Serviço",AF$12&lt;&gt;0,$H114&gt;0,OR(AUTOEVENTO&lt;&gt;"manual",$M114&lt;&gt;1)),
IF(Import.TipoArredondamento&lt;&gt;"TransfereGOV",
ROUND(OFFSET($P114,0,AF$13),15-13*ORÇAMENTO!$AF$7)/$H114*OFFSET(ORÇAMENTO!$X$15,ROW(AF114)-ROW(AF$15),0),
ROUND(ROUND(OFFSET($P114,0,AF$13),15-13*ORÇAMENTO!$AF$7)*OFFSET(ORÇAMENTO!$W$15,ROW(AF114)-ROW(AF$15),0),15-13*ORÇAMENTO!$AF$11)),0)</f>
        <v>0</v>
      </c>
      <c r="AG114" s="545">
        <f ca="1">IF(AND($D114="Serviço",AG$12&lt;&gt;0,$H114&gt;0,OR(AUTOEVENTO&lt;&gt;"manual",$M114&lt;&gt;1)),
IF(Import.TipoArredondamento&lt;&gt;"TransfereGOV",
ROUND(OFFSET($P114,0,AG$13),15-13*ORÇAMENTO!$AF$7)/$H114*OFFSET(ORÇAMENTO!$X$15,ROW(AG114)-ROW(AG$15),0),
ROUND(ROUND(OFFSET($P114,0,AG$13),15-13*ORÇAMENTO!$AF$7)*OFFSET(ORÇAMENTO!$W$15,ROW(AG114)-ROW(AG$15),0),15-13*ORÇAMENTO!$AF$11)),0)</f>
        <v>0</v>
      </c>
      <c r="AH114" s="545">
        <f ca="1">IF(AND($D114="Serviço",AH$12&lt;&gt;0,$H114&gt;0,OR(AUTOEVENTO&lt;&gt;"manual",$M114&lt;&gt;1)),
IF(Import.TipoArredondamento&lt;&gt;"TransfereGOV",
ROUND(OFFSET($P114,0,AH$13),15-13*ORÇAMENTO!$AF$7)/$H114*OFFSET(ORÇAMENTO!$X$15,ROW(AH114)-ROW(AH$15),0),
ROUND(ROUND(OFFSET($P114,0,AH$13),15-13*ORÇAMENTO!$AF$7)*OFFSET(ORÇAMENTO!$W$15,ROW(AH114)-ROW(AH$15),0),15-13*ORÇAMENTO!$AF$11)),0)</f>
        <v>0</v>
      </c>
      <c r="AI114" s="545">
        <f ca="1">IF(AND($D114="Serviço",AI$12&lt;&gt;0,$H114&gt;0,OR(AUTOEVENTO&lt;&gt;"manual",$M114&lt;&gt;1)),
IF(Import.TipoArredondamento&lt;&gt;"TransfereGOV",
ROUND(OFFSET($P114,0,AI$13),15-13*ORÇAMENTO!$AF$7)/$H114*OFFSET(ORÇAMENTO!$X$15,ROW(AI114)-ROW(AI$15),0),
ROUND(ROUND(OFFSET($P114,0,AI$13),15-13*ORÇAMENTO!$AF$7)*OFFSET(ORÇAMENTO!$W$15,ROW(AI114)-ROW(AI$15),0),15-13*ORÇAMENTO!$AF$11)),0)</f>
        <v>0</v>
      </c>
      <c r="AJ114" s="545">
        <f ca="1">IF(AND($D114="Serviço",AJ$12&lt;&gt;0,$H114&gt;0,OR(AUTOEVENTO&lt;&gt;"manual",$M114&lt;&gt;1)),
IF(Import.TipoArredondamento&lt;&gt;"TransfereGOV",
ROUND(OFFSET($P114,0,AJ$13),15-13*ORÇAMENTO!$AF$7)/$H114*OFFSET(ORÇAMENTO!$X$15,ROW(AJ114)-ROW(AJ$15),0),
ROUND(ROUND(OFFSET($P114,0,AJ$13),15-13*ORÇAMENTO!$AF$7)*OFFSET(ORÇAMENTO!$W$15,ROW(AJ114)-ROW(AJ$15),0),15-13*ORÇAMENTO!$AF$11)),0)</f>
        <v>0</v>
      </c>
      <c r="AK114" s="546">
        <f ca="1">IF(AND($D114="Serviço",AK$12&lt;&gt;0,$H114&gt;0,OR(AUTOEVENTO&lt;&gt;"manual",$M114&lt;&gt;1)),
IF(Import.TipoArredondamento&lt;&gt;"TransfereGOV",
ROUND(OFFSET($P114,0,AK$13),15-13*ORÇAMENTO!$AF$7)/$H114*OFFSET(ORÇAMENTO!$X$15,ROW(AK114)-ROW(AK$15),0),
ROUND(ROUND(OFFSET($P114,0,AK$13),15-13*ORÇAMENTO!$AF$7)*OFFSET(ORÇAMENTO!$W$15,ROW(AK114)-ROW(AK$15),0),15-13*ORÇAMENTO!$AF$11)),0)</f>
        <v>0</v>
      </c>
      <c r="AM114" s="181">
        <f ca="1">IF($D114&lt;&gt;"Serviço",0,IF(AND(AUTOEVENTO="Manual",$M114=1),0,IF(OFFSET(CRONOPLE!$F$14,$M114,AM$13)="",10^12,OFFSET(CRONOPLE!$F$14,$M114,AM$13))))</f>
        <v>0</v>
      </c>
      <c r="AN114" s="181">
        <f ca="1">IF($D114&lt;&gt;"Serviço",0,IF(AND(AUTOEVENTO="Manual",$M114=1),0,IF(OFFSET(CRONOPLE!$F$14,$M114,AN$13)="",10^12,OFFSET(CRONOPLE!$F$14,$M114,AN$13))))</f>
        <v>0</v>
      </c>
      <c r="AO114" s="181">
        <f ca="1">IF($D114&lt;&gt;"Serviço",0,IF(AND(AUTOEVENTO="Manual",$M114=1),0,IF(OFFSET(CRONOPLE!$F$14,$M114,AO$13)="",10^12,OFFSET(CRONOPLE!$F$14,$M114,AO$13))))</f>
        <v>0</v>
      </c>
      <c r="AP114" s="181">
        <f ca="1">IF($D114&lt;&gt;"Serviço",0,IF(AND(AUTOEVENTO="Manual",$M114=1),0,IF(OFFSET(CRONOPLE!$F$14,$M114,AP$13)="",10^12,OFFSET(CRONOPLE!$F$14,$M114,AP$13))))</f>
        <v>0</v>
      </c>
      <c r="AQ114" s="181">
        <f ca="1">IF($D114&lt;&gt;"Serviço",0,IF(AND(AUTOEVENTO="Manual",$M114=1),0,IF(OFFSET(CRONOPLE!$F$14,$M114,AQ$13)="",10^12,OFFSET(CRONOPLE!$F$14,$M114,AQ$13))))</f>
        <v>0</v>
      </c>
      <c r="AR114" s="181">
        <f ca="1">IF($D114&lt;&gt;"Serviço",0,IF(AND(AUTOEVENTO="Manual",$M114=1),0,IF(OFFSET(CRONOPLE!$F$14,$M114,AR$13)="",10^12,OFFSET(CRONOPLE!$F$14,$M114,AR$13))))</f>
        <v>0</v>
      </c>
      <c r="AS114" s="181">
        <f ca="1">IF($D114&lt;&gt;"Serviço",0,IF(AND(AUTOEVENTO="Manual",$M114=1),0,IF(OFFSET(CRONOPLE!$F$14,$M114,AS$13)="",10^12,OFFSET(CRONOPLE!$F$14,$M114,AS$13))))</f>
        <v>0</v>
      </c>
      <c r="AT114" s="181">
        <f ca="1">IF($D114&lt;&gt;"Serviço",0,IF(AND(AUTOEVENTO="Manual",$M114=1),0,IF(OFFSET(CRONOPLE!$F$14,$M114,AT$13)="",10^12,OFFSET(CRONOPLE!$F$14,$M114,AT$13))))</f>
        <v>0</v>
      </c>
      <c r="AU114" s="181">
        <f ca="1">IF($D114&lt;&gt;"Serviço",0,IF(AND(AUTOEVENTO="Manual",$M114=1),0,IF(OFFSET(CRONOPLE!$F$14,$M114,AU$13)="",10^12,OFFSET(CRONOPLE!$F$14,$M114,AU$13))))</f>
        <v>0</v>
      </c>
      <c r="AV114" s="181">
        <f ca="1">IF($D114&lt;&gt;"Serviço",0,IF(AND(AUTOEVENTO="Manual",$M114=1),0,IF(OFFSET(CRONOPLE!$F$14,$M114,AV$13)="",10^12,OFFSET(CRONOPLE!$F$14,$M114,AV$13))))</f>
        <v>0</v>
      </c>
      <c r="AX114" s="182">
        <f ca="1">IF($D114&lt;&gt;"Serviço",0,IF(OR(AND(AUTOEVENTO="Manual",$M114=1),$M114&gt;(ROW(PLE.lastrow)-ROW(PLE.firstrow))),0,IF(OFFSET(PLE!$G$14,$M114,AX$13)="",10^12,OFFSET(PLE!$G$14,$M114,AX$13))))</f>
        <v>0</v>
      </c>
      <c r="AY114" s="182">
        <f ca="1">IF($D114&lt;&gt;"Serviço",0,IF(OR(AND(AUTOEVENTO="Manual",$M114=1),$M114&gt;(ROW(PLE.lastrow)-ROW(PLE.firstrow))),0,IF(OFFSET(PLE!$G$14,$M114,AY$13)="",10^12,OFFSET(PLE!$G$14,$M114,AY$13))))</f>
        <v>0</v>
      </c>
      <c r="AZ114" s="182">
        <f ca="1">IF($D114&lt;&gt;"Serviço",0,IF(OR(AND(AUTOEVENTO="Manual",$M114=1),$M114&gt;(ROW(PLE.lastrow)-ROW(PLE.firstrow))),0,IF(OFFSET(PLE!$G$14,$M114,AZ$13)="",10^12,OFFSET(PLE!$G$14,$M114,AZ$13))))</f>
        <v>0</v>
      </c>
      <c r="BA114" s="182">
        <f ca="1">IF($D114&lt;&gt;"Serviço",0,IF(OR(AND(AUTOEVENTO="Manual",$M114=1),$M114&gt;(ROW(PLE.lastrow)-ROW(PLE.firstrow))),0,IF(OFFSET(PLE!$G$14,$M114,BA$13)="",10^12,OFFSET(PLE!$G$14,$M114,BA$13))))</f>
        <v>0</v>
      </c>
      <c r="BB114" s="182">
        <f ca="1">IF($D114&lt;&gt;"Serviço",0,IF(OR(AND(AUTOEVENTO="Manual",$M114=1),$M114&gt;(ROW(PLE.lastrow)-ROW(PLE.firstrow))),0,IF(OFFSET(PLE!$G$14,$M114,BB$13)="",10^12,OFFSET(PLE!$G$14,$M114,BB$13))))</f>
        <v>0</v>
      </c>
      <c r="BC114" s="182">
        <f ca="1">IF($D114&lt;&gt;"Serviço",0,IF(OR(AND(AUTOEVENTO="Manual",$M114=1),$M114&gt;(ROW(PLE.lastrow)-ROW(PLE.firstrow))),0,IF(OFFSET(PLE!$G$14,$M114,BC$13)="",10^12,OFFSET(PLE!$G$14,$M114,BC$13))))</f>
        <v>0</v>
      </c>
      <c r="BD114" s="182">
        <f ca="1">IF($D114&lt;&gt;"Serviço",0,IF(OR(AND(AUTOEVENTO="Manual",$M114=1),$M114&gt;(ROW(PLE.lastrow)-ROW(PLE.firstrow))),0,IF(OFFSET(PLE!$G$14,$M114,BD$13)="",10^12,OFFSET(PLE!$G$14,$M114,BD$13))))</f>
        <v>0</v>
      </c>
      <c r="BE114" s="182">
        <f ca="1">IF($D114&lt;&gt;"Serviço",0,IF(OR(AND(AUTOEVENTO="Manual",$M114=1),$M114&gt;(ROW(PLE.lastrow)-ROW(PLE.firstrow))),0,IF(OFFSET(PLE!$G$14,$M114,BE$13)="",10^12,OFFSET(PLE!$G$14,$M114,BE$13))))</f>
        <v>0</v>
      </c>
      <c r="BF114" s="182">
        <f ca="1">IF($D114&lt;&gt;"Serviço",0,IF(OR(AND(AUTOEVENTO="Manual",$M114=1),$M114&gt;(ROW(PLE.lastrow)-ROW(PLE.firstrow))),0,IF(OFFSET(PLE!$G$14,$M114,BF$13)="",10^12,OFFSET(PLE!$G$14,$M114,BF$13))))</f>
        <v>0</v>
      </c>
      <c r="BG114" s="182">
        <f ca="1">IF($D114&lt;&gt;"Serviço",0,IF(OR(AND(AUTOEVENTO="Manual",$M114=1),$M114&gt;(ROW(PLE.lastrow)-ROW(PLE.firstrow))),0,IF(OFFSET(PLE!$G$14,$M114,BG$13)="",10^12,OFFSET(PLE!$G$14,$M114,BG$13))))</f>
        <v>0</v>
      </c>
    </row>
    <row r="115" spans="1:59" ht="38.25" x14ac:dyDescent="0.2">
      <c r="A115" s="7" t="str">
        <f t="shared" ca="1" si="9"/>
        <v>71</v>
      </c>
      <c r="B115" s="7" t="str">
        <f ca="1">OFFSET(ORÇAMENTO!C$15,ROW(B115)-ROW(B$15),0)</f>
        <v>S</v>
      </c>
      <c r="C115" s="7" t="str">
        <f ca="1">OFFSET(ORÇAMENTO!L$15,ROW(C115)-ROW(C$15),0)</f>
        <v>F</v>
      </c>
      <c r="D115" s="118" t="str">
        <f ca="1">OFFSET(ORÇAMENTO!N$15,ROW(D115)-ROW(D$15),0)</f>
        <v>Serviço</v>
      </c>
      <c r="E115" s="119" t="str">
        <f ca="1">OFFSET(ORÇAMENTO!O$15,ROW(E115)-ROW(E$15),0)</f>
        <v>1.6.6.1.</v>
      </c>
      <c r="F115" s="172" t="str">
        <f ca="1">OFFSET(ORÇAMENTO!R$15,ROW(F115)-ROW(F$15),0)</f>
        <v>(abra o arquivo 'Referência 03-2024.xlsm)</v>
      </c>
      <c r="G115" s="173" t="str">
        <f ca="1">IF($D115&lt;&gt;"Serviço","",OFFSET(ORÇAMENTO!S$15,ROW(G115)-ROW(G$15),0))</f>
        <v>-</v>
      </c>
      <c r="H115" s="124">
        <f ca="1">IF($D115&lt;&gt;"Serviço",0,IF(ACOMPANHAMENTO="BM",ROUND(OFFSET(ORÇAMENTO!AJ$15,ROW(H115)-ROW(H$15),0),15-13*ORÇAMENTO!$AF$7),SUMPRODUCT(($Q$12:$AA$12&lt;&gt;"")*ROUND($Q115:$AA115,15-13*ORÇAMENTO!$AF$7))))</f>
        <v>18.72</v>
      </c>
      <c r="I115" s="561"/>
      <c r="K115" s="174"/>
      <c r="L115" s="175" t="s">
        <v>255</v>
      </c>
      <c r="M115" s="176">
        <f ca="1">IF($D115&lt;&gt;"Serviço","",IF(AUTOEVENTO="manual",$A115,IF(ISERROR(MATCH($A115,$A$15:OFFSET($A115,-1,0),0)),MAX($M$15:OFFSET(M115,-1,0))+1,INDEX($M$15:OFFSET(M115,-1,0),MATCH($A115,$A$15:OFFSET($A115,-1,0),0)))))</f>
        <v>7</v>
      </c>
      <c r="N115" s="177" t="str">
        <f ca="1">IF($D115&lt;&gt;"Serviço","",IF(AUTOEVENTO="Manual",IF($A115=0,"&lt;-- defina o número do agrupador",OFFSET(EVENTOS!$D$14,$A115,0)),OFFSET($F$15,$A115,0)))</f>
        <v>SANITÁRIO PÚBLICO ACESSÍVEL</v>
      </c>
      <c r="O115" s="178"/>
      <c r="Q115" s="178"/>
      <c r="R115" s="179"/>
      <c r="S115" s="179"/>
      <c r="T115" s="179"/>
      <c r="U115" s="179"/>
      <c r="V115" s="179"/>
      <c r="W115" s="179"/>
      <c r="X115" s="179"/>
      <c r="Y115" s="179"/>
      <c r="Z115" s="180"/>
      <c r="AB115" s="544">
        <f ca="1">IF(AND($D115="Serviço",AB$12&lt;&gt;0,$H115&gt;0,OR(AUTOEVENTO&lt;&gt;"manual",$M115&lt;&gt;1)),
IF(Import.TipoArredondamento&lt;&gt;"TransfereGOV",
ROUND(OFFSET($P115,0,AB$13),15-13*ORÇAMENTO!$AF$7)/$H115*OFFSET(ORÇAMENTO!$X$15,ROW(AB115)-ROW(AB$15),0),
ROUND(ROUND(OFFSET($P115,0,AB$13),15-13*ORÇAMENTO!$AF$7)*OFFSET(ORÇAMENTO!$W$15,ROW(AB115)-ROW(AB$15),0),15-13*ORÇAMENTO!$AF$11)),0)</f>
        <v>0</v>
      </c>
      <c r="AC115" s="545">
        <f ca="1">IF(AND($D115="Serviço",AC$12&lt;&gt;0,$H115&gt;0,OR(AUTOEVENTO&lt;&gt;"manual",$M115&lt;&gt;1)),
IF(Import.TipoArredondamento&lt;&gt;"TransfereGOV",
ROUND(OFFSET($P115,0,AC$13),15-13*ORÇAMENTO!$AF$7)/$H115*OFFSET(ORÇAMENTO!$X$15,ROW(AC115)-ROW(AC$15),0),
ROUND(ROUND(OFFSET($P115,0,AC$13),15-13*ORÇAMENTO!$AF$7)*OFFSET(ORÇAMENTO!$W$15,ROW(AC115)-ROW(AC$15),0),15-13*ORÇAMENTO!$AF$11)),0)</f>
        <v>0</v>
      </c>
      <c r="AD115" s="545">
        <f ca="1">IF(AND($D115="Serviço",AD$12&lt;&gt;0,$H115&gt;0,OR(AUTOEVENTO&lt;&gt;"manual",$M115&lt;&gt;1)),
IF(Import.TipoArredondamento&lt;&gt;"TransfereGOV",
ROUND(OFFSET($P115,0,AD$13),15-13*ORÇAMENTO!$AF$7)/$H115*OFFSET(ORÇAMENTO!$X$15,ROW(AD115)-ROW(AD$15),0),
ROUND(ROUND(OFFSET($P115,0,AD$13),15-13*ORÇAMENTO!$AF$7)*OFFSET(ORÇAMENTO!$W$15,ROW(AD115)-ROW(AD$15),0),15-13*ORÇAMENTO!$AF$11)),0)</f>
        <v>0</v>
      </c>
      <c r="AE115" s="545">
        <f ca="1">IF(AND($D115="Serviço",AE$12&lt;&gt;0,$H115&gt;0,OR(AUTOEVENTO&lt;&gt;"manual",$M115&lt;&gt;1)),
IF(Import.TipoArredondamento&lt;&gt;"TransfereGOV",
ROUND(OFFSET($P115,0,AE$13),15-13*ORÇAMENTO!$AF$7)/$H115*OFFSET(ORÇAMENTO!$X$15,ROW(AE115)-ROW(AE$15),0),
ROUND(ROUND(OFFSET($P115,0,AE$13),15-13*ORÇAMENTO!$AF$7)*OFFSET(ORÇAMENTO!$W$15,ROW(AE115)-ROW(AE$15),0),15-13*ORÇAMENTO!$AF$11)),0)</f>
        <v>0</v>
      </c>
      <c r="AF115" s="545">
        <f ca="1">IF(AND($D115="Serviço",AF$12&lt;&gt;0,$H115&gt;0,OR(AUTOEVENTO&lt;&gt;"manual",$M115&lt;&gt;1)),
IF(Import.TipoArredondamento&lt;&gt;"TransfereGOV",
ROUND(OFFSET($P115,0,AF$13),15-13*ORÇAMENTO!$AF$7)/$H115*OFFSET(ORÇAMENTO!$X$15,ROW(AF115)-ROW(AF$15),0),
ROUND(ROUND(OFFSET($P115,0,AF$13),15-13*ORÇAMENTO!$AF$7)*OFFSET(ORÇAMENTO!$W$15,ROW(AF115)-ROW(AF$15),0),15-13*ORÇAMENTO!$AF$11)),0)</f>
        <v>0</v>
      </c>
      <c r="AG115" s="545">
        <f ca="1">IF(AND($D115="Serviço",AG$12&lt;&gt;0,$H115&gt;0,OR(AUTOEVENTO&lt;&gt;"manual",$M115&lt;&gt;1)),
IF(Import.TipoArredondamento&lt;&gt;"TransfereGOV",
ROUND(OFFSET($P115,0,AG$13),15-13*ORÇAMENTO!$AF$7)/$H115*OFFSET(ORÇAMENTO!$X$15,ROW(AG115)-ROW(AG$15),0),
ROUND(ROUND(OFFSET($P115,0,AG$13),15-13*ORÇAMENTO!$AF$7)*OFFSET(ORÇAMENTO!$W$15,ROW(AG115)-ROW(AG$15),0),15-13*ORÇAMENTO!$AF$11)),0)</f>
        <v>0</v>
      </c>
      <c r="AH115" s="545">
        <f ca="1">IF(AND($D115="Serviço",AH$12&lt;&gt;0,$H115&gt;0,OR(AUTOEVENTO&lt;&gt;"manual",$M115&lt;&gt;1)),
IF(Import.TipoArredondamento&lt;&gt;"TransfereGOV",
ROUND(OFFSET($P115,0,AH$13),15-13*ORÇAMENTO!$AF$7)/$H115*OFFSET(ORÇAMENTO!$X$15,ROW(AH115)-ROW(AH$15),0),
ROUND(ROUND(OFFSET($P115,0,AH$13),15-13*ORÇAMENTO!$AF$7)*OFFSET(ORÇAMENTO!$W$15,ROW(AH115)-ROW(AH$15),0),15-13*ORÇAMENTO!$AF$11)),0)</f>
        <v>0</v>
      </c>
      <c r="AI115" s="545">
        <f ca="1">IF(AND($D115="Serviço",AI$12&lt;&gt;0,$H115&gt;0,OR(AUTOEVENTO&lt;&gt;"manual",$M115&lt;&gt;1)),
IF(Import.TipoArredondamento&lt;&gt;"TransfereGOV",
ROUND(OFFSET($P115,0,AI$13),15-13*ORÇAMENTO!$AF$7)/$H115*OFFSET(ORÇAMENTO!$X$15,ROW(AI115)-ROW(AI$15),0),
ROUND(ROUND(OFFSET($P115,0,AI$13),15-13*ORÇAMENTO!$AF$7)*OFFSET(ORÇAMENTO!$W$15,ROW(AI115)-ROW(AI$15),0),15-13*ORÇAMENTO!$AF$11)),0)</f>
        <v>0</v>
      </c>
      <c r="AJ115" s="545">
        <f ca="1">IF(AND($D115="Serviço",AJ$12&lt;&gt;0,$H115&gt;0,OR(AUTOEVENTO&lt;&gt;"manual",$M115&lt;&gt;1)),
IF(Import.TipoArredondamento&lt;&gt;"TransfereGOV",
ROUND(OFFSET($P115,0,AJ$13),15-13*ORÇAMENTO!$AF$7)/$H115*OFFSET(ORÇAMENTO!$X$15,ROW(AJ115)-ROW(AJ$15),0),
ROUND(ROUND(OFFSET($P115,0,AJ$13),15-13*ORÇAMENTO!$AF$7)*OFFSET(ORÇAMENTO!$W$15,ROW(AJ115)-ROW(AJ$15),0),15-13*ORÇAMENTO!$AF$11)),0)</f>
        <v>0</v>
      </c>
      <c r="AK115" s="546">
        <f ca="1">IF(AND($D115="Serviço",AK$12&lt;&gt;0,$H115&gt;0,OR(AUTOEVENTO&lt;&gt;"manual",$M115&lt;&gt;1)),
IF(Import.TipoArredondamento&lt;&gt;"TransfereGOV",
ROUND(OFFSET($P115,0,AK$13),15-13*ORÇAMENTO!$AF$7)/$H115*OFFSET(ORÇAMENTO!$X$15,ROW(AK115)-ROW(AK$15),0),
ROUND(ROUND(OFFSET($P115,0,AK$13),15-13*ORÇAMENTO!$AF$7)*OFFSET(ORÇAMENTO!$W$15,ROW(AK115)-ROW(AK$15),0),15-13*ORÇAMENTO!$AF$11)),0)</f>
        <v>0</v>
      </c>
      <c r="AM115" s="181">
        <f ca="1">IF($D115&lt;&gt;"Serviço",0,IF(AND(AUTOEVENTO="Manual",$M115=1),0,IF(OFFSET(CRONOPLE!$F$14,$M115,AM$13)="",10^12,OFFSET(CRONOPLE!$F$14,$M115,AM$13))))</f>
        <v>1000000000000</v>
      </c>
      <c r="AN115" s="181">
        <f ca="1">IF($D115&lt;&gt;"Serviço",0,IF(AND(AUTOEVENTO="Manual",$M115=1),0,IF(OFFSET(CRONOPLE!$F$14,$M115,AN$13)="",10^12,OFFSET(CRONOPLE!$F$14,$M115,AN$13))))</f>
        <v>1000000000000</v>
      </c>
      <c r="AO115" s="181">
        <f ca="1">IF($D115&lt;&gt;"Serviço",0,IF(AND(AUTOEVENTO="Manual",$M115=1),0,IF(OFFSET(CRONOPLE!$F$14,$M115,AO$13)="",10^12,OFFSET(CRONOPLE!$F$14,$M115,AO$13))))</f>
        <v>1000000000000</v>
      </c>
      <c r="AP115" s="181">
        <f ca="1">IF($D115&lt;&gt;"Serviço",0,IF(AND(AUTOEVENTO="Manual",$M115=1),0,IF(OFFSET(CRONOPLE!$F$14,$M115,AP$13)="",10^12,OFFSET(CRONOPLE!$F$14,$M115,AP$13))))</f>
        <v>1000000000000</v>
      </c>
      <c r="AQ115" s="181">
        <f ca="1">IF($D115&lt;&gt;"Serviço",0,IF(AND(AUTOEVENTO="Manual",$M115=1),0,IF(OFFSET(CRONOPLE!$F$14,$M115,AQ$13)="",10^12,OFFSET(CRONOPLE!$F$14,$M115,AQ$13))))</f>
        <v>1000000000000</v>
      </c>
      <c r="AR115" s="181">
        <f ca="1">IF($D115&lt;&gt;"Serviço",0,IF(AND(AUTOEVENTO="Manual",$M115=1),0,IF(OFFSET(CRONOPLE!$F$14,$M115,AR$13)="",10^12,OFFSET(CRONOPLE!$F$14,$M115,AR$13))))</f>
        <v>1000000000000</v>
      </c>
      <c r="AS115" s="181">
        <f ca="1">IF($D115&lt;&gt;"Serviço",0,IF(AND(AUTOEVENTO="Manual",$M115=1),0,IF(OFFSET(CRONOPLE!$F$14,$M115,AS$13)="",10^12,OFFSET(CRONOPLE!$F$14,$M115,AS$13))))</f>
        <v>1000000000000</v>
      </c>
      <c r="AT115" s="181">
        <f ca="1">IF($D115&lt;&gt;"Serviço",0,IF(AND(AUTOEVENTO="Manual",$M115=1),0,IF(OFFSET(CRONOPLE!$F$14,$M115,AT$13)="",10^12,OFFSET(CRONOPLE!$F$14,$M115,AT$13))))</f>
        <v>1000000000000</v>
      </c>
      <c r="AU115" s="181">
        <f ca="1">IF($D115&lt;&gt;"Serviço",0,IF(AND(AUTOEVENTO="Manual",$M115=1),0,IF(OFFSET(CRONOPLE!$F$14,$M115,AU$13)="",10^12,OFFSET(CRONOPLE!$F$14,$M115,AU$13))))</f>
        <v>1000000000000</v>
      </c>
      <c r="AV115" s="181">
        <f ca="1">IF($D115&lt;&gt;"Serviço",0,IF(AND(AUTOEVENTO="Manual",$M115=1),0,IF(OFFSET(CRONOPLE!$F$14,$M115,AV$13)="",10^12,OFFSET(CRONOPLE!$F$14,$M115,AV$13))))</f>
        <v>1000000000000</v>
      </c>
      <c r="AX115" s="182">
        <f ca="1">IF($D115&lt;&gt;"Serviço",0,IF(OR(AND(AUTOEVENTO="Manual",$M115=1),$M115&gt;(ROW(PLE.lastrow)-ROW(PLE.firstrow))),0,IF(OFFSET(PLE!$G$14,$M115,AX$13)="",10^12,OFFSET(PLE!$G$14,$M115,AX$13))))</f>
        <v>1000000000000</v>
      </c>
      <c r="AY115" s="182">
        <f ca="1">IF($D115&lt;&gt;"Serviço",0,IF(OR(AND(AUTOEVENTO="Manual",$M115=1),$M115&gt;(ROW(PLE.lastrow)-ROW(PLE.firstrow))),0,IF(OFFSET(PLE!$G$14,$M115,AY$13)="",10^12,OFFSET(PLE!$G$14,$M115,AY$13))))</f>
        <v>1000000000000</v>
      </c>
      <c r="AZ115" s="182">
        <f ca="1">IF($D115&lt;&gt;"Serviço",0,IF(OR(AND(AUTOEVENTO="Manual",$M115=1),$M115&gt;(ROW(PLE.lastrow)-ROW(PLE.firstrow))),0,IF(OFFSET(PLE!$G$14,$M115,AZ$13)="",10^12,OFFSET(PLE!$G$14,$M115,AZ$13))))</f>
        <v>1000000000000</v>
      </c>
      <c r="BA115" s="182">
        <f ca="1">IF($D115&lt;&gt;"Serviço",0,IF(OR(AND(AUTOEVENTO="Manual",$M115=1),$M115&gt;(ROW(PLE.lastrow)-ROW(PLE.firstrow))),0,IF(OFFSET(PLE!$G$14,$M115,BA$13)="",10^12,OFFSET(PLE!$G$14,$M115,BA$13))))</f>
        <v>1000000000000</v>
      </c>
      <c r="BB115" s="182">
        <f ca="1">IF($D115&lt;&gt;"Serviço",0,IF(OR(AND(AUTOEVENTO="Manual",$M115=1),$M115&gt;(ROW(PLE.lastrow)-ROW(PLE.firstrow))),0,IF(OFFSET(PLE!$G$14,$M115,BB$13)="",10^12,OFFSET(PLE!$G$14,$M115,BB$13))))</f>
        <v>1000000000000</v>
      </c>
      <c r="BC115" s="182">
        <f ca="1">IF($D115&lt;&gt;"Serviço",0,IF(OR(AND(AUTOEVENTO="Manual",$M115=1),$M115&gt;(ROW(PLE.lastrow)-ROW(PLE.firstrow))),0,IF(OFFSET(PLE!$G$14,$M115,BC$13)="",10^12,OFFSET(PLE!$G$14,$M115,BC$13))))</f>
        <v>1000000000000</v>
      </c>
      <c r="BD115" s="182">
        <f ca="1">IF($D115&lt;&gt;"Serviço",0,IF(OR(AND(AUTOEVENTO="Manual",$M115=1),$M115&gt;(ROW(PLE.lastrow)-ROW(PLE.firstrow))),0,IF(OFFSET(PLE!$G$14,$M115,BD$13)="",10^12,OFFSET(PLE!$G$14,$M115,BD$13))))</f>
        <v>1000000000000</v>
      </c>
      <c r="BE115" s="182">
        <f ca="1">IF($D115&lt;&gt;"Serviço",0,IF(OR(AND(AUTOEVENTO="Manual",$M115=1),$M115&gt;(ROW(PLE.lastrow)-ROW(PLE.firstrow))),0,IF(OFFSET(PLE!$G$14,$M115,BE$13)="",10^12,OFFSET(PLE!$G$14,$M115,BE$13))))</f>
        <v>1000000000000</v>
      </c>
      <c r="BF115" s="182">
        <f ca="1">IF($D115&lt;&gt;"Serviço",0,IF(OR(AND(AUTOEVENTO="Manual",$M115=1),$M115&gt;(ROW(PLE.lastrow)-ROW(PLE.firstrow))),0,IF(OFFSET(PLE!$G$14,$M115,BF$13)="",10^12,OFFSET(PLE!$G$14,$M115,BF$13))))</f>
        <v>1000000000000</v>
      </c>
      <c r="BG115" s="182">
        <f ca="1">IF($D115&lt;&gt;"Serviço",0,IF(OR(AND(AUTOEVENTO="Manual",$M115=1),$M115&gt;(ROW(PLE.lastrow)-ROW(PLE.firstrow))),0,IF(OFFSET(PLE!$G$14,$M115,BG$13)="",10^12,OFFSET(PLE!$G$14,$M115,BG$13))))</f>
        <v>1000000000000</v>
      </c>
    </row>
    <row r="116" spans="1:59" ht="51" x14ac:dyDescent="0.2">
      <c r="A116" s="7" t="str">
        <f t="shared" ca="1" si="9"/>
        <v>71</v>
      </c>
      <c r="B116" s="7" t="str">
        <f ca="1">OFFSET(ORÇAMENTO!C$15,ROW(B116)-ROW(B$15),0)</f>
        <v>S</v>
      </c>
      <c r="C116" s="7" t="str">
        <f ca="1">OFFSET(ORÇAMENTO!L$15,ROW(C116)-ROW(C$15),0)</f>
        <v>F</v>
      </c>
      <c r="D116" s="118" t="str">
        <f ca="1">OFFSET(ORÇAMENTO!N$15,ROW(D116)-ROW(D$15),0)</f>
        <v>Serviço</v>
      </c>
      <c r="E116" s="119" t="str">
        <f ca="1">OFFSET(ORÇAMENTO!O$15,ROW(E116)-ROW(E$15),0)</f>
        <v>1.6.6.2.</v>
      </c>
      <c r="F116" s="172" t="str">
        <f ca="1">OFFSET(ORÇAMENTO!R$15,ROW(F116)-ROW(F$15),0)</f>
        <v>(abra o arquivo 'Referência 03-2024.xlsm)</v>
      </c>
      <c r="G116" s="173" t="str">
        <f ca="1">IF($D116&lt;&gt;"Serviço","",OFFSET(ORÇAMENTO!S$15,ROW(G116)-ROW(G$15),0))</f>
        <v>-</v>
      </c>
      <c r="H116" s="124">
        <f ca="1">IF($D116&lt;&gt;"Serviço",0,IF(ACOMPANHAMENTO="BM",ROUND(OFFSET(ORÇAMENTO!AJ$15,ROW(H116)-ROW(H$15),0),15-13*ORÇAMENTO!$AF$7),SUMPRODUCT(($Q$12:$AA$12&lt;&gt;"")*ROUND($Q116:$AA116,15-13*ORÇAMENTO!$AF$7))))</f>
        <v>0.93</v>
      </c>
      <c r="I116" s="561"/>
      <c r="K116" s="174"/>
      <c r="L116" s="175" t="s">
        <v>255</v>
      </c>
      <c r="M116" s="176">
        <f ca="1">IF($D116&lt;&gt;"Serviço","",IF(AUTOEVENTO="manual",$A116,IF(ISERROR(MATCH($A116,$A$15:OFFSET($A116,-1,0),0)),MAX($M$15:OFFSET(M116,-1,0))+1,INDEX($M$15:OFFSET(M116,-1,0),MATCH($A116,$A$15:OFFSET($A116,-1,0),0)))))</f>
        <v>7</v>
      </c>
      <c r="N116" s="177" t="str">
        <f ca="1">IF($D116&lt;&gt;"Serviço","",IF(AUTOEVENTO="Manual",IF($A116=0,"&lt;-- defina o número do agrupador",OFFSET(EVENTOS!$D$14,$A116,0)),OFFSET($F$15,$A116,0)))</f>
        <v>SANITÁRIO PÚBLICO ACESSÍVEL</v>
      </c>
      <c r="O116" s="178"/>
      <c r="Q116" s="178"/>
      <c r="R116" s="179"/>
      <c r="S116" s="179"/>
      <c r="T116" s="179"/>
      <c r="U116" s="179"/>
      <c r="V116" s="179"/>
      <c r="W116" s="179"/>
      <c r="X116" s="179"/>
      <c r="Y116" s="179"/>
      <c r="Z116" s="180"/>
      <c r="AB116" s="544">
        <f ca="1">IF(AND($D116="Serviço",AB$12&lt;&gt;0,$H116&gt;0,OR(AUTOEVENTO&lt;&gt;"manual",$M116&lt;&gt;1)),
IF(Import.TipoArredondamento&lt;&gt;"TransfereGOV",
ROUND(OFFSET($P116,0,AB$13),15-13*ORÇAMENTO!$AF$7)/$H116*OFFSET(ORÇAMENTO!$X$15,ROW(AB116)-ROW(AB$15),0),
ROUND(ROUND(OFFSET($P116,0,AB$13),15-13*ORÇAMENTO!$AF$7)*OFFSET(ORÇAMENTO!$W$15,ROW(AB116)-ROW(AB$15),0),15-13*ORÇAMENTO!$AF$11)),0)</f>
        <v>0</v>
      </c>
      <c r="AC116" s="545">
        <f ca="1">IF(AND($D116="Serviço",AC$12&lt;&gt;0,$H116&gt;0,OR(AUTOEVENTO&lt;&gt;"manual",$M116&lt;&gt;1)),
IF(Import.TipoArredondamento&lt;&gt;"TransfereGOV",
ROUND(OFFSET($P116,0,AC$13),15-13*ORÇAMENTO!$AF$7)/$H116*OFFSET(ORÇAMENTO!$X$15,ROW(AC116)-ROW(AC$15),0),
ROUND(ROUND(OFFSET($P116,0,AC$13),15-13*ORÇAMENTO!$AF$7)*OFFSET(ORÇAMENTO!$W$15,ROW(AC116)-ROW(AC$15),0),15-13*ORÇAMENTO!$AF$11)),0)</f>
        <v>0</v>
      </c>
      <c r="AD116" s="545">
        <f ca="1">IF(AND($D116="Serviço",AD$12&lt;&gt;0,$H116&gt;0,OR(AUTOEVENTO&lt;&gt;"manual",$M116&lt;&gt;1)),
IF(Import.TipoArredondamento&lt;&gt;"TransfereGOV",
ROUND(OFFSET($P116,0,AD$13),15-13*ORÇAMENTO!$AF$7)/$H116*OFFSET(ORÇAMENTO!$X$15,ROW(AD116)-ROW(AD$15),0),
ROUND(ROUND(OFFSET($P116,0,AD$13),15-13*ORÇAMENTO!$AF$7)*OFFSET(ORÇAMENTO!$W$15,ROW(AD116)-ROW(AD$15),0),15-13*ORÇAMENTO!$AF$11)),0)</f>
        <v>0</v>
      </c>
      <c r="AE116" s="545">
        <f ca="1">IF(AND($D116="Serviço",AE$12&lt;&gt;0,$H116&gt;0,OR(AUTOEVENTO&lt;&gt;"manual",$M116&lt;&gt;1)),
IF(Import.TipoArredondamento&lt;&gt;"TransfereGOV",
ROUND(OFFSET($P116,0,AE$13),15-13*ORÇAMENTO!$AF$7)/$H116*OFFSET(ORÇAMENTO!$X$15,ROW(AE116)-ROW(AE$15),0),
ROUND(ROUND(OFFSET($P116,0,AE$13),15-13*ORÇAMENTO!$AF$7)*OFFSET(ORÇAMENTO!$W$15,ROW(AE116)-ROW(AE$15),0),15-13*ORÇAMENTO!$AF$11)),0)</f>
        <v>0</v>
      </c>
      <c r="AF116" s="545">
        <f ca="1">IF(AND($D116="Serviço",AF$12&lt;&gt;0,$H116&gt;0,OR(AUTOEVENTO&lt;&gt;"manual",$M116&lt;&gt;1)),
IF(Import.TipoArredondamento&lt;&gt;"TransfereGOV",
ROUND(OFFSET($P116,0,AF$13),15-13*ORÇAMENTO!$AF$7)/$H116*OFFSET(ORÇAMENTO!$X$15,ROW(AF116)-ROW(AF$15),0),
ROUND(ROUND(OFFSET($P116,0,AF$13),15-13*ORÇAMENTO!$AF$7)*OFFSET(ORÇAMENTO!$W$15,ROW(AF116)-ROW(AF$15),0),15-13*ORÇAMENTO!$AF$11)),0)</f>
        <v>0</v>
      </c>
      <c r="AG116" s="545">
        <f ca="1">IF(AND($D116="Serviço",AG$12&lt;&gt;0,$H116&gt;0,OR(AUTOEVENTO&lt;&gt;"manual",$M116&lt;&gt;1)),
IF(Import.TipoArredondamento&lt;&gt;"TransfereGOV",
ROUND(OFFSET($P116,0,AG$13),15-13*ORÇAMENTO!$AF$7)/$H116*OFFSET(ORÇAMENTO!$X$15,ROW(AG116)-ROW(AG$15),0),
ROUND(ROUND(OFFSET($P116,0,AG$13),15-13*ORÇAMENTO!$AF$7)*OFFSET(ORÇAMENTO!$W$15,ROW(AG116)-ROW(AG$15),0),15-13*ORÇAMENTO!$AF$11)),0)</f>
        <v>0</v>
      </c>
      <c r="AH116" s="545">
        <f ca="1">IF(AND($D116="Serviço",AH$12&lt;&gt;0,$H116&gt;0,OR(AUTOEVENTO&lt;&gt;"manual",$M116&lt;&gt;1)),
IF(Import.TipoArredondamento&lt;&gt;"TransfereGOV",
ROUND(OFFSET($P116,0,AH$13),15-13*ORÇAMENTO!$AF$7)/$H116*OFFSET(ORÇAMENTO!$X$15,ROW(AH116)-ROW(AH$15),0),
ROUND(ROUND(OFFSET($P116,0,AH$13),15-13*ORÇAMENTO!$AF$7)*OFFSET(ORÇAMENTO!$W$15,ROW(AH116)-ROW(AH$15),0),15-13*ORÇAMENTO!$AF$11)),0)</f>
        <v>0</v>
      </c>
      <c r="AI116" s="545">
        <f ca="1">IF(AND($D116="Serviço",AI$12&lt;&gt;0,$H116&gt;0,OR(AUTOEVENTO&lt;&gt;"manual",$M116&lt;&gt;1)),
IF(Import.TipoArredondamento&lt;&gt;"TransfereGOV",
ROUND(OFFSET($P116,0,AI$13),15-13*ORÇAMENTO!$AF$7)/$H116*OFFSET(ORÇAMENTO!$X$15,ROW(AI116)-ROW(AI$15),0),
ROUND(ROUND(OFFSET($P116,0,AI$13),15-13*ORÇAMENTO!$AF$7)*OFFSET(ORÇAMENTO!$W$15,ROW(AI116)-ROW(AI$15),0),15-13*ORÇAMENTO!$AF$11)),0)</f>
        <v>0</v>
      </c>
      <c r="AJ116" s="545">
        <f ca="1">IF(AND($D116="Serviço",AJ$12&lt;&gt;0,$H116&gt;0,OR(AUTOEVENTO&lt;&gt;"manual",$M116&lt;&gt;1)),
IF(Import.TipoArredondamento&lt;&gt;"TransfereGOV",
ROUND(OFFSET($P116,0,AJ$13),15-13*ORÇAMENTO!$AF$7)/$H116*OFFSET(ORÇAMENTO!$X$15,ROW(AJ116)-ROW(AJ$15),0),
ROUND(ROUND(OFFSET($P116,0,AJ$13),15-13*ORÇAMENTO!$AF$7)*OFFSET(ORÇAMENTO!$W$15,ROW(AJ116)-ROW(AJ$15),0),15-13*ORÇAMENTO!$AF$11)),0)</f>
        <v>0</v>
      </c>
      <c r="AK116" s="546">
        <f ca="1">IF(AND($D116="Serviço",AK$12&lt;&gt;0,$H116&gt;0,OR(AUTOEVENTO&lt;&gt;"manual",$M116&lt;&gt;1)),
IF(Import.TipoArredondamento&lt;&gt;"TransfereGOV",
ROUND(OFFSET($P116,0,AK$13),15-13*ORÇAMENTO!$AF$7)/$H116*OFFSET(ORÇAMENTO!$X$15,ROW(AK116)-ROW(AK$15),0),
ROUND(ROUND(OFFSET($P116,0,AK$13),15-13*ORÇAMENTO!$AF$7)*OFFSET(ORÇAMENTO!$W$15,ROW(AK116)-ROW(AK$15),0),15-13*ORÇAMENTO!$AF$11)),0)</f>
        <v>0</v>
      </c>
      <c r="AM116" s="181">
        <f ca="1">IF($D116&lt;&gt;"Serviço",0,IF(AND(AUTOEVENTO="Manual",$M116=1),0,IF(OFFSET(CRONOPLE!$F$14,$M116,AM$13)="",10^12,OFFSET(CRONOPLE!$F$14,$M116,AM$13))))</f>
        <v>1000000000000</v>
      </c>
      <c r="AN116" s="181">
        <f ca="1">IF($D116&lt;&gt;"Serviço",0,IF(AND(AUTOEVENTO="Manual",$M116=1),0,IF(OFFSET(CRONOPLE!$F$14,$M116,AN$13)="",10^12,OFFSET(CRONOPLE!$F$14,$M116,AN$13))))</f>
        <v>1000000000000</v>
      </c>
      <c r="AO116" s="181">
        <f ca="1">IF($D116&lt;&gt;"Serviço",0,IF(AND(AUTOEVENTO="Manual",$M116=1),0,IF(OFFSET(CRONOPLE!$F$14,$M116,AO$13)="",10^12,OFFSET(CRONOPLE!$F$14,$M116,AO$13))))</f>
        <v>1000000000000</v>
      </c>
      <c r="AP116" s="181">
        <f ca="1">IF($D116&lt;&gt;"Serviço",0,IF(AND(AUTOEVENTO="Manual",$M116=1),0,IF(OFFSET(CRONOPLE!$F$14,$M116,AP$13)="",10^12,OFFSET(CRONOPLE!$F$14,$M116,AP$13))))</f>
        <v>1000000000000</v>
      </c>
      <c r="AQ116" s="181">
        <f ca="1">IF($D116&lt;&gt;"Serviço",0,IF(AND(AUTOEVENTO="Manual",$M116=1),0,IF(OFFSET(CRONOPLE!$F$14,$M116,AQ$13)="",10^12,OFFSET(CRONOPLE!$F$14,$M116,AQ$13))))</f>
        <v>1000000000000</v>
      </c>
      <c r="AR116" s="181">
        <f ca="1">IF($D116&lt;&gt;"Serviço",0,IF(AND(AUTOEVENTO="Manual",$M116=1),0,IF(OFFSET(CRONOPLE!$F$14,$M116,AR$13)="",10^12,OFFSET(CRONOPLE!$F$14,$M116,AR$13))))</f>
        <v>1000000000000</v>
      </c>
      <c r="AS116" s="181">
        <f ca="1">IF($D116&lt;&gt;"Serviço",0,IF(AND(AUTOEVENTO="Manual",$M116=1),0,IF(OFFSET(CRONOPLE!$F$14,$M116,AS$13)="",10^12,OFFSET(CRONOPLE!$F$14,$M116,AS$13))))</f>
        <v>1000000000000</v>
      </c>
      <c r="AT116" s="181">
        <f ca="1">IF($D116&lt;&gt;"Serviço",0,IF(AND(AUTOEVENTO="Manual",$M116=1),0,IF(OFFSET(CRONOPLE!$F$14,$M116,AT$13)="",10^12,OFFSET(CRONOPLE!$F$14,$M116,AT$13))))</f>
        <v>1000000000000</v>
      </c>
      <c r="AU116" s="181">
        <f ca="1">IF($D116&lt;&gt;"Serviço",0,IF(AND(AUTOEVENTO="Manual",$M116=1),0,IF(OFFSET(CRONOPLE!$F$14,$M116,AU$13)="",10^12,OFFSET(CRONOPLE!$F$14,$M116,AU$13))))</f>
        <v>1000000000000</v>
      </c>
      <c r="AV116" s="181">
        <f ca="1">IF($D116&lt;&gt;"Serviço",0,IF(AND(AUTOEVENTO="Manual",$M116=1),0,IF(OFFSET(CRONOPLE!$F$14,$M116,AV$13)="",10^12,OFFSET(CRONOPLE!$F$14,$M116,AV$13))))</f>
        <v>1000000000000</v>
      </c>
      <c r="AX116" s="182">
        <f ca="1">IF($D116&lt;&gt;"Serviço",0,IF(OR(AND(AUTOEVENTO="Manual",$M116=1),$M116&gt;(ROW(PLE.lastrow)-ROW(PLE.firstrow))),0,IF(OFFSET(PLE!$G$14,$M116,AX$13)="",10^12,OFFSET(PLE!$G$14,$M116,AX$13))))</f>
        <v>1000000000000</v>
      </c>
      <c r="AY116" s="182">
        <f ca="1">IF($D116&lt;&gt;"Serviço",0,IF(OR(AND(AUTOEVENTO="Manual",$M116=1),$M116&gt;(ROW(PLE.lastrow)-ROW(PLE.firstrow))),0,IF(OFFSET(PLE!$G$14,$M116,AY$13)="",10^12,OFFSET(PLE!$G$14,$M116,AY$13))))</f>
        <v>1000000000000</v>
      </c>
      <c r="AZ116" s="182">
        <f ca="1">IF($D116&lt;&gt;"Serviço",0,IF(OR(AND(AUTOEVENTO="Manual",$M116=1),$M116&gt;(ROW(PLE.lastrow)-ROW(PLE.firstrow))),0,IF(OFFSET(PLE!$G$14,$M116,AZ$13)="",10^12,OFFSET(PLE!$G$14,$M116,AZ$13))))</f>
        <v>1000000000000</v>
      </c>
      <c r="BA116" s="182">
        <f ca="1">IF($D116&lt;&gt;"Serviço",0,IF(OR(AND(AUTOEVENTO="Manual",$M116=1),$M116&gt;(ROW(PLE.lastrow)-ROW(PLE.firstrow))),0,IF(OFFSET(PLE!$G$14,$M116,BA$13)="",10^12,OFFSET(PLE!$G$14,$M116,BA$13))))</f>
        <v>1000000000000</v>
      </c>
      <c r="BB116" s="182">
        <f ca="1">IF($D116&lt;&gt;"Serviço",0,IF(OR(AND(AUTOEVENTO="Manual",$M116=1),$M116&gt;(ROW(PLE.lastrow)-ROW(PLE.firstrow))),0,IF(OFFSET(PLE!$G$14,$M116,BB$13)="",10^12,OFFSET(PLE!$G$14,$M116,BB$13))))</f>
        <v>1000000000000</v>
      </c>
      <c r="BC116" s="182">
        <f ca="1">IF($D116&lt;&gt;"Serviço",0,IF(OR(AND(AUTOEVENTO="Manual",$M116=1),$M116&gt;(ROW(PLE.lastrow)-ROW(PLE.firstrow))),0,IF(OFFSET(PLE!$G$14,$M116,BC$13)="",10^12,OFFSET(PLE!$G$14,$M116,BC$13))))</f>
        <v>1000000000000</v>
      </c>
      <c r="BD116" s="182">
        <f ca="1">IF($D116&lt;&gt;"Serviço",0,IF(OR(AND(AUTOEVENTO="Manual",$M116=1),$M116&gt;(ROW(PLE.lastrow)-ROW(PLE.firstrow))),0,IF(OFFSET(PLE!$G$14,$M116,BD$13)="",10^12,OFFSET(PLE!$G$14,$M116,BD$13))))</f>
        <v>1000000000000</v>
      </c>
      <c r="BE116" s="182">
        <f ca="1">IF($D116&lt;&gt;"Serviço",0,IF(OR(AND(AUTOEVENTO="Manual",$M116=1),$M116&gt;(ROW(PLE.lastrow)-ROW(PLE.firstrow))),0,IF(OFFSET(PLE!$G$14,$M116,BE$13)="",10^12,OFFSET(PLE!$G$14,$M116,BE$13))))</f>
        <v>1000000000000</v>
      </c>
      <c r="BF116" s="182">
        <f ca="1">IF($D116&lt;&gt;"Serviço",0,IF(OR(AND(AUTOEVENTO="Manual",$M116=1),$M116&gt;(ROW(PLE.lastrow)-ROW(PLE.firstrow))),0,IF(OFFSET(PLE!$G$14,$M116,BF$13)="",10^12,OFFSET(PLE!$G$14,$M116,BF$13))))</f>
        <v>1000000000000</v>
      </c>
      <c r="BG116" s="182">
        <f ca="1">IF($D116&lt;&gt;"Serviço",0,IF(OR(AND(AUTOEVENTO="Manual",$M116=1),$M116&gt;(ROW(PLE.lastrow)-ROW(PLE.firstrow))),0,IF(OFFSET(PLE!$G$14,$M116,BG$13)="",10^12,OFFSET(PLE!$G$14,$M116,BG$13))))</f>
        <v>1000000000000</v>
      </c>
    </row>
    <row r="117" spans="1:59" ht="38.25" x14ac:dyDescent="0.2">
      <c r="A117" s="7" t="str">
        <f t="shared" ca="1" si="9"/>
        <v>71</v>
      </c>
      <c r="B117" s="7" t="str">
        <f ca="1">OFFSET(ORÇAMENTO!C$15,ROW(B117)-ROW(B$15),0)</f>
        <v>S</v>
      </c>
      <c r="C117" s="7" t="str">
        <f ca="1">OFFSET(ORÇAMENTO!L$15,ROW(C117)-ROW(C$15),0)</f>
        <v>F</v>
      </c>
      <c r="D117" s="118" t="str">
        <f ca="1">OFFSET(ORÇAMENTO!N$15,ROW(D117)-ROW(D$15),0)</f>
        <v>Serviço</v>
      </c>
      <c r="E117" s="119" t="str">
        <f ca="1">OFFSET(ORÇAMENTO!O$15,ROW(E117)-ROW(E$15),0)</f>
        <v>1.6.6.3.</v>
      </c>
      <c r="F117" s="172" t="str">
        <f ca="1">OFFSET(ORÇAMENTO!R$15,ROW(F117)-ROW(F$15),0)</f>
        <v>(abra o arquivo 'Referência 03-2024.xlsm)</v>
      </c>
      <c r="G117" s="173" t="str">
        <f ca="1">IF($D117&lt;&gt;"Serviço","",OFFSET(ORÇAMENTO!S$15,ROW(G117)-ROW(G$15),0))</f>
        <v>-</v>
      </c>
      <c r="H117" s="124">
        <f ca="1">IF($D117&lt;&gt;"Serviço",0,IF(ACOMPANHAMENTO="BM",ROUND(OFFSET(ORÇAMENTO!AJ$15,ROW(H117)-ROW(H$15),0),15-13*ORÇAMENTO!$AF$7),SUMPRODUCT(($Q$12:$AA$12&lt;&gt;"")*ROUND($Q117:$AA117,15-13*ORÇAMENTO!$AF$7))))</f>
        <v>16.850000000000001</v>
      </c>
      <c r="I117" s="561"/>
      <c r="K117" s="174"/>
      <c r="L117" s="175" t="s">
        <v>255</v>
      </c>
      <c r="M117" s="176">
        <f ca="1">IF($D117&lt;&gt;"Serviço","",IF(AUTOEVENTO="manual",$A117,IF(ISERROR(MATCH($A117,$A$15:OFFSET($A117,-1,0),0)),MAX($M$15:OFFSET(M117,-1,0))+1,INDEX($M$15:OFFSET(M117,-1,0),MATCH($A117,$A$15:OFFSET($A117,-1,0),0)))))</f>
        <v>7</v>
      </c>
      <c r="N117" s="177" t="str">
        <f ca="1">IF($D117&lt;&gt;"Serviço","",IF(AUTOEVENTO="Manual",IF($A117=0,"&lt;-- defina o número do agrupador",OFFSET(EVENTOS!$D$14,$A117,0)),OFFSET($F$15,$A117,0)))</f>
        <v>SANITÁRIO PÚBLICO ACESSÍVEL</v>
      </c>
      <c r="O117" s="178"/>
      <c r="Q117" s="178"/>
      <c r="R117" s="179"/>
      <c r="S117" s="179"/>
      <c r="T117" s="179"/>
      <c r="U117" s="179"/>
      <c r="V117" s="179"/>
      <c r="W117" s="179"/>
      <c r="X117" s="179"/>
      <c r="Y117" s="179"/>
      <c r="Z117" s="180"/>
      <c r="AB117" s="544">
        <f ca="1">IF(AND($D117="Serviço",AB$12&lt;&gt;0,$H117&gt;0,OR(AUTOEVENTO&lt;&gt;"manual",$M117&lt;&gt;1)),
IF(Import.TipoArredondamento&lt;&gt;"TransfereGOV",
ROUND(OFFSET($P117,0,AB$13),15-13*ORÇAMENTO!$AF$7)/$H117*OFFSET(ORÇAMENTO!$X$15,ROW(AB117)-ROW(AB$15),0),
ROUND(ROUND(OFFSET($P117,0,AB$13),15-13*ORÇAMENTO!$AF$7)*OFFSET(ORÇAMENTO!$W$15,ROW(AB117)-ROW(AB$15),0),15-13*ORÇAMENTO!$AF$11)),0)</f>
        <v>0</v>
      </c>
      <c r="AC117" s="545">
        <f ca="1">IF(AND($D117="Serviço",AC$12&lt;&gt;0,$H117&gt;0,OR(AUTOEVENTO&lt;&gt;"manual",$M117&lt;&gt;1)),
IF(Import.TipoArredondamento&lt;&gt;"TransfereGOV",
ROUND(OFFSET($P117,0,AC$13),15-13*ORÇAMENTO!$AF$7)/$H117*OFFSET(ORÇAMENTO!$X$15,ROW(AC117)-ROW(AC$15),0),
ROUND(ROUND(OFFSET($P117,0,AC$13),15-13*ORÇAMENTO!$AF$7)*OFFSET(ORÇAMENTO!$W$15,ROW(AC117)-ROW(AC$15),0),15-13*ORÇAMENTO!$AF$11)),0)</f>
        <v>0</v>
      </c>
      <c r="AD117" s="545">
        <f ca="1">IF(AND($D117="Serviço",AD$12&lt;&gt;0,$H117&gt;0,OR(AUTOEVENTO&lt;&gt;"manual",$M117&lt;&gt;1)),
IF(Import.TipoArredondamento&lt;&gt;"TransfereGOV",
ROUND(OFFSET($P117,0,AD$13),15-13*ORÇAMENTO!$AF$7)/$H117*OFFSET(ORÇAMENTO!$X$15,ROW(AD117)-ROW(AD$15),0),
ROUND(ROUND(OFFSET($P117,0,AD$13),15-13*ORÇAMENTO!$AF$7)*OFFSET(ORÇAMENTO!$W$15,ROW(AD117)-ROW(AD$15),0),15-13*ORÇAMENTO!$AF$11)),0)</f>
        <v>0</v>
      </c>
      <c r="AE117" s="545">
        <f ca="1">IF(AND($D117="Serviço",AE$12&lt;&gt;0,$H117&gt;0,OR(AUTOEVENTO&lt;&gt;"manual",$M117&lt;&gt;1)),
IF(Import.TipoArredondamento&lt;&gt;"TransfereGOV",
ROUND(OFFSET($P117,0,AE$13),15-13*ORÇAMENTO!$AF$7)/$H117*OFFSET(ORÇAMENTO!$X$15,ROW(AE117)-ROW(AE$15),0),
ROUND(ROUND(OFFSET($P117,0,AE$13),15-13*ORÇAMENTO!$AF$7)*OFFSET(ORÇAMENTO!$W$15,ROW(AE117)-ROW(AE$15),0),15-13*ORÇAMENTO!$AF$11)),0)</f>
        <v>0</v>
      </c>
      <c r="AF117" s="545">
        <f ca="1">IF(AND($D117="Serviço",AF$12&lt;&gt;0,$H117&gt;0,OR(AUTOEVENTO&lt;&gt;"manual",$M117&lt;&gt;1)),
IF(Import.TipoArredondamento&lt;&gt;"TransfereGOV",
ROUND(OFFSET($P117,0,AF$13),15-13*ORÇAMENTO!$AF$7)/$H117*OFFSET(ORÇAMENTO!$X$15,ROW(AF117)-ROW(AF$15),0),
ROUND(ROUND(OFFSET($P117,0,AF$13),15-13*ORÇAMENTO!$AF$7)*OFFSET(ORÇAMENTO!$W$15,ROW(AF117)-ROW(AF$15),0),15-13*ORÇAMENTO!$AF$11)),0)</f>
        <v>0</v>
      </c>
      <c r="AG117" s="545">
        <f ca="1">IF(AND($D117="Serviço",AG$12&lt;&gt;0,$H117&gt;0,OR(AUTOEVENTO&lt;&gt;"manual",$M117&lt;&gt;1)),
IF(Import.TipoArredondamento&lt;&gt;"TransfereGOV",
ROUND(OFFSET($P117,0,AG$13),15-13*ORÇAMENTO!$AF$7)/$H117*OFFSET(ORÇAMENTO!$X$15,ROW(AG117)-ROW(AG$15),0),
ROUND(ROUND(OFFSET($P117,0,AG$13),15-13*ORÇAMENTO!$AF$7)*OFFSET(ORÇAMENTO!$W$15,ROW(AG117)-ROW(AG$15),0),15-13*ORÇAMENTO!$AF$11)),0)</f>
        <v>0</v>
      </c>
      <c r="AH117" s="545">
        <f ca="1">IF(AND($D117="Serviço",AH$12&lt;&gt;0,$H117&gt;0,OR(AUTOEVENTO&lt;&gt;"manual",$M117&lt;&gt;1)),
IF(Import.TipoArredondamento&lt;&gt;"TransfereGOV",
ROUND(OFFSET($P117,0,AH$13),15-13*ORÇAMENTO!$AF$7)/$H117*OFFSET(ORÇAMENTO!$X$15,ROW(AH117)-ROW(AH$15),0),
ROUND(ROUND(OFFSET($P117,0,AH$13),15-13*ORÇAMENTO!$AF$7)*OFFSET(ORÇAMENTO!$W$15,ROW(AH117)-ROW(AH$15),0),15-13*ORÇAMENTO!$AF$11)),0)</f>
        <v>0</v>
      </c>
      <c r="AI117" s="545">
        <f ca="1">IF(AND($D117="Serviço",AI$12&lt;&gt;0,$H117&gt;0,OR(AUTOEVENTO&lt;&gt;"manual",$M117&lt;&gt;1)),
IF(Import.TipoArredondamento&lt;&gt;"TransfereGOV",
ROUND(OFFSET($P117,0,AI$13),15-13*ORÇAMENTO!$AF$7)/$H117*OFFSET(ORÇAMENTO!$X$15,ROW(AI117)-ROW(AI$15),0),
ROUND(ROUND(OFFSET($P117,0,AI$13),15-13*ORÇAMENTO!$AF$7)*OFFSET(ORÇAMENTO!$W$15,ROW(AI117)-ROW(AI$15),0),15-13*ORÇAMENTO!$AF$11)),0)</f>
        <v>0</v>
      </c>
      <c r="AJ117" s="545">
        <f ca="1">IF(AND($D117="Serviço",AJ$12&lt;&gt;0,$H117&gt;0,OR(AUTOEVENTO&lt;&gt;"manual",$M117&lt;&gt;1)),
IF(Import.TipoArredondamento&lt;&gt;"TransfereGOV",
ROUND(OFFSET($P117,0,AJ$13),15-13*ORÇAMENTO!$AF$7)/$H117*OFFSET(ORÇAMENTO!$X$15,ROW(AJ117)-ROW(AJ$15),0),
ROUND(ROUND(OFFSET($P117,0,AJ$13),15-13*ORÇAMENTO!$AF$7)*OFFSET(ORÇAMENTO!$W$15,ROW(AJ117)-ROW(AJ$15),0),15-13*ORÇAMENTO!$AF$11)),0)</f>
        <v>0</v>
      </c>
      <c r="AK117" s="546">
        <f ca="1">IF(AND($D117="Serviço",AK$12&lt;&gt;0,$H117&gt;0,OR(AUTOEVENTO&lt;&gt;"manual",$M117&lt;&gt;1)),
IF(Import.TipoArredondamento&lt;&gt;"TransfereGOV",
ROUND(OFFSET($P117,0,AK$13),15-13*ORÇAMENTO!$AF$7)/$H117*OFFSET(ORÇAMENTO!$X$15,ROW(AK117)-ROW(AK$15),0),
ROUND(ROUND(OFFSET($P117,0,AK$13),15-13*ORÇAMENTO!$AF$7)*OFFSET(ORÇAMENTO!$W$15,ROW(AK117)-ROW(AK$15),0),15-13*ORÇAMENTO!$AF$11)),0)</f>
        <v>0</v>
      </c>
      <c r="AM117" s="181">
        <f ca="1">IF($D117&lt;&gt;"Serviço",0,IF(AND(AUTOEVENTO="Manual",$M117=1),0,IF(OFFSET(CRONOPLE!$F$14,$M117,AM$13)="",10^12,OFFSET(CRONOPLE!$F$14,$M117,AM$13))))</f>
        <v>1000000000000</v>
      </c>
      <c r="AN117" s="181">
        <f ca="1">IF($D117&lt;&gt;"Serviço",0,IF(AND(AUTOEVENTO="Manual",$M117=1),0,IF(OFFSET(CRONOPLE!$F$14,$M117,AN$13)="",10^12,OFFSET(CRONOPLE!$F$14,$M117,AN$13))))</f>
        <v>1000000000000</v>
      </c>
      <c r="AO117" s="181">
        <f ca="1">IF($D117&lt;&gt;"Serviço",0,IF(AND(AUTOEVENTO="Manual",$M117=1),0,IF(OFFSET(CRONOPLE!$F$14,$M117,AO$13)="",10^12,OFFSET(CRONOPLE!$F$14,$M117,AO$13))))</f>
        <v>1000000000000</v>
      </c>
      <c r="AP117" s="181">
        <f ca="1">IF($D117&lt;&gt;"Serviço",0,IF(AND(AUTOEVENTO="Manual",$M117=1),0,IF(OFFSET(CRONOPLE!$F$14,$M117,AP$13)="",10^12,OFFSET(CRONOPLE!$F$14,$M117,AP$13))))</f>
        <v>1000000000000</v>
      </c>
      <c r="AQ117" s="181">
        <f ca="1">IF($D117&lt;&gt;"Serviço",0,IF(AND(AUTOEVENTO="Manual",$M117=1),0,IF(OFFSET(CRONOPLE!$F$14,$M117,AQ$13)="",10^12,OFFSET(CRONOPLE!$F$14,$M117,AQ$13))))</f>
        <v>1000000000000</v>
      </c>
      <c r="AR117" s="181">
        <f ca="1">IF($D117&lt;&gt;"Serviço",0,IF(AND(AUTOEVENTO="Manual",$M117=1),0,IF(OFFSET(CRONOPLE!$F$14,$M117,AR$13)="",10^12,OFFSET(CRONOPLE!$F$14,$M117,AR$13))))</f>
        <v>1000000000000</v>
      </c>
      <c r="AS117" s="181">
        <f ca="1">IF($D117&lt;&gt;"Serviço",0,IF(AND(AUTOEVENTO="Manual",$M117=1),0,IF(OFFSET(CRONOPLE!$F$14,$M117,AS$13)="",10^12,OFFSET(CRONOPLE!$F$14,$M117,AS$13))))</f>
        <v>1000000000000</v>
      </c>
      <c r="AT117" s="181">
        <f ca="1">IF($D117&lt;&gt;"Serviço",0,IF(AND(AUTOEVENTO="Manual",$M117=1),0,IF(OFFSET(CRONOPLE!$F$14,$M117,AT$13)="",10^12,OFFSET(CRONOPLE!$F$14,$M117,AT$13))))</f>
        <v>1000000000000</v>
      </c>
      <c r="AU117" s="181">
        <f ca="1">IF($D117&lt;&gt;"Serviço",0,IF(AND(AUTOEVENTO="Manual",$M117=1),0,IF(OFFSET(CRONOPLE!$F$14,$M117,AU$13)="",10^12,OFFSET(CRONOPLE!$F$14,$M117,AU$13))))</f>
        <v>1000000000000</v>
      </c>
      <c r="AV117" s="181">
        <f ca="1">IF($D117&lt;&gt;"Serviço",0,IF(AND(AUTOEVENTO="Manual",$M117=1),0,IF(OFFSET(CRONOPLE!$F$14,$M117,AV$13)="",10^12,OFFSET(CRONOPLE!$F$14,$M117,AV$13))))</f>
        <v>1000000000000</v>
      </c>
      <c r="AX117" s="182">
        <f ca="1">IF($D117&lt;&gt;"Serviço",0,IF(OR(AND(AUTOEVENTO="Manual",$M117=1),$M117&gt;(ROW(PLE.lastrow)-ROW(PLE.firstrow))),0,IF(OFFSET(PLE!$G$14,$M117,AX$13)="",10^12,OFFSET(PLE!$G$14,$M117,AX$13))))</f>
        <v>1000000000000</v>
      </c>
      <c r="AY117" s="182">
        <f ca="1">IF($D117&lt;&gt;"Serviço",0,IF(OR(AND(AUTOEVENTO="Manual",$M117=1),$M117&gt;(ROW(PLE.lastrow)-ROW(PLE.firstrow))),0,IF(OFFSET(PLE!$G$14,$M117,AY$13)="",10^12,OFFSET(PLE!$G$14,$M117,AY$13))))</f>
        <v>1000000000000</v>
      </c>
      <c r="AZ117" s="182">
        <f ca="1">IF($D117&lt;&gt;"Serviço",0,IF(OR(AND(AUTOEVENTO="Manual",$M117=1),$M117&gt;(ROW(PLE.lastrow)-ROW(PLE.firstrow))),0,IF(OFFSET(PLE!$G$14,$M117,AZ$13)="",10^12,OFFSET(PLE!$G$14,$M117,AZ$13))))</f>
        <v>1000000000000</v>
      </c>
      <c r="BA117" s="182">
        <f ca="1">IF($D117&lt;&gt;"Serviço",0,IF(OR(AND(AUTOEVENTO="Manual",$M117=1),$M117&gt;(ROW(PLE.lastrow)-ROW(PLE.firstrow))),0,IF(OFFSET(PLE!$G$14,$M117,BA$13)="",10^12,OFFSET(PLE!$G$14,$M117,BA$13))))</f>
        <v>1000000000000</v>
      </c>
      <c r="BB117" s="182">
        <f ca="1">IF($D117&lt;&gt;"Serviço",0,IF(OR(AND(AUTOEVENTO="Manual",$M117=1),$M117&gt;(ROW(PLE.lastrow)-ROW(PLE.firstrow))),0,IF(OFFSET(PLE!$G$14,$M117,BB$13)="",10^12,OFFSET(PLE!$G$14,$M117,BB$13))))</f>
        <v>1000000000000</v>
      </c>
      <c r="BC117" s="182">
        <f ca="1">IF($D117&lt;&gt;"Serviço",0,IF(OR(AND(AUTOEVENTO="Manual",$M117=1),$M117&gt;(ROW(PLE.lastrow)-ROW(PLE.firstrow))),0,IF(OFFSET(PLE!$G$14,$M117,BC$13)="",10^12,OFFSET(PLE!$G$14,$M117,BC$13))))</f>
        <v>1000000000000</v>
      </c>
      <c r="BD117" s="182">
        <f ca="1">IF($D117&lt;&gt;"Serviço",0,IF(OR(AND(AUTOEVENTO="Manual",$M117=1),$M117&gt;(ROW(PLE.lastrow)-ROW(PLE.firstrow))),0,IF(OFFSET(PLE!$G$14,$M117,BD$13)="",10^12,OFFSET(PLE!$G$14,$M117,BD$13))))</f>
        <v>1000000000000</v>
      </c>
      <c r="BE117" s="182">
        <f ca="1">IF($D117&lt;&gt;"Serviço",0,IF(OR(AND(AUTOEVENTO="Manual",$M117=1),$M117&gt;(ROW(PLE.lastrow)-ROW(PLE.firstrow))),0,IF(OFFSET(PLE!$G$14,$M117,BE$13)="",10^12,OFFSET(PLE!$G$14,$M117,BE$13))))</f>
        <v>1000000000000</v>
      </c>
      <c r="BF117" s="182">
        <f ca="1">IF($D117&lt;&gt;"Serviço",0,IF(OR(AND(AUTOEVENTO="Manual",$M117=1),$M117&gt;(ROW(PLE.lastrow)-ROW(PLE.firstrow))),0,IF(OFFSET(PLE!$G$14,$M117,BF$13)="",10^12,OFFSET(PLE!$G$14,$M117,BF$13))))</f>
        <v>1000000000000</v>
      </c>
      <c r="BG117" s="182">
        <f ca="1">IF($D117&lt;&gt;"Serviço",0,IF(OR(AND(AUTOEVENTO="Manual",$M117=1),$M117&gt;(ROW(PLE.lastrow)-ROW(PLE.firstrow))),0,IF(OFFSET(PLE!$G$14,$M117,BG$13)="",10^12,OFFSET(PLE!$G$14,$M117,BG$13))))</f>
        <v>1000000000000</v>
      </c>
    </row>
    <row r="118" spans="1:59" ht="38.25" x14ac:dyDescent="0.2">
      <c r="A118" s="7" t="str">
        <f t="shared" ca="1" si="9"/>
        <v>71</v>
      </c>
      <c r="B118" s="7" t="str">
        <f ca="1">OFFSET(ORÇAMENTO!C$15,ROW(B118)-ROW(B$15),0)</f>
        <v>S</v>
      </c>
      <c r="C118" s="7" t="str">
        <f ca="1">OFFSET(ORÇAMENTO!L$15,ROW(C118)-ROW(C$15),0)</f>
        <v>F</v>
      </c>
      <c r="D118" s="118" t="str">
        <f ca="1">OFFSET(ORÇAMENTO!N$15,ROW(D118)-ROW(D$15),0)</f>
        <v>Serviço</v>
      </c>
      <c r="E118" s="119" t="str">
        <f ca="1">OFFSET(ORÇAMENTO!O$15,ROW(E118)-ROW(E$15),0)</f>
        <v>1.6.6.4.</v>
      </c>
      <c r="F118" s="172" t="str">
        <f ca="1">OFFSET(ORÇAMENTO!R$15,ROW(F118)-ROW(F$15),0)</f>
        <v>(abra o arquivo 'Referência 03-2024.xlsm)</v>
      </c>
      <c r="G118" s="173" t="str">
        <f ca="1">IF($D118&lt;&gt;"Serviço","",OFFSET(ORÇAMENTO!S$15,ROW(G118)-ROW(G$15),0))</f>
        <v>-</v>
      </c>
      <c r="H118" s="124">
        <f ca="1">IF($D118&lt;&gt;"Serviço",0,IF(ACOMPANHAMENTO="BM",ROUND(OFFSET(ORÇAMENTO!AJ$15,ROW(H118)-ROW(H$15),0),15-13*ORÇAMENTO!$AF$7),SUMPRODUCT(($Q$12:$AA$12&lt;&gt;"")*ROUND($Q118:$AA118,15-13*ORÇAMENTO!$AF$7))))</f>
        <v>51.33</v>
      </c>
      <c r="I118" s="561"/>
      <c r="K118" s="174"/>
      <c r="L118" s="175" t="s">
        <v>255</v>
      </c>
      <c r="M118" s="176">
        <f ca="1">IF($D118&lt;&gt;"Serviço","",IF(AUTOEVENTO="manual",$A118,IF(ISERROR(MATCH($A118,$A$15:OFFSET($A118,-1,0),0)),MAX($M$15:OFFSET(M118,-1,0))+1,INDEX($M$15:OFFSET(M118,-1,0),MATCH($A118,$A$15:OFFSET($A118,-1,0),0)))))</f>
        <v>7</v>
      </c>
      <c r="N118" s="177" t="str">
        <f ca="1">IF($D118&lt;&gt;"Serviço","",IF(AUTOEVENTO="Manual",IF($A118=0,"&lt;-- defina o número do agrupador",OFFSET(EVENTOS!$D$14,$A118,0)),OFFSET($F$15,$A118,0)))</f>
        <v>SANITÁRIO PÚBLICO ACESSÍVEL</v>
      </c>
      <c r="O118" s="178"/>
      <c r="Q118" s="178"/>
      <c r="R118" s="179"/>
      <c r="S118" s="179"/>
      <c r="T118" s="179"/>
      <c r="U118" s="179"/>
      <c r="V118" s="179"/>
      <c r="W118" s="179"/>
      <c r="X118" s="179"/>
      <c r="Y118" s="179"/>
      <c r="Z118" s="180"/>
      <c r="AB118" s="544">
        <f ca="1">IF(AND($D118="Serviço",AB$12&lt;&gt;0,$H118&gt;0,OR(AUTOEVENTO&lt;&gt;"manual",$M118&lt;&gt;1)),
IF(Import.TipoArredondamento&lt;&gt;"TransfereGOV",
ROUND(OFFSET($P118,0,AB$13),15-13*ORÇAMENTO!$AF$7)/$H118*OFFSET(ORÇAMENTO!$X$15,ROW(AB118)-ROW(AB$15),0),
ROUND(ROUND(OFFSET($P118,0,AB$13),15-13*ORÇAMENTO!$AF$7)*OFFSET(ORÇAMENTO!$W$15,ROW(AB118)-ROW(AB$15),0),15-13*ORÇAMENTO!$AF$11)),0)</f>
        <v>0</v>
      </c>
      <c r="AC118" s="545">
        <f ca="1">IF(AND($D118="Serviço",AC$12&lt;&gt;0,$H118&gt;0,OR(AUTOEVENTO&lt;&gt;"manual",$M118&lt;&gt;1)),
IF(Import.TipoArredondamento&lt;&gt;"TransfereGOV",
ROUND(OFFSET($P118,0,AC$13),15-13*ORÇAMENTO!$AF$7)/$H118*OFFSET(ORÇAMENTO!$X$15,ROW(AC118)-ROW(AC$15),0),
ROUND(ROUND(OFFSET($P118,0,AC$13),15-13*ORÇAMENTO!$AF$7)*OFFSET(ORÇAMENTO!$W$15,ROW(AC118)-ROW(AC$15),0),15-13*ORÇAMENTO!$AF$11)),0)</f>
        <v>0</v>
      </c>
      <c r="AD118" s="545">
        <f ca="1">IF(AND($D118="Serviço",AD$12&lt;&gt;0,$H118&gt;0,OR(AUTOEVENTO&lt;&gt;"manual",$M118&lt;&gt;1)),
IF(Import.TipoArredondamento&lt;&gt;"TransfereGOV",
ROUND(OFFSET($P118,0,AD$13),15-13*ORÇAMENTO!$AF$7)/$H118*OFFSET(ORÇAMENTO!$X$15,ROW(AD118)-ROW(AD$15),0),
ROUND(ROUND(OFFSET($P118,0,AD$13),15-13*ORÇAMENTO!$AF$7)*OFFSET(ORÇAMENTO!$W$15,ROW(AD118)-ROW(AD$15),0),15-13*ORÇAMENTO!$AF$11)),0)</f>
        <v>0</v>
      </c>
      <c r="AE118" s="545">
        <f ca="1">IF(AND($D118="Serviço",AE$12&lt;&gt;0,$H118&gt;0,OR(AUTOEVENTO&lt;&gt;"manual",$M118&lt;&gt;1)),
IF(Import.TipoArredondamento&lt;&gt;"TransfereGOV",
ROUND(OFFSET($P118,0,AE$13),15-13*ORÇAMENTO!$AF$7)/$H118*OFFSET(ORÇAMENTO!$X$15,ROW(AE118)-ROW(AE$15),0),
ROUND(ROUND(OFFSET($P118,0,AE$13),15-13*ORÇAMENTO!$AF$7)*OFFSET(ORÇAMENTO!$W$15,ROW(AE118)-ROW(AE$15),0),15-13*ORÇAMENTO!$AF$11)),0)</f>
        <v>0</v>
      </c>
      <c r="AF118" s="545">
        <f ca="1">IF(AND($D118="Serviço",AF$12&lt;&gt;0,$H118&gt;0,OR(AUTOEVENTO&lt;&gt;"manual",$M118&lt;&gt;1)),
IF(Import.TipoArredondamento&lt;&gt;"TransfereGOV",
ROUND(OFFSET($P118,0,AF$13),15-13*ORÇAMENTO!$AF$7)/$H118*OFFSET(ORÇAMENTO!$X$15,ROW(AF118)-ROW(AF$15),0),
ROUND(ROUND(OFFSET($P118,0,AF$13),15-13*ORÇAMENTO!$AF$7)*OFFSET(ORÇAMENTO!$W$15,ROW(AF118)-ROW(AF$15),0),15-13*ORÇAMENTO!$AF$11)),0)</f>
        <v>0</v>
      </c>
      <c r="AG118" s="545">
        <f ca="1">IF(AND($D118="Serviço",AG$12&lt;&gt;0,$H118&gt;0,OR(AUTOEVENTO&lt;&gt;"manual",$M118&lt;&gt;1)),
IF(Import.TipoArredondamento&lt;&gt;"TransfereGOV",
ROUND(OFFSET($P118,0,AG$13),15-13*ORÇAMENTO!$AF$7)/$H118*OFFSET(ORÇAMENTO!$X$15,ROW(AG118)-ROW(AG$15),0),
ROUND(ROUND(OFFSET($P118,0,AG$13),15-13*ORÇAMENTO!$AF$7)*OFFSET(ORÇAMENTO!$W$15,ROW(AG118)-ROW(AG$15),0),15-13*ORÇAMENTO!$AF$11)),0)</f>
        <v>0</v>
      </c>
      <c r="AH118" s="545">
        <f ca="1">IF(AND($D118="Serviço",AH$12&lt;&gt;0,$H118&gt;0,OR(AUTOEVENTO&lt;&gt;"manual",$M118&lt;&gt;1)),
IF(Import.TipoArredondamento&lt;&gt;"TransfereGOV",
ROUND(OFFSET($P118,0,AH$13),15-13*ORÇAMENTO!$AF$7)/$H118*OFFSET(ORÇAMENTO!$X$15,ROW(AH118)-ROW(AH$15),0),
ROUND(ROUND(OFFSET($P118,0,AH$13),15-13*ORÇAMENTO!$AF$7)*OFFSET(ORÇAMENTO!$W$15,ROW(AH118)-ROW(AH$15),0),15-13*ORÇAMENTO!$AF$11)),0)</f>
        <v>0</v>
      </c>
      <c r="AI118" s="545">
        <f ca="1">IF(AND($D118="Serviço",AI$12&lt;&gt;0,$H118&gt;0,OR(AUTOEVENTO&lt;&gt;"manual",$M118&lt;&gt;1)),
IF(Import.TipoArredondamento&lt;&gt;"TransfereGOV",
ROUND(OFFSET($P118,0,AI$13),15-13*ORÇAMENTO!$AF$7)/$H118*OFFSET(ORÇAMENTO!$X$15,ROW(AI118)-ROW(AI$15),0),
ROUND(ROUND(OFFSET($P118,0,AI$13),15-13*ORÇAMENTO!$AF$7)*OFFSET(ORÇAMENTO!$W$15,ROW(AI118)-ROW(AI$15),0),15-13*ORÇAMENTO!$AF$11)),0)</f>
        <v>0</v>
      </c>
      <c r="AJ118" s="545">
        <f ca="1">IF(AND($D118="Serviço",AJ$12&lt;&gt;0,$H118&gt;0,OR(AUTOEVENTO&lt;&gt;"manual",$M118&lt;&gt;1)),
IF(Import.TipoArredondamento&lt;&gt;"TransfereGOV",
ROUND(OFFSET($P118,0,AJ$13),15-13*ORÇAMENTO!$AF$7)/$H118*OFFSET(ORÇAMENTO!$X$15,ROW(AJ118)-ROW(AJ$15),0),
ROUND(ROUND(OFFSET($P118,0,AJ$13),15-13*ORÇAMENTO!$AF$7)*OFFSET(ORÇAMENTO!$W$15,ROW(AJ118)-ROW(AJ$15),0),15-13*ORÇAMENTO!$AF$11)),0)</f>
        <v>0</v>
      </c>
      <c r="AK118" s="546">
        <f ca="1">IF(AND($D118="Serviço",AK$12&lt;&gt;0,$H118&gt;0,OR(AUTOEVENTO&lt;&gt;"manual",$M118&lt;&gt;1)),
IF(Import.TipoArredondamento&lt;&gt;"TransfereGOV",
ROUND(OFFSET($P118,0,AK$13),15-13*ORÇAMENTO!$AF$7)/$H118*OFFSET(ORÇAMENTO!$X$15,ROW(AK118)-ROW(AK$15),0),
ROUND(ROUND(OFFSET($P118,0,AK$13),15-13*ORÇAMENTO!$AF$7)*OFFSET(ORÇAMENTO!$W$15,ROW(AK118)-ROW(AK$15),0),15-13*ORÇAMENTO!$AF$11)),0)</f>
        <v>0</v>
      </c>
      <c r="AM118" s="181">
        <f ca="1">IF($D118&lt;&gt;"Serviço",0,IF(AND(AUTOEVENTO="Manual",$M118=1),0,IF(OFFSET(CRONOPLE!$F$14,$M118,AM$13)="",10^12,OFFSET(CRONOPLE!$F$14,$M118,AM$13))))</f>
        <v>1000000000000</v>
      </c>
      <c r="AN118" s="181">
        <f ca="1">IF($D118&lt;&gt;"Serviço",0,IF(AND(AUTOEVENTO="Manual",$M118=1),0,IF(OFFSET(CRONOPLE!$F$14,$M118,AN$13)="",10^12,OFFSET(CRONOPLE!$F$14,$M118,AN$13))))</f>
        <v>1000000000000</v>
      </c>
      <c r="AO118" s="181">
        <f ca="1">IF($D118&lt;&gt;"Serviço",0,IF(AND(AUTOEVENTO="Manual",$M118=1),0,IF(OFFSET(CRONOPLE!$F$14,$M118,AO$13)="",10^12,OFFSET(CRONOPLE!$F$14,$M118,AO$13))))</f>
        <v>1000000000000</v>
      </c>
      <c r="AP118" s="181">
        <f ca="1">IF($D118&lt;&gt;"Serviço",0,IF(AND(AUTOEVENTO="Manual",$M118=1),0,IF(OFFSET(CRONOPLE!$F$14,$M118,AP$13)="",10^12,OFFSET(CRONOPLE!$F$14,$M118,AP$13))))</f>
        <v>1000000000000</v>
      </c>
      <c r="AQ118" s="181">
        <f ca="1">IF($D118&lt;&gt;"Serviço",0,IF(AND(AUTOEVENTO="Manual",$M118=1),0,IF(OFFSET(CRONOPLE!$F$14,$M118,AQ$13)="",10^12,OFFSET(CRONOPLE!$F$14,$M118,AQ$13))))</f>
        <v>1000000000000</v>
      </c>
      <c r="AR118" s="181">
        <f ca="1">IF($D118&lt;&gt;"Serviço",0,IF(AND(AUTOEVENTO="Manual",$M118=1),0,IF(OFFSET(CRONOPLE!$F$14,$M118,AR$13)="",10^12,OFFSET(CRONOPLE!$F$14,$M118,AR$13))))</f>
        <v>1000000000000</v>
      </c>
      <c r="AS118" s="181">
        <f ca="1">IF($D118&lt;&gt;"Serviço",0,IF(AND(AUTOEVENTO="Manual",$M118=1),0,IF(OFFSET(CRONOPLE!$F$14,$M118,AS$13)="",10^12,OFFSET(CRONOPLE!$F$14,$M118,AS$13))))</f>
        <v>1000000000000</v>
      </c>
      <c r="AT118" s="181">
        <f ca="1">IF($D118&lt;&gt;"Serviço",0,IF(AND(AUTOEVENTO="Manual",$M118=1),0,IF(OFFSET(CRONOPLE!$F$14,$M118,AT$13)="",10^12,OFFSET(CRONOPLE!$F$14,$M118,AT$13))))</f>
        <v>1000000000000</v>
      </c>
      <c r="AU118" s="181">
        <f ca="1">IF($D118&lt;&gt;"Serviço",0,IF(AND(AUTOEVENTO="Manual",$M118=1),0,IF(OFFSET(CRONOPLE!$F$14,$M118,AU$13)="",10^12,OFFSET(CRONOPLE!$F$14,$M118,AU$13))))</f>
        <v>1000000000000</v>
      </c>
      <c r="AV118" s="181">
        <f ca="1">IF($D118&lt;&gt;"Serviço",0,IF(AND(AUTOEVENTO="Manual",$M118=1),0,IF(OFFSET(CRONOPLE!$F$14,$M118,AV$13)="",10^12,OFFSET(CRONOPLE!$F$14,$M118,AV$13))))</f>
        <v>1000000000000</v>
      </c>
      <c r="AX118" s="182">
        <f ca="1">IF($D118&lt;&gt;"Serviço",0,IF(OR(AND(AUTOEVENTO="Manual",$M118=1),$M118&gt;(ROW(PLE.lastrow)-ROW(PLE.firstrow))),0,IF(OFFSET(PLE!$G$14,$M118,AX$13)="",10^12,OFFSET(PLE!$G$14,$M118,AX$13))))</f>
        <v>1000000000000</v>
      </c>
      <c r="AY118" s="182">
        <f ca="1">IF($D118&lt;&gt;"Serviço",0,IF(OR(AND(AUTOEVENTO="Manual",$M118=1),$M118&gt;(ROW(PLE.lastrow)-ROW(PLE.firstrow))),0,IF(OFFSET(PLE!$G$14,$M118,AY$13)="",10^12,OFFSET(PLE!$G$14,$M118,AY$13))))</f>
        <v>1000000000000</v>
      </c>
      <c r="AZ118" s="182">
        <f ca="1">IF($D118&lt;&gt;"Serviço",0,IF(OR(AND(AUTOEVENTO="Manual",$M118=1),$M118&gt;(ROW(PLE.lastrow)-ROW(PLE.firstrow))),0,IF(OFFSET(PLE!$G$14,$M118,AZ$13)="",10^12,OFFSET(PLE!$G$14,$M118,AZ$13))))</f>
        <v>1000000000000</v>
      </c>
      <c r="BA118" s="182">
        <f ca="1">IF($D118&lt;&gt;"Serviço",0,IF(OR(AND(AUTOEVENTO="Manual",$M118=1),$M118&gt;(ROW(PLE.lastrow)-ROW(PLE.firstrow))),0,IF(OFFSET(PLE!$G$14,$M118,BA$13)="",10^12,OFFSET(PLE!$G$14,$M118,BA$13))))</f>
        <v>1000000000000</v>
      </c>
      <c r="BB118" s="182">
        <f ca="1">IF($D118&lt;&gt;"Serviço",0,IF(OR(AND(AUTOEVENTO="Manual",$M118=1),$M118&gt;(ROW(PLE.lastrow)-ROW(PLE.firstrow))),0,IF(OFFSET(PLE!$G$14,$M118,BB$13)="",10^12,OFFSET(PLE!$G$14,$M118,BB$13))))</f>
        <v>1000000000000</v>
      </c>
      <c r="BC118" s="182">
        <f ca="1">IF($D118&lt;&gt;"Serviço",0,IF(OR(AND(AUTOEVENTO="Manual",$M118=1),$M118&gt;(ROW(PLE.lastrow)-ROW(PLE.firstrow))),0,IF(OFFSET(PLE!$G$14,$M118,BC$13)="",10^12,OFFSET(PLE!$G$14,$M118,BC$13))))</f>
        <v>1000000000000</v>
      </c>
      <c r="BD118" s="182">
        <f ca="1">IF($D118&lt;&gt;"Serviço",0,IF(OR(AND(AUTOEVENTO="Manual",$M118=1),$M118&gt;(ROW(PLE.lastrow)-ROW(PLE.firstrow))),0,IF(OFFSET(PLE!$G$14,$M118,BD$13)="",10^12,OFFSET(PLE!$G$14,$M118,BD$13))))</f>
        <v>1000000000000</v>
      </c>
      <c r="BE118" s="182">
        <f ca="1">IF($D118&lt;&gt;"Serviço",0,IF(OR(AND(AUTOEVENTO="Manual",$M118=1),$M118&gt;(ROW(PLE.lastrow)-ROW(PLE.firstrow))),0,IF(OFFSET(PLE!$G$14,$M118,BE$13)="",10^12,OFFSET(PLE!$G$14,$M118,BE$13))))</f>
        <v>1000000000000</v>
      </c>
      <c r="BF118" s="182">
        <f ca="1">IF($D118&lt;&gt;"Serviço",0,IF(OR(AND(AUTOEVENTO="Manual",$M118=1),$M118&gt;(ROW(PLE.lastrow)-ROW(PLE.firstrow))),0,IF(OFFSET(PLE!$G$14,$M118,BF$13)="",10^12,OFFSET(PLE!$G$14,$M118,BF$13))))</f>
        <v>1000000000000</v>
      </c>
      <c r="BG118" s="182">
        <f ca="1">IF($D118&lt;&gt;"Serviço",0,IF(OR(AND(AUTOEVENTO="Manual",$M118=1),$M118&gt;(ROW(PLE.lastrow)-ROW(PLE.firstrow))),0,IF(OFFSET(PLE!$G$14,$M118,BG$13)="",10^12,OFFSET(PLE!$G$14,$M118,BG$13))))</f>
        <v>1000000000000</v>
      </c>
    </row>
    <row r="119" spans="1:59" ht="12.75" x14ac:dyDescent="0.2">
      <c r="A119" s="7" t="str">
        <f t="shared" ca="1" si="9"/>
        <v>71</v>
      </c>
      <c r="B119" s="7">
        <f ca="1">OFFSET(ORÇAMENTO!C$15,ROW(B119)-ROW(B$15),0)</f>
        <v>3</v>
      </c>
      <c r="C119" s="7" t="str">
        <f ca="1">OFFSET(ORÇAMENTO!L$15,ROW(C119)-ROW(C$15),0)</f>
        <v>F</v>
      </c>
      <c r="D119" s="118" t="str">
        <f ca="1">OFFSET(ORÇAMENTO!N$15,ROW(D119)-ROW(D$15),0)</f>
        <v>Nível 3</v>
      </c>
      <c r="E119" s="119" t="str">
        <f ca="1">OFFSET(ORÇAMENTO!O$15,ROW(E119)-ROW(E$15),0)</f>
        <v>1.6.7.</v>
      </c>
      <c r="F119" s="172" t="str">
        <f ca="1">OFFSET(ORÇAMENTO!R$15,ROW(F119)-ROW(F$15),0)</f>
        <v>VIGA DE RESPALDO</v>
      </c>
      <c r="G119" s="173" t="str">
        <f ca="1">IF($D119&lt;&gt;"Serviço","",OFFSET(ORÇAMENTO!S$15,ROW(G119)-ROW(G$15),0))</f>
        <v/>
      </c>
      <c r="H119" s="124">
        <f ca="1">IF($D119&lt;&gt;"Serviço",0,IF(ACOMPANHAMENTO="BM",ROUND(OFFSET(ORÇAMENTO!AJ$15,ROW(H119)-ROW(H$15),0),15-13*ORÇAMENTO!$AF$7),SUMPRODUCT(($Q$12:$AA$12&lt;&gt;"")*ROUND($Q119:$AA119,15-13*ORÇAMENTO!$AF$7))))</f>
        <v>0</v>
      </c>
      <c r="I119" s="561"/>
      <c r="K119" s="174"/>
      <c r="L119" s="175" t="s">
        <v>255</v>
      </c>
      <c r="M119" s="176" t="str">
        <f ca="1">IF($D119&lt;&gt;"Serviço","",IF(AUTOEVENTO="manual",$A119,IF(ISERROR(MATCH($A119,$A$15:OFFSET($A119,-1,0),0)),MAX($M$15:OFFSET(M119,-1,0))+1,INDEX($M$15:OFFSET(M119,-1,0),MATCH($A119,$A$15:OFFSET($A119,-1,0),0)))))</f>
        <v/>
      </c>
      <c r="N119" s="177" t="str">
        <f ca="1">IF($D119&lt;&gt;"Serviço","",IF(AUTOEVENTO="Manual",IF($A119=0,"&lt;-- defina o número do agrupador",OFFSET(EVENTOS!$D$14,$A119,0)),OFFSET($F$15,$A119,0)))</f>
        <v/>
      </c>
      <c r="O119" s="178"/>
      <c r="Q119" s="178"/>
      <c r="R119" s="179"/>
      <c r="S119" s="179"/>
      <c r="T119" s="179"/>
      <c r="U119" s="179"/>
      <c r="V119" s="179"/>
      <c r="W119" s="179"/>
      <c r="X119" s="179"/>
      <c r="Y119" s="179"/>
      <c r="Z119" s="180"/>
      <c r="AB119" s="544">
        <f ca="1">IF(AND($D119="Serviço",AB$12&lt;&gt;0,$H119&gt;0,OR(AUTOEVENTO&lt;&gt;"manual",$M119&lt;&gt;1)),
IF(Import.TipoArredondamento&lt;&gt;"TransfereGOV",
ROUND(OFFSET($P119,0,AB$13),15-13*ORÇAMENTO!$AF$7)/$H119*OFFSET(ORÇAMENTO!$X$15,ROW(AB119)-ROW(AB$15),0),
ROUND(ROUND(OFFSET($P119,0,AB$13),15-13*ORÇAMENTO!$AF$7)*OFFSET(ORÇAMENTO!$W$15,ROW(AB119)-ROW(AB$15),0),15-13*ORÇAMENTO!$AF$11)),0)</f>
        <v>0</v>
      </c>
      <c r="AC119" s="545">
        <f ca="1">IF(AND($D119="Serviço",AC$12&lt;&gt;0,$H119&gt;0,OR(AUTOEVENTO&lt;&gt;"manual",$M119&lt;&gt;1)),
IF(Import.TipoArredondamento&lt;&gt;"TransfereGOV",
ROUND(OFFSET($P119,0,AC$13),15-13*ORÇAMENTO!$AF$7)/$H119*OFFSET(ORÇAMENTO!$X$15,ROW(AC119)-ROW(AC$15),0),
ROUND(ROUND(OFFSET($P119,0,AC$13),15-13*ORÇAMENTO!$AF$7)*OFFSET(ORÇAMENTO!$W$15,ROW(AC119)-ROW(AC$15),0),15-13*ORÇAMENTO!$AF$11)),0)</f>
        <v>0</v>
      </c>
      <c r="AD119" s="545">
        <f ca="1">IF(AND($D119="Serviço",AD$12&lt;&gt;0,$H119&gt;0,OR(AUTOEVENTO&lt;&gt;"manual",$M119&lt;&gt;1)),
IF(Import.TipoArredondamento&lt;&gt;"TransfereGOV",
ROUND(OFFSET($P119,0,AD$13),15-13*ORÇAMENTO!$AF$7)/$H119*OFFSET(ORÇAMENTO!$X$15,ROW(AD119)-ROW(AD$15),0),
ROUND(ROUND(OFFSET($P119,0,AD$13),15-13*ORÇAMENTO!$AF$7)*OFFSET(ORÇAMENTO!$W$15,ROW(AD119)-ROW(AD$15),0),15-13*ORÇAMENTO!$AF$11)),0)</f>
        <v>0</v>
      </c>
      <c r="AE119" s="545">
        <f ca="1">IF(AND($D119="Serviço",AE$12&lt;&gt;0,$H119&gt;0,OR(AUTOEVENTO&lt;&gt;"manual",$M119&lt;&gt;1)),
IF(Import.TipoArredondamento&lt;&gt;"TransfereGOV",
ROUND(OFFSET($P119,0,AE$13),15-13*ORÇAMENTO!$AF$7)/$H119*OFFSET(ORÇAMENTO!$X$15,ROW(AE119)-ROW(AE$15),0),
ROUND(ROUND(OFFSET($P119,0,AE$13),15-13*ORÇAMENTO!$AF$7)*OFFSET(ORÇAMENTO!$W$15,ROW(AE119)-ROW(AE$15),0),15-13*ORÇAMENTO!$AF$11)),0)</f>
        <v>0</v>
      </c>
      <c r="AF119" s="545">
        <f ca="1">IF(AND($D119="Serviço",AF$12&lt;&gt;0,$H119&gt;0,OR(AUTOEVENTO&lt;&gt;"manual",$M119&lt;&gt;1)),
IF(Import.TipoArredondamento&lt;&gt;"TransfereGOV",
ROUND(OFFSET($P119,0,AF$13),15-13*ORÇAMENTO!$AF$7)/$H119*OFFSET(ORÇAMENTO!$X$15,ROW(AF119)-ROW(AF$15),0),
ROUND(ROUND(OFFSET($P119,0,AF$13),15-13*ORÇAMENTO!$AF$7)*OFFSET(ORÇAMENTO!$W$15,ROW(AF119)-ROW(AF$15),0),15-13*ORÇAMENTO!$AF$11)),0)</f>
        <v>0</v>
      </c>
      <c r="AG119" s="545">
        <f ca="1">IF(AND($D119="Serviço",AG$12&lt;&gt;0,$H119&gt;0,OR(AUTOEVENTO&lt;&gt;"manual",$M119&lt;&gt;1)),
IF(Import.TipoArredondamento&lt;&gt;"TransfereGOV",
ROUND(OFFSET($P119,0,AG$13),15-13*ORÇAMENTO!$AF$7)/$H119*OFFSET(ORÇAMENTO!$X$15,ROW(AG119)-ROW(AG$15),0),
ROUND(ROUND(OFFSET($P119,0,AG$13),15-13*ORÇAMENTO!$AF$7)*OFFSET(ORÇAMENTO!$W$15,ROW(AG119)-ROW(AG$15),0),15-13*ORÇAMENTO!$AF$11)),0)</f>
        <v>0</v>
      </c>
      <c r="AH119" s="545">
        <f ca="1">IF(AND($D119="Serviço",AH$12&lt;&gt;0,$H119&gt;0,OR(AUTOEVENTO&lt;&gt;"manual",$M119&lt;&gt;1)),
IF(Import.TipoArredondamento&lt;&gt;"TransfereGOV",
ROUND(OFFSET($P119,0,AH$13),15-13*ORÇAMENTO!$AF$7)/$H119*OFFSET(ORÇAMENTO!$X$15,ROW(AH119)-ROW(AH$15),0),
ROUND(ROUND(OFFSET($P119,0,AH$13),15-13*ORÇAMENTO!$AF$7)*OFFSET(ORÇAMENTO!$W$15,ROW(AH119)-ROW(AH$15),0),15-13*ORÇAMENTO!$AF$11)),0)</f>
        <v>0</v>
      </c>
      <c r="AI119" s="545">
        <f ca="1">IF(AND($D119="Serviço",AI$12&lt;&gt;0,$H119&gt;0,OR(AUTOEVENTO&lt;&gt;"manual",$M119&lt;&gt;1)),
IF(Import.TipoArredondamento&lt;&gt;"TransfereGOV",
ROUND(OFFSET($P119,0,AI$13),15-13*ORÇAMENTO!$AF$7)/$H119*OFFSET(ORÇAMENTO!$X$15,ROW(AI119)-ROW(AI$15),0),
ROUND(ROUND(OFFSET($P119,0,AI$13),15-13*ORÇAMENTO!$AF$7)*OFFSET(ORÇAMENTO!$W$15,ROW(AI119)-ROW(AI$15),0),15-13*ORÇAMENTO!$AF$11)),0)</f>
        <v>0</v>
      </c>
      <c r="AJ119" s="545">
        <f ca="1">IF(AND($D119="Serviço",AJ$12&lt;&gt;0,$H119&gt;0,OR(AUTOEVENTO&lt;&gt;"manual",$M119&lt;&gt;1)),
IF(Import.TipoArredondamento&lt;&gt;"TransfereGOV",
ROUND(OFFSET($P119,0,AJ$13),15-13*ORÇAMENTO!$AF$7)/$H119*OFFSET(ORÇAMENTO!$X$15,ROW(AJ119)-ROW(AJ$15),0),
ROUND(ROUND(OFFSET($P119,0,AJ$13),15-13*ORÇAMENTO!$AF$7)*OFFSET(ORÇAMENTO!$W$15,ROW(AJ119)-ROW(AJ$15),0),15-13*ORÇAMENTO!$AF$11)),0)</f>
        <v>0</v>
      </c>
      <c r="AK119" s="546">
        <f ca="1">IF(AND($D119="Serviço",AK$12&lt;&gt;0,$H119&gt;0,OR(AUTOEVENTO&lt;&gt;"manual",$M119&lt;&gt;1)),
IF(Import.TipoArredondamento&lt;&gt;"TransfereGOV",
ROUND(OFFSET($P119,0,AK$13),15-13*ORÇAMENTO!$AF$7)/$H119*OFFSET(ORÇAMENTO!$X$15,ROW(AK119)-ROW(AK$15),0),
ROUND(ROUND(OFFSET($P119,0,AK$13),15-13*ORÇAMENTO!$AF$7)*OFFSET(ORÇAMENTO!$W$15,ROW(AK119)-ROW(AK$15),0),15-13*ORÇAMENTO!$AF$11)),0)</f>
        <v>0</v>
      </c>
      <c r="AM119" s="181">
        <f ca="1">IF($D119&lt;&gt;"Serviço",0,IF(AND(AUTOEVENTO="Manual",$M119=1),0,IF(OFFSET(CRONOPLE!$F$14,$M119,AM$13)="",10^12,OFFSET(CRONOPLE!$F$14,$M119,AM$13))))</f>
        <v>0</v>
      </c>
      <c r="AN119" s="181">
        <f ca="1">IF($D119&lt;&gt;"Serviço",0,IF(AND(AUTOEVENTO="Manual",$M119=1),0,IF(OFFSET(CRONOPLE!$F$14,$M119,AN$13)="",10^12,OFFSET(CRONOPLE!$F$14,$M119,AN$13))))</f>
        <v>0</v>
      </c>
      <c r="AO119" s="181">
        <f ca="1">IF($D119&lt;&gt;"Serviço",0,IF(AND(AUTOEVENTO="Manual",$M119=1),0,IF(OFFSET(CRONOPLE!$F$14,$M119,AO$13)="",10^12,OFFSET(CRONOPLE!$F$14,$M119,AO$13))))</f>
        <v>0</v>
      </c>
      <c r="AP119" s="181">
        <f ca="1">IF($D119&lt;&gt;"Serviço",0,IF(AND(AUTOEVENTO="Manual",$M119=1),0,IF(OFFSET(CRONOPLE!$F$14,$M119,AP$13)="",10^12,OFFSET(CRONOPLE!$F$14,$M119,AP$13))))</f>
        <v>0</v>
      </c>
      <c r="AQ119" s="181">
        <f ca="1">IF($D119&lt;&gt;"Serviço",0,IF(AND(AUTOEVENTO="Manual",$M119=1),0,IF(OFFSET(CRONOPLE!$F$14,$M119,AQ$13)="",10^12,OFFSET(CRONOPLE!$F$14,$M119,AQ$13))))</f>
        <v>0</v>
      </c>
      <c r="AR119" s="181">
        <f ca="1">IF($D119&lt;&gt;"Serviço",0,IF(AND(AUTOEVENTO="Manual",$M119=1),0,IF(OFFSET(CRONOPLE!$F$14,$M119,AR$13)="",10^12,OFFSET(CRONOPLE!$F$14,$M119,AR$13))))</f>
        <v>0</v>
      </c>
      <c r="AS119" s="181">
        <f ca="1">IF($D119&lt;&gt;"Serviço",0,IF(AND(AUTOEVENTO="Manual",$M119=1),0,IF(OFFSET(CRONOPLE!$F$14,$M119,AS$13)="",10^12,OFFSET(CRONOPLE!$F$14,$M119,AS$13))))</f>
        <v>0</v>
      </c>
      <c r="AT119" s="181">
        <f ca="1">IF($D119&lt;&gt;"Serviço",0,IF(AND(AUTOEVENTO="Manual",$M119=1),0,IF(OFFSET(CRONOPLE!$F$14,$M119,AT$13)="",10^12,OFFSET(CRONOPLE!$F$14,$M119,AT$13))))</f>
        <v>0</v>
      </c>
      <c r="AU119" s="181">
        <f ca="1">IF($D119&lt;&gt;"Serviço",0,IF(AND(AUTOEVENTO="Manual",$M119=1),0,IF(OFFSET(CRONOPLE!$F$14,$M119,AU$13)="",10^12,OFFSET(CRONOPLE!$F$14,$M119,AU$13))))</f>
        <v>0</v>
      </c>
      <c r="AV119" s="181">
        <f ca="1">IF($D119&lt;&gt;"Serviço",0,IF(AND(AUTOEVENTO="Manual",$M119=1),0,IF(OFFSET(CRONOPLE!$F$14,$M119,AV$13)="",10^12,OFFSET(CRONOPLE!$F$14,$M119,AV$13))))</f>
        <v>0</v>
      </c>
      <c r="AX119" s="182">
        <f ca="1">IF($D119&lt;&gt;"Serviço",0,IF(OR(AND(AUTOEVENTO="Manual",$M119=1),$M119&gt;(ROW(PLE.lastrow)-ROW(PLE.firstrow))),0,IF(OFFSET(PLE!$G$14,$M119,AX$13)="",10^12,OFFSET(PLE!$G$14,$M119,AX$13))))</f>
        <v>0</v>
      </c>
      <c r="AY119" s="182">
        <f ca="1">IF($D119&lt;&gt;"Serviço",0,IF(OR(AND(AUTOEVENTO="Manual",$M119=1),$M119&gt;(ROW(PLE.lastrow)-ROW(PLE.firstrow))),0,IF(OFFSET(PLE!$G$14,$M119,AY$13)="",10^12,OFFSET(PLE!$G$14,$M119,AY$13))))</f>
        <v>0</v>
      </c>
      <c r="AZ119" s="182">
        <f ca="1">IF($D119&lt;&gt;"Serviço",0,IF(OR(AND(AUTOEVENTO="Manual",$M119=1),$M119&gt;(ROW(PLE.lastrow)-ROW(PLE.firstrow))),0,IF(OFFSET(PLE!$G$14,$M119,AZ$13)="",10^12,OFFSET(PLE!$G$14,$M119,AZ$13))))</f>
        <v>0</v>
      </c>
      <c r="BA119" s="182">
        <f ca="1">IF($D119&lt;&gt;"Serviço",0,IF(OR(AND(AUTOEVENTO="Manual",$M119=1),$M119&gt;(ROW(PLE.lastrow)-ROW(PLE.firstrow))),0,IF(OFFSET(PLE!$G$14,$M119,BA$13)="",10^12,OFFSET(PLE!$G$14,$M119,BA$13))))</f>
        <v>0</v>
      </c>
      <c r="BB119" s="182">
        <f ca="1">IF($D119&lt;&gt;"Serviço",0,IF(OR(AND(AUTOEVENTO="Manual",$M119=1),$M119&gt;(ROW(PLE.lastrow)-ROW(PLE.firstrow))),0,IF(OFFSET(PLE!$G$14,$M119,BB$13)="",10^12,OFFSET(PLE!$G$14,$M119,BB$13))))</f>
        <v>0</v>
      </c>
      <c r="BC119" s="182">
        <f ca="1">IF($D119&lt;&gt;"Serviço",0,IF(OR(AND(AUTOEVENTO="Manual",$M119=1),$M119&gt;(ROW(PLE.lastrow)-ROW(PLE.firstrow))),0,IF(OFFSET(PLE!$G$14,$M119,BC$13)="",10^12,OFFSET(PLE!$G$14,$M119,BC$13))))</f>
        <v>0</v>
      </c>
      <c r="BD119" s="182">
        <f ca="1">IF($D119&lt;&gt;"Serviço",0,IF(OR(AND(AUTOEVENTO="Manual",$M119=1),$M119&gt;(ROW(PLE.lastrow)-ROW(PLE.firstrow))),0,IF(OFFSET(PLE!$G$14,$M119,BD$13)="",10^12,OFFSET(PLE!$G$14,$M119,BD$13))))</f>
        <v>0</v>
      </c>
      <c r="BE119" s="182">
        <f ca="1">IF($D119&lt;&gt;"Serviço",0,IF(OR(AND(AUTOEVENTO="Manual",$M119=1),$M119&gt;(ROW(PLE.lastrow)-ROW(PLE.firstrow))),0,IF(OFFSET(PLE!$G$14,$M119,BE$13)="",10^12,OFFSET(PLE!$G$14,$M119,BE$13))))</f>
        <v>0</v>
      </c>
      <c r="BF119" s="182">
        <f ca="1">IF($D119&lt;&gt;"Serviço",0,IF(OR(AND(AUTOEVENTO="Manual",$M119=1),$M119&gt;(ROW(PLE.lastrow)-ROW(PLE.firstrow))),0,IF(OFFSET(PLE!$G$14,$M119,BF$13)="",10^12,OFFSET(PLE!$G$14,$M119,BF$13))))</f>
        <v>0</v>
      </c>
      <c r="BG119" s="182">
        <f ca="1">IF($D119&lt;&gt;"Serviço",0,IF(OR(AND(AUTOEVENTO="Manual",$M119=1),$M119&gt;(ROW(PLE.lastrow)-ROW(PLE.firstrow))),0,IF(OFFSET(PLE!$G$14,$M119,BG$13)="",10^12,OFFSET(PLE!$G$14,$M119,BG$13))))</f>
        <v>0</v>
      </c>
    </row>
    <row r="120" spans="1:59" ht="38.25" x14ac:dyDescent="0.2">
      <c r="A120" s="7" t="str">
        <f t="shared" ca="1" si="9"/>
        <v>71</v>
      </c>
      <c r="B120" s="7" t="str">
        <f ca="1">OFFSET(ORÇAMENTO!C$15,ROW(B120)-ROW(B$15),0)</f>
        <v>S</v>
      </c>
      <c r="C120" s="7" t="str">
        <f ca="1">OFFSET(ORÇAMENTO!L$15,ROW(C120)-ROW(C$15),0)</f>
        <v>F</v>
      </c>
      <c r="D120" s="118" t="str">
        <f ca="1">OFFSET(ORÇAMENTO!N$15,ROW(D120)-ROW(D$15),0)</f>
        <v>Serviço</v>
      </c>
      <c r="E120" s="119" t="str">
        <f ca="1">OFFSET(ORÇAMENTO!O$15,ROW(E120)-ROW(E$15),0)</f>
        <v>1.6.7.1.</v>
      </c>
      <c r="F120" s="172" t="str">
        <f ca="1">OFFSET(ORÇAMENTO!R$15,ROW(F120)-ROW(F$15),0)</f>
        <v>(abra o arquivo 'Referência 03-2024.xlsm)</v>
      </c>
      <c r="G120" s="173" t="str">
        <f ca="1">IF($D120&lt;&gt;"Serviço","",OFFSET(ORÇAMENTO!S$15,ROW(G120)-ROW(G$15),0))</f>
        <v>-</v>
      </c>
      <c r="H120" s="124">
        <f ca="1">IF($D120&lt;&gt;"Serviço",0,IF(ACOMPANHAMENTO="BM",ROUND(OFFSET(ORÇAMENTO!AJ$15,ROW(H120)-ROW(H$15),0),15-13*ORÇAMENTO!$AF$7),SUMPRODUCT(($Q$12:$AA$12&lt;&gt;"")*ROUND($Q120:$AA120,15-13*ORÇAMENTO!$AF$7))))</f>
        <v>7.78</v>
      </c>
      <c r="I120" s="561"/>
      <c r="K120" s="174"/>
      <c r="L120" s="175" t="s">
        <v>255</v>
      </c>
      <c r="M120" s="176">
        <f ca="1">IF($D120&lt;&gt;"Serviço","",IF(AUTOEVENTO="manual",$A120,IF(ISERROR(MATCH($A120,$A$15:OFFSET($A120,-1,0),0)),MAX($M$15:OFFSET(M120,-1,0))+1,INDEX($M$15:OFFSET(M120,-1,0),MATCH($A120,$A$15:OFFSET($A120,-1,0),0)))))</f>
        <v>7</v>
      </c>
      <c r="N120" s="177" t="str">
        <f ca="1">IF($D120&lt;&gt;"Serviço","",IF(AUTOEVENTO="Manual",IF($A120=0,"&lt;-- defina o número do agrupador",OFFSET(EVENTOS!$D$14,$A120,0)),OFFSET($F$15,$A120,0)))</f>
        <v>SANITÁRIO PÚBLICO ACESSÍVEL</v>
      </c>
      <c r="O120" s="178"/>
      <c r="Q120" s="178"/>
      <c r="R120" s="179"/>
      <c r="S120" s="179"/>
      <c r="T120" s="179"/>
      <c r="U120" s="179"/>
      <c r="V120" s="179"/>
      <c r="W120" s="179"/>
      <c r="X120" s="179"/>
      <c r="Y120" s="179"/>
      <c r="Z120" s="180"/>
      <c r="AB120" s="544">
        <f ca="1">IF(AND($D120="Serviço",AB$12&lt;&gt;0,$H120&gt;0,OR(AUTOEVENTO&lt;&gt;"manual",$M120&lt;&gt;1)),
IF(Import.TipoArredondamento&lt;&gt;"TransfereGOV",
ROUND(OFFSET($P120,0,AB$13),15-13*ORÇAMENTO!$AF$7)/$H120*OFFSET(ORÇAMENTO!$X$15,ROW(AB120)-ROW(AB$15),0),
ROUND(ROUND(OFFSET($P120,0,AB$13),15-13*ORÇAMENTO!$AF$7)*OFFSET(ORÇAMENTO!$W$15,ROW(AB120)-ROW(AB$15),0),15-13*ORÇAMENTO!$AF$11)),0)</f>
        <v>0</v>
      </c>
      <c r="AC120" s="545">
        <f ca="1">IF(AND($D120="Serviço",AC$12&lt;&gt;0,$H120&gt;0,OR(AUTOEVENTO&lt;&gt;"manual",$M120&lt;&gt;1)),
IF(Import.TipoArredondamento&lt;&gt;"TransfereGOV",
ROUND(OFFSET($P120,0,AC$13),15-13*ORÇAMENTO!$AF$7)/$H120*OFFSET(ORÇAMENTO!$X$15,ROW(AC120)-ROW(AC$15),0),
ROUND(ROUND(OFFSET($P120,0,AC$13),15-13*ORÇAMENTO!$AF$7)*OFFSET(ORÇAMENTO!$W$15,ROW(AC120)-ROW(AC$15),0),15-13*ORÇAMENTO!$AF$11)),0)</f>
        <v>0</v>
      </c>
      <c r="AD120" s="545">
        <f ca="1">IF(AND($D120="Serviço",AD$12&lt;&gt;0,$H120&gt;0,OR(AUTOEVENTO&lt;&gt;"manual",$M120&lt;&gt;1)),
IF(Import.TipoArredondamento&lt;&gt;"TransfereGOV",
ROUND(OFFSET($P120,0,AD$13),15-13*ORÇAMENTO!$AF$7)/$H120*OFFSET(ORÇAMENTO!$X$15,ROW(AD120)-ROW(AD$15),0),
ROUND(ROUND(OFFSET($P120,0,AD$13),15-13*ORÇAMENTO!$AF$7)*OFFSET(ORÇAMENTO!$W$15,ROW(AD120)-ROW(AD$15),0),15-13*ORÇAMENTO!$AF$11)),0)</f>
        <v>0</v>
      </c>
      <c r="AE120" s="545">
        <f ca="1">IF(AND($D120="Serviço",AE$12&lt;&gt;0,$H120&gt;0,OR(AUTOEVENTO&lt;&gt;"manual",$M120&lt;&gt;1)),
IF(Import.TipoArredondamento&lt;&gt;"TransfereGOV",
ROUND(OFFSET($P120,0,AE$13),15-13*ORÇAMENTO!$AF$7)/$H120*OFFSET(ORÇAMENTO!$X$15,ROW(AE120)-ROW(AE$15),0),
ROUND(ROUND(OFFSET($P120,0,AE$13),15-13*ORÇAMENTO!$AF$7)*OFFSET(ORÇAMENTO!$W$15,ROW(AE120)-ROW(AE$15),0),15-13*ORÇAMENTO!$AF$11)),0)</f>
        <v>0</v>
      </c>
      <c r="AF120" s="545">
        <f ca="1">IF(AND($D120="Serviço",AF$12&lt;&gt;0,$H120&gt;0,OR(AUTOEVENTO&lt;&gt;"manual",$M120&lt;&gt;1)),
IF(Import.TipoArredondamento&lt;&gt;"TransfereGOV",
ROUND(OFFSET($P120,0,AF$13),15-13*ORÇAMENTO!$AF$7)/$H120*OFFSET(ORÇAMENTO!$X$15,ROW(AF120)-ROW(AF$15),0),
ROUND(ROUND(OFFSET($P120,0,AF$13),15-13*ORÇAMENTO!$AF$7)*OFFSET(ORÇAMENTO!$W$15,ROW(AF120)-ROW(AF$15),0),15-13*ORÇAMENTO!$AF$11)),0)</f>
        <v>0</v>
      </c>
      <c r="AG120" s="545">
        <f ca="1">IF(AND($D120="Serviço",AG$12&lt;&gt;0,$H120&gt;0,OR(AUTOEVENTO&lt;&gt;"manual",$M120&lt;&gt;1)),
IF(Import.TipoArredondamento&lt;&gt;"TransfereGOV",
ROUND(OFFSET($P120,0,AG$13),15-13*ORÇAMENTO!$AF$7)/$H120*OFFSET(ORÇAMENTO!$X$15,ROW(AG120)-ROW(AG$15),0),
ROUND(ROUND(OFFSET($P120,0,AG$13),15-13*ORÇAMENTO!$AF$7)*OFFSET(ORÇAMENTO!$W$15,ROW(AG120)-ROW(AG$15),0),15-13*ORÇAMENTO!$AF$11)),0)</f>
        <v>0</v>
      </c>
      <c r="AH120" s="545">
        <f ca="1">IF(AND($D120="Serviço",AH$12&lt;&gt;0,$H120&gt;0,OR(AUTOEVENTO&lt;&gt;"manual",$M120&lt;&gt;1)),
IF(Import.TipoArredondamento&lt;&gt;"TransfereGOV",
ROUND(OFFSET($P120,0,AH$13),15-13*ORÇAMENTO!$AF$7)/$H120*OFFSET(ORÇAMENTO!$X$15,ROW(AH120)-ROW(AH$15),0),
ROUND(ROUND(OFFSET($P120,0,AH$13),15-13*ORÇAMENTO!$AF$7)*OFFSET(ORÇAMENTO!$W$15,ROW(AH120)-ROW(AH$15),0),15-13*ORÇAMENTO!$AF$11)),0)</f>
        <v>0</v>
      </c>
      <c r="AI120" s="545">
        <f ca="1">IF(AND($D120="Serviço",AI$12&lt;&gt;0,$H120&gt;0,OR(AUTOEVENTO&lt;&gt;"manual",$M120&lt;&gt;1)),
IF(Import.TipoArredondamento&lt;&gt;"TransfereGOV",
ROUND(OFFSET($P120,0,AI$13),15-13*ORÇAMENTO!$AF$7)/$H120*OFFSET(ORÇAMENTO!$X$15,ROW(AI120)-ROW(AI$15),0),
ROUND(ROUND(OFFSET($P120,0,AI$13),15-13*ORÇAMENTO!$AF$7)*OFFSET(ORÇAMENTO!$W$15,ROW(AI120)-ROW(AI$15),0),15-13*ORÇAMENTO!$AF$11)),0)</f>
        <v>0</v>
      </c>
      <c r="AJ120" s="545">
        <f ca="1">IF(AND($D120="Serviço",AJ$12&lt;&gt;0,$H120&gt;0,OR(AUTOEVENTO&lt;&gt;"manual",$M120&lt;&gt;1)),
IF(Import.TipoArredondamento&lt;&gt;"TransfereGOV",
ROUND(OFFSET($P120,0,AJ$13),15-13*ORÇAMENTO!$AF$7)/$H120*OFFSET(ORÇAMENTO!$X$15,ROW(AJ120)-ROW(AJ$15),0),
ROUND(ROUND(OFFSET($P120,0,AJ$13),15-13*ORÇAMENTO!$AF$7)*OFFSET(ORÇAMENTO!$W$15,ROW(AJ120)-ROW(AJ$15),0),15-13*ORÇAMENTO!$AF$11)),0)</f>
        <v>0</v>
      </c>
      <c r="AK120" s="546">
        <f ca="1">IF(AND($D120="Serviço",AK$12&lt;&gt;0,$H120&gt;0,OR(AUTOEVENTO&lt;&gt;"manual",$M120&lt;&gt;1)),
IF(Import.TipoArredondamento&lt;&gt;"TransfereGOV",
ROUND(OFFSET($P120,0,AK$13),15-13*ORÇAMENTO!$AF$7)/$H120*OFFSET(ORÇAMENTO!$X$15,ROW(AK120)-ROW(AK$15),0),
ROUND(ROUND(OFFSET($P120,0,AK$13),15-13*ORÇAMENTO!$AF$7)*OFFSET(ORÇAMENTO!$W$15,ROW(AK120)-ROW(AK$15),0),15-13*ORÇAMENTO!$AF$11)),0)</f>
        <v>0</v>
      </c>
      <c r="AM120" s="181">
        <f ca="1">IF($D120&lt;&gt;"Serviço",0,IF(AND(AUTOEVENTO="Manual",$M120=1),0,IF(OFFSET(CRONOPLE!$F$14,$M120,AM$13)="",10^12,OFFSET(CRONOPLE!$F$14,$M120,AM$13))))</f>
        <v>1000000000000</v>
      </c>
      <c r="AN120" s="181">
        <f ca="1">IF($D120&lt;&gt;"Serviço",0,IF(AND(AUTOEVENTO="Manual",$M120=1),0,IF(OFFSET(CRONOPLE!$F$14,$M120,AN$13)="",10^12,OFFSET(CRONOPLE!$F$14,$M120,AN$13))))</f>
        <v>1000000000000</v>
      </c>
      <c r="AO120" s="181">
        <f ca="1">IF($D120&lt;&gt;"Serviço",0,IF(AND(AUTOEVENTO="Manual",$M120=1),0,IF(OFFSET(CRONOPLE!$F$14,$M120,AO$13)="",10^12,OFFSET(CRONOPLE!$F$14,$M120,AO$13))))</f>
        <v>1000000000000</v>
      </c>
      <c r="AP120" s="181">
        <f ca="1">IF($D120&lt;&gt;"Serviço",0,IF(AND(AUTOEVENTO="Manual",$M120=1),0,IF(OFFSET(CRONOPLE!$F$14,$M120,AP$13)="",10^12,OFFSET(CRONOPLE!$F$14,$M120,AP$13))))</f>
        <v>1000000000000</v>
      </c>
      <c r="AQ120" s="181">
        <f ca="1">IF($D120&lt;&gt;"Serviço",0,IF(AND(AUTOEVENTO="Manual",$M120=1),0,IF(OFFSET(CRONOPLE!$F$14,$M120,AQ$13)="",10^12,OFFSET(CRONOPLE!$F$14,$M120,AQ$13))))</f>
        <v>1000000000000</v>
      </c>
      <c r="AR120" s="181">
        <f ca="1">IF($D120&lt;&gt;"Serviço",0,IF(AND(AUTOEVENTO="Manual",$M120=1),0,IF(OFFSET(CRONOPLE!$F$14,$M120,AR$13)="",10^12,OFFSET(CRONOPLE!$F$14,$M120,AR$13))))</f>
        <v>1000000000000</v>
      </c>
      <c r="AS120" s="181">
        <f ca="1">IF($D120&lt;&gt;"Serviço",0,IF(AND(AUTOEVENTO="Manual",$M120=1),0,IF(OFFSET(CRONOPLE!$F$14,$M120,AS$13)="",10^12,OFFSET(CRONOPLE!$F$14,$M120,AS$13))))</f>
        <v>1000000000000</v>
      </c>
      <c r="AT120" s="181">
        <f ca="1">IF($D120&lt;&gt;"Serviço",0,IF(AND(AUTOEVENTO="Manual",$M120=1),0,IF(OFFSET(CRONOPLE!$F$14,$M120,AT$13)="",10^12,OFFSET(CRONOPLE!$F$14,$M120,AT$13))))</f>
        <v>1000000000000</v>
      </c>
      <c r="AU120" s="181">
        <f ca="1">IF($D120&lt;&gt;"Serviço",0,IF(AND(AUTOEVENTO="Manual",$M120=1),0,IF(OFFSET(CRONOPLE!$F$14,$M120,AU$13)="",10^12,OFFSET(CRONOPLE!$F$14,$M120,AU$13))))</f>
        <v>1000000000000</v>
      </c>
      <c r="AV120" s="181">
        <f ca="1">IF($D120&lt;&gt;"Serviço",0,IF(AND(AUTOEVENTO="Manual",$M120=1),0,IF(OFFSET(CRONOPLE!$F$14,$M120,AV$13)="",10^12,OFFSET(CRONOPLE!$F$14,$M120,AV$13))))</f>
        <v>1000000000000</v>
      </c>
      <c r="AX120" s="182">
        <f ca="1">IF($D120&lt;&gt;"Serviço",0,IF(OR(AND(AUTOEVENTO="Manual",$M120=1),$M120&gt;(ROW(PLE.lastrow)-ROW(PLE.firstrow))),0,IF(OFFSET(PLE!$G$14,$M120,AX$13)="",10^12,OFFSET(PLE!$G$14,$M120,AX$13))))</f>
        <v>1000000000000</v>
      </c>
      <c r="AY120" s="182">
        <f ca="1">IF($D120&lt;&gt;"Serviço",0,IF(OR(AND(AUTOEVENTO="Manual",$M120=1),$M120&gt;(ROW(PLE.lastrow)-ROW(PLE.firstrow))),0,IF(OFFSET(PLE!$G$14,$M120,AY$13)="",10^12,OFFSET(PLE!$G$14,$M120,AY$13))))</f>
        <v>1000000000000</v>
      </c>
      <c r="AZ120" s="182">
        <f ca="1">IF($D120&lt;&gt;"Serviço",0,IF(OR(AND(AUTOEVENTO="Manual",$M120=1),$M120&gt;(ROW(PLE.lastrow)-ROW(PLE.firstrow))),0,IF(OFFSET(PLE!$G$14,$M120,AZ$13)="",10^12,OFFSET(PLE!$G$14,$M120,AZ$13))))</f>
        <v>1000000000000</v>
      </c>
      <c r="BA120" s="182">
        <f ca="1">IF($D120&lt;&gt;"Serviço",0,IF(OR(AND(AUTOEVENTO="Manual",$M120=1),$M120&gt;(ROW(PLE.lastrow)-ROW(PLE.firstrow))),0,IF(OFFSET(PLE!$G$14,$M120,BA$13)="",10^12,OFFSET(PLE!$G$14,$M120,BA$13))))</f>
        <v>1000000000000</v>
      </c>
      <c r="BB120" s="182">
        <f ca="1">IF($D120&lt;&gt;"Serviço",0,IF(OR(AND(AUTOEVENTO="Manual",$M120=1),$M120&gt;(ROW(PLE.lastrow)-ROW(PLE.firstrow))),0,IF(OFFSET(PLE!$G$14,$M120,BB$13)="",10^12,OFFSET(PLE!$G$14,$M120,BB$13))))</f>
        <v>1000000000000</v>
      </c>
      <c r="BC120" s="182">
        <f ca="1">IF($D120&lt;&gt;"Serviço",0,IF(OR(AND(AUTOEVENTO="Manual",$M120=1),$M120&gt;(ROW(PLE.lastrow)-ROW(PLE.firstrow))),0,IF(OFFSET(PLE!$G$14,$M120,BC$13)="",10^12,OFFSET(PLE!$G$14,$M120,BC$13))))</f>
        <v>1000000000000</v>
      </c>
      <c r="BD120" s="182">
        <f ca="1">IF($D120&lt;&gt;"Serviço",0,IF(OR(AND(AUTOEVENTO="Manual",$M120=1),$M120&gt;(ROW(PLE.lastrow)-ROW(PLE.firstrow))),0,IF(OFFSET(PLE!$G$14,$M120,BD$13)="",10^12,OFFSET(PLE!$G$14,$M120,BD$13))))</f>
        <v>1000000000000</v>
      </c>
      <c r="BE120" s="182">
        <f ca="1">IF($D120&lt;&gt;"Serviço",0,IF(OR(AND(AUTOEVENTO="Manual",$M120=1),$M120&gt;(ROW(PLE.lastrow)-ROW(PLE.firstrow))),0,IF(OFFSET(PLE!$G$14,$M120,BE$13)="",10^12,OFFSET(PLE!$G$14,$M120,BE$13))))</f>
        <v>1000000000000</v>
      </c>
      <c r="BF120" s="182">
        <f ca="1">IF($D120&lt;&gt;"Serviço",0,IF(OR(AND(AUTOEVENTO="Manual",$M120=1),$M120&gt;(ROW(PLE.lastrow)-ROW(PLE.firstrow))),0,IF(OFFSET(PLE!$G$14,$M120,BF$13)="",10^12,OFFSET(PLE!$G$14,$M120,BF$13))))</f>
        <v>1000000000000</v>
      </c>
      <c r="BG120" s="182">
        <f ca="1">IF($D120&lt;&gt;"Serviço",0,IF(OR(AND(AUTOEVENTO="Manual",$M120=1),$M120&gt;(ROW(PLE.lastrow)-ROW(PLE.firstrow))),0,IF(OFFSET(PLE!$G$14,$M120,BG$13)="",10^12,OFFSET(PLE!$G$14,$M120,BG$13))))</f>
        <v>1000000000000</v>
      </c>
    </row>
    <row r="121" spans="1:59" ht="51" x14ac:dyDescent="0.2">
      <c r="A121" s="7" t="str">
        <f t="shared" ca="1" si="9"/>
        <v>71</v>
      </c>
      <c r="B121" s="7" t="str">
        <f ca="1">OFFSET(ORÇAMENTO!C$15,ROW(B121)-ROW(B$15),0)</f>
        <v>S</v>
      </c>
      <c r="C121" s="7" t="str">
        <f ca="1">OFFSET(ORÇAMENTO!L$15,ROW(C121)-ROW(C$15),0)</f>
        <v>F</v>
      </c>
      <c r="D121" s="118" t="str">
        <f ca="1">OFFSET(ORÇAMENTO!N$15,ROW(D121)-ROW(D$15),0)</f>
        <v>Serviço</v>
      </c>
      <c r="E121" s="119" t="str">
        <f ca="1">OFFSET(ORÇAMENTO!O$15,ROW(E121)-ROW(E$15),0)</f>
        <v>1.6.7.2.</v>
      </c>
      <c r="F121" s="172" t="str">
        <f ca="1">OFFSET(ORÇAMENTO!R$15,ROW(F121)-ROW(F$15),0)</f>
        <v>(abra o arquivo 'Referência 03-2024.xlsm)</v>
      </c>
      <c r="G121" s="173" t="str">
        <f ca="1">IF($D121&lt;&gt;"Serviço","",OFFSET(ORÇAMENTO!S$15,ROW(G121)-ROW(G$15),0))</f>
        <v>-</v>
      </c>
      <c r="H121" s="124">
        <f ca="1">IF($D121&lt;&gt;"Serviço",0,IF(ACOMPANHAMENTO="BM",ROUND(OFFSET(ORÇAMENTO!AJ$15,ROW(H121)-ROW(H$15),0),15-13*ORÇAMENTO!$AF$7),SUMPRODUCT(($Q$12:$AA$12&lt;&gt;"")*ROUND($Q121:$AA121,15-13*ORÇAMENTO!$AF$7))))</f>
        <v>0.78</v>
      </c>
      <c r="I121" s="561"/>
      <c r="K121" s="174"/>
      <c r="L121" s="175" t="s">
        <v>255</v>
      </c>
      <c r="M121" s="176">
        <f ca="1">IF($D121&lt;&gt;"Serviço","",IF(AUTOEVENTO="manual",$A121,IF(ISERROR(MATCH($A121,$A$15:OFFSET($A121,-1,0),0)),MAX($M$15:OFFSET(M121,-1,0))+1,INDEX($M$15:OFFSET(M121,-1,0),MATCH($A121,$A$15:OFFSET($A121,-1,0),0)))))</f>
        <v>7</v>
      </c>
      <c r="N121" s="177" t="str">
        <f ca="1">IF($D121&lt;&gt;"Serviço","",IF(AUTOEVENTO="Manual",IF($A121=0,"&lt;-- defina o número do agrupador",OFFSET(EVENTOS!$D$14,$A121,0)),OFFSET($F$15,$A121,0)))</f>
        <v>SANITÁRIO PÚBLICO ACESSÍVEL</v>
      </c>
      <c r="O121" s="178"/>
      <c r="Q121" s="178"/>
      <c r="R121" s="179"/>
      <c r="S121" s="179"/>
      <c r="T121" s="179"/>
      <c r="U121" s="179"/>
      <c r="V121" s="179"/>
      <c r="W121" s="179"/>
      <c r="X121" s="179"/>
      <c r="Y121" s="179"/>
      <c r="Z121" s="180"/>
      <c r="AB121" s="544">
        <f ca="1">IF(AND($D121="Serviço",AB$12&lt;&gt;0,$H121&gt;0,OR(AUTOEVENTO&lt;&gt;"manual",$M121&lt;&gt;1)),
IF(Import.TipoArredondamento&lt;&gt;"TransfereGOV",
ROUND(OFFSET($P121,0,AB$13),15-13*ORÇAMENTO!$AF$7)/$H121*OFFSET(ORÇAMENTO!$X$15,ROW(AB121)-ROW(AB$15),0),
ROUND(ROUND(OFFSET($P121,0,AB$13),15-13*ORÇAMENTO!$AF$7)*OFFSET(ORÇAMENTO!$W$15,ROW(AB121)-ROW(AB$15),0),15-13*ORÇAMENTO!$AF$11)),0)</f>
        <v>0</v>
      </c>
      <c r="AC121" s="545">
        <f ca="1">IF(AND($D121="Serviço",AC$12&lt;&gt;0,$H121&gt;0,OR(AUTOEVENTO&lt;&gt;"manual",$M121&lt;&gt;1)),
IF(Import.TipoArredondamento&lt;&gt;"TransfereGOV",
ROUND(OFFSET($P121,0,AC$13),15-13*ORÇAMENTO!$AF$7)/$H121*OFFSET(ORÇAMENTO!$X$15,ROW(AC121)-ROW(AC$15),0),
ROUND(ROUND(OFFSET($P121,0,AC$13),15-13*ORÇAMENTO!$AF$7)*OFFSET(ORÇAMENTO!$W$15,ROW(AC121)-ROW(AC$15),0),15-13*ORÇAMENTO!$AF$11)),0)</f>
        <v>0</v>
      </c>
      <c r="AD121" s="545">
        <f ca="1">IF(AND($D121="Serviço",AD$12&lt;&gt;0,$H121&gt;0,OR(AUTOEVENTO&lt;&gt;"manual",$M121&lt;&gt;1)),
IF(Import.TipoArredondamento&lt;&gt;"TransfereGOV",
ROUND(OFFSET($P121,0,AD$13),15-13*ORÇAMENTO!$AF$7)/$H121*OFFSET(ORÇAMENTO!$X$15,ROW(AD121)-ROW(AD$15),0),
ROUND(ROUND(OFFSET($P121,0,AD$13),15-13*ORÇAMENTO!$AF$7)*OFFSET(ORÇAMENTO!$W$15,ROW(AD121)-ROW(AD$15),0),15-13*ORÇAMENTO!$AF$11)),0)</f>
        <v>0</v>
      </c>
      <c r="AE121" s="545">
        <f ca="1">IF(AND($D121="Serviço",AE$12&lt;&gt;0,$H121&gt;0,OR(AUTOEVENTO&lt;&gt;"manual",$M121&lt;&gt;1)),
IF(Import.TipoArredondamento&lt;&gt;"TransfereGOV",
ROUND(OFFSET($P121,0,AE$13),15-13*ORÇAMENTO!$AF$7)/$H121*OFFSET(ORÇAMENTO!$X$15,ROW(AE121)-ROW(AE$15),0),
ROUND(ROUND(OFFSET($P121,0,AE$13),15-13*ORÇAMENTO!$AF$7)*OFFSET(ORÇAMENTO!$W$15,ROW(AE121)-ROW(AE$15),0),15-13*ORÇAMENTO!$AF$11)),0)</f>
        <v>0</v>
      </c>
      <c r="AF121" s="545">
        <f ca="1">IF(AND($D121="Serviço",AF$12&lt;&gt;0,$H121&gt;0,OR(AUTOEVENTO&lt;&gt;"manual",$M121&lt;&gt;1)),
IF(Import.TipoArredondamento&lt;&gt;"TransfereGOV",
ROUND(OFFSET($P121,0,AF$13),15-13*ORÇAMENTO!$AF$7)/$H121*OFFSET(ORÇAMENTO!$X$15,ROW(AF121)-ROW(AF$15),0),
ROUND(ROUND(OFFSET($P121,0,AF$13),15-13*ORÇAMENTO!$AF$7)*OFFSET(ORÇAMENTO!$W$15,ROW(AF121)-ROW(AF$15),0),15-13*ORÇAMENTO!$AF$11)),0)</f>
        <v>0</v>
      </c>
      <c r="AG121" s="545">
        <f ca="1">IF(AND($D121="Serviço",AG$12&lt;&gt;0,$H121&gt;0,OR(AUTOEVENTO&lt;&gt;"manual",$M121&lt;&gt;1)),
IF(Import.TipoArredondamento&lt;&gt;"TransfereGOV",
ROUND(OFFSET($P121,0,AG$13),15-13*ORÇAMENTO!$AF$7)/$H121*OFFSET(ORÇAMENTO!$X$15,ROW(AG121)-ROW(AG$15),0),
ROUND(ROUND(OFFSET($P121,0,AG$13),15-13*ORÇAMENTO!$AF$7)*OFFSET(ORÇAMENTO!$W$15,ROW(AG121)-ROW(AG$15),0),15-13*ORÇAMENTO!$AF$11)),0)</f>
        <v>0</v>
      </c>
      <c r="AH121" s="545">
        <f ca="1">IF(AND($D121="Serviço",AH$12&lt;&gt;0,$H121&gt;0,OR(AUTOEVENTO&lt;&gt;"manual",$M121&lt;&gt;1)),
IF(Import.TipoArredondamento&lt;&gt;"TransfereGOV",
ROUND(OFFSET($P121,0,AH$13),15-13*ORÇAMENTO!$AF$7)/$H121*OFFSET(ORÇAMENTO!$X$15,ROW(AH121)-ROW(AH$15),0),
ROUND(ROUND(OFFSET($P121,0,AH$13),15-13*ORÇAMENTO!$AF$7)*OFFSET(ORÇAMENTO!$W$15,ROW(AH121)-ROW(AH$15),0),15-13*ORÇAMENTO!$AF$11)),0)</f>
        <v>0</v>
      </c>
      <c r="AI121" s="545">
        <f ca="1">IF(AND($D121="Serviço",AI$12&lt;&gt;0,$H121&gt;0,OR(AUTOEVENTO&lt;&gt;"manual",$M121&lt;&gt;1)),
IF(Import.TipoArredondamento&lt;&gt;"TransfereGOV",
ROUND(OFFSET($P121,0,AI$13),15-13*ORÇAMENTO!$AF$7)/$H121*OFFSET(ORÇAMENTO!$X$15,ROW(AI121)-ROW(AI$15),0),
ROUND(ROUND(OFFSET($P121,0,AI$13),15-13*ORÇAMENTO!$AF$7)*OFFSET(ORÇAMENTO!$W$15,ROW(AI121)-ROW(AI$15),0),15-13*ORÇAMENTO!$AF$11)),0)</f>
        <v>0</v>
      </c>
      <c r="AJ121" s="545">
        <f ca="1">IF(AND($D121="Serviço",AJ$12&lt;&gt;0,$H121&gt;0,OR(AUTOEVENTO&lt;&gt;"manual",$M121&lt;&gt;1)),
IF(Import.TipoArredondamento&lt;&gt;"TransfereGOV",
ROUND(OFFSET($P121,0,AJ$13),15-13*ORÇAMENTO!$AF$7)/$H121*OFFSET(ORÇAMENTO!$X$15,ROW(AJ121)-ROW(AJ$15),0),
ROUND(ROUND(OFFSET($P121,0,AJ$13),15-13*ORÇAMENTO!$AF$7)*OFFSET(ORÇAMENTO!$W$15,ROW(AJ121)-ROW(AJ$15),0),15-13*ORÇAMENTO!$AF$11)),0)</f>
        <v>0</v>
      </c>
      <c r="AK121" s="546">
        <f ca="1">IF(AND($D121="Serviço",AK$12&lt;&gt;0,$H121&gt;0,OR(AUTOEVENTO&lt;&gt;"manual",$M121&lt;&gt;1)),
IF(Import.TipoArredondamento&lt;&gt;"TransfereGOV",
ROUND(OFFSET($P121,0,AK$13),15-13*ORÇAMENTO!$AF$7)/$H121*OFFSET(ORÇAMENTO!$X$15,ROW(AK121)-ROW(AK$15),0),
ROUND(ROUND(OFFSET($P121,0,AK$13),15-13*ORÇAMENTO!$AF$7)*OFFSET(ORÇAMENTO!$W$15,ROW(AK121)-ROW(AK$15),0),15-13*ORÇAMENTO!$AF$11)),0)</f>
        <v>0</v>
      </c>
      <c r="AM121" s="181">
        <f ca="1">IF($D121&lt;&gt;"Serviço",0,IF(AND(AUTOEVENTO="Manual",$M121=1),0,IF(OFFSET(CRONOPLE!$F$14,$M121,AM$13)="",10^12,OFFSET(CRONOPLE!$F$14,$M121,AM$13))))</f>
        <v>1000000000000</v>
      </c>
      <c r="AN121" s="181">
        <f ca="1">IF($D121&lt;&gt;"Serviço",0,IF(AND(AUTOEVENTO="Manual",$M121=1),0,IF(OFFSET(CRONOPLE!$F$14,$M121,AN$13)="",10^12,OFFSET(CRONOPLE!$F$14,$M121,AN$13))))</f>
        <v>1000000000000</v>
      </c>
      <c r="AO121" s="181">
        <f ca="1">IF($D121&lt;&gt;"Serviço",0,IF(AND(AUTOEVENTO="Manual",$M121=1),0,IF(OFFSET(CRONOPLE!$F$14,$M121,AO$13)="",10^12,OFFSET(CRONOPLE!$F$14,$M121,AO$13))))</f>
        <v>1000000000000</v>
      </c>
      <c r="AP121" s="181">
        <f ca="1">IF($D121&lt;&gt;"Serviço",0,IF(AND(AUTOEVENTO="Manual",$M121=1),0,IF(OFFSET(CRONOPLE!$F$14,$M121,AP$13)="",10^12,OFFSET(CRONOPLE!$F$14,$M121,AP$13))))</f>
        <v>1000000000000</v>
      </c>
      <c r="AQ121" s="181">
        <f ca="1">IF($D121&lt;&gt;"Serviço",0,IF(AND(AUTOEVENTO="Manual",$M121=1),0,IF(OFFSET(CRONOPLE!$F$14,$M121,AQ$13)="",10^12,OFFSET(CRONOPLE!$F$14,$M121,AQ$13))))</f>
        <v>1000000000000</v>
      </c>
      <c r="AR121" s="181">
        <f ca="1">IF($D121&lt;&gt;"Serviço",0,IF(AND(AUTOEVENTO="Manual",$M121=1),0,IF(OFFSET(CRONOPLE!$F$14,$M121,AR$13)="",10^12,OFFSET(CRONOPLE!$F$14,$M121,AR$13))))</f>
        <v>1000000000000</v>
      </c>
      <c r="AS121" s="181">
        <f ca="1">IF($D121&lt;&gt;"Serviço",0,IF(AND(AUTOEVENTO="Manual",$M121=1),0,IF(OFFSET(CRONOPLE!$F$14,$M121,AS$13)="",10^12,OFFSET(CRONOPLE!$F$14,$M121,AS$13))))</f>
        <v>1000000000000</v>
      </c>
      <c r="AT121" s="181">
        <f ca="1">IF($D121&lt;&gt;"Serviço",0,IF(AND(AUTOEVENTO="Manual",$M121=1),0,IF(OFFSET(CRONOPLE!$F$14,$M121,AT$13)="",10^12,OFFSET(CRONOPLE!$F$14,$M121,AT$13))))</f>
        <v>1000000000000</v>
      </c>
      <c r="AU121" s="181">
        <f ca="1">IF($D121&lt;&gt;"Serviço",0,IF(AND(AUTOEVENTO="Manual",$M121=1),0,IF(OFFSET(CRONOPLE!$F$14,$M121,AU$13)="",10^12,OFFSET(CRONOPLE!$F$14,$M121,AU$13))))</f>
        <v>1000000000000</v>
      </c>
      <c r="AV121" s="181">
        <f ca="1">IF($D121&lt;&gt;"Serviço",0,IF(AND(AUTOEVENTO="Manual",$M121=1),0,IF(OFFSET(CRONOPLE!$F$14,$M121,AV$13)="",10^12,OFFSET(CRONOPLE!$F$14,$M121,AV$13))))</f>
        <v>1000000000000</v>
      </c>
      <c r="AX121" s="182">
        <f ca="1">IF($D121&lt;&gt;"Serviço",0,IF(OR(AND(AUTOEVENTO="Manual",$M121=1),$M121&gt;(ROW(PLE.lastrow)-ROW(PLE.firstrow))),0,IF(OFFSET(PLE!$G$14,$M121,AX$13)="",10^12,OFFSET(PLE!$G$14,$M121,AX$13))))</f>
        <v>1000000000000</v>
      </c>
      <c r="AY121" s="182">
        <f ca="1">IF($D121&lt;&gt;"Serviço",0,IF(OR(AND(AUTOEVENTO="Manual",$M121=1),$M121&gt;(ROW(PLE.lastrow)-ROW(PLE.firstrow))),0,IF(OFFSET(PLE!$G$14,$M121,AY$13)="",10^12,OFFSET(PLE!$G$14,$M121,AY$13))))</f>
        <v>1000000000000</v>
      </c>
      <c r="AZ121" s="182">
        <f ca="1">IF($D121&lt;&gt;"Serviço",0,IF(OR(AND(AUTOEVENTO="Manual",$M121=1),$M121&gt;(ROW(PLE.lastrow)-ROW(PLE.firstrow))),0,IF(OFFSET(PLE!$G$14,$M121,AZ$13)="",10^12,OFFSET(PLE!$G$14,$M121,AZ$13))))</f>
        <v>1000000000000</v>
      </c>
      <c r="BA121" s="182">
        <f ca="1">IF($D121&lt;&gt;"Serviço",0,IF(OR(AND(AUTOEVENTO="Manual",$M121=1),$M121&gt;(ROW(PLE.lastrow)-ROW(PLE.firstrow))),0,IF(OFFSET(PLE!$G$14,$M121,BA$13)="",10^12,OFFSET(PLE!$G$14,$M121,BA$13))))</f>
        <v>1000000000000</v>
      </c>
      <c r="BB121" s="182">
        <f ca="1">IF($D121&lt;&gt;"Serviço",0,IF(OR(AND(AUTOEVENTO="Manual",$M121=1),$M121&gt;(ROW(PLE.lastrow)-ROW(PLE.firstrow))),0,IF(OFFSET(PLE!$G$14,$M121,BB$13)="",10^12,OFFSET(PLE!$G$14,$M121,BB$13))))</f>
        <v>1000000000000</v>
      </c>
      <c r="BC121" s="182">
        <f ca="1">IF($D121&lt;&gt;"Serviço",0,IF(OR(AND(AUTOEVENTO="Manual",$M121=1),$M121&gt;(ROW(PLE.lastrow)-ROW(PLE.firstrow))),0,IF(OFFSET(PLE!$G$14,$M121,BC$13)="",10^12,OFFSET(PLE!$G$14,$M121,BC$13))))</f>
        <v>1000000000000</v>
      </c>
      <c r="BD121" s="182">
        <f ca="1">IF($D121&lt;&gt;"Serviço",0,IF(OR(AND(AUTOEVENTO="Manual",$M121=1),$M121&gt;(ROW(PLE.lastrow)-ROW(PLE.firstrow))),0,IF(OFFSET(PLE!$G$14,$M121,BD$13)="",10^12,OFFSET(PLE!$G$14,$M121,BD$13))))</f>
        <v>1000000000000</v>
      </c>
      <c r="BE121" s="182">
        <f ca="1">IF($D121&lt;&gt;"Serviço",0,IF(OR(AND(AUTOEVENTO="Manual",$M121=1),$M121&gt;(ROW(PLE.lastrow)-ROW(PLE.firstrow))),0,IF(OFFSET(PLE!$G$14,$M121,BE$13)="",10^12,OFFSET(PLE!$G$14,$M121,BE$13))))</f>
        <v>1000000000000</v>
      </c>
      <c r="BF121" s="182">
        <f ca="1">IF($D121&lt;&gt;"Serviço",0,IF(OR(AND(AUTOEVENTO="Manual",$M121=1),$M121&gt;(ROW(PLE.lastrow)-ROW(PLE.firstrow))),0,IF(OFFSET(PLE!$G$14,$M121,BF$13)="",10^12,OFFSET(PLE!$G$14,$M121,BF$13))))</f>
        <v>1000000000000</v>
      </c>
      <c r="BG121" s="182">
        <f ca="1">IF($D121&lt;&gt;"Serviço",0,IF(OR(AND(AUTOEVENTO="Manual",$M121=1),$M121&gt;(ROW(PLE.lastrow)-ROW(PLE.firstrow))),0,IF(OFFSET(PLE!$G$14,$M121,BG$13)="",10^12,OFFSET(PLE!$G$14,$M121,BG$13))))</f>
        <v>1000000000000</v>
      </c>
    </row>
    <row r="122" spans="1:59" ht="38.25" x14ac:dyDescent="0.2">
      <c r="A122" s="7" t="str">
        <f t="shared" ca="1" si="9"/>
        <v>71</v>
      </c>
      <c r="B122" s="7" t="str">
        <f ca="1">OFFSET(ORÇAMENTO!C$15,ROW(B122)-ROW(B$15),0)</f>
        <v>S</v>
      </c>
      <c r="C122" s="7" t="str">
        <f ca="1">OFFSET(ORÇAMENTO!L$15,ROW(C122)-ROW(C$15),0)</f>
        <v>F</v>
      </c>
      <c r="D122" s="118" t="str">
        <f ca="1">OFFSET(ORÇAMENTO!N$15,ROW(D122)-ROW(D$15),0)</f>
        <v>Serviço</v>
      </c>
      <c r="E122" s="119" t="str">
        <f ca="1">OFFSET(ORÇAMENTO!O$15,ROW(E122)-ROW(E$15),0)</f>
        <v>1.6.7.3.</v>
      </c>
      <c r="F122" s="172" t="str">
        <f ca="1">OFFSET(ORÇAMENTO!R$15,ROW(F122)-ROW(F$15),0)</f>
        <v>(abra o arquivo 'Referência 03-2024.xlsm)</v>
      </c>
      <c r="G122" s="173" t="str">
        <f ca="1">IF($D122&lt;&gt;"Serviço","",OFFSET(ORÇAMENTO!S$15,ROW(G122)-ROW(G$15),0))</f>
        <v>-</v>
      </c>
      <c r="H122" s="124">
        <f ca="1">IF($D122&lt;&gt;"Serviço",0,IF(ACOMPANHAMENTO="BM",ROUND(OFFSET(ORÇAMENTO!AJ$15,ROW(H122)-ROW(H$15),0),15-13*ORÇAMENTO!$AF$7),SUMPRODUCT(($Q$12:$AA$12&lt;&gt;"")*ROUND($Q122:$AA122,15-13*ORÇAMENTO!$AF$7))))</f>
        <v>11.21</v>
      </c>
      <c r="I122" s="561"/>
      <c r="K122" s="174"/>
      <c r="L122" s="175" t="s">
        <v>255</v>
      </c>
      <c r="M122" s="176">
        <f ca="1">IF($D122&lt;&gt;"Serviço","",IF(AUTOEVENTO="manual",$A122,IF(ISERROR(MATCH($A122,$A$15:OFFSET($A122,-1,0),0)),MAX($M$15:OFFSET(M122,-1,0))+1,INDEX($M$15:OFFSET(M122,-1,0),MATCH($A122,$A$15:OFFSET($A122,-1,0),0)))))</f>
        <v>7</v>
      </c>
      <c r="N122" s="177" t="str">
        <f ca="1">IF($D122&lt;&gt;"Serviço","",IF(AUTOEVENTO="Manual",IF($A122=0,"&lt;-- defina o número do agrupador",OFFSET(EVENTOS!$D$14,$A122,0)),OFFSET($F$15,$A122,0)))</f>
        <v>SANITÁRIO PÚBLICO ACESSÍVEL</v>
      </c>
      <c r="O122" s="178"/>
      <c r="Q122" s="178"/>
      <c r="R122" s="179"/>
      <c r="S122" s="179"/>
      <c r="T122" s="179"/>
      <c r="U122" s="179"/>
      <c r="V122" s="179"/>
      <c r="W122" s="179"/>
      <c r="X122" s="179"/>
      <c r="Y122" s="179"/>
      <c r="Z122" s="180"/>
      <c r="AB122" s="544">
        <f ca="1">IF(AND($D122="Serviço",AB$12&lt;&gt;0,$H122&gt;0,OR(AUTOEVENTO&lt;&gt;"manual",$M122&lt;&gt;1)),
IF(Import.TipoArredondamento&lt;&gt;"TransfereGOV",
ROUND(OFFSET($P122,0,AB$13),15-13*ORÇAMENTO!$AF$7)/$H122*OFFSET(ORÇAMENTO!$X$15,ROW(AB122)-ROW(AB$15),0),
ROUND(ROUND(OFFSET($P122,0,AB$13),15-13*ORÇAMENTO!$AF$7)*OFFSET(ORÇAMENTO!$W$15,ROW(AB122)-ROW(AB$15),0),15-13*ORÇAMENTO!$AF$11)),0)</f>
        <v>0</v>
      </c>
      <c r="AC122" s="545">
        <f ca="1">IF(AND($D122="Serviço",AC$12&lt;&gt;0,$H122&gt;0,OR(AUTOEVENTO&lt;&gt;"manual",$M122&lt;&gt;1)),
IF(Import.TipoArredondamento&lt;&gt;"TransfereGOV",
ROUND(OFFSET($P122,0,AC$13),15-13*ORÇAMENTO!$AF$7)/$H122*OFFSET(ORÇAMENTO!$X$15,ROW(AC122)-ROW(AC$15),0),
ROUND(ROUND(OFFSET($P122,0,AC$13),15-13*ORÇAMENTO!$AF$7)*OFFSET(ORÇAMENTO!$W$15,ROW(AC122)-ROW(AC$15),0),15-13*ORÇAMENTO!$AF$11)),0)</f>
        <v>0</v>
      </c>
      <c r="AD122" s="545">
        <f ca="1">IF(AND($D122="Serviço",AD$12&lt;&gt;0,$H122&gt;0,OR(AUTOEVENTO&lt;&gt;"manual",$M122&lt;&gt;1)),
IF(Import.TipoArredondamento&lt;&gt;"TransfereGOV",
ROUND(OFFSET($P122,0,AD$13),15-13*ORÇAMENTO!$AF$7)/$H122*OFFSET(ORÇAMENTO!$X$15,ROW(AD122)-ROW(AD$15),0),
ROUND(ROUND(OFFSET($P122,0,AD$13),15-13*ORÇAMENTO!$AF$7)*OFFSET(ORÇAMENTO!$W$15,ROW(AD122)-ROW(AD$15),0),15-13*ORÇAMENTO!$AF$11)),0)</f>
        <v>0</v>
      </c>
      <c r="AE122" s="545">
        <f ca="1">IF(AND($D122="Serviço",AE$12&lt;&gt;0,$H122&gt;0,OR(AUTOEVENTO&lt;&gt;"manual",$M122&lt;&gt;1)),
IF(Import.TipoArredondamento&lt;&gt;"TransfereGOV",
ROUND(OFFSET($P122,0,AE$13),15-13*ORÇAMENTO!$AF$7)/$H122*OFFSET(ORÇAMENTO!$X$15,ROW(AE122)-ROW(AE$15),0),
ROUND(ROUND(OFFSET($P122,0,AE$13),15-13*ORÇAMENTO!$AF$7)*OFFSET(ORÇAMENTO!$W$15,ROW(AE122)-ROW(AE$15),0),15-13*ORÇAMENTO!$AF$11)),0)</f>
        <v>0</v>
      </c>
      <c r="AF122" s="545">
        <f ca="1">IF(AND($D122="Serviço",AF$12&lt;&gt;0,$H122&gt;0,OR(AUTOEVENTO&lt;&gt;"manual",$M122&lt;&gt;1)),
IF(Import.TipoArredondamento&lt;&gt;"TransfereGOV",
ROUND(OFFSET($P122,0,AF$13),15-13*ORÇAMENTO!$AF$7)/$H122*OFFSET(ORÇAMENTO!$X$15,ROW(AF122)-ROW(AF$15),0),
ROUND(ROUND(OFFSET($P122,0,AF$13),15-13*ORÇAMENTO!$AF$7)*OFFSET(ORÇAMENTO!$W$15,ROW(AF122)-ROW(AF$15),0),15-13*ORÇAMENTO!$AF$11)),0)</f>
        <v>0</v>
      </c>
      <c r="AG122" s="545">
        <f ca="1">IF(AND($D122="Serviço",AG$12&lt;&gt;0,$H122&gt;0,OR(AUTOEVENTO&lt;&gt;"manual",$M122&lt;&gt;1)),
IF(Import.TipoArredondamento&lt;&gt;"TransfereGOV",
ROUND(OFFSET($P122,0,AG$13),15-13*ORÇAMENTO!$AF$7)/$H122*OFFSET(ORÇAMENTO!$X$15,ROW(AG122)-ROW(AG$15),0),
ROUND(ROUND(OFFSET($P122,0,AG$13),15-13*ORÇAMENTO!$AF$7)*OFFSET(ORÇAMENTO!$W$15,ROW(AG122)-ROW(AG$15),0),15-13*ORÇAMENTO!$AF$11)),0)</f>
        <v>0</v>
      </c>
      <c r="AH122" s="545">
        <f ca="1">IF(AND($D122="Serviço",AH$12&lt;&gt;0,$H122&gt;0,OR(AUTOEVENTO&lt;&gt;"manual",$M122&lt;&gt;1)),
IF(Import.TipoArredondamento&lt;&gt;"TransfereGOV",
ROUND(OFFSET($P122,0,AH$13),15-13*ORÇAMENTO!$AF$7)/$H122*OFFSET(ORÇAMENTO!$X$15,ROW(AH122)-ROW(AH$15),0),
ROUND(ROUND(OFFSET($P122,0,AH$13),15-13*ORÇAMENTO!$AF$7)*OFFSET(ORÇAMENTO!$W$15,ROW(AH122)-ROW(AH$15),0),15-13*ORÇAMENTO!$AF$11)),0)</f>
        <v>0</v>
      </c>
      <c r="AI122" s="545">
        <f ca="1">IF(AND($D122="Serviço",AI$12&lt;&gt;0,$H122&gt;0,OR(AUTOEVENTO&lt;&gt;"manual",$M122&lt;&gt;1)),
IF(Import.TipoArredondamento&lt;&gt;"TransfereGOV",
ROUND(OFFSET($P122,0,AI$13),15-13*ORÇAMENTO!$AF$7)/$H122*OFFSET(ORÇAMENTO!$X$15,ROW(AI122)-ROW(AI$15),0),
ROUND(ROUND(OFFSET($P122,0,AI$13),15-13*ORÇAMENTO!$AF$7)*OFFSET(ORÇAMENTO!$W$15,ROW(AI122)-ROW(AI$15),0),15-13*ORÇAMENTO!$AF$11)),0)</f>
        <v>0</v>
      </c>
      <c r="AJ122" s="545">
        <f ca="1">IF(AND($D122="Serviço",AJ$12&lt;&gt;0,$H122&gt;0,OR(AUTOEVENTO&lt;&gt;"manual",$M122&lt;&gt;1)),
IF(Import.TipoArredondamento&lt;&gt;"TransfereGOV",
ROUND(OFFSET($P122,0,AJ$13),15-13*ORÇAMENTO!$AF$7)/$H122*OFFSET(ORÇAMENTO!$X$15,ROW(AJ122)-ROW(AJ$15),0),
ROUND(ROUND(OFFSET($P122,0,AJ$13),15-13*ORÇAMENTO!$AF$7)*OFFSET(ORÇAMENTO!$W$15,ROW(AJ122)-ROW(AJ$15),0),15-13*ORÇAMENTO!$AF$11)),0)</f>
        <v>0</v>
      </c>
      <c r="AK122" s="546">
        <f ca="1">IF(AND($D122="Serviço",AK$12&lt;&gt;0,$H122&gt;0,OR(AUTOEVENTO&lt;&gt;"manual",$M122&lt;&gt;1)),
IF(Import.TipoArredondamento&lt;&gt;"TransfereGOV",
ROUND(OFFSET($P122,0,AK$13),15-13*ORÇAMENTO!$AF$7)/$H122*OFFSET(ORÇAMENTO!$X$15,ROW(AK122)-ROW(AK$15),0),
ROUND(ROUND(OFFSET($P122,0,AK$13),15-13*ORÇAMENTO!$AF$7)*OFFSET(ORÇAMENTO!$W$15,ROW(AK122)-ROW(AK$15),0),15-13*ORÇAMENTO!$AF$11)),0)</f>
        <v>0</v>
      </c>
      <c r="AM122" s="181">
        <f ca="1">IF($D122&lt;&gt;"Serviço",0,IF(AND(AUTOEVENTO="Manual",$M122=1),0,IF(OFFSET(CRONOPLE!$F$14,$M122,AM$13)="",10^12,OFFSET(CRONOPLE!$F$14,$M122,AM$13))))</f>
        <v>1000000000000</v>
      </c>
      <c r="AN122" s="181">
        <f ca="1">IF($D122&lt;&gt;"Serviço",0,IF(AND(AUTOEVENTO="Manual",$M122=1),0,IF(OFFSET(CRONOPLE!$F$14,$M122,AN$13)="",10^12,OFFSET(CRONOPLE!$F$14,$M122,AN$13))))</f>
        <v>1000000000000</v>
      </c>
      <c r="AO122" s="181">
        <f ca="1">IF($D122&lt;&gt;"Serviço",0,IF(AND(AUTOEVENTO="Manual",$M122=1),0,IF(OFFSET(CRONOPLE!$F$14,$M122,AO$13)="",10^12,OFFSET(CRONOPLE!$F$14,$M122,AO$13))))</f>
        <v>1000000000000</v>
      </c>
      <c r="AP122" s="181">
        <f ca="1">IF($D122&lt;&gt;"Serviço",0,IF(AND(AUTOEVENTO="Manual",$M122=1),0,IF(OFFSET(CRONOPLE!$F$14,$M122,AP$13)="",10^12,OFFSET(CRONOPLE!$F$14,$M122,AP$13))))</f>
        <v>1000000000000</v>
      </c>
      <c r="AQ122" s="181">
        <f ca="1">IF($D122&lt;&gt;"Serviço",0,IF(AND(AUTOEVENTO="Manual",$M122=1),0,IF(OFFSET(CRONOPLE!$F$14,$M122,AQ$13)="",10^12,OFFSET(CRONOPLE!$F$14,$M122,AQ$13))))</f>
        <v>1000000000000</v>
      </c>
      <c r="AR122" s="181">
        <f ca="1">IF($D122&lt;&gt;"Serviço",0,IF(AND(AUTOEVENTO="Manual",$M122=1),0,IF(OFFSET(CRONOPLE!$F$14,$M122,AR$13)="",10^12,OFFSET(CRONOPLE!$F$14,$M122,AR$13))))</f>
        <v>1000000000000</v>
      </c>
      <c r="AS122" s="181">
        <f ca="1">IF($D122&lt;&gt;"Serviço",0,IF(AND(AUTOEVENTO="Manual",$M122=1),0,IF(OFFSET(CRONOPLE!$F$14,$M122,AS$13)="",10^12,OFFSET(CRONOPLE!$F$14,$M122,AS$13))))</f>
        <v>1000000000000</v>
      </c>
      <c r="AT122" s="181">
        <f ca="1">IF($D122&lt;&gt;"Serviço",0,IF(AND(AUTOEVENTO="Manual",$M122=1),0,IF(OFFSET(CRONOPLE!$F$14,$M122,AT$13)="",10^12,OFFSET(CRONOPLE!$F$14,$M122,AT$13))))</f>
        <v>1000000000000</v>
      </c>
      <c r="AU122" s="181">
        <f ca="1">IF($D122&lt;&gt;"Serviço",0,IF(AND(AUTOEVENTO="Manual",$M122=1),0,IF(OFFSET(CRONOPLE!$F$14,$M122,AU$13)="",10^12,OFFSET(CRONOPLE!$F$14,$M122,AU$13))))</f>
        <v>1000000000000</v>
      </c>
      <c r="AV122" s="181">
        <f ca="1">IF($D122&lt;&gt;"Serviço",0,IF(AND(AUTOEVENTO="Manual",$M122=1),0,IF(OFFSET(CRONOPLE!$F$14,$M122,AV$13)="",10^12,OFFSET(CRONOPLE!$F$14,$M122,AV$13))))</f>
        <v>1000000000000</v>
      </c>
      <c r="AX122" s="182">
        <f ca="1">IF($D122&lt;&gt;"Serviço",0,IF(OR(AND(AUTOEVENTO="Manual",$M122=1),$M122&gt;(ROW(PLE.lastrow)-ROW(PLE.firstrow))),0,IF(OFFSET(PLE!$G$14,$M122,AX$13)="",10^12,OFFSET(PLE!$G$14,$M122,AX$13))))</f>
        <v>1000000000000</v>
      </c>
      <c r="AY122" s="182">
        <f ca="1">IF($D122&lt;&gt;"Serviço",0,IF(OR(AND(AUTOEVENTO="Manual",$M122=1),$M122&gt;(ROW(PLE.lastrow)-ROW(PLE.firstrow))),0,IF(OFFSET(PLE!$G$14,$M122,AY$13)="",10^12,OFFSET(PLE!$G$14,$M122,AY$13))))</f>
        <v>1000000000000</v>
      </c>
      <c r="AZ122" s="182">
        <f ca="1">IF($D122&lt;&gt;"Serviço",0,IF(OR(AND(AUTOEVENTO="Manual",$M122=1),$M122&gt;(ROW(PLE.lastrow)-ROW(PLE.firstrow))),0,IF(OFFSET(PLE!$G$14,$M122,AZ$13)="",10^12,OFFSET(PLE!$G$14,$M122,AZ$13))))</f>
        <v>1000000000000</v>
      </c>
      <c r="BA122" s="182">
        <f ca="1">IF($D122&lt;&gt;"Serviço",0,IF(OR(AND(AUTOEVENTO="Manual",$M122=1),$M122&gt;(ROW(PLE.lastrow)-ROW(PLE.firstrow))),0,IF(OFFSET(PLE!$G$14,$M122,BA$13)="",10^12,OFFSET(PLE!$G$14,$M122,BA$13))))</f>
        <v>1000000000000</v>
      </c>
      <c r="BB122" s="182">
        <f ca="1">IF($D122&lt;&gt;"Serviço",0,IF(OR(AND(AUTOEVENTO="Manual",$M122=1),$M122&gt;(ROW(PLE.lastrow)-ROW(PLE.firstrow))),0,IF(OFFSET(PLE!$G$14,$M122,BB$13)="",10^12,OFFSET(PLE!$G$14,$M122,BB$13))))</f>
        <v>1000000000000</v>
      </c>
      <c r="BC122" s="182">
        <f ca="1">IF($D122&lt;&gt;"Serviço",0,IF(OR(AND(AUTOEVENTO="Manual",$M122=1),$M122&gt;(ROW(PLE.lastrow)-ROW(PLE.firstrow))),0,IF(OFFSET(PLE!$G$14,$M122,BC$13)="",10^12,OFFSET(PLE!$G$14,$M122,BC$13))))</f>
        <v>1000000000000</v>
      </c>
      <c r="BD122" s="182">
        <f ca="1">IF($D122&lt;&gt;"Serviço",0,IF(OR(AND(AUTOEVENTO="Manual",$M122=1),$M122&gt;(ROW(PLE.lastrow)-ROW(PLE.firstrow))),0,IF(OFFSET(PLE!$G$14,$M122,BD$13)="",10^12,OFFSET(PLE!$G$14,$M122,BD$13))))</f>
        <v>1000000000000</v>
      </c>
      <c r="BE122" s="182">
        <f ca="1">IF($D122&lt;&gt;"Serviço",0,IF(OR(AND(AUTOEVENTO="Manual",$M122=1),$M122&gt;(ROW(PLE.lastrow)-ROW(PLE.firstrow))),0,IF(OFFSET(PLE!$G$14,$M122,BE$13)="",10^12,OFFSET(PLE!$G$14,$M122,BE$13))))</f>
        <v>1000000000000</v>
      </c>
      <c r="BF122" s="182">
        <f ca="1">IF($D122&lt;&gt;"Serviço",0,IF(OR(AND(AUTOEVENTO="Manual",$M122=1),$M122&gt;(ROW(PLE.lastrow)-ROW(PLE.firstrow))),0,IF(OFFSET(PLE!$G$14,$M122,BF$13)="",10^12,OFFSET(PLE!$G$14,$M122,BF$13))))</f>
        <v>1000000000000</v>
      </c>
      <c r="BG122" s="182">
        <f ca="1">IF($D122&lt;&gt;"Serviço",0,IF(OR(AND(AUTOEVENTO="Manual",$M122=1),$M122&gt;(ROW(PLE.lastrow)-ROW(PLE.firstrow))),0,IF(OFFSET(PLE!$G$14,$M122,BG$13)="",10^12,OFFSET(PLE!$G$14,$M122,BG$13))))</f>
        <v>1000000000000</v>
      </c>
    </row>
    <row r="123" spans="1:59" ht="38.25" x14ac:dyDescent="0.2">
      <c r="A123" s="7" t="str">
        <f t="shared" ca="1" si="9"/>
        <v>71</v>
      </c>
      <c r="B123" s="7" t="str">
        <f ca="1">OFFSET(ORÇAMENTO!C$15,ROW(B123)-ROW(B$15),0)</f>
        <v>S</v>
      </c>
      <c r="C123" s="7" t="str">
        <f ca="1">OFFSET(ORÇAMENTO!L$15,ROW(C123)-ROW(C$15),0)</f>
        <v>F</v>
      </c>
      <c r="D123" s="118" t="str">
        <f ca="1">OFFSET(ORÇAMENTO!N$15,ROW(D123)-ROW(D$15),0)</f>
        <v>Serviço</v>
      </c>
      <c r="E123" s="119" t="str">
        <f ca="1">OFFSET(ORÇAMENTO!O$15,ROW(E123)-ROW(E$15),0)</f>
        <v>1.6.7.4.</v>
      </c>
      <c r="F123" s="172" t="str">
        <f ca="1">OFFSET(ORÇAMENTO!R$15,ROW(F123)-ROW(F$15),0)</f>
        <v>(abra o arquivo 'Referência 03-2024.xlsm)</v>
      </c>
      <c r="G123" s="173" t="str">
        <f ca="1">IF($D123&lt;&gt;"Serviço","",OFFSET(ORÇAMENTO!S$15,ROW(G123)-ROW(G$15),0))</f>
        <v>-</v>
      </c>
      <c r="H123" s="124">
        <f ca="1">IF($D123&lt;&gt;"Serviço",0,IF(ACOMPANHAMENTO="BM",ROUND(OFFSET(ORÇAMENTO!AJ$15,ROW(H123)-ROW(H$15),0),15-13*ORÇAMENTO!$AF$7),SUMPRODUCT(($Q$12:$AA$12&lt;&gt;"")*ROUND($Q123:$AA123,15-13*ORÇAMENTO!$AF$7))))</f>
        <v>48</v>
      </c>
      <c r="I123" s="561"/>
      <c r="K123" s="174"/>
      <c r="L123" s="175" t="s">
        <v>255</v>
      </c>
      <c r="M123" s="176">
        <f ca="1">IF($D123&lt;&gt;"Serviço","",IF(AUTOEVENTO="manual",$A123,IF(ISERROR(MATCH($A123,$A$15:OFFSET($A123,-1,0),0)),MAX($M$15:OFFSET(M123,-1,0))+1,INDEX($M$15:OFFSET(M123,-1,0),MATCH($A123,$A$15:OFFSET($A123,-1,0),0)))))</f>
        <v>7</v>
      </c>
      <c r="N123" s="177" t="str">
        <f ca="1">IF($D123&lt;&gt;"Serviço","",IF(AUTOEVENTO="Manual",IF($A123=0,"&lt;-- defina o número do agrupador",OFFSET(EVENTOS!$D$14,$A123,0)),OFFSET($F$15,$A123,0)))</f>
        <v>SANITÁRIO PÚBLICO ACESSÍVEL</v>
      </c>
      <c r="O123" s="178"/>
      <c r="Q123" s="178"/>
      <c r="R123" s="179"/>
      <c r="S123" s="179"/>
      <c r="T123" s="179"/>
      <c r="U123" s="179"/>
      <c r="V123" s="179"/>
      <c r="W123" s="179"/>
      <c r="X123" s="179"/>
      <c r="Y123" s="179"/>
      <c r="Z123" s="180"/>
      <c r="AB123" s="544">
        <f ca="1">IF(AND($D123="Serviço",AB$12&lt;&gt;0,$H123&gt;0,OR(AUTOEVENTO&lt;&gt;"manual",$M123&lt;&gt;1)),
IF(Import.TipoArredondamento&lt;&gt;"TransfereGOV",
ROUND(OFFSET($P123,0,AB$13),15-13*ORÇAMENTO!$AF$7)/$H123*OFFSET(ORÇAMENTO!$X$15,ROW(AB123)-ROW(AB$15),0),
ROUND(ROUND(OFFSET($P123,0,AB$13),15-13*ORÇAMENTO!$AF$7)*OFFSET(ORÇAMENTO!$W$15,ROW(AB123)-ROW(AB$15),0),15-13*ORÇAMENTO!$AF$11)),0)</f>
        <v>0</v>
      </c>
      <c r="AC123" s="545">
        <f ca="1">IF(AND($D123="Serviço",AC$12&lt;&gt;0,$H123&gt;0,OR(AUTOEVENTO&lt;&gt;"manual",$M123&lt;&gt;1)),
IF(Import.TipoArredondamento&lt;&gt;"TransfereGOV",
ROUND(OFFSET($P123,0,AC$13),15-13*ORÇAMENTO!$AF$7)/$H123*OFFSET(ORÇAMENTO!$X$15,ROW(AC123)-ROW(AC$15),0),
ROUND(ROUND(OFFSET($P123,0,AC$13),15-13*ORÇAMENTO!$AF$7)*OFFSET(ORÇAMENTO!$W$15,ROW(AC123)-ROW(AC$15),0),15-13*ORÇAMENTO!$AF$11)),0)</f>
        <v>0</v>
      </c>
      <c r="AD123" s="545">
        <f ca="1">IF(AND($D123="Serviço",AD$12&lt;&gt;0,$H123&gt;0,OR(AUTOEVENTO&lt;&gt;"manual",$M123&lt;&gt;1)),
IF(Import.TipoArredondamento&lt;&gt;"TransfereGOV",
ROUND(OFFSET($P123,0,AD$13),15-13*ORÇAMENTO!$AF$7)/$H123*OFFSET(ORÇAMENTO!$X$15,ROW(AD123)-ROW(AD$15),0),
ROUND(ROUND(OFFSET($P123,0,AD$13),15-13*ORÇAMENTO!$AF$7)*OFFSET(ORÇAMENTO!$W$15,ROW(AD123)-ROW(AD$15),0),15-13*ORÇAMENTO!$AF$11)),0)</f>
        <v>0</v>
      </c>
      <c r="AE123" s="545">
        <f ca="1">IF(AND($D123="Serviço",AE$12&lt;&gt;0,$H123&gt;0,OR(AUTOEVENTO&lt;&gt;"manual",$M123&lt;&gt;1)),
IF(Import.TipoArredondamento&lt;&gt;"TransfereGOV",
ROUND(OFFSET($P123,0,AE$13),15-13*ORÇAMENTO!$AF$7)/$H123*OFFSET(ORÇAMENTO!$X$15,ROW(AE123)-ROW(AE$15),0),
ROUND(ROUND(OFFSET($P123,0,AE$13),15-13*ORÇAMENTO!$AF$7)*OFFSET(ORÇAMENTO!$W$15,ROW(AE123)-ROW(AE$15),0),15-13*ORÇAMENTO!$AF$11)),0)</f>
        <v>0</v>
      </c>
      <c r="AF123" s="545">
        <f ca="1">IF(AND($D123="Serviço",AF$12&lt;&gt;0,$H123&gt;0,OR(AUTOEVENTO&lt;&gt;"manual",$M123&lt;&gt;1)),
IF(Import.TipoArredondamento&lt;&gt;"TransfereGOV",
ROUND(OFFSET($P123,0,AF$13),15-13*ORÇAMENTO!$AF$7)/$H123*OFFSET(ORÇAMENTO!$X$15,ROW(AF123)-ROW(AF$15),0),
ROUND(ROUND(OFFSET($P123,0,AF$13),15-13*ORÇAMENTO!$AF$7)*OFFSET(ORÇAMENTO!$W$15,ROW(AF123)-ROW(AF$15),0),15-13*ORÇAMENTO!$AF$11)),0)</f>
        <v>0</v>
      </c>
      <c r="AG123" s="545">
        <f ca="1">IF(AND($D123="Serviço",AG$12&lt;&gt;0,$H123&gt;0,OR(AUTOEVENTO&lt;&gt;"manual",$M123&lt;&gt;1)),
IF(Import.TipoArredondamento&lt;&gt;"TransfereGOV",
ROUND(OFFSET($P123,0,AG$13),15-13*ORÇAMENTO!$AF$7)/$H123*OFFSET(ORÇAMENTO!$X$15,ROW(AG123)-ROW(AG$15),0),
ROUND(ROUND(OFFSET($P123,0,AG$13),15-13*ORÇAMENTO!$AF$7)*OFFSET(ORÇAMENTO!$W$15,ROW(AG123)-ROW(AG$15),0),15-13*ORÇAMENTO!$AF$11)),0)</f>
        <v>0</v>
      </c>
      <c r="AH123" s="545">
        <f ca="1">IF(AND($D123="Serviço",AH$12&lt;&gt;0,$H123&gt;0,OR(AUTOEVENTO&lt;&gt;"manual",$M123&lt;&gt;1)),
IF(Import.TipoArredondamento&lt;&gt;"TransfereGOV",
ROUND(OFFSET($P123,0,AH$13),15-13*ORÇAMENTO!$AF$7)/$H123*OFFSET(ORÇAMENTO!$X$15,ROW(AH123)-ROW(AH$15),0),
ROUND(ROUND(OFFSET($P123,0,AH$13),15-13*ORÇAMENTO!$AF$7)*OFFSET(ORÇAMENTO!$W$15,ROW(AH123)-ROW(AH$15),0),15-13*ORÇAMENTO!$AF$11)),0)</f>
        <v>0</v>
      </c>
      <c r="AI123" s="545">
        <f ca="1">IF(AND($D123="Serviço",AI$12&lt;&gt;0,$H123&gt;0,OR(AUTOEVENTO&lt;&gt;"manual",$M123&lt;&gt;1)),
IF(Import.TipoArredondamento&lt;&gt;"TransfereGOV",
ROUND(OFFSET($P123,0,AI$13),15-13*ORÇAMENTO!$AF$7)/$H123*OFFSET(ORÇAMENTO!$X$15,ROW(AI123)-ROW(AI$15),0),
ROUND(ROUND(OFFSET($P123,0,AI$13),15-13*ORÇAMENTO!$AF$7)*OFFSET(ORÇAMENTO!$W$15,ROW(AI123)-ROW(AI$15),0),15-13*ORÇAMENTO!$AF$11)),0)</f>
        <v>0</v>
      </c>
      <c r="AJ123" s="545">
        <f ca="1">IF(AND($D123="Serviço",AJ$12&lt;&gt;0,$H123&gt;0,OR(AUTOEVENTO&lt;&gt;"manual",$M123&lt;&gt;1)),
IF(Import.TipoArredondamento&lt;&gt;"TransfereGOV",
ROUND(OFFSET($P123,0,AJ$13),15-13*ORÇAMENTO!$AF$7)/$H123*OFFSET(ORÇAMENTO!$X$15,ROW(AJ123)-ROW(AJ$15),0),
ROUND(ROUND(OFFSET($P123,0,AJ$13),15-13*ORÇAMENTO!$AF$7)*OFFSET(ORÇAMENTO!$W$15,ROW(AJ123)-ROW(AJ$15),0),15-13*ORÇAMENTO!$AF$11)),0)</f>
        <v>0</v>
      </c>
      <c r="AK123" s="546">
        <f ca="1">IF(AND($D123="Serviço",AK$12&lt;&gt;0,$H123&gt;0,OR(AUTOEVENTO&lt;&gt;"manual",$M123&lt;&gt;1)),
IF(Import.TipoArredondamento&lt;&gt;"TransfereGOV",
ROUND(OFFSET($P123,0,AK$13),15-13*ORÇAMENTO!$AF$7)/$H123*OFFSET(ORÇAMENTO!$X$15,ROW(AK123)-ROW(AK$15),0),
ROUND(ROUND(OFFSET($P123,0,AK$13),15-13*ORÇAMENTO!$AF$7)*OFFSET(ORÇAMENTO!$W$15,ROW(AK123)-ROW(AK$15),0),15-13*ORÇAMENTO!$AF$11)),0)</f>
        <v>0</v>
      </c>
      <c r="AM123" s="181">
        <f ca="1">IF($D123&lt;&gt;"Serviço",0,IF(AND(AUTOEVENTO="Manual",$M123=1),0,IF(OFFSET(CRONOPLE!$F$14,$M123,AM$13)="",10^12,OFFSET(CRONOPLE!$F$14,$M123,AM$13))))</f>
        <v>1000000000000</v>
      </c>
      <c r="AN123" s="181">
        <f ca="1">IF($D123&lt;&gt;"Serviço",0,IF(AND(AUTOEVENTO="Manual",$M123=1),0,IF(OFFSET(CRONOPLE!$F$14,$M123,AN$13)="",10^12,OFFSET(CRONOPLE!$F$14,$M123,AN$13))))</f>
        <v>1000000000000</v>
      </c>
      <c r="AO123" s="181">
        <f ca="1">IF($D123&lt;&gt;"Serviço",0,IF(AND(AUTOEVENTO="Manual",$M123=1),0,IF(OFFSET(CRONOPLE!$F$14,$M123,AO$13)="",10^12,OFFSET(CRONOPLE!$F$14,$M123,AO$13))))</f>
        <v>1000000000000</v>
      </c>
      <c r="AP123" s="181">
        <f ca="1">IF($D123&lt;&gt;"Serviço",0,IF(AND(AUTOEVENTO="Manual",$M123=1),0,IF(OFFSET(CRONOPLE!$F$14,$M123,AP$13)="",10^12,OFFSET(CRONOPLE!$F$14,$M123,AP$13))))</f>
        <v>1000000000000</v>
      </c>
      <c r="AQ123" s="181">
        <f ca="1">IF($D123&lt;&gt;"Serviço",0,IF(AND(AUTOEVENTO="Manual",$M123=1),0,IF(OFFSET(CRONOPLE!$F$14,$M123,AQ$13)="",10^12,OFFSET(CRONOPLE!$F$14,$M123,AQ$13))))</f>
        <v>1000000000000</v>
      </c>
      <c r="AR123" s="181">
        <f ca="1">IF($D123&lt;&gt;"Serviço",0,IF(AND(AUTOEVENTO="Manual",$M123=1),0,IF(OFFSET(CRONOPLE!$F$14,$M123,AR$13)="",10^12,OFFSET(CRONOPLE!$F$14,$M123,AR$13))))</f>
        <v>1000000000000</v>
      </c>
      <c r="AS123" s="181">
        <f ca="1">IF($D123&lt;&gt;"Serviço",0,IF(AND(AUTOEVENTO="Manual",$M123=1),0,IF(OFFSET(CRONOPLE!$F$14,$M123,AS$13)="",10^12,OFFSET(CRONOPLE!$F$14,$M123,AS$13))))</f>
        <v>1000000000000</v>
      </c>
      <c r="AT123" s="181">
        <f ca="1">IF($D123&lt;&gt;"Serviço",0,IF(AND(AUTOEVENTO="Manual",$M123=1),0,IF(OFFSET(CRONOPLE!$F$14,$M123,AT$13)="",10^12,OFFSET(CRONOPLE!$F$14,$M123,AT$13))))</f>
        <v>1000000000000</v>
      </c>
      <c r="AU123" s="181">
        <f ca="1">IF($D123&lt;&gt;"Serviço",0,IF(AND(AUTOEVENTO="Manual",$M123=1),0,IF(OFFSET(CRONOPLE!$F$14,$M123,AU$13)="",10^12,OFFSET(CRONOPLE!$F$14,$M123,AU$13))))</f>
        <v>1000000000000</v>
      </c>
      <c r="AV123" s="181">
        <f ca="1">IF($D123&lt;&gt;"Serviço",0,IF(AND(AUTOEVENTO="Manual",$M123=1),0,IF(OFFSET(CRONOPLE!$F$14,$M123,AV$13)="",10^12,OFFSET(CRONOPLE!$F$14,$M123,AV$13))))</f>
        <v>1000000000000</v>
      </c>
      <c r="AX123" s="182">
        <f ca="1">IF($D123&lt;&gt;"Serviço",0,IF(OR(AND(AUTOEVENTO="Manual",$M123=1),$M123&gt;(ROW(PLE.lastrow)-ROW(PLE.firstrow))),0,IF(OFFSET(PLE!$G$14,$M123,AX$13)="",10^12,OFFSET(PLE!$G$14,$M123,AX$13))))</f>
        <v>1000000000000</v>
      </c>
      <c r="AY123" s="182">
        <f ca="1">IF($D123&lt;&gt;"Serviço",0,IF(OR(AND(AUTOEVENTO="Manual",$M123=1),$M123&gt;(ROW(PLE.lastrow)-ROW(PLE.firstrow))),0,IF(OFFSET(PLE!$G$14,$M123,AY$13)="",10^12,OFFSET(PLE!$G$14,$M123,AY$13))))</f>
        <v>1000000000000</v>
      </c>
      <c r="AZ123" s="182">
        <f ca="1">IF($D123&lt;&gt;"Serviço",0,IF(OR(AND(AUTOEVENTO="Manual",$M123=1),$M123&gt;(ROW(PLE.lastrow)-ROW(PLE.firstrow))),0,IF(OFFSET(PLE!$G$14,$M123,AZ$13)="",10^12,OFFSET(PLE!$G$14,$M123,AZ$13))))</f>
        <v>1000000000000</v>
      </c>
      <c r="BA123" s="182">
        <f ca="1">IF($D123&lt;&gt;"Serviço",0,IF(OR(AND(AUTOEVENTO="Manual",$M123=1),$M123&gt;(ROW(PLE.lastrow)-ROW(PLE.firstrow))),0,IF(OFFSET(PLE!$G$14,$M123,BA$13)="",10^12,OFFSET(PLE!$G$14,$M123,BA$13))))</f>
        <v>1000000000000</v>
      </c>
      <c r="BB123" s="182">
        <f ca="1">IF($D123&lt;&gt;"Serviço",0,IF(OR(AND(AUTOEVENTO="Manual",$M123=1),$M123&gt;(ROW(PLE.lastrow)-ROW(PLE.firstrow))),0,IF(OFFSET(PLE!$G$14,$M123,BB$13)="",10^12,OFFSET(PLE!$G$14,$M123,BB$13))))</f>
        <v>1000000000000</v>
      </c>
      <c r="BC123" s="182">
        <f ca="1">IF($D123&lt;&gt;"Serviço",0,IF(OR(AND(AUTOEVENTO="Manual",$M123=1),$M123&gt;(ROW(PLE.lastrow)-ROW(PLE.firstrow))),0,IF(OFFSET(PLE!$G$14,$M123,BC$13)="",10^12,OFFSET(PLE!$G$14,$M123,BC$13))))</f>
        <v>1000000000000</v>
      </c>
      <c r="BD123" s="182">
        <f ca="1">IF($D123&lt;&gt;"Serviço",0,IF(OR(AND(AUTOEVENTO="Manual",$M123=1),$M123&gt;(ROW(PLE.lastrow)-ROW(PLE.firstrow))),0,IF(OFFSET(PLE!$G$14,$M123,BD$13)="",10^12,OFFSET(PLE!$G$14,$M123,BD$13))))</f>
        <v>1000000000000</v>
      </c>
      <c r="BE123" s="182">
        <f ca="1">IF($D123&lt;&gt;"Serviço",0,IF(OR(AND(AUTOEVENTO="Manual",$M123=1),$M123&gt;(ROW(PLE.lastrow)-ROW(PLE.firstrow))),0,IF(OFFSET(PLE!$G$14,$M123,BE$13)="",10^12,OFFSET(PLE!$G$14,$M123,BE$13))))</f>
        <v>1000000000000</v>
      </c>
      <c r="BF123" s="182">
        <f ca="1">IF($D123&lt;&gt;"Serviço",0,IF(OR(AND(AUTOEVENTO="Manual",$M123=1),$M123&gt;(ROW(PLE.lastrow)-ROW(PLE.firstrow))),0,IF(OFFSET(PLE!$G$14,$M123,BF$13)="",10^12,OFFSET(PLE!$G$14,$M123,BF$13))))</f>
        <v>1000000000000</v>
      </c>
      <c r="BG123" s="182">
        <f ca="1">IF($D123&lt;&gt;"Serviço",0,IF(OR(AND(AUTOEVENTO="Manual",$M123=1),$M123&gt;(ROW(PLE.lastrow)-ROW(PLE.firstrow))),0,IF(OFFSET(PLE!$G$14,$M123,BG$13)="",10^12,OFFSET(PLE!$G$14,$M123,BG$13))))</f>
        <v>1000000000000</v>
      </c>
    </row>
    <row r="124" spans="1:59" ht="12.75" x14ac:dyDescent="0.2">
      <c r="A124" s="7" t="str">
        <f t="shared" ca="1" si="9"/>
        <v>71</v>
      </c>
      <c r="B124" s="7">
        <f ca="1">OFFSET(ORÇAMENTO!C$15,ROW(B124)-ROW(B$15),0)</f>
        <v>3</v>
      </c>
      <c r="C124" s="7" t="str">
        <f ca="1">OFFSET(ORÇAMENTO!L$15,ROW(C124)-ROW(C$15),0)</f>
        <v>F</v>
      </c>
      <c r="D124" s="118" t="str">
        <f ca="1">OFFSET(ORÇAMENTO!N$15,ROW(D124)-ROW(D$15),0)</f>
        <v>Nível 3</v>
      </c>
      <c r="E124" s="119" t="str">
        <f ca="1">OFFSET(ORÇAMENTO!O$15,ROW(E124)-ROW(E$15),0)</f>
        <v>1.6.8.</v>
      </c>
      <c r="F124" s="172" t="str">
        <f ca="1">OFFSET(ORÇAMENTO!R$15,ROW(F124)-ROW(F$15),0)</f>
        <v>COBERTURA</v>
      </c>
      <c r="G124" s="173" t="str">
        <f ca="1">IF($D124&lt;&gt;"Serviço","",OFFSET(ORÇAMENTO!S$15,ROW(G124)-ROW(G$15),0))</f>
        <v/>
      </c>
      <c r="H124" s="124">
        <f ca="1">IF($D124&lt;&gt;"Serviço",0,IF(ACOMPANHAMENTO="BM",ROUND(OFFSET(ORÇAMENTO!AJ$15,ROW(H124)-ROW(H$15),0),15-13*ORÇAMENTO!$AF$7),SUMPRODUCT(($Q$12:$AA$12&lt;&gt;"")*ROUND($Q124:$AA124,15-13*ORÇAMENTO!$AF$7))))</f>
        <v>0</v>
      </c>
      <c r="I124" s="561"/>
      <c r="K124" s="174"/>
      <c r="L124" s="175" t="s">
        <v>255</v>
      </c>
      <c r="M124" s="176" t="str">
        <f ca="1">IF($D124&lt;&gt;"Serviço","",IF(AUTOEVENTO="manual",$A124,IF(ISERROR(MATCH($A124,$A$15:OFFSET($A124,-1,0),0)),MAX($M$15:OFFSET(M124,-1,0))+1,INDEX($M$15:OFFSET(M124,-1,0),MATCH($A124,$A$15:OFFSET($A124,-1,0),0)))))</f>
        <v/>
      </c>
      <c r="N124" s="177" t="str">
        <f ca="1">IF($D124&lt;&gt;"Serviço","",IF(AUTOEVENTO="Manual",IF($A124=0,"&lt;-- defina o número do agrupador",OFFSET(EVENTOS!$D$14,$A124,0)),OFFSET($F$15,$A124,0)))</f>
        <v/>
      </c>
      <c r="O124" s="178"/>
      <c r="Q124" s="178"/>
      <c r="R124" s="179"/>
      <c r="S124" s="179"/>
      <c r="T124" s="179"/>
      <c r="U124" s="179"/>
      <c r="V124" s="179"/>
      <c r="W124" s="179"/>
      <c r="X124" s="179"/>
      <c r="Y124" s="179"/>
      <c r="Z124" s="180"/>
      <c r="AB124" s="544">
        <f ca="1">IF(AND($D124="Serviço",AB$12&lt;&gt;0,$H124&gt;0,OR(AUTOEVENTO&lt;&gt;"manual",$M124&lt;&gt;1)),
IF(Import.TipoArredondamento&lt;&gt;"TransfereGOV",
ROUND(OFFSET($P124,0,AB$13),15-13*ORÇAMENTO!$AF$7)/$H124*OFFSET(ORÇAMENTO!$X$15,ROW(AB124)-ROW(AB$15),0),
ROUND(ROUND(OFFSET($P124,0,AB$13),15-13*ORÇAMENTO!$AF$7)*OFFSET(ORÇAMENTO!$W$15,ROW(AB124)-ROW(AB$15),0),15-13*ORÇAMENTO!$AF$11)),0)</f>
        <v>0</v>
      </c>
      <c r="AC124" s="545">
        <f ca="1">IF(AND($D124="Serviço",AC$12&lt;&gt;0,$H124&gt;0,OR(AUTOEVENTO&lt;&gt;"manual",$M124&lt;&gt;1)),
IF(Import.TipoArredondamento&lt;&gt;"TransfereGOV",
ROUND(OFFSET($P124,0,AC$13),15-13*ORÇAMENTO!$AF$7)/$H124*OFFSET(ORÇAMENTO!$X$15,ROW(AC124)-ROW(AC$15),0),
ROUND(ROUND(OFFSET($P124,0,AC$13),15-13*ORÇAMENTO!$AF$7)*OFFSET(ORÇAMENTO!$W$15,ROW(AC124)-ROW(AC$15),0),15-13*ORÇAMENTO!$AF$11)),0)</f>
        <v>0</v>
      </c>
      <c r="AD124" s="545">
        <f ca="1">IF(AND($D124="Serviço",AD$12&lt;&gt;0,$H124&gt;0,OR(AUTOEVENTO&lt;&gt;"manual",$M124&lt;&gt;1)),
IF(Import.TipoArredondamento&lt;&gt;"TransfereGOV",
ROUND(OFFSET($P124,0,AD$13),15-13*ORÇAMENTO!$AF$7)/$H124*OFFSET(ORÇAMENTO!$X$15,ROW(AD124)-ROW(AD$15),0),
ROUND(ROUND(OFFSET($P124,0,AD$13),15-13*ORÇAMENTO!$AF$7)*OFFSET(ORÇAMENTO!$W$15,ROW(AD124)-ROW(AD$15),0),15-13*ORÇAMENTO!$AF$11)),0)</f>
        <v>0</v>
      </c>
      <c r="AE124" s="545">
        <f ca="1">IF(AND($D124="Serviço",AE$12&lt;&gt;0,$H124&gt;0,OR(AUTOEVENTO&lt;&gt;"manual",$M124&lt;&gt;1)),
IF(Import.TipoArredondamento&lt;&gt;"TransfereGOV",
ROUND(OFFSET($P124,0,AE$13),15-13*ORÇAMENTO!$AF$7)/$H124*OFFSET(ORÇAMENTO!$X$15,ROW(AE124)-ROW(AE$15),0),
ROUND(ROUND(OFFSET($P124,0,AE$13),15-13*ORÇAMENTO!$AF$7)*OFFSET(ORÇAMENTO!$W$15,ROW(AE124)-ROW(AE$15),0),15-13*ORÇAMENTO!$AF$11)),0)</f>
        <v>0</v>
      </c>
      <c r="AF124" s="545">
        <f ca="1">IF(AND($D124="Serviço",AF$12&lt;&gt;0,$H124&gt;0,OR(AUTOEVENTO&lt;&gt;"manual",$M124&lt;&gt;1)),
IF(Import.TipoArredondamento&lt;&gt;"TransfereGOV",
ROUND(OFFSET($P124,0,AF$13),15-13*ORÇAMENTO!$AF$7)/$H124*OFFSET(ORÇAMENTO!$X$15,ROW(AF124)-ROW(AF$15),0),
ROUND(ROUND(OFFSET($P124,0,AF$13),15-13*ORÇAMENTO!$AF$7)*OFFSET(ORÇAMENTO!$W$15,ROW(AF124)-ROW(AF$15),0),15-13*ORÇAMENTO!$AF$11)),0)</f>
        <v>0</v>
      </c>
      <c r="AG124" s="545">
        <f ca="1">IF(AND($D124="Serviço",AG$12&lt;&gt;0,$H124&gt;0,OR(AUTOEVENTO&lt;&gt;"manual",$M124&lt;&gt;1)),
IF(Import.TipoArredondamento&lt;&gt;"TransfereGOV",
ROUND(OFFSET($P124,0,AG$13),15-13*ORÇAMENTO!$AF$7)/$H124*OFFSET(ORÇAMENTO!$X$15,ROW(AG124)-ROW(AG$15),0),
ROUND(ROUND(OFFSET($P124,0,AG$13),15-13*ORÇAMENTO!$AF$7)*OFFSET(ORÇAMENTO!$W$15,ROW(AG124)-ROW(AG$15),0),15-13*ORÇAMENTO!$AF$11)),0)</f>
        <v>0</v>
      </c>
      <c r="AH124" s="545">
        <f ca="1">IF(AND($D124="Serviço",AH$12&lt;&gt;0,$H124&gt;0,OR(AUTOEVENTO&lt;&gt;"manual",$M124&lt;&gt;1)),
IF(Import.TipoArredondamento&lt;&gt;"TransfereGOV",
ROUND(OFFSET($P124,0,AH$13),15-13*ORÇAMENTO!$AF$7)/$H124*OFFSET(ORÇAMENTO!$X$15,ROW(AH124)-ROW(AH$15),0),
ROUND(ROUND(OFFSET($P124,0,AH$13),15-13*ORÇAMENTO!$AF$7)*OFFSET(ORÇAMENTO!$W$15,ROW(AH124)-ROW(AH$15),0),15-13*ORÇAMENTO!$AF$11)),0)</f>
        <v>0</v>
      </c>
      <c r="AI124" s="545">
        <f ca="1">IF(AND($D124="Serviço",AI$12&lt;&gt;0,$H124&gt;0,OR(AUTOEVENTO&lt;&gt;"manual",$M124&lt;&gt;1)),
IF(Import.TipoArredondamento&lt;&gt;"TransfereGOV",
ROUND(OFFSET($P124,0,AI$13),15-13*ORÇAMENTO!$AF$7)/$H124*OFFSET(ORÇAMENTO!$X$15,ROW(AI124)-ROW(AI$15),0),
ROUND(ROUND(OFFSET($P124,0,AI$13),15-13*ORÇAMENTO!$AF$7)*OFFSET(ORÇAMENTO!$W$15,ROW(AI124)-ROW(AI$15),0),15-13*ORÇAMENTO!$AF$11)),0)</f>
        <v>0</v>
      </c>
      <c r="AJ124" s="545">
        <f ca="1">IF(AND($D124="Serviço",AJ$12&lt;&gt;0,$H124&gt;0,OR(AUTOEVENTO&lt;&gt;"manual",$M124&lt;&gt;1)),
IF(Import.TipoArredondamento&lt;&gt;"TransfereGOV",
ROUND(OFFSET($P124,0,AJ$13),15-13*ORÇAMENTO!$AF$7)/$H124*OFFSET(ORÇAMENTO!$X$15,ROW(AJ124)-ROW(AJ$15),0),
ROUND(ROUND(OFFSET($P124,0,AJ$13),15-13*ORÇAMENTO!$AF$7)*OFFSET(ORÇAMENTO!$W$15,ROW(AJ124)-ROW(AJ$15),0),15-13*ORÇAMENTO!$AF$11)),0)</f>
        <v>0</v>
      </c>
      <c r="AK124" s="546">
        <f ca="1">IF(AND($D124="Serviço",AK$12&lt;&gt;0,$H124&gt;0,OR(AUTOEVENTO&lt;&gt;"manual",$M124&lt;&gt;1)),
IF(Import.TipoArredondamento&lt;&gt;"TransfereGOV",
ROUND(OFFSET($P124,0,AK$13),15-13*ORÇAMENTO!$AF$7)/$H124*OFFSET(ORÇAMENTO!$X$15,ROW(AK124)-ROW(AK$15),0),
ROUND(ROUND(OFFSET($P124,0,AK$13),15-13*ORÇAMENTO!$AF$7)*OFFSET(ORÇAMENTO!$W$15,ROW(AK124)-ROW(AK$15),0),15-13*ORÇAMENTO!$AF$11)),0)</f>
        <v>0</v>
      </c>
      <c r="AM124" s="181">
        <f ca="1">IF($D124&lt;&gt;"Serviço",0,IF(AND(AUTOEVENTO="Manual",$M124=1),0,IF(OFFSET(CRONOPLE!$F$14,$M124,AM$13)="",10^12,OFFSET(CRONOPLE!$F$14,$M124,AM$13))))</f>
        <v>0</v>
      </c>
      <c r="AN124" s="181">
        <f ca="1">IF($D124&lt;&gt;"Serviço",0,IF(AND(AUTOEVENTO="Manual",$M124=1),0,IF(OFFSET(CRONOPLE!$F$14,$M124,AN$13)="",10^12,OFFSET(CRONOPLE!$F$14,$M124,AN$13))))</f>
        <v>0</v>
      </c>
      <c r="AO124" s="181">
        <f ca="1">IF($D124&lt;&gt;"Serviço",0,IF(AND(AUTOEVENTO="Manual",$M124=1),0,IF(OFFSET(CRONOPLE!$F$14,$M124,AO$13)="",10^12,OFFSET(CRONOPLE!$F$14,$M124,AO$13))))</f>
        <v>0</v>
      </c>
      <c r="AP124" s="181">
        <f ca="1">IF($D124&lt;&gt;"Serviço",0,IF(AND(AUTOEVENTO="Manual",$M124=1),0,IF(OFFSET(CRONOPLE!$F$14,$M124,AP$13)="",10^12,OFFSET(CRONOPLE!$F$14,$M124,AP$13))))</f>
        <v>0</v>
      </c>
      <c r="AQ124" s="181">
        <f ca="1">IF($D124&lt;&gt;"Serviço",0,IF(AND(AUTOEVENTO="Manual",$M124=1),0,IF(OFFSET(CRONOPLE!$F$14,$M124,AQ$13)="",10^12,OFFSET(CRONOPLE!$F$14,$M124,AQ$13))))</f>
        <v>0</v>
      </c>
      <c r="AR124" s="181">
        <f ca="1">IF($D124&lt;&gt;"Serviço",0,IF(AND(AUTOEVENTO="Manual",$M124=1),0,IF(OFFSET(CRONOPLE!$F$14,$M124,AR$13)="",10^12,OFFSET(CRONOPLE!$F$14,$M124,AR$13))))</f>
        <v>0</v>
      </c>
      <c r="AS124" s="181">
        <f ca="1">IF($D124&lt;&gt;"Serviço",0,IF(AND(AUTOEVENTO="Manual",$M124=1),0,IF(OFFSET(CRONOPLE!$F$14,$M124,AS$13)="",10^12,OFFSET(CRONOPLE!$F$14,$M124,AS$13))))</f>
        <v>0</v>
      </c>
      <c r="AT124" s="181">
        <f ca="1">IF($D124&lt;&gt;"Serviço",0,IF(AND(AUTOEVENTO="Manual",$M124=1),0,IF(OFFSET(CRONOPLE!$F$14,$M124,AT$13)="",10^12,OFFSET(CRONOPLE!$F$14,$M124,AT$13))))</f>
        <v>0</v>
      </c>
      <c r="AU124" s="181">
        <f ca="1">IF($D124&lt;&gt;"Serviço",0,IF(AND(AUTOEVENTO="Manual",$M124=1),0,IF(OFFSET(CRONOPLE!$F$14,$M124,AU$13)="",10^12,OFFSET(CRONOPLE!$F$14,$M124,AU$13))))</f>
        <v>0</v>
      </c>
      <c r="AV124" s="181">
        <f ca="1">IF($D124&lt;&gt;"Serviço",0,IF(AND(AUTOEVENTO="Manual",$M124=1),0,IF(OFFSET(CRONOPLE!$F$14,$M124,AV$13)="",10^12,OFFSET(CRONOPLE!$F$14,$M124,AV$13))))</f>
        <v>0</v>
      </c>
      <c r="AX124" s="182">
        <f ca="1">IF($D124&lt;&gt;"Serviço",0,IF(OR(AND(AUTOEVENTO="Manual",$M124=1),$M124&gt;(ROW(PLE.lastrow)-ROW(PLE.firstrow))),0,IF(OFFSET(PLE!$G$14,$M124,AX$13)="",10^12,OFFSET(PLE!$G$14,$M124,AX$13))))</f>
        <v>0</v>
      </c>
      <c r="AY124" s="182">
        <f ca="1">IF($D124&lt;&gt;"Serviço",0,IF(OR(AND(AUTOEVENTO="Manual",$M124=1),$M124&gt;(ROW(PLE.lastrow)-ROW(PLE.firstrow))),0,IF(OFFSET(PLE!$G$14,$M124,AY$13)="",10^12,OFFSET(PLE!$G$14,$M124,AY$13))))</f>
        <v>0</v>
      </c>
      <c r="AZ124" s="182">
        <f ca="1">IF($D124&lt;&gt;"Serviço",0,IF(OR(AND(AUTOEVENTO="Manual",$M124=1),$M124&gt;(ROW(PLE.lastrow)-ROW(PLE.firstrow))),0,IF(OFFSET(PLE!$G$14,$M124,AZ$13)="",10^12,OFFSET(PLE!$G$14,$M124,AZ$13))))</f>
        <v>0</v>
      </c>
      <c r="BA124" s="182">
        <f ca="1">IF($D124&lt;&gt;"Serviço",0,IF(OR(AND(AUTOEVENTO="Manual",$M124=1),$M124&gt;(ROW(PLE.lastrow)-ROW(PLE.firstrow))),0,IF(OFFSET(PLE!$G$14,$M124,BA$13)="",10^12,OFFSET(PLE!$G$14,$M124,BA$13))))</f>
        <v>0</v>
      </c>
      <c r="BB124" s="182">
        <f ca="1">IF($D124&lt;&gt;"Serviço",0,IF(OR(AND(AUTOEVENTO="Manual",$M124=1),$M124&gt;(ROW(PLE.lastrow)-ROW(PLE.firstrow))),0,IF(OFFSET(PLE!$G$14,$M124,BB$13)="",10^12,OFFSET(PLE!$G$14,$M124,BB$13))))</f>
        <v>0</v>
      </c>
      <c r="BC124" s="182">
        <f ca="1">IF($D124&lt;&gt;"Serviço",0,IF(OR(AND(AUTOEVENTO="Manual",$M124=1),$M124&gt;(ROW(PLE.lastrow)-ROW(PLE.firstrow))),0,IF(OFFSET(PLE!$G$14,$M124,BC$13)="",10^12,OFFSET(PLE!$G$14,$M124,BC$13))))</f>
        <v>0</v>
      </c>
      <c r="BD124" s="182">
        <f ca="1">IF($D124&lt;&gt;"Serviço",0,IF(OR(AND(AUTOEVENTO="Manual",$M124=1),$M124&gt;(ROW(PLE.lastrow)-ROW(PLE.firstrow))),0,IF(OFFSET(PLE!$G$14,$M124,BD$13)="",10^12,OFFSET(PLE!$G$14,$M124,BD$13))))</f>
        <v>0</v>
      </c>
      <c r="BE124" s="182">
        <f ca="1">IF($D124&lt;&gt;"Serviço",0,IF(OR(AND(AUTOEVENTO="Manual",$M124=1),$M124&gt;(ROW(PLE.lastrow)-ROW(PLE.firstrow))),0,IF(OFFSET(PLE!$G$14,$M124,BE$13)="",10^12,OFFSET(PLE!$G$14,$M124,BE$13))))</f>
        <v>0</v>
      </c>
      <c r="BF124" s="182">
        <f ca="1">IF($D124&lt;&gt;"Serviço",0,IF(OR(AND(AUTOEVENTO="Manual",$M124=1),$M124&gt;(ROW(PLE.lastrow)-ROW(PLE.firstrow))),0,IF(OFFSET(PLE!$G$14,$M124,BF$13)="",10^12,OFFSET(PLE!$G$14,$M124,BF$13))))</f>
        <v>0</v>
      </c>
      <c r="BG124" s="182">
        <f ca="1">IF($D124&lt;&gt;"Serviço",0,IF(OR(AND(AUTOEVENTO="Manual",$M124=1),$M124&gt;(ROW(PLE.lastrow)-ROW(PLE.firstrow))),0,IF(OFFSET(PLE!$G$14,$M124,BG$13)="",10^12,OFFSET(PLE!$G$14,$M124,BG$13))))</f>
        <v>0</v>
      </c>
    </row>
    <row r="125" spans="1:59" ht="38.25" x14ac:dyDescent="0.2">
      <c r="A125" s="7" t="str">
        <f t="shared" ca="1" si="9"/>
        <v>71</v>
      </c>
      <c r="B125" s="7" t="str">
        <f ca="1">OFFSET(ORÇAMENTO!C$15,ROW(B125)-ROW(B$15),0)</f>
        <v>S</v>
      </c>
      <c r="C125" s="7" t="str">
        <f ca="1">OFFSET(ORÇAMENTO!L$15,ROW(C125)-ROW(C$15),0)</f>
        <v>F</v>
      </c>
      <c r="D125" s="118" t="str">
        <f ca="1">OFFSET(ORÇAMENTO!N$15,ROW(D125)-ROW(D$15),0)</f>
        <v>Serviço</v>
      </c>
      <c r="E125" s="119" t="str">
        <f ca="1">OFFSET(ORÇAMENTO!O$15,ROW(E125)-ROW(E$15),0)</f>
        <v>1.6.8.1.</v>
      </c>
      <c r="F125" s="172" t="str">
        <f ca="1">OFFSET(ORÇAMENTO!R$15,ROW(F125)-ROW(F$15),0)</f>
        <v>(abra o arquivo 'Referência 03-2024.xlsm)</v>
      </c>
      <c r="G125" s="173" t="str">
        <f ca="1">IF($D125&lt;&gt;"Serviço","",OFFSET(ORÇAMENTO!S$15,ROW(G125)-ROW(G$15),0))</f>
        <v>-</v>
      </c>
      <c r="H125" s="124">
        <f ca="1">IF($D125&lt;&gt;"Serviço",0,IF(ACOMPANHAMENTO="BM",ROUND(OFFSET(ORÇAMENTO!AJ$15,ROW(H125)-ROW(H$15),0),15-13*ORÇAMENTO!$AF$7),SUMPRODUCT(($Q$12:$AA$12&lt;&gt;"")*ROUND($Q125:$AA125,15-13*ORÇAMENTO!$AF$7))))</f>
        <v>25.25</v>
      </c>
      <c r="I125" s="561"/>
      <c r="K125" s="174"/>
      <c r="L125" s="175" t="s">
        <v>255</v>
      </c>
      <c r="M125" s="176">
        <f ca="1">IF($D125&lt;&gt;"Serviço","",IF(AUTOEVENTO="manual",$A125,IF(ISERROR(MATCH($A125,$A$15:OFFSET($A125,-1,0),0)),MAX($M$15:OFFSET(M125,-1,0))+1,INDEX($M$15:OFFSET(M125,-1,0),MATCH($A125,$A$15:OFFSET($A125,-1,0),0)))))</f>
        <v>7</v>
      </c>
      <c r="N125" s="177" t="str">
        <f ca="1">IF($D125&lt;&gt;"Serviço","",IF(AUTOEVENTO="Manual",IF($A125=0,"&lt;-- defina o número do agrupador",OFFSET(EVENTOS!$D$14,$A125,0)),OFFSET($F$15,$A125,0)))</f>
        <v>SANITÁRIO PÚBLICO ACESSÍVEL</v>
      </c>
      <c r="O125" s="178"/>
      <c r="Q125" s="178"/>
      <c r="R125" s="179"/>
      <c r="S125" s="179"/>
      <c r="T125" s="179"/>
      <c r="U125" s="179"/>
      <c r="V125" s="179"/>
      <c r="W125" s="179"/>
      <c r="X125" s="179"/>
      <c r="Y125" s="179"/>
      <c r="Z125" s="180"/>
      <c r="AB125" s="544">
        <f ca="1">IF(AND($D125="Serviço",AB$12&lt;&gt;0,$H125&gt;0,OR(AUTOEVENTO&lt;&gt;"manual",$M125&lt;&gt;1)),
IF(Import.TipoArredondamento&lt;&gt;"TransfereGOV",
ROUND(OFFSET($P125,0,AB$13),15-13*ORÇAMENTO!$AF$7)/$H125*OFFSET(ORÇAMENTO!$X$15,ROW(AB125)-ROW(AB$15),0),
ROUND(ROUND(OFFSET($P125,0,AB$13),15-13*ORÇAMENTO!$AF$7)*OFFSET(ORÇAMENTO!$W$15,ROW(AB125)-ROW(AB$15),0),15-13*ORÇAMENTO!$AF$11)),0)</f>
        <v>0</v>
      </c>
      <c r="AC125" s="545">
        <f ca="1">IF(AND($D125="Serviço",AC$12&lt;&gt;0,$H125&gt;0,OR(AUTOEVENTO&lt;&gt;"manual",$M125&lt;&gt;1)),
IF(Import.TipoArredondamento&lt;&gt;"TransfereGOV",
ROUND(OFFSET($P125,0,AC$13),15-13*ORÇAMENTO!$AF$7)/$H125*OFFSET(ORÇAMENTO!$X$15,ROW(AC125)-ROW(AC$15),0),
ROUND(ROUND(OFFSET($P125,0,AC$13),15-13*ORÇAMENTO!$AF$7)*OFFSET(ORÇAMENTO!$W$15,ROW(AC125)-ROW(AC$15),0),15-13*ORÇAMENTO!$AF$11)),0)</f>
        <v>0</v>
      </c>
      <c r="AD125" s="545">
        <f ca="1">IF(AND($D125="Serviço",AD$12&lt;&gt;0,$H125&gt;0,OR(AUTOEVENTO&lt;&gt;"manual",$M125&lt;&gt;1)),
IF(Import.TipoArredondamento&lt;&gt;"TransfereGOV",
ROUND(OFFSET($P125,0,AD$13),15-13*ORÇAMENTO!$AF$7)/$H125*OFFSET(ORÇAMENTO!$X$15,ROW(AD125)-ROW(AD$15),0),
ROUND(ROUND(OFFSET($P125,0,AD$13),15-13*ORÇAMENTO!$AF$7)*OFFSET(ORÇAMENTO!$W$15,ROW(AD125)-ROW(AD$15),0),15-13*ORÇAMENTO!$AF$11)),0)</f>
        <v>0</v>
      </c>
      <c r="AE125" s="545">
        <f ca="1">IF(AND($D125="Serviço",AE$12&lt;&gt;0,$H125&gt;0,OR(AUTOEVENTO&lt;&gt;"manual",$M125&lt;&gt;1)),
IF(Import.TipoArredondamento&lt;&gt;"TransfereGOV",
ROUND(OFFSET($P125,0,AE$13),15-13*ORÇAMENTO!$AF$7)/$H125*OFFSET(ORÇAMENTO!$X$15,ROW(AE125)-ROW(AE$15),0),
ROUND(ROUND(OFFSET($P125,0,AE$13),15-13*ORÇAMENTO!$AF$7)*OFFSET(ORÇAMENTO!$W$15,ROW(AE125)-ROW(AE$15),0),15-13*ORÇAMENTO!$AF$11)),0)</f>
        <v>0</v>
      </c>
      <c r="AF125" s="545">
        <f ca="1">IF(AND($D125="Serviço",AF$12&lt;&gt;0,$H125&gt;0,OR(AUTOEVENTO&lt;&gt;"manual",$M125&lt;&gt;1)),
IF(Import.TipoArredondamento&lt;&gt;"TransfereGOV",
ROUND(OFFSET($P125,0,AF$13),15-13*ORÇAMENTO!$AF$7)/$H125*OFFSET(ORÇAMENTO!$X$15,ROW(AF125)-ROW(AF$15),0),
ROUND(ROUND(OFFSET($P125,0,AF$13),15-13*ORÇAMENTO!$AF$7)*OFFSET(ORÇAMENTO!$W$15,ROW(AF125)-ROW(AF$15),0),15-13*ORÇAMENTO!$AF$11)),0)</f>
        <v>0</v>
      </c>
      <c r="AG125" s="545">
        <f ca="1">IF(AND($D125="Serviço",AG$12&lt;&gt;0,$H125&gt;0,OR(AUTOEVENTO&lt;&gt;"manual",$M125&lt;&gt;1)),
IF(Import.TipoArredondamento&lt;&gt;"TransfereGOV",
ROUND(OFFSET($P125,0,AG$13),15-13*ORÇAMENTO!$AF$7)/$H125*OFFSET(ORÇAMENTO!$X$15,ROW(AG125)-ROW(AG$15),0),
ROUND(ROUND(OFFSET($P125,0,AG$13),15-13*ORÇAMENTO!$AF$7)*OFFSET(ORÇAMENTO!$W$15,ROW(AG125)-ROW(AG$15),0),15-13*ORÇAMENTO!$AF$11)),0)</f>
        <v>0</v>
      </c>
      <c r="AH125" s="545">
        <f ca="1">IF(AND($D125="Serviço",AH$12&lt;&gt;0,$H125&gt;0,OR(AUTOEVENTO&lt;&gt;"manual",$M125&lt;&gt;1)),
IF(Import.TipoArredondamento&lt;&gt;"TransfereGOV",
ROUND(OFFSET($P125,0,AH$13),15-13*ORÇAMENTO!$AF$7)/$H125*OFFSET(ORÇAMENTO!$X$15,ROW(AH125)-ROW(AH$15),0),
ROUND(ROUND(OFFSET($P125,0,AH$13),15-13*ORÇAMENTO!$AF$7)*OFFSET(ORÇAMENTO!$W$15,ROW(AH125)-ROW(AH$15),0),15-13*ORÇAMENTO!$AF$11)),0)</f>
        <v>0</v>
      </c>
      <c r="AI125" s="545">
        <f ca="1">IF(AND($D125="Serviço",AI$12&lt;&gt;0,$H125&gt;0,OR(AUTOEVENTO&lt;&gt;"manual",$M125&lt;&gt;1)),
IF(Import.TipoArredondamento&lt;&gt;"TransfereGOV",
ROUND(OFFSET($P125,0,AI$13),15-13*ORÇAMENTO!$AF$7)/$H125*OFFSET(ORÇAMENTO!$X$15,ROW(AI125)-ROW(AI$15),0),
ROUND(ROUND(OFFSET($P125,0,AI$13),15-13*ORÇAMENTO!$AF$7)*OFFSET(ORÇAMENTO!$W$15,ROW(AI125)-ROW(AI$15),0),15-13*ORÇAMENTO!$AF$11)),0)</f>
        <v>0</v>
      </c>
      <c r="AJ125" s="545">
        <f ca="1">IF(AND($D125="Serviço",AJ$12&lt;&gt;0,$H125&gt;0,OR(AUTOEVENTO&lt;&gt;"manual",$M125&lt;&gt;1)),
IF(Import.TipoArredondamento&lt;&gt;"TransfereGOV",
ROUND(OFFSET($P125,0,AJ$13),15-13*ORÇAMENTO!$AF$7)/$H125*OFFSET(ORÇAMENTO!$X$15,ROW(AJ125)-ROW(AJ$15),0),
ROUND(ROUND(OFFSET($P125,0,AJ$13),15-13*ORÇAMENTO!$AF$7)*OFFSET(ORÇAMENTO!$W$15,ROW(AJ125)-ROW(AJ$15),0),15-13*ORÇAMENTO!$AF$11)),0)</f>
        <v>0</v>
      </c>
      <c r="AK125" s="546">
        <f ca="1">IF(AND($D125="Serviço",AK$12&lt;&gt;0,$H125&gt;0,OR(AUTOEVENTO&lt;&gt;"manual",$M125&lt;&gt;1)),
IF(Import.TipoArredondamento&lt;&gt;"TransfereGOV",
ROUND(OFFSET($P125,0,AK$13),15-13*ORÇAMENTO!$AF$7)/$H125*OFFSET(ORÇAMENTO!$X$15,ROW(AK125)-ROW(AK$15),0),
ROUND(ROUND(OFFSET($P125,0,AK$13),15-13*ORÇAMENTO!$AF$7)*OFFSET(ORÇAMENTO!$W$15,ROW(AK125)-ROW(AK$15),0),15-13*ORÇAMENTO!$AF$11)),0)</f>
        <v>0</v>
      </c>
      <c r="AM125" s="181">
        <f ca="1">IF($D125&lt;&gt;"Serviço",0,IF(AND(AUTOEVENTO="Manual",$M125=1),0,IF(OFFSET(CRONOPLE!$F$14,$M125,AM$13)="",10^12,OFFSET(CRONOPLE!$F$14,$M125,AM$13))))</f>
        <v>1000000000000</v>
      </c>
      <c r="AN125" s="181">
        <f ca="1">IF($D125&lt;&gt;"Serviço",0,IF(AND(AUTOEVENTO="Manual",$M125=1),0,IF(OFFSET(CRONOPLE!$F$14,$M125,AN$13)="",10^12,OFFSET(CRONOPLE!$F$14,$M125,AN$13))))</f>
        <v>1000000000000</v>
      </c>
      <c r="AO125" s="181">
        <f ca="1">IF($D125&lt;&gt;"Serviço",0,IF(AND(AUTOEVENTO="Manual",$M125=1),0,IF(OFFSET(CRONOPLE!$F$14,$M125,AO$13)="",10^12,OFFSET(CRONOPLE!$F$14,$M125,AO$13))))</f>
        <v>1000000000000</v>
      </c>
      <c r="AP125" s="181">
        <f ca="1">IF($D125&lt;&gt;"Serviço",0,IF(AND(AUTOEVENTO="Manual",$M125=1),0,IF(OFFSET(CRONOPLE!$F$14,$M125,AP$13)="",10^12,OFFSET(CRONOPLE!$F$14,$M125,AP$13))))</f>
        <v>1000000000000</v>
      </c>
      <c r="AQ125" s="181">
        <f ca="1">IF($D125&lt;&gt;"Serviço",0,IF(AND(AUTOEVENTO="Manual",$M125=1),0,IF(OFFSET(CRONOPLE!$F$14,$M125,AQ$13)="",10^12,OFFSET(CRONOPLE!$F$14,$M125,AQ$13))))</f>
        <v>1000000000000</v>
      </c>
      <c r="AR125" s="181">
        <f ca="1">IF($D125&lt;&gt;"Serviço",0,IF(AND(AUTOEVENTO="Manual",$M125=1),0,IF(OFFSET(CRONOPLE!$F$14,$M125,AR$13)="",10^12,OFFSET(CRONOPLE!$F$14,$M125,AR$13))))</f>
        <v>1000000000000</v>
      </c>
      <c r="AS125" s="181">
        <f ca="1">IF($D125&lt;&gt;"Serviço",0,IF(AND(AUTOEVENTO="Manual",$M125=1),0,IF(OFFSET(CRONOPLE!$F$14,$M125,AS$13)="",10^12,OFFSET(CRONOPLE!$F$14,$M125,AS$13))))</f>
        <v>1000000000000</v>
      </c>
      <c r="AT125" s="181">
        <f ca="1">IF($D125&lt;&gt;"Serviço",0,IF(AND(AUTOEVENTO="Manual",$M125=1),0,IF(OFFSET(CRONOPLE!$F$14,$M125,AT$13)="",10^12,OFFSET(CRONOPLE!$F$14,$M125,AT$13))))</f>
        <v>1000000000000</v>
      </c>
      <c r="AU125" s="181">
        <f ca="1">IF($D125&lt;&gt;"Serviço",0,IF(AND(AUTOEVENTO="Manual",$M125=1),0,IF(OFFSET(CRONOPLE!$F$14,$M125,AU$13)="",10^12,OFFSET(CRONOPLE!$F$14,$M125,AU$13))))</f>
        <v>1000000000000</v>
      </c>
      <c r="AV125" s="181">
        <f ca="1">IF($D125&lt;&gt;"Serviço",0,IF(AND(AUTOEVENTO="Manual",$M125=1),0,IF(OFFSET(CRONOPLE!$F$14,$M125,AV$13)="",10^12,OFFSET(CRONOPLE!$F$14,$M125,AV$13))))</f>
        <v>1000000000000</v>
      </c>
      <c r="AX125" s="182">
        <f ca="1">IF($D125&lt;&gt;"Serviço",0,IF(OR(AND(AUTOEVENTO="Manual",$M125=1),$M125&gt;(ROW(PLE.lastrow)-ROW(PLE.firstrow))),0,IF(OFFSET(PLE!$G$14,$M125,AX$13)="",10^12,OFFSET(PLE!$G$14,$M125,AX$13))))</f>
        <v>1000000000000</v>
      </c>
      <c r="AY125" s="182">
        <f ca="1">IF($D125&lt;&gt;"Serviço",0,IF(OR(AND(AUTOEVENTO="Manual",$M125=1),$M125&gt;(ROW(PLE.lastrow)-ROW(PLE.firstrow))),0,IF(OFFSET(PLE!$G$14,$M125,AY$13)="",10^12,OFFSET(PLE!$G$14,$M125,AY$13))))</f>
        <v>1000000000000</v>
      </c>
      <c r="AZ125" s="182">
        <f ca="1">IF($D125&lt;&gt;"Serviço",0,IF(OR(AND(AUTOEVENTO="Manual",$M125=1),$M125&gt;(ROW(PLE.lastrow)-ROW(PLE.firstrow))),0,IF(OFFSET(PLE!$G$14,$M125,AZ$13)="",10^12,OFFSET(PLE!$G$14,$M125,AZ$13))))</f>
        <v>1000000000000</v>
      </c>
      <c r="BA125" s="182">
        <f ca="1">IF($D125&lt;&gt;"Serviço",0,IF(OR(AND(AUTOEVENTO="Manual",$M125=1),$M125&gt;(ROW(PLE.lastrow)-ROW(PLE.firstrow))),0,IF(OFFSET(PLE!$G$14,$M125,BA$13)="",10^12,OFFSET(PLE!$G$14,$M125,BA$13))))</f>
        <v>1000000000000</v>
      </c>
      <c r="BB125" s="182">
        <f ca="1">IF($D125&lt;&gt;"Serviço",0,IF(OR(AND(AUTOEVENTO="Manual",$M125=1),$M125&gt;(ROW(PLE.lastrow)-ROW(PLE.firstrow))),0,IF(OFFSET(PLE!$G$14,$M125,BB$13)="",10^12,OFFSET(PLE!$G$14,$M125,BB$13))))</f>
        <v>1000000000000</v>
      </c>
      <c r="BC125" s="182">
        <f ca="1">IF($D125&lt;&gt;"Serviço",0,IF(OR(AND(AUTOEVENTO="Manual",$M125=1),$M125&gt;(ROW(PLE.lastrow)-ROW(PLE.firstrow))),0,IF(OFFSET(PLE!$G$14,$M125,BC$13)="",10^12,OFFSET(PLE!$G$14,$M125,BC$13))))</f>
        <v>1000000000000</v>
      </c>
      <c r="BD125" s="182">
        <f ca="1">IF($D125&lt;&gt;"Serviço",0,IF(OR(AND(AUTOEVENTO="Manual",$M125=1),$M125&gt;(ROW(PLE.lastrow)-ROW(PLE.firstrow))),0,IF(OFFSET(PLE!$G$14,$M125,BD$13)="",10^12,OFFSET(PLE!$G$14,$M125,BD$13))))</f>
        <v>1000000000000</v>
      </c>
      <c r="BE125" s="182">
        <f ca="1">IF($D125&lt;&gt;"Serviço",0,IF(OR(AND(AUTOEVENTO="Manual",$M125=1),$M125&gt;(ROW(PLE.lastrow)-ROW(PLE.firstrow))),0,IF(OFFSET(PLE!$G$14,$M125,BE$13)="",10^12,OFFSET(PLE!$G$14,$M125,BE$13))))</f>
        <v>1000000000000</v>
      </c>
      <c r="BF125" s="182">
        <f ca="1">IF($D125&lt;&gt;"Serviço",0,IF(OR(AND(AUTOEVENTO="Manual",$M125=1),$M125&gt;(ROW(PLE.lastrow)-ROW(PLE.firstrow))),0,IF(OFFSET(PLE!$G$14,$M125,BF$13)="",10^12,OFFSET(PLE!$G$14,$M125,BF$13))))</f>
        <v>1000000000000</v>
      </c>
      <c r="BG125" s="182">
        <f ca="1">IF($D125&lt;&gt;"Serviço",0,IF(OR(AND(AUTOEVENTO="Manual",$M125=1),$M125&gt;(ROW(PLE.lastrow)-ROW(PLE.firstrow))),0,IF(OFFSET(PLE!$G$14,$M125,BG$13)="",10^12,OFFSET(PLE!$G$14,$M125,BG$13))))</f>
        <v>1000000000000</v>
      </c>
    </row>
    <row r="126" spans="1:59" ht="25.5" x14ac:dyDescent="0.2">
      <c r="A126" s="7" t="str">
        <f t="shared" ca="1" si="9"/>
        <v>71</v>
      </c>
      <c r="B126" s="7" t="str">
        <f ca="1">OFFSET(ORÇAMENTO!C$15,ROW(B126)-ROW(B$15),0)</f>
        <v>S</v>
      </c>
      <c r="C126" s="7" t="str">
        <f ca="1">OFFSET(ORÇAMENTO!L$15,ROW(C126)-ROW(C$15),0)</f>
        <v>F</v>
      </c>
      <c r="D126" s="118" t="str">
        <f ca="1">OFFSET(ORÇAMENTO!N$15,ROW(D126)-ROW(D$15),0)</f>
        <v>Serviço</v>
      </c>
      <c r="E126" s="119" t="str">
        <f ca="1">OFFSET(ORÇAMENTO!O$15,ROW(E126)-ROW(E$15),0)</f>
        <v>1.6.8.2.</v>
      </c>
      <c r="F126" s="172" t="str">
        <f ca="1">OFFSET(ORÇAMENTO!R$15,ROW(F126)-ROW(F$15),0)</f>
        <v>(abra o arquivo 'Referência 03-2024.xlsm)</v>
      </c>
      <c r="G126" s="173" t="str">
        <f ca="1">IF($D126&lt;&gt;"Serviço","",OFFSET(ORÇAMENTO!S$15,ROW(G126)-ROW(G$15),0))</f>
        <v>-</v>
      </c>
      <c r="H126" s="124">
        <f ca="1">IF($D126&lt;&gt;"Serviço",0,IF(ACOMPANHAMENTO="BM",ROUND(OFFSET(ORÇAMENTO!AJ$15,ROW(H126)-ROW(H$15),0),15-13*ORÇAMENTO!$AF$7),SUMPRODUCT(($Q$12:$AA$12&lt;&gt;"")*ROUND($Q126:$AA126,15-13*ORÇAMENTO!$AF$7))))</f>
        <v>27.54</v>
      </c>
      <c r="I126" s="561"/>
      <c r="K126" s="174"/>
      <c r="L126" s="175" t="s">
        <v>255</v>
      </c>
      <c r="M126" s="176">
        <f ca="1">IF($D126&lt;&gt;"Serviço","",IF(AUTOEVENTO="manual",$A126,IF(ISERROR(MATCH($A126,$A$15:OFFSET($A126,-1,0),0)),MAX($M$15:OFFSET(M126,-1,0))+1,INDEX($M$15:OFFSET(M126,-1,0),MATCH($A126,$A$15:OFFSET($A126,-1,0),0)))))</f>
        <v>7</v>
      </c>
      <c r="N126" s="177" t="str">
        <f ca="1">IF($D126&lt;&gt;"Serviço","",IF(AUTOEVENTO="Manual",IF($A126=0,"&lt;-- defina o número do agrupador",OFFSET(EVENTOS!$D$14,$A126,0)),OFFSET($F$15,$A126,0)))</f>
        <v>SANITÁRIO PÚBLICO ACESSÍVEL</v>
      </c>
      <c r="O126" s="178"/>
      <c r="Q126" s="178"/>
      <c r="R126" s="179"/>
      <c r="S126" s="179"/>
      <c r="T126" s="179"/>
      <c r="U126" s="179"/>
      <c r="V126" s="179"/>
      <c r="W126" s="179"/>
      <c r="X126" s="179"/>
      <c r="Y126" s="179"/>
      <c r="Z126" s="180"/>
      <c r="AB126" s="544">
        <f ca="1">IF(AND($D126="Serviço",AB$12&lt;&gt;0,$H126&gt;0,OR(AUTOEVENTO&lt;&gt;"manual",$M126&lt;&gt;1)),
IF(Import.TipoArredondamento&lt;&gt;"TransfereGOV",
ROUND(OFFSET($P126,0,AB$13),15-13*ORÇAMENTO!$AF$7)/$H126*OFFSET(ORÇAMENTO!$X$15,ROW(AB126)-ROW(AB$15),0),
ROUND(ROUND(OFFSET($P126,0,AB$13),15-13*ORÇAMENTO!$AF$7)*OFFSET(ORÇAMENTO!$W$15,ROW(AB126)-ROW(AB$15),0),15-13*ORÇAMENTO!$AF$11)),0)</f>
        <v>0</v>
      </c>
      <c r="AC126" s="545">
        <f ca="1">IF(AND($D126="Serviço",AC$12&lt;&gt;0,$H126&gt;0,OR(AUTOEVENTO&lt;&gt;"manual",$M126&lt;&gt;1)),
IF(Import.TipoArredondamento&lt;&gt;"TransfereGOV",
ROUND(OFFSET($P126,0,AC$13),15-13*ORÇAMENTO!$AF$7)/$H126*OFFSET(ORÇAMENTO!$X$15,ROW(AC126)-ROW(AC$15),0),
ROUND(ROUND(OFFSET($P126,0,AC$13),15-13*ORÇAMENTO!$AF$7)*OFFSET(ORÇAMENTO!$W$15,ROW(AC126)-ROW(AC$15),0),15-13*ORÇAMENTO!$AF$11)),0)</f>
        <v>0</v>
      </c>
      <c r="AD126" s="545">
        <f ca="1">IF(AND($D126="Serviço",AD$12&lt;&gt;0,$H126&gt;0,OR(AUTOEVENTO&lt;&gt;"manual",$M126&lt;&gt;1)),
IF(Import.TipoArredondamento&lt;&gt;"TransfereGOV",
ROUND(OFFSET($P126,0,AD$13),15-13*ORÇAMENTO!$AF$7)/$H126*OFFSET(ORÇAMENTO!$X$15,ROW(AD126)-ROW(AD$15),0),
ROUND(ROUND(OFFSET($P126,0,AD$13),15-13*ORÇAMENTO!$AF$7)*OFFSET(ORÇAMENTO!$W$15,ROW(AD126)-ROW(AD$15),0),15-13*ORÇAMENTO!$AF$11)),0)</f>
        <v>0</v>
      </c>
      <c r="AE126" s="545">
        <f ca="1">IF(AND($D126="Serviço",AE$12&lt;&gt;0,$H126&gt;0,OR(AUTOEVENTO&lt;&gt;"manual",$M126&lt;&gt;1)),
IF(Import.TipoArredondamento&lt;&gt;"TransfereGOV",
ROUND(OFFSET($P126,0,AE$13),15-13*ORÇAMENTO!$AF$7)/$H126*OFFSET(ORÇAMENTO!$X$15,ROW(AE126)-ROW(AE$15),0),
ROUND(ROUND(OFFSET($P126,0,AE$13),15-13*ORÇAMENTO!$AF$7)*OFFSET(ORÇAMENTO!$W$15,ROW(AE126)-ROW(AE$15),0),15-13*ORÇAMENTO!$AF$11)),0)</f>
        <v>0</v>
      </c>
      <c r="AF126" s="545">
        <f ca="1">IF(AND($D126="Serviço",AF$12&lt;&gt;0,$H126&gt;0,OR(AUTOEVENTO&lt;&gt;"manual",$M126&lt;&gt;1)),
IF(Import.TipoArredondamento&lt;&gt;"TransfereGOV",
ROUND(OFFSET($P126,0,AF$13),15-13*ORÇAMENTO!$AF$7)/$H126*OFFSET(ORÇAMENTO!$X$15,ROW(AF126)-ROW(AF$15),0),
ROUND(ROUND(OFFSET($P126,0,AF$13),15-13*ORÇAMENTO!$AF$7)*OFFSET(ORÇAMENTO!$W$15,ROW(AF126)-ROW(AF$15),0),15-13*ORÇAMENTO!$AF$11)),0)</f>
        <v>0</v>
      </c>
      <c r="AG126" s="545">
        <f ca="1">IF(AND($D126="Serviço",AG$12&lt;&gt;0,$H126&gt;0,OR(AUTOEVENTO&lt;&gt;"manual",$M126&lt;&gt;1)),
IF(Import.TipoArredondamento&lt;&gt;"TransfereGOV",
ROUND(OFFSET($P126,0,AG$13),15-13*ORÇAMENTO!$AF$7)/$H126*OFFSET(ORÇAMENTO!$X$15,ROW(AG126)-ROW(AG$15),0),
ROUND(ROUND(OFFSET($P126,0,AG$13),15-13*ORÇAMENTO!$AF$7)*OFFSET(ORÇAMENTO!$W$15,ROW(AG126)-ROW(AG$15),0),15-13*ORÇAMENTO!$AF$11)),0)</f>
        <v>0</v>
      </c>
      <c r="AH126" s="545">
        <f ca="1">IF(AND($D126="Serviço",AH$12&lt;&gt;0,$H126&gt;0,OR(AUTOEVENTO&lt;&gt;"manual",$M126&lt;&gt;1)),
IF(Import.TipoArredondamento&lt;&gt;"TransfereGOV",
ROUND(OFFSET($P126,0,AH$13),15-13*ORÇAMENTO!$AF$7)/$H126*OFFSET(ORÇAMENTO!$X$15,ROW(AH126)-ROW(AH$15),0),
ROUND(ROUND(OFFSET($P126,0,AH$13),15-13*ORÇAMENTO!$AF$7)*OFFSET(ORÇAMENTO!$W$15,ROW(AH126)-ROW(AH$15),0),15-13*ORÇAMENTO!$AF$11)),0)</f>
        <v>0</v>
      </c>
      <c r="AI126" s="545">
        <f ca="1">IF(AND($D126="Serviço",AI$12&lt;&gt;0,$H126&gt;0,OR(AUTOEVENTO&lt;&gt;"manual",$M126&lt;&gt;1)),
IF(Import.TipoArredondamento&lt;&gt;"TransfereGOV",
ROUND(OFFSET($P126,0,AI$13),15-13*ORÇAMENTO!$AF$7)/$H126*OFFSET(ORÇAMENTO!$X$15,ROW(AI126)-ROW(AI$15),0),
ROUND(ROUND(OFFSET($P126,0,AI$13),15-13*ORÇAMENTO!$AF$7)*OFFSET(ORÇAMENTO!$W$15,ROW(AI126)-ROW(AI$15),0),15-13*ORÇAMENTO!$AF$11)),0)</f>
        <v>0</v>
      </c>
      <c r="AJ126" s="545">
        <f ca="1">IF(AND($D126="Serviço",AJ$12&lt;&gt;0,$H126&gt;0,OR(AUTOEVENTO&lt;&gt;"manual",$M126&lt;&gt;1)),
IF(Import.TipoArredondamento&lt;&gt;"TransfereGOV",
ROUND(OFFSET($P126,0,AJ$13),15-13*ORÇAMENTO!$AF$7)/$H126*OFFSET(ORÇAMENTO!$X$15,ROW(AJ126)-ROW(AJ$15),0),
ROUND(ROUND(OFFSET($P126,0,AJ$13),15-13*ORÇAMENTO!$AF$7)*OFFSET(ORÇAMENTO!$W$15,ROW(AJ126)-ROW(AJ$15),0),15-13*ORÇAMENTO!$AF$11)),0)</f>
        <v>0</v>
      </c>
      <c r="AK126" s="546">
        <f ca="1">IF(AND($D126="Serviço",AK$12&lt;&gt;0,$H126&gt;0,OR(AUTOEVENTO&lt;&gt;"manual",$M126&lt;&gt;1)),
IF(Import.TipoArredondamento&lt;&gt;"TransfereGOV",
ROUND(OFFSET($P126,0,AK$13),15-13*ORÇAMENTO!$AF$7)/$H126*OFFSET(ORÇAMENTO!$X$15,ROW(AK126)-ROW(AK$15),0),
ROUND(ROUND(OFFSET($P126,0,AK$13),15-13*ORÇAMENTO!$AF$7)*OFFSET(ORÇAMENTO!$W$15,ROW(AK126)-ROW(AK$15),0),15-13*ORÇAMENTO!$AF$11)),0)</f>
        <v>0</v>
      </c>
      <c r="AM126" s="181">
        <f ca="1">IF($D126&lt;&gt;"Serviço",0,IF(AND(AUTOEVENTO="Manual",$M126=1),0,IF(OFFSET(CRONOPLE!$F$14,$M126,AM$13)="",10^12,OFFSET(CRONOPLE!$F$14,$M126,AM$13))))</f>
        <v>1000000000000</v>
      </c>
      <c r="AN126" s="181">
        <f ca="1">IF($D126&lt;&gt;"Serviço",0,IF(AND(AUTOEVENTO="Manual",$M126=1),0,IF(OFFSET(CRONOPLE!$F$14,$M126,AN$13)="",10^12,OFFSET(CRONOPLE!$F$14,$M126,AN$13))))</f>
        <v>1000000000000</v>
      </c>
      <c r="AO126" s="181">
        <f ca="1">IF($D126&lt;&gt;"Serviço",0,IF(AND(AUTOEVENTO="Manual",$M126=1),0,IF(OFFSET(CRONOPLE!$F$14,$M126,AO$13)="",10^12,OFFSET(CRONOPLE!$F$14,$M126,AO$13))))</f>
        <v>1000000000000</v>
      </c>
      <c r="AP126" s="181">
        <f ca="1">IF($D126&lt;&gt;"Serviço",0,IF(AND(AUTOEVENTO="Manual",$M126=1),0,IF(OFFSET(CRONOPLE!$F$14,$M126,AP$13)="",10^12,OFFSET(CRONOPLE!$F$14,$M126,AP$13))))</f>
        <v>1000000000000</v>
      </c>
      <c r="AQ126" s="181">
        <f ca="1">IF($D126&lt;&gt;"Serviço",0,IF(AND(AUTOEVENTO="Manual",$M126=1),0,IF(OFFSET(CRONOPLE!$F$14,$M126,AQ$13)="",10^12,OFFSET(CRONOPLE!$F$14,$M126,AQ$13))))</f>
        <v>1000000000000</v>
      </c>
      <c r="AR126" s="181">
        <f ca="1">IF($D126&lt;&gt;"Serviço",0,IF(AND(AUTOEVENTO="Manual",$M126=1),0,IF(OFFSET(CRONOPLE!$F$14,$M126,AR$13)="",10^12,OFFSET(CRONOPLE!$F$14,$M126,AR$13))))</f>
        <v>1000000000000</v>
      </c>
      <c r="AS126" s="181">
        <f ca="1">IF($D126&lt;&gt;"Serviço",0,IF(AND(AUTOEVENTO="Manual",$M126=1),0,IF(OFFSET(CRONOPLE!$F$14,$M126,AS$13)="",10^12,OFFSET(CRONOPLE!$F$14,$M126,AS$13))))</f>
        <v>1000000000000</v>
      </c>
      <c r="AT126" s="181">
        <f ca="1">IF($D126&lt;&gt;"Serviço",0,IF(AND(AUTOEVENTO="Manual",$M126=1),0,IF(OFFSET(CRONOPLE!$F$14,$M126,AT$13)="",10^12,OFFSET(CRONOPLE!$F$14,$M126,AT$13))))</f>
        <v>1000000000000</v>
      </c>
      <c r="AU126" s="181">
        <f ca="1">IF($D126&lt;&gt;"Serviço",0,IF(AND(AUTOEVENTO="Manual",$M126=1),0,IF(OFFSET(CRONOPLE!$F$14,$M126,AU$13)="",10^12,OFFSET(CRONOPLE!$F$14,$M126,AU$13))))</f>
        <v>1000000000000</v>
      </c>
      <c r="AV126" s="181">
        <f ca="1">IF($D126&lt;&gt;"Serviço",0,IF(AND(AUTOEVENTO="Manual",$M126=1),0,IF(OFFSET(CRONOPLE!$F$14,$M126,AV$13)="",10^12,OFFSET(CRONOPLE!$F$14,$M126,AV$13))))</f>
        <v>1000000000000</v>
      </c>
      <c r="AX126" s="182">
        <f ca="1">IF($D126&lt;&gt;"Serviço",0,IF(OR(AND(AUTOEVENTO="Manual",$M126=1),$M126&gt;(ROW(PLE.lastrow)-ROW(PLE.firstrow))),0,IF(OFFSET(PLE!$G$14,$M126,AX$13)="",10^12,OFFSET(PLE!$G$14,$M126,AX$13))))</f>
        <v>1000000000000</v>
      </c>
      <c r="AY126" s="182">
        <f ca="1">IF($D126&lt;&gt;"Serviço",0,IF(OR(AND(AUTOEVENTO="Manual",$M126=1),$M126&gt;(ROW(PLE.lastrow)-ROW(PLE.firstrow))),0,IF(OFFSET(PLE!$G$14,$M126,AY$13)="",10^12,OFFSET(PLE!$G$14,$M126,AY$13))))</f>
        <v>1000000000000</v>
      </c>
      <c r="AZ126" s="182">
        <f ca="1">IF($D126&lt;&gt;"Serviço",0,IF(OR(AND(AUTOEVENTO="Manual",$M126=1),$M126&gt;(ROW(PLE.lastrow)-ROW(PLE.firstrow))),0,IF(OFFSET(PLE!$G$14,$M126,AZ$13)="",10^12,OFFSET(PLE!$G$14,$M126,AZ$13))))</f>
        <v>1000000000000</v>
      </c>
      <c r="BA126" s="182">
        <f ca="1">IF($D126&lt;&gt;"Serviço",0,IF(OR(AND(AUTOEVENTO="Manual",$M126=1),$M126&gt;(ROW(PLE.lastrow)-ROW(PLE.firstrow))),0,IF(OFFSET(PLE!$G$14,$M126,BA$13)="",10^12,OFFSET(PLE!$G$14,$M126,BA$13))))</f>
        <v>1000000000000</v>
      </c>
      <c r="BB126" s="182">
        <f ca="1">IF($D126&lt;&gt;"Serviço",0,IF(OR(AND(AUTOEVENTO="Manual",$M126=1),$M126&gt;(ROW(PLE.lastrow)-ROW(PLE.firstrow))),0,IF(OFFSET(PLE!$G$14,$M126,BB$13)="",10^12,OFFSET(PLE!$G$14,$M126,BB$13))))</f>
        <v>1000000000000</v>
      </c>
      <c r="BC126" s="182">
        <f ca="1">IF($D126&lt;&gt;"Serviço",0,IF(OR(AND(AUTOEVENTO="Manual",$M126=1),$M126&gt;(ROW(PLE.lastrow)-ROW(PLE.firstrow))),0,IF(OFFSET(PLE!$G$14,$M126,BC$13)="",10^12,OFFSET(PLE!$G$14,$M126,BC$13))))</f>
        <v>1000000000000</v>
      </c>
      <c r="BD126" s="182">
        <f ca="1">IF($D126&lt;&gt;"Serviço",0,IF(OR(AND(AUTOEVENTO="Manual",$M126=1),$M126&gt;(ROW(PLE.lastrow)-ROW(PLE.firstrow))),0,IF(OFFSET(PLE!$G$14,$M126,BD$13)="",10^12,OFFSET(PLE!$G$14,$M126,BD$13))))</f>
        <v>1000000000000</v>
      </c>
      <c r="BE126" s="182">
        <f ca="1">IF($D126&lt;&gt;"Serviço",0,IF(OR(AND(AUTOEVENTO="Manual",$M126=1),$M126&gt;(ROW(PLE.lastrow)-ROW(PLE.firstrow))),0,IF(OFFSET(PLE!$G$14,$M126,BE$13)="",10^12,OFFSET(PLE!$G$14,$M126,BE$13))))</f>
        <v>1000000000000</v>
      </c>
      <c r="BF126" s="182">
        <f ca="1">IF($D126&lt;&gt;"Serviço",0,IF(OR(AND(AUTOEVENTO="Manual",$M126=1),$M126&gt;(ROW(PLE.lastrow)-ROW(PLE.firstrow))),0,IF(OFFSET(PLE!$G$14,$M126,BF$13)="",10^12,OFFSET(PLE!$G$14,$M126,BF$13))))</f>
        <v>1000000000000</v>
      </c>
      <c r="BG126" s="182">
        <f ca="1">IF($D126&lt;&gt;"Serviço",0,IF(OR(AND(AUTOEVENTO="Manual",$M126=1),$M126&gt;(ROW(PLE.lastrow)-ROW(PLE.firstrow))),0,IF(OFFSET(PLE!$G$14,$M126,BG$13)="",10^12,OFFSET(PLE!$G$14,$M126,BG$13))))</f>
        <v>1000000000000</v>
      </c>
    </row>
    <row r="127" spans="1:59" ht="25.5" x14ac:dyDescent="0.2">
      <c r="A127" s="7" t="str">
        <f t="shared" ca="1" si="9"/>
        <v>71</v>
      </c>
      <c r="B127" s="7" t="str">
        <f ca="1">OFFSET(ORÇAMENTO!C$15,ROW(B127)-ROW(B$15),0)</f>
        <v>S</v>
      </c>
      <c r="C127" s="7" t="str">
        <f ca="1">OFFSET(ORÇAMENTO!L$15,ROW(C127)-ROW(C$15),0)</f>
        <v>F</v>
      </c>
      <c r="D127" s="118" t="str">
        <f ca="1">OFFSET(ORÇAMENTO!N$15,ROW(D127)-ROW(D$15),0)</f>
        <v>Serviço</v>
      </c>
      <c r="E127" s="119" t="str">
        <f ca="1">OFFSET(ORÇAMENTO!O$15,ROW(E127)-ROW(E$15),0)</f>
        <v>1.6.8.3.</v>
      </c>
      <c r="F127" s="172" t="str">
        <f ca="1">OFFSET(ORÇAMENTO!R$15,ROW(F127)-ROW(F$15),0)</f>
        <v>(abra o arquivo 'Referência 03-2024.xlsm)</v>
      </c>
      <c r="G127" s="173" t="str">
        <f ca="1">IF($D127&lt;&gt;"Serviço","",OFFSET(ORÇAMENTO!S$15,ROW(G127)-ROW(G$15),0))</f>
        <v>-</v>
      </c>
      <c r="H127" s="124">
        <f ca="1">IF($D127&lt;&gt;"Serviço",0,IF(ACOMPANHAMENTO="BM",ROUND(OFFSET(ORÇAMENTO!AJ$15,ROW(H127)-ROW(H$15),0),15-13*ORÇAMENTO!$AF$7),SUMPRODUCT(($Q$12:$AA$12&lt;&gt;"")*ROUND($Q127:$AA127,15-13*ORÇAMENTO!$AF$7))))</f>
        <v>11.55</v>
      </c>
      <c r="I127" s="561"/>
      <c r="K127" s="174"/>
      <c r="L127" s="175" t="s">
        <v>255</v>
      </c>
      <c r="M127" s="176">
        <f ca="1">IF($D127&lt;&gt;"Serviço","",IF(AUTOEVENTO="manual",$A127,IF(ISERROR(MATCH($A127,$A$15:OFFSET($A127,-1,0),0)),MAX($M$15:OFFSET(M127,-1,0))+1,INDEX($M$15:OFFSET(M127,-1,0),MATCH($A127,$A$15:OFFSET($A127,-1,0),0)))))</f>
        <v>7</v>
      </c>
      <c r="N127" s="177" t="str">
        <f ca="1">IF($D127&lt;&gt;"Serviço","",IF(AUTOEVENTO="Manual",IF($A127=0,"&lt;-- defina o número do agrupador",OFFSET(EVENTOS!$D$14,$A127,0)),OFFSET($F$15,$A127,0)))</f>
        <v>SANITÁRIO PÚBLICO ACESSÍVEL</v>
      </c>
      <c r="O127" s="178"/>
      <c r="Q127" s="178"/>
      <c r="R127" s="179"/>
      <c r="S127" s="179"/>
      <c r="T127" s="179"/>
      <c r="U127" s="179"/>
      <c r="V127" s="179"/>
      <c r="W127" s="179"/>
      <c r="X127" s="179"/>
      <c r="Y127" s="179"/>
      <c r="Z127" s="180"/>
      <c r="AB127" s="544">
        <f ca="1">IF(AND($D127="Serviço",AB$12&lt;&gt;0,$H127&gt;0,OR(AUTOEVENTO&lt;&gt;"manual",$M127&lt;&gt;1)),
IF(Import.TipoArredondamento&lt;&gt;"TransfereGOV",
ROUND(OFFSET($P127,0,AB$13),15-13*ORÇAMENTO!$AF$7)/$H127*OFFSET(ORÇAMENTO!$X$15,ROW(AB127)-ROW(AB$15),0),
ROUND(ROUND(OFFSET($P127,0,AB$13),15-13*ORÇAMENTO!$AF$7)*OFFSET(ORÇAMENTO!$W$15,ROW(AB127)-ROW(AB$15),0),15-13*ORÇAMENTO!$AF$11)),0)</f>
        <v>0</v>
      </c>
      <c r="AC127" s="545">
        <f ca="1">IF(AND($D127="Serviço",AC$12&lt;&gt;0,$H127&gt;0,OR(AUTOEVENTO&lt;&gt;"manual",$M127&lt;&gt;1)),
IF(Import.TipoArredondamento&lt;&gt;"TransfereGOV",
ROUND(OFFSET($P127,0,AC$13),15-13*ORÇAMENTO!$AF$7)/$H127*OFFSET(ORÇAMENTO!$X$15,ROW(AC127)-ROW(AC$15),0),
ROUND(ROUND(OFFSET($P127,0,AC$13),15-13*ORÇAMENTO!$AF$7)*OFFSET(ORÇAMENTO!$W$15,ROW(AC127)-ROW(AC$15),0),15-13*ORÇAMENTO!$AF$11)),0)</f>
        <v>0</v>
      </c>
      <c r="AD127" s="545">
        <f ca="1">IF(AND($D127="Serviço",AD$12&lt;&gt;0,$H127&gt;0,OR(AUTOEVENTO&lt;&gt;"manual",$M127&lt;&gt;1)),
IF(Import.TipoArredondamento&lt;&gt;"TransfereGOV",
ROUND(OFFSET($P127,0,AD$13),15-13*ORÇAMENTO!$AF$7)/$H127*OFFSET(ORÇAMENTO!$X$15,ROW(AD127)-ROW(AD$15),0),
ROUND(ROUND(OFFSET($P127,0,AD$13),15-13*ORÇAMENTO!$AF$7)*OFFSET(ORÇAMENTO!$W$15,ROW(AD127)-ROW(AD$15),0),15-13*ORÇAMENTO!$AF$11)),0)</f>
        <v>0</v>
      </c>
      <c r="AE127" s="545">
        <f ca="1">IF(AND($D127="Serviço",AE$12&lt;&gt;0,$H127&gt;0,OR(AUTOEVENTO&lt;&gt;"manual",$M127&lt;&gt;1)),
IF(Import.TipoArredondamento&lt;&gt;"TransfereGOV",
ROUND(OFFSET($P127,0,AE$13),15-13*ORÇAMENTO!$AF$7)/$H127*OFFSET(ORÇAMENTO!$X$15,ROW(AE127)-ROW(AE$15),0),
ROUND(ROUND(OFFSET($P127,0,AE$13),15-13*ORÇAMENTO!$AF$7)*OFFSET(ORÇAMENTO!$W$15,ROW(AE127)-ROW(AE$15),0),15-13*ORÇAMENTO!$AF$11)),0)</f>
        <v>0</v>
      </c>
      <c r="AF127" s="545">
        <f ca="1">IF(AND($D127="Serviço",AF$12&lt;&gt;0,$H127&gt;0,OR(AUTOEVENTO&lt;&gt;"manual",$M127&lt;&gt;1)),
IF(Import.TipoArredondamento&lt;&gt;"TransfereGOV",
ROUND(OFFSET($P127,0,AF$13),15-13*ORÇAMENTO!$AF$7)/$H127*OFFSET(ORÇAMENTO!$X$15,ROW(AF127)-ROW(AF$15),0),
ROUND(ROUND(OFFSET($P127,0,AF$13),15-13*ORÇAMENTO!$AF$7)*OFFSET(ORÇAMENTO!$W$15,ROW(AF127)-ROW(AF$15),0),15-13*ORÇAMENTO!$AF$11)),0)</f>
        <v>0</v>
      </c>
      <c r="AG127" s="545">
        <f ca="1">IF(AND($D127="Serviço",AG$12&lt;&gt;0,$H127&gt;0,OR(AUTOEVENTO&lt;&gt;"manual",$M127&lt;&gt;1)),
IF(Import.TipoArredondamento&lt;&gt;"TransfereGOV",
ROUND(OFFSET($P127,0,AG$13),15-13*ORÇAMENTO!$AF$7)/$H127*OFFSET(ORÇAMENTO!$X$15,ROW(AG127)-ROW(AG$15),0),
ROUND(ROUND(OFFSET($P127,0,AG$13),15-13*ORÇAMENTO!$AF$7)*OFFSET(ORÇAMENTO!$W$15,ROW(AG127)-ROW(AG$15),0),15-13*ORÇAMENTO!$AF$11)),0)</f>
        <v>0</v>
      </c>
      <c r="AH127" s="545">
        <f ca="1">IF(AND($D127="Serviço",AH$12&lt;&gt;0,$H127&gt;0,OR(AUTOEVENTO&lt;&gt;"manual",$M127&lt;&gt;1)),
IF(Import.TipoArredondamento&lt;&gt;"TransfereGOV",
ROUND(OFFSET($P127,0,AH$13),15-13*ORÇAMENTO!$AF$7)/$H127*OFFSET(ORÇAMENTO!$X$15,ROW(AH127)-ROW(AH$15),0),
ROUND(ROUND(OFFSET($P127,0,AH$13),15-13*ORÇAMENTO!$AF$7)*OFFSET(ORÇAMENTO!$W$15,ROW(AH127)-ROW(AH$15),0),15-13*ORÇAMENTO!$AF$11)),0)</f>
        <v>0</v>
      </c>
      <c r="AI127" s="545">
        <f ca="1">IF(AND($D127="Serviço",AI$12&lt;&gt;0,$H127&gt;0,OR(AUTOEVENTO&lt;&gt;"manual",$M127&lt;&gt;1)),
IF(Import.TipoArredondamento&lt;&gt;"TransfereGOV",
ROUND(OFFSET($P127,0,AI$13),15-13*ORÇAMENTO!$AF$7)/$H127*OFFSET(ORÇAMENTO!$X$15,ROW(AI127)-ROW(AI$15),0),
ROUND(ROUND(OFFSET($P127,0,AI$13),15-13*ORÇAMENTO!$AF$7)*OFFSET(ORÇAMENTO!$W$15,ROW(AI127)-ROW(AI$15),0),15-13*ORÇAMENTO!$AF$11)),0)</f>
        <v>0</v>
      </c>
      <c r="AJ127" s="545">
        <f ca="1">IF(AND($D127="Serviço",AJ$12&lt;&gt;0,$H127&gt;0,OR(AUTOEVENTO&lt;&gt;"manual",$M127&lt;&gt;1)),
IF(Import.TipoArredondamento&lt;&gt;"TransfereGOV",
ROUND(OFFSET($P127,0,AJ$13),15-13*ORÇAMENTO!$AF$7)/$H127*OFFSET(ORÇAMENTO!$X$15,ROW(AJ127)-ROW(AJ$15),0),
ROUND(ROUND(OFFSET($P127,0,AJ$13),15-13*ORÇAMENTO!$AF$7)*OFFSET(ORÇAMENTO!$W$15,ROW(AJ127)-ROW(AJ$15),0),15-13*ORÇAMENTO!$AF$11)),0)</f>
        <v>0</v>
      </c>
      <c r="AK127" s="546">
        <f ca="1">IF(AND($D127="Serviço",AK$12&lt;&gt;0,$H127&gt;0,OR(AUTOEVENTO&lt;&gt;"manual",$M127&lt;&gt;1)),
IF(Import.TipoArredondamento&lt;&gt;"TransfereGOV",
ROUND(OFFSET($P127,0,AK$13),15-13*ORÇAMENTO!$AF$7)/$H127*OFFSET(ORÇAMENTO!$X$15,ROW(AK127)-ROW(AK$15),0),
ROUND(ROUND(OFFSET($P127,0,AK$13),15-13*ORÇAMENTO!$AF$7)*OFFSET(ORÇAMENTO!$W$15,ROW(AK127)-ROW(AK$15),0),15-13*ORÇAMENTO!$AF$11)),0)</f>
        <v>0</v>
      </c>
      <c r="AM127" s="181">
        <f ca="1">IF($D127&lt;&gt;"Serviço",0,IF(AND(AUTOEVENTO="Manual",$M127=1),0,IF(OFFSET(CRONOPLE!$F$14,$M127,AM$13)="",10^12,OFFSET(CRONOPLE!$F$14,$M127,AM$13))))</f>
        <v>1000000000000</v>
      </c>
      <c r="AN127" s="181">
        <f ca="1">IF($D127&lt;&gt;"Serviço",0,IF(AND(AUTOEVENTO="Manual",$M127=1),0,IF(OFFSET(CRONOPLE!$F$14,$M127,AN$13)="",10^12,OFFSET(CRONOPLE!$F$14,$M127,AN$13))))</f>
        <v>1000000000000</v>
      </c>
      <c r="AO127" s="181">
        <f ca="1">IF($D127&lt;&gt;"Serviço",0,IF(AND(AUTOEVENTO="Manual",$M127=1),0,IF(OFFSET(CRONOPLE!$F$14,$M127,AO$13)="",10^12,OFFSET(CRONOPLE!$F$14,$M127,AO$13))))</f>
        <v>1000000000000</v>
      </c>
      <c r="AP127" s="181">
        <f ca="1">IF($D127&lt;&gt;"Serviço",0,IF(AND(AUTOEVENTO="Manual",$M127=1),0,IF(OFFSET(CRONOPLE!$F$14,$M127,AP$13)="",10^12,OFFSET(CRONOPLE!$F$14,$M127,AP$13))))</f>
        <v>1000000000000</v>
      </c>
      <c r="AQ127" s="181">
        <f ca="1">IF($D127&lt;&gt;"Serviço",0,IF(AND(AUTOEVENTO="Manual",$M127=1),0,IF(OFFSET(CRONOPLE!$F$14,$M127,AQ$13)="",10^12,OFFSET(CRONOPLE!$F$14,$M127,AQ$13))))</f>
        <v>1000000000000</v>
      </c>
      <c r="AR127" s="181">
        <f ca="1">IF($D127&lt;&gt;"Serviço",0,IF(AND(AUTOEVENTO="Manual",$M127=1),0,IF(OFFSET(CRONOPLE!$F$14,$M127,AR$13)="",10^12,OFFSET(CRONOPLE!$F$14,$M127,AR$13))))</f>
        <v>1000000000000</v>
      </c>
      <c r="AS127" s="181">
        <f ca="1">IF($D127&lt;&gt;"Serviço",0,IF(AND(AUTOEVENTO="Manual",$M127=1),0,IF(OFFSET(CRONOPLE!$F$14,$M127,AS$13)="",10^12,OFFSET(CRONOPLE!$F$14,$M127,AS$13))))</f>
        <v>1000000000000</v>
      </c>
      <c r="AT127" s="181">
        <f ca="1">IF($D127&lt;&gt;"Serviço",0,IF(AND(AUTOEVENTO="Manual",$M127=1),0,IF(OFFSET(CRONOPLE!$F$14,$M127,AT$13)="",10^12,OFFSET(CRONOPLE!$F$14,$M127,AT$13))))</f>
        <v>1000000000000</v>
      </c>
      <c r="AU127" s="181">
        <f ca="1">IF($D127&lt;&gt;"Serviço",0,IF(AND(AUTOEVENTO="Manual",$M127=1),0,IF(OFFSET(CRONOPLE!$F$14,$M127,AU$13)="",10^12,OFFSET(CRONOPLE!$F$14,$M127,AU$13))))</f>
        <v>1000000000000</v>
      </c>
      <c r="AV127" s="181">
        <f ca="1">IF($D127&lt;&gt;"Serviço",0,IF(AND(AUTOEVENTO="Manual",$M127=1),0,IF(OFFSET(CRONOPLE!$F$14,$M127,AV$13)="",10^12,OFFSET(CRONOPLE!$F$14,$M127,AV$13))))</f>
        <v>1000000000000</v>
      </c>
      <c r="AX127" s="182">
        <f ca="1">IF($D127&lt;&gt;"Serviço",0,IF(OR(AND(AUTOEVENTO="Manual",$M127=1),$M127&gt;(ROW(PLE.lastrow)-ROW(PLE.firstrow))),0,IF(OFFSET(PLE!$G$14,$M127,AX$13)="",10^12,OFFSET(PLE!$G$14,$M127,AX$13))))</f>
        <v>1000000000000</v>
      </c>
      <c r="AY127" s="182">
        <f ca="1">IF($D127&lt;&gt;"Serviço",0,IF(OR(AND(AUTOEVENTO="Manual",$M127=1),$M127&gt;(ROW(PLE.lastrow)-ROW(PLE.firstrow))),0,IF(OFFSET(PLE!$G$14,$M127,AY$13)="",10^12,OFFSET(PLE!$G$14,$M127,AY$13))))</f>
        <v>1000000000000</v>
      </c>
      <c r="AZ127" s="182">
        <f ca="1">IF($D127&lt;&gt;"Serviço",0,IF(OR(AND(AUTOEVENTO="Manual",$M127=1),$M127&gt;(ROW(PLE.lastrow)-ROW(PLE.firstrow))),0,IF(OFFSET(PLE!$G$14,$M127,AZ$13)="",10^12,OFFSET(PLE!$G$14,$M127,AZ$13))))</f>
        <v>1000000000000</v>
      </c>
      <c r="BA127" s="182">
        <f ca="1">IF($D127&lt;&gt;"Serviço",0,IF(OR(AND(AUTOEVENTO="Manual",$M127=1),$M127&gt;(ROW(PLE.lastrow)-ROW(PLE.firstrow))),0,IF(OFFSET(PLE!$G$14,$M127,BA$13)="",10^12,OFFSET(PLE!$G$14,$M127,BA$13))))</f>
        <v>1000000000000</v>
      </c>
      <c r="BB127" s="182">
        <f ca="1">IF($D127&lt;&gt;"Serviço",0,IF(OR(AND(AUTOEVENTO="Manual",$M127=1),$M127&gt;(ROW(PLE.lastrow)-ROW(PLE.firstrow))),0,IF(OFFSET(PLE!$G$14,$M127,BB$13)="",10^12,OFFSET(PLE!$G$14,$M127,BB$13))))</f>
        <v>1000000000000</v>
      </c>
      <c r="BC127" s="182">
        <f ca="1">IF($D127&lt;&gt;"Serviço",0,IF(OR(AND(AUTOEVENTO="Manual",$M127=1),$M127&gt;(ROW(PLE.lastrow)-ROW(PLE.firstrow))),0,IF(OFFSET(PLE!$G$14,$M127,BC$13)="",10^12,OFFSET(PLE!$G$14,$M127,BC$13))))</f>
        <v>1000000000000</v>
      </c>
      <c r="BD127" s="182">
        <f ca="1">IF($D127&lt;&gt;"Serviço",0,IF(OR(AND(AUTOEVENTO="Manual",$M127=1),$M127&gt;(ROW(PLE.lastrow)-ROW(PLE.firstrow))),0,IF(OFFSET(PLE!$G$14,$M127,BD$13)="",10^12,OFFSET(PLE!$G$14,$M127,BD$13))))</f>
        <v>1000000000000</v>
      </c>
      <c r="BE127" s="182">
        <f ca="1">IF($D127&lt;&gt;"Serviço",0,IF(OR(AND(AUTOEVENTO="Manual",$M127=1),$M127&gt;(ROW(PLE.lastrow)-ROW(PLE.firstrow))),0,IF(OFFSET(PLE!$G$14,$M127,BE$13)="",10^12,OFFSET(PLE!$G$14,$M127,BE$13))))</f>
        <v>1000000000000</v>
      </c>
      <c r="BF127" s="182">
        <f ca="1">IF($D127&lt;&gt;"Serviço",0,IF(OR(AND(AUTOEVENTO="Manual",$M127=1),$M127&gt;(ROW(PLE.lastrow)-ROW(PLE.firstrow))),0,IF(OFFSET(PLE!$G$14,$M127,BF$13)="",10^12,OFFSET(PLE!$G$14,$M127,BF$13))))</f>
        <v>1000000000000</v>
      </c>
      <c r="BG127" s="182">
        <f ca="1">IF($D127&lt;&gt;"Serviço",0,IF(OR(AND(AUTOEVENTO="Manual",$M127=1),$M127&gt;(ROW(PLE.lastrow)-ROW(PLE.firstrow))),0,IF(OFFSET(PLE!$G$14,$M127,BG$13)="",10^12,OFFSET(PLE!$G$14,$M127,BG$13))))</f>
        <v>1000000000000</v>
      </c>
    </row>
    <row r="128" spans="1:59" ht="38.25" x14ac:dyDescent="0.2">
      <c r="A128" s="7" t="str">
        <f t="shared" ca="1" si="9"/>
        <v>71</v>
      </c>
      <c r="B128" s="7" t="str">
        <f ca="1">OFFSET(ORÇAMENTO!C$15,ROW(B128)-ROW(B$15),0)</f>
        <v>S</v>
      </c>
      <c r="C128" s="7" t="str">
        <f ca="1">OFFSET(ORÇAMENTO!L$15,ROW(C128)-ROW(C$15),0)</f>
        <v>F</v>
      </c>
      <c r="D128" s="118" t="str">
        <f ca="1">OFFSET(ORÇAMENTO!N$15,ROW(D128)-ROW(D$15),0)</f>
        <v>Serviço</v>
      </c>
      <c r="E128" s="119" t="str">
        <f ca="1">OFFSET(ORÇAMENTO!O$15,ROW(E128)-ROW(E$15),0)</f>
        <v>1.6.8.4.</v>
      </c>
      <c r="F128" s="172" t="str">
        <f ca="1">OFFSET(ORÇAMENTO!R$15,ROW(F128)-ROW(F$15),0)</f>
        <v>(abra o arquivo 'Referência 03-2024.xlsm)</v>
      </c>
      <c r="G128" s="173" t="str">
        <f ca="1">IF($D128&lt;&gt;"Serviço","",OFFSET(ORÇAMENTO!S$15,ROW(G128)-ROW(G$15),0))</f>
        <v>-</v>
      </c>
      <c r="H128" s="124">
        <f ca="1">IF($D128&lt;&gt;"Serviço",0,IF(ACOMPANHAMENTO="BM",ROUND(OFFSET(ORÇAMENTO!AJ$15,ROW(H128)-ROW(H$15),0),15-13*ORÇAMENTO!$AF$7),SUMPRODUCT(($Q$12:$AA$12&lt;&gt;"")*ROUND($Q128:$AA128,15-13*ORÇAMENTO!$AF$7))))</f>
        <v>24</v>
      </c>
      <c r="I128" s="561"/>
      <c r="K128" s="174"/>
      <c r="L128" s="175" t="s">
        <v>255</v>
      </c>
      <c r="M128" s="176">
        <f ca="1">IF($D128&lt;&gt;"Serviço","",IF(AUTOEVENTO="manual",$A128,IF(ISERROR(MATCH($A128,$A$15:OFFSET($A128,-1,0),0)),MAX($M$15:OFFSET(M128,-1,0))+1,INDEX($M$15:OFFSET(M128,-1,0),MATCH($A128,$A$15:OFFSET($A128,-1,0),0)))))</f>
        <v>7</v>
      </c>
      <c r="N128" s="177" t="str">
        <f ca="1">IF($D128&lt;&gt;"Serviço","",IF(AUTOEVENTO="Manual",IF($A128=0,"&lt;-- defina o número do agrupador",OFFSET(EVENTOS!$D$14,$A128,0)),OFFSET($F$15,$A128,0)))</f>
        <v>SANITÁRIO PÚBLICO ACESSÍVEL</v>
      </c>
      <c r="O128" s="178"/>
      <c r="Q128" s="178"/>
      <c r="R128" s="179"/>
      <c r="S128" s="179"/>
      <c r="T128" s="179"/>
      <c r="U128" s="179"/>
      <c r="V128" s="179"/>
      <c r="W128" s="179"/>
      <c r="X128" s="179"/>
      <c r="Y128" s="179"/>
      <c r="Z128" s="180"/>
      <c r="AB128" s="544">
        <f ca="1">IF(AND($D128="Serviço",AB$12&lt;&gt;0,$H128&gt;0,OR(AUTOEVENTO&lt;&gt;"manual",$M128&lt;&gt;1)),
IF(Import.TipoArredondamento&lt;&gt;"TransfereGOV",
ROUND(OFFSET($P128,0,AB$13),15-13*ORÇAMENTO!$AF$7)/$H128*OFFSET(ORÇAMENTO!$X$15,ROW(AB128)-ROW(AB$15),0),
ROUND(ROUND(OFFSET($P128,0,AB$13),15-13*ORÇAMENTO!$AF$7)*OFFSET(ORÇAMENTO!$W$15,ROW(AB128)-ROW(AB$15),0),15-13*ORÇAMENTO!$AF$11)),0)</f>
        <v>0</v>
      </c>
      <c r="AC128" s="545">
        <f ca="1">IF(AND($D128="Serviço",AC$12&lt;&gt;0,$H128&gt;0,OR(AUTOEVENTO&lt;&gt;"manual",$M128&lt;&gt;1)),
IF(Import.TipoArredondamento&lt;&gt;"TransfereGOV",
ROUND(OFFSET($P128,0,AC$13),15-13*ORÇAMENTO!$AF$7)/$H128*OFFSET(ORÇAMENTO!$X$15,ROW(AC128)-ROW(AC$15),0),
ROUND(ROUND(OFFSET($P128,0,AC$13),15-13*ORÇAMENTO!$AF$7)*OFFSET(ORÇAMENTO!$W$15,ROW(AC128)-ROW(AC$15),0),15-13*ORÇAMENTO!$AF$11)),0)</f>
        <v>0</v>
      </c>
      <c r="AD128" s="545">
        <f ca="1">IF(AND($D128="Serviço",AD$12&lt;&gt;0,$H128&gt;0,OR(AUTOEVENTO&lt;&gt;"manual",$M128&lt;&gt;1)),
IF(Import.TipoArredondamento&lt;&gt;"TransfereGOV",
ROUND(OFFSET($P128,0,AD$13),15-13*ORÇAMENTO!$AF$7)/$H128*OFFSET(ORÇAMENTO!$X$15,ROW(AD128)-ROW(AD$15),0),
ROUND(ROUND(OFFSET($P128,0,AD$13),15-13*ORÇAMENTO!$AF$7)*OFFSET(ORÇAMENTO!$W$15,ROW(AD128)-ROW(AD$15),0),15-13*ORÇAMENTO!$AF$11)),0)</f>
        <v>0</v>
      </c>
      <c r="AE128" s="545">
        <f ca="1">IF(AND($D128="Serviço",AE$12&lt;&gt;0,$H128&gt;0,OR(AUTOEVENTO&lt;&gt;"manual",$M128&lt;&gt;1)),
IF(Import.TipoArredondamento&lt;&gt;"TransfereGOV",
ROUND(OFFSET($P128,0,AE$13),15-13*ORÇAMENTO!$AF$7)/$H128*OFFSET(ORÇAMENTO!$X$15,ROW(AE128)-ROW(AE$15),0),
ROUND(ROUND(OFFSET($P128,0,AE$13),15-13*ORÇAMENTO!$AF$7)*OFFSET(ORÇAMENTO!$W$15,ROW(AE128)-ROW(AE$15),0),15-13*ORÇAMENTO!$AF$11)),0)</f>
        <v>0</v>
      </c>
      <c r="AF128" s="545">
        <f ca="1">IF(AND($D128="Serviço",AF$12&lt;&gt;0,$H128&gt;0,OR(AUTOEVENTO&lt;&gt;"manual",$M128&lt;&gt;1)),
IF(Import.TipoArredondamento&lt;&gt;"TransfereGOV",
ROUND(OFFSET($P128,0,AF$13),15-13*ORÇAMENTO!$AF$7)/$H128*OFFSET(ORÇAMENTO!$X$15,ROW(AF128)-ROW(AF$15),0),
ROUND(ROUND(OFFSET($P128,0,AF$13),15-13*ORÇAMENTO!$AF$7)*OFFSET(ORÇAMENTO!$W$15,ROW(AF128)-ROW(AF$15),0),15-13*ORÇAMENTO!$AF$11)),0)</f>
        <v>0</v>
      </c>
      <c r="AG128" s="545">
        <f ca="1">IF(AND($D128="Serviço",AG$12&lt;&gt;0,$H128&gt;0,OR(AUTOEVENTO&lt;&gt;"manual",$M128&lt;&gt;1)),
IF(Import.TipoArredondamento&lt;&gt;"TransfereGOV",
ROUND(OFFSET($P128,0,AG$13),15-13*ORÇAMENTO!$AF$7)/$H128*OFFSET(ORÇAMENTO!$X$15,ROW(AG128)-ROW(AG$15),0),
ROUND(ROUND(OFFSET($P128,0,AG$13),15-13*ORÇAMENTO!$AF$7)*OFFSET(ORÇAMENTO!$W$15,ROW(AG128)-ROW(AG$15),0),15-13*ORÇAMENTO!$AF$11)),0)</f>
        <v>0</v>
      </c>
      <c r="AH128" s="545">
        <f ca="1">IF(AND($D128="Serviço",AH$12&lt;&gt;0,$H128&gt;0,OR(AUTOEVENTO&lt;&gt;"manual",$M128&lt;&gt;1)),
IF(Import.TipoArredondamento&lt;&gt;"TransfereGOV",
ROUND(OFFSET($P128,0,AH$13),15-13*ORÇAMENTO!$AF$7)/$H128*OFFSET(ORÇAMENTO!$X$15,ROW(AH128)-ROW(AH$15),0),
ROUND(ROUND(OFFSET($P128,0,AH$13),15-13*ORÇAMENTO!$AF$7)*OFFSET(ORÇAMENTO!$W$15,ROW(AH128)-ROW(AH$15),0),15-13*ORÇAMENTO!$AF$11)),0)</f>
        <v>0</v>
      </c>
      <c r="AI128" s="545">
        <f ca="1">IF(AND($D128="Serviço",AI$12&lt;&gt;0,$H128&gt;0,OR(AUTOEVENTO&lt;&gt;"manual",$M128&lt;&gt;1)),
IF(Import.TipoArredondamento&lt;&gt;"TransfereGOV",
ROUND(OFFSET($P128,0,AI$13),15-13*ORÇAMENTO!$AF$7)/$H128*OFFSET(ORÇAMENTO!$X$15,ROW(AI128)-ROW(AI$15),0),
ROUND(ROUND(OFFSET($P128,0,AI$13),15-13*ORÇAMENTO!$AF$7)*OFFSET(ORÇAMENTO!$W$15,ROW(AI128)-ROW(AI$15),0),15-13*ORÇAMENTO!$AF$11)),0)</f>
        <v>0</v>
      </c>
      <c r="AJ128" s="545">
        <f ca="1">IF(AND($D128="Serviço",AJ$12&lt;&gt;0,$H128&gt;0,OR(AUTOEVENTO&lt;&gt;"manual",$M128&lt;&gt;1)),
IF(Import.TipoArredondamento&lt;&gt;"TransfereGOV",
ROUND(OFFSET($P128,0,AJ$13),15-13*ORÇAMENTO!$AF$7)/$H128*OFFSET(ORÇAMENTO!$X$15,ROW(AJ128)-ROW(AJ$15),0),
ROUND(ROUND(OFFSET($P128,0,AJ$13),15-13*ORÇAMENTO!$AF$7)*OFFSET(ORÇAMENTO!$W$15,ROW(AJ128)-ROW(AJ$15),0),15-13*ORÇAMENTO!$AF$11)),0)</f>
        <v>0</v>
      </c>
      <c r="AK128" s="546">
        <f ca="1">IF(AND($D128="Serviço",AK$12&lt;&gt;0,$H128&gt;0,OR(AUTOEVENTO&lt;&gt;"manual",$M128&lt;&gt;1)),
IF(Import.TipoArredondamento&lt;&gt;"TransfereGOV",
ROUND(OFFSET($P128,0,AK$13),15-13*ORÇAMENTO!$AF$7)/$H128*OFFSET(ORÇAMENTO!$X$15,ROW(AK128)-ROW(AK$15),0),
ROUND(ROUND(OFFSET($P128,0,AK$13),15-13*ORÇAMENTO!$AF$7)*OFFSET(ORÇAMENTO!$W$15,ROW(AK128)-ROW(AK$15),0),15-13*ORÇAMENTO!$AF$11)),0)</f>
        <v>0</v>
      </c>
      <c r="AM128" s="181">
        <f ca="1">IF($D128&lt;&gt;"Serviço",0,IF(AND(AUTOEVENTO="Manual",$M128=1),0,IF(OFFSET(CRONOPLE!$F$14,$M128,AM$13)="",10^12,OFFSET(CRONOPLE!$F$14,$M128,AM$13))))</f>
        <v>1000000000000</v>
      </c>
      <c r="AN128" s="181">
        <f ca="1">IF($D128&lt;&gt;"Serviço",0,IF(AND(AUTOEVENTO="Manual",$M128=1),0,IF(OFFSET(CRONOPLE!$F$14,$M128,AN$13)="",10^12,OFFSET(CRONOPLE!$F$14,$M128,AN$13))))</f>
        <v>1000000000000</v>
      </c>
      <c r="AO128" s="181">
        <f ca="1">IF($D128&lt;&gt;"Serviço",0,IF(AND(AUTOEVENTO="Manual",$M128=1),0,IF(OFFSET(CRONOPLE!$F$14,$M128,AO$13)="",10^12,OFFSET(CRONOPLE!$F$14,$M128,AO$13))))</f>
        <v>1000000000000</v>
      </c>
      <c r="AP128" s="181">
        <f ca="1">IF($D128&lt;&gt;"Serviço",0,IF(AND(AUTOEVENTO="Manual",$M128=1),0,IF(OFFSET(CRONOPLE!$F$14,$M128,AP$13)="",10^12,OFFSET(CRONOPLE!$F$14,$M128,AP$13))))</f>
        <v>1000000000000</v>
      </c>
      <c r="AQ128" s="181">
        <f ca="1">IF($D128&lt;&gt;"Serviço",0,IF(AND(AUTOEVENTO="Manual",$M128=1),0,IF(OFFSET(CRONOPLE!$F$14,$M128,AQ$13)="",10^12,OFFSET(CRONOPLE!$F$14,$M128,AQ$13))))</f>
        <v>1000000000000</v>
      </c>
      <c r="AR128" s="181">
        <f ca="1">IF($D128&lt;&gt;"Serviço",0,IF(AND(AUTOEVENTO="Manual",$M128=1),0,IF(OFFSET(CRONOPLE!$F$14,$M128,AR$13)="",10^12,OFFSET(CRONOPLE!$F$14,$M128,AR$13))))</f>
        <v>1000000000000</v>
      </c>
      <c r="AS128" s="181">
        <f ca="1">IF($D128&lt;&gt;"Serviço",0,IF(AND(AUTOEVENTO="Manual",$M128=1),0,IF(OFFSET(CRONOPLE!$F$14,$M128,AS$13)="",10^12,OFFSET(CRONOPLE!$F$14,$M128,AS$13))))</f>
        <v>1000000000000</v>
      </c>
      <c r="AT128" s="181">
        <f ca="1">IF($D128&lt;&gt;"Serviço",0,IF(AND(AUTOEVENTO="Manual",$M128=1),0,IF(OFFSET(CRONOPLE!$F$14,$M128,AT$13)="",10^12,OFFSET(CRONOPLE!$F$14,$M128,AT$13))))</f>
        <v>1000000000000</v>
      </c>
      <c r="AU128" s="181">
        <f ca="1">IF($D128&lt;&gt;"Serviço",0,IF(AND(AUTOEVENTO="Manual",$M128=1),0,IF(OFFSET(CRONOPLE!$F$14,$M128,AU$13)="",10^12,OFFSET(CRONOPLE!$F$14,$M128,AU$13))))</f>
        <v>1000000000000</v>
      </c>
      <c r="AV128" s="181">
        <f ca="1">IF($D128&lt;&gt;"Serviço",0,IF(AND(AUTOEVENTO="Manual",$M128=1),0,IF(OFFSET(CRONOPLE!$F$14,$M128,AV$13)="",10^12,OFFSET(CRONOPLE!$F$14,$M128,AV$13))))</f>
        <v>1000000000000</v>
      </c>
      <c r="AX128" s="182">
        <f ca="1">IF($D128&lt;&gt;"Serviço",0,IF(OR(AND(AUTOEVENTO="Manual",$M128=1),$M128&gt;(ROW(PLE.lastrow)-ROW(PLE.firstrow))),0,IF(OFFSET(PLE!$G$14,$M128,AX$13)="",10^12,OFFSET(PLE!$G$14,$M128,AX$13))))</f>
        <v>1000000000000</v>
      </c>
      <c r="AY128" s="182">
        <f ca="1">IF($D128&lt;&gt;"Serviço",0,IF(OR(AND(AUTOEVENTO="Manual",$M128=1),$M128&gt;(ROW(PLE.lastrow)-ROW(PLE.firstrow))),0,IF(OFFSET(PLE!$G$14,$M128,AY$13)="",10^12,OFFSET(PLE!$G$14,$M128,AY$13))))</f>
        <v>1000000000000</v>
      </c>
      <c r="AZ128" s="182">
        <f ca="1">IF($D128&lt;&gt;"Serviço",0,IF(OR(AND(AUTOEVENTO="Manual",$M128=1),$M128&gt;(ROW(PLE.lastrow)-ROW(PLE.firstrow))),0,IF(OFFSET(PLE!$G$14,$M128,AZ$13)="",10^12,OFFSET(PLE!$G$14,$M128,AZ$13))))</f>
        <v>1000000000000</v>
      </c>
      <c r="BA128" s="182">
        <f ca="1">IF($D128&lt;&gt;"Serviço",0,IF(OR(AND(AUTOEVENTO="Manual",$M128=1),$M128&gt;(ROW(PLE.lastrow)-ROW(PLE.firstrow))),0,IF(OFFSET(PLE!$G$14,$M128,BA$13)="",10^12,OFFSET(PLE!$G$14,$M128,BA$13))))</f>
        <v>1000000000000</v>
      </c>
      <c r="BB128" s="182">
        <f ca="1">IF($D128&lt;&gt;"Serviço",0,IF(OR(AND(AUTOEVENTO="Manual",$M128=1),$M128&gt;(ROW(PLE.lastrow)-ROW(PLE.firstrow))),0,IF(OFFSET(PLE!$G$14,$M128,BB$13)="",10^12,OFFSET(PLE!$G$14,$M128,BB$13))))</f>
        <v>1000000000000</v>
      </c>
      <c r="BC128" s="182">
        <f ca="1">IF($D128&lt;&gt;"Serviço",0,IF(OR(AND(AUTOEVENTO="Manual",$M128=1),$M128&gt;(ROW(PLE.lastrow)-ROW(PLE.firstrow))),0,IF(OFFSET(PLE!$G$14,$M128,BC$13)="",10^12,OFFSET(PLE!$G$14,$M128,BC$13))))</f>
        <v>1000000000000</v>
      </c>
      <c r="BD128" s="182">
        <f ca="1">IF($D128&lt;&gt;"Serviço",0,IF(OR(AND(AUTOEVENTO="Manual",$M128=1),$M128&gt;(ROW(PLE.lastrow)-ROW(PLE.firstrow))),0,IF(OFFSET(PLE!$G$14,$M128,BD$13)="",10^12,OFFSET(PLE!$G$14,$M128,BD$13))))</f>
        <v>1000000000000</v>
      </c>
      <c r="BE128" s="182">
        <f ca="1">IF($D128&lt;&gt;"Serviço",0,IF(OR(AND(AUTOEVENTO="Manual",$M128=1),$M128&gt;(ROW(PLE.lastrow)-ROW(PLE.firstrow))),0,IF(OFFSET(PLE!$G$14,$M128,BE$13)="",10^12,OFFSET(PLE!$G$14,$M128,BE$13))))</f>
        <v>1000000000000</v>
      </c>
      <c r="BF128" s="182">
        <f ca="1">IF($D128&lt;&gt;"Serviço",0,IF(OR(AND(AUTOEVENTO="Manual",$M128=1),$M128&gt;(ROW(PLE.lastrow)-ROW(PLE.firstrow))),0,IF(OFFSET(PLE!$G$14,$M128,BF$13)="",10^12,OFFSET(PLE!$G$14,$M128,BF$13))))</f>
        <v>1000000000000</v>
      </c>
      <c r="BG128" s="182">
        <f ca="1">IF($D128&lt;&gt;"Serviço",0,IF(OR(AND(AUTOEVENTO="Manual",$M128=1),$M128&gt;(ROW(PLE.lastrow)-ROW(PLE.firstrow))),0,IF(OFFSET(PLE!$G$14,$M128,BG$13)="",10^12,OFFSET(PLE!$G$14,$M128,BG$13))))</f>
        <v>1000000000000</v>
      </c>
    </row>
    <row r="129" spans="1:59" ht="38.25" x14ac:dyDescent="0.2">
      <c r="A129" s="7" t="str">
        <f t="shared" ca="1" si="9"/>
        <v>71</v>
      </c>
      <c r="B129" s="7" t="str">
        <f ca="1">OFFSET(ORÇAMENTO!C$15,ROW(B129)-ROW(B$15),0)</f>
        <v>S</v>
      </c>
      <c r="C129" s="7" t="str">
        <f ca="1">OFFSET(ORÇAMENTO!L$15,ROW(C129)-ROW(C$15),0)</f>
        <v>F</v>
      </c>
      <c r="D129" s="118" t="str">
        <f ca="1">OFFSET(ORÇAMENTO!N$15,ROW(D129)-ROW(D$15),0)</f>
        <v>Serviço</v>
      </c>
      <c r="E129" s="119" t="str">
        <f ca="1">OFFSET(ORÇAMENTO!O$15,ROW(E129)-ROW(E$15),0)</f>
        <v>1.6.8.5.</v>
      </c>
      <c r="F129" s="172" t="str">
        <f ca="1">OFFSET(ORÇAMENTO!R$15,ROW(F129)-ROW(F$15),0)</f>
        <v>(abra o arquivo 'Referência 03-2024.xlsm)</v>
      </c>
      <c r="G129" s="173" t="str">
        <f ca="1">IF($D129&lt;&gt;"Serviço","",OFFSET(ORÇAMENTO!S$15,ROW(G129)-ROW(G$15),0))</f>
        <v>-</v>
      </c>
      <c r="H129" s="124">
        <f ca="1">IF($D129&lt;&gt;"Serviço",0,IF(ACOMPANHAMENTO="BM",ROUND(OFFSET(ORÇAMENTO!AJ$15,ROW(H129)-ROW(H$15),0),15-13*ORÇAMENTO!$AF$7),SUMPRODUCT(($Q$12:$AA$12&lt;&gt;"")*ROUND($Q129:$AA129,15-13*ORÇAMENTO!$AF$7))))</f>
        <v>38</v>
      </c>
      <c r="I129" s="561"/>
      <c r="K129" s="174"/>
      <c r="L129" s="175" t="s">
        <v>255</v>
      </c>
      <c r="M129" s="176">
        <f ca="1">IF($D129&lt;&gt;"Serviço","",IF(AUTOEVENTO="manual",$A129,IF(ISERROR(MATCH($A129,$A$15:OFFSET($A129,-1,0),0)),MAX($M$15:OFFSET(M129,-1,0))+1,INDEX($M$15:OFFSET(M129,-1,0),MATCH($A129,$A$15:OFFSET($A129,-1,0),0)))))</f>
        <v>7</v>
      </c>
      <c r="N129" s="177" t="str">
        <f ca="1">IF($D129&lt;&gt;"Serviço","",IF(AUTOEVENTO="Manual",IF($A129=0,"&lt;-- defina o número do agrupador",OFFSET(EVENTOS!$D$14,$A129,0)),OFFSET($F$15,$A129,0)))</f>
        <v>SANITÁRIO PÚBLICO ACESSÍVEL</v>
      </c>
      <c r="O129" s="178"/>
      <c r="Q129" s="178"/>
      <c r="R129" s="179"/>
      <c r="S129" s="179"/>
      <c r="T129" s="179"/>
      <c r="U129" s="179"/>
      <c r="V129" s="179"/>
      <c r="W129" s="179"/>
      <c r="X129" s="179"/>
      <c r="Y129" s="179"/>
      <c r="Z129" s="180"/>
      <c r="AB129" s="544">
        <f ca="1">IF(AND($D129="Serviço",AB$12&lt;&gt;0,$H129&gt;0,OR(AUTOEVENTO&lt;&gt;"manual",$M129&lt;&gt;1)),
IF(Import.TipoArredondamento&lt;&gt;"TransfereGOV",
ROUND(OFFSET($P129,0,AB$13),15-13*ORÇAMENTO!$AF$7)/$H129*OFFSET(ORÇAMENTO!$X$15,ROW(AB129)-ROW(AB$15),0),
ROUND(ROUND(OFFSET($P129,0,AB$13),15-13*ORÇAMENTO!$AF$7)*OFFSET(ORÇAMENTO!$W$15,ROW(AB129)-ROW(AB$15),0),15-13*ORÇAMENTO!$AF$11)),0)</f>
        <v>0</v>
      </c>
      <c r="AC129" s="545">
        <f ca="1">IF(AND($D129="Serviço",AC$12&lt;&gt;0,$H129&gt;0,OR(AUTOEVENTO&lt;&gt;"manual",$M129&lt;&gt;1)),
IF(Import.TipoArredondamento&lt;&gt;"TransfereGOV",
ROUND(OFFSET($P129,0,AC$13),15-13*ORÇAMENTO!$AF$7)/$H129*OFFSET(ORÇAMENTO!$X$15,ROW(AC129)-ROW(AC$15),0),
ROUND(ROUND(OFFSET($P129,0,AC$13),15-13*ORÇAMENTO!$AF$7)*OFFSET(ORÇAMENTO!$W$15,ROW(AC129)-ROW(AC$15),0),15-13*ORÇAMENTO!$AF$11)),0)</f>
        <v>0</v>
      </c>
      <c r="AD129" s="545">
        <f ca="1">IF(AND($D129="Serviço",AD$12&lt;&gt;0,$H129&gt;0,OR(AUTOEVENTO&lt;&gt;"manual",$M129&lt;&gt;1)),
IF(Import.TipoArredondamento&lt;&gt;"TransfereGOV",
ROUND(OFFSET($P129,0,AD$13),15-13*ORÇAMENTO!$AF$7)/$H129*OFFSET(ORÇAMENTO!$X$15,ROW(AD129)-ROW(AD$15),0),
ROUND(ROUND(OFFSET($P129,0,AD$13),15-13*ORÇAMENTO!$AF$7)*OFFSET(ORÇAMENTO!$W$15,ROW(AD129)-ROW(AD$15),0),15-13*ORÇAMENTO!$AF$11)),0)</f>
        <v>0</v>
      </c>
      <c r="AE129" s="545">
        <f ca="1">IF(AND($D129="Serviço",AE$12&lt;&gt;0,$H129&gt;0,OR(AUTOEVENTO&lt;&gt;"manual",$M129&lt;&gt;1)),
IF(Import.TipoArredondamento&lt;&gt;"TransfereGOV",
ROUND(OFFSET($P129,0,AE$13),15-13*ORÇAMENTO!$AF$7)/$H129*OFFSET(ORÇAMENTO!$X$15,ROW(AE129)-ROW(AE$15),0),
ROUND(ROUND(OFFSET($P129,0,AE$13),15-13*ORÇAMENTO!$AF$7)*OFFSET(ORÇAMENTO!$W$15,ROW(AE129)-ROW(AE$15),0),15-13*ORÇAMENTO!$AF$11)),0)</f>
        <v>0</v>
      </c>
      <c r="AF129" s="545">
        <f ca="1">IF(AND($D129="Serviço",AF$12&lt;&gt;0,$H129&gt;0,OR(AUTOEVENTO&lt;&gt;"manual",$M129&lt;&gt;1)),
IF(Import.TipoArredondamento&lt;&gt;"TransfereGOV",
ROUND(OFFSET($P129,0,AF$13),15-13*ORÇAMENTO!$AF$7)/$H129*OFFSET(ORÇAMENTO!$X$15,ROW(AF129)-ROW(AF$15),0),
ROUND(ROUND(OFFSET($P129,0,AF$13),15-13*ORÇAMENTO!$AF$7)*OFFSET(ORÇAMENTO!$W$15,ROW(AF129)-ROW(AF$15),0),15-13*ORÇAMENTO!$AF$11)),0)</f>
        <v>0</v>
      </c>
      <c r="AG129" s="545">
        <f ca="1">IF(AND($D129="Serviço",AG$12&lt;&gt;0,$H129&gt;0,OR(AUTOEVENTO&lt;&gt;"manual",$M129&lt;&gt;1)),
IF(Import.TipoArredondamento&lt;&gt;"TransfereGOV",
ROUND(OFFSET($P129,0,AG$13),15-13*ORÇAMENTO!$AF$7)/$H129*OFFSET(ORÇAMENTO!$X$15,ROW(AG129)-ROW(AG$15),0),
ROUND(ROUND(OFFSET($P129,0,AG$13),15-13*ORÇAMENTO!$AF$7)*OFFSET(ORÇAMENTO!$W$15,ROW(AG129)-ROW(AG$15),0),15-13*ORÇAMENTO!$AF$11)),0)</f>
        <v>0</v>
      </c>
      <c r="AH129" s="545">
        <f ca="1">IF(AND($D129="Serviço",AH$12&lt;&gt;0,$H129&gt;0,OR(AUTOEVENTO&lt;&gt;"manual",$M129&lt;&gt;1)),
IF(Import.TipoArredondamento&lt;&gt;"TransfereGOV",
ROUND(OFFSET($P129,0,AH$13),15-13*ORÇAMENTO!$AF$7)/$H129*OFFSET(ORÇAMENTO!$X$15,ROW(AH129)-ROW(AH$15),0),
ROUND(ROUND(OFFSET($P129,0,AH$13),15-13*ORÇAMENTO!$AF$7)*OFFSET(ORÇAMENTO!$W$15,ROW(AH129)-ROW(AH$15),0),15-13*ORÇAMENTO!$AF$11)),0)</f>
        <v>0</v>
      </c>
      <c r="AI129" s="545">
        <f ca="1">IF(AND($D129="Serviço",AI$12&lt;&gt;0,$H129&gt;0,OR(AUTOEVENTO&lt;&gt;"manual",$M129&lt;&gt;1)),
IF(Import.TipoArredondamento&lt;&gt;"TransfereGOV",
ROUND(OFFSET($P129,0,AI$13),15-13*ORÇAMENTO!$AF$7)/$H129*OFFSET(ORÇAMENTO!$X$15,ROW(AI129)-ROW(AI$15),0),
ROUND(ROUND(OFFSET($P129,0,AI$13),15-13*ORÇAMENTO!$AF$7)*OFFSET(ORÇAMENTO!$W$15,ROW(AI129)-ROW(AI$15),0),15-13*ORÇAMENTO!$AF$11)),0)</f>
        <v>0</v>
      </c>
      <c r="AJ129" s="545">
        <f ca="1">IF(AND($D129="Serviço",AJ$12&lt;&gt;0,$H129&gt;0,OR(AUTOEVENTO&lt;&gt;"manual",$M129&lt;&gt;1)),
IF(Import.TipoArredondamento&lt;&gt;"TransfereGOV",
ROUND(OFFSET($P129,0,AJ$13),15-13*ORÇAMENTO!$AF$7)/$H129*OFFSET(ORÇAMENTO!$X$15,ROW(AJ129)-ROW(AJ$15),0),
ROUND(ROUND(OFFSET($P129,0,AJ$13),15-13*ORÇAMENTO!$AF$7)*OFFSET(ORÇAMENTO!$W$15,ROW(AJ129)-ROW(AJ$15),0),15-13*ORÇAMENTO!$AF$11)),0)</f>
        <v>0</v>
      </c>
      <c r="AK129" s="546">
        <f ca="1">IF(AND($D129="Serviço",AK$12&lt;&gt;0,$H129&gt;0,OR(AUTOEVENTO&lt;&gt;"manual",$M129&lt;&gt;1)),
IF(Import.TipoArredondamento&lt;&gt;"TransfereGOV",
ROUND(OFFSET($P129,0,AK$13),15-13*ORÇAMENTO!$AF$7)/$H129*OFFSET(ORÇAMENTO!$X$15,ROW(AK129)-ROW(AK$15),0),
ROUND(ROUND(OFFSET($P129,0,AK$13),15-13*ORÇAMENTO!$AF$7)*OFFSET(ORÇAMENTO!$W$15,ROW(AK129)-ROW(AK$15),0),15-13*ORÇAMENTO!$AF$11)),0)</f>
        <v>0</v>
      </c>
      <c r="AM129" s="181">
        <f ca="1">IF($D129&lt;&gt;"Serviço",0,IF(AND(AUTOEVENTO="Manual",$M129=1),0,IF(OFFSET(CRONOPLE!$F$14,$M129,AM$13)="",10^12,OFFSET(CRONOPLE!$F$14,$M129,AM$13))))</f>
        <v>1000000000000</v>
      </c>
      <c r="AN129" s="181">
        <f ca="1">IF($D129&lt;&gt;"Serviço",0,IF(AND(AUTOEVENTO="Manual",$M129=1),0,IF(OFFSET(CRONOPLE!$F$14,$M129,AN$13)="",10^12,OFFSET(CRONOPLE!$F$14,$M129,AN$13))))</f>
        <v>1000000000000</v>
      </c>
      <c r="AO129" s="181">
        <f ca="1">IF($D129&lt;&gt;"Serviço",0,IF(AND(AUTOEVENTO="Manual",$M129=1),0,IF(OFFSET(CRONOPLE!$F$14,$M129,AO$13)="",10^12,OFFSET(CRONOPLE!$F$14,$M129,AO$13))))</f>
        <v>1000000000000</v>
      </c>
      <c r="AP129" s="181">
        <f ca="1">IF($D129&lt;&gt;"Serviço",0,IF(AND(AUTOEVENTO="Manual",$M129=1),0,IF(OFFSET(CRONOPLE!$F$14,$M129,AP$13)="",10^12,OFFSET(CRONOPLE!$F$14,$M129,AP$13))))</f>
        <v>1000000000000</v>
      </c>
      <c r="AQ129" s="181">
        <f ca="1">IF($D129&lt;&gt;"Serviço",0,IF(AND(AUTOEVENTO="Manual",$M129=1),0,IF(OFFSET(CRONOPLE!$F$14,$M129,AQ$13)="",10^12,OFFSET(CRONOPLE!$F$14,$M129,AQ$13))))</f>
        <v>1000000000000</v>
      </c>
      <c r="AR129" s="181">
        <f ca="1">IF($D129&lt;&gt;"Serviço",0,IF(AND(AUTOEVENTO="Manual",$M129=1),0,IF(OFFSET(CRONOPLE!$F$14,$M129,AR$13)="",10^12,OFFSET(CRONOPLE!$F$14,$M129,AR$13))))</f>
        <v>1000000000000</v>
      </c>
      <c r="AS129" s="181">
        <f ca="1">IF($D129&lt;&gt;"Serviço",0,IF(AND(AUTOEVENTO="Manual",$M129=1),0,IF(OFFSET(CRONOPLE!$F$14,$M129,AS$13)="",10^12,OFFSET(CRONOPLE!$F$14,$M129,AS$13))))</f>
        <v>1000000000000</v>
      </c>
      <c r="AT129" s="181">
        <f ca="1">IF($D129&lt;&gt;"Serviço",0,IF(AND(AUTOEVENTO="Manual",$M129=1),0,IF(OFFSET(CRONOPLE!$F$14,$M129,AT$13)="",10^12,OFFSET(CRONOPLE!$F$14,$M129,AT$13))))</f>
        <v>1000000000000</v>
      </c>
      <c r="AU129" s="181">
        <f ca="1">IF($D129&lt;&gt;"Serviço",0,IF(AND(AUTOEVENTO="Manual",$M129=1),0,IF(OFFSET(CRONOPLE!$F$14,$M129,AU$13)="",10^12,OFFSET(CRONOPLE!$F$14,$M129,AU$13))))</f>
        <v>1000000000000</v>
      </c>
      <c r="AV129" s="181">
        <f ca="1">IF($D129&lt;&gt;"Serviço",0,IF(AND(AUTOEVENTO="Manual",$M129=1),0,IF(OFFSET(CRONOPLE!$F$14,$M129,AV$13)="",10^12,OFFSET(CRONOPLE!$F$14,$M129,AV$13))))</f>
        <v>1000000000000</v>
      </c>
      <c r="AX129" s="182">
        <f ca="1">IF($D129&lt;&gt;"Serviço",0,IF(OR(AND(AUTOEVENTO="Manual",$M129=1),$M129&gt;(ROW(PLE.lastrow)-ROW(PLE.firstrow))),0,IF(OFFSET(PLE!$G$14,$M129,AX$13)="",10^12,OFFSET(PLE!$G$14,$M129,AX$13))))</f>
        <v>1000000000000</v>
      </c>
      <c r="AY129" s="182">
        <f ca="1">IF($D129&lt;&gt;"Serviço",0,IF(OR(AND(AUTOEVENTO="Manual",$M129=1),$M129&gt;(ROW(PLE.lastrow)-ROW(PLE.firstrow))),0,IF(OFFSET(PLE!$G$14,$M129,AY$13)="",10^12,OFFSET(PLE!$G$14,$M129,AY$13))))</f>
        <v>1000000000000</v>
      </c>
      <c r="AZ129" s="182">
        <f ca="1">IF($D129&lt;&gt;"Serviço",0,IF(OR(AND(AUTOEVENTO="Manual",$M129=1),$M129&gt;(ROW(PLE.lastrow)-ROW(PLE.firstrow))),0,IF(OFFSET(PLE!$G$14,$M129,AZ$13)="",10^12,OFFSET(PLE!$G$14,$M129,AZ$13))))</f>
        <v>1000000000000</v>
      </c>
      <c r="BA129" s="182">
        <f ca="1">IF($D129&lt;&gt;"Serviço",0,IF(OR(AND(AUTOEVENTO="Manual",$M129=1),$M129&gt;(ROW(PLE.lastrow)-ROW(PLE.firstrow))),0,IF(OFFSET(PLE!$G$14,$M129,BA$13)="",10^12,OFFSET(PLE!$G$14,$M129,BA$13))))</f>
        <v>1000000000000</v>
      </c>
      <c r="BB129" s="182">
        <f ca="1">IF($D129&lt;&gt;"Serviço",0,IF(OR(AND(AUTOEVENTO="Manual",$M129=1),$M129&gt;(ROW(PLE.lastrow)-ROW(PLE.firstrow))),0,IF(OFFSET(PLE!$G$14,$M129,BB$13)="",10^12,OFFSET(PLE!$G$14,$M129,BB$13))))</f>
        <v>1000000000000</v>
      </c>
      <c r="BC129" s="182">
        <f ca="1">IF($D129&lt;&gt;"Serviço",0,IF(OR(AND(AUTOEVENTO="Manual",$M129=1),$M129&gt;(ROW(PLE.lastrow)-ROW(PLE.firstrow))),0,IF(OFFSET(PLE!$G$14,$M129,BC$13)="",10^12,OFFSET(PLE!$G$14,$M129,BC$13))))</f>
        <v>1000000000000</v>
      </c>
      <c r="BD129" s="182">
        <f ca="1">IF($D129&lt;&gt;"Serviço",0,IF(OR(AND(AUTOEVENTO="Manual",$M129=1),$M129&gt;(ROW(PLE.lastrow)-ROW(PLE.firstrow))),0,IF(OFFSET(PLE!$G$14,$M129,BD$13)="",10^12,OFFSET(PLE!$G$14,$M129,BD$13))))</f>
        <v>1000000000000</v>
      </c>
      <c r="BE129" s="182">
        <f ca="1">IF($D129&lt;&gt;"Serviço",0,IF(OR(AND(AUTOEVENTO="Manual",$M129=1),$M129&gt;(ROW(PLE.lastrow)-ROW(PLE.firstrow))),0,IF(OFFSET(PLE!$G$14,$M129,BE$13)="",10^12,OFFSET(PLE!$G$14,$M129,BE$13))))</f>
        <v>1000000000000</v>
      </c>
      <c r="BF129" s="182">
        <f ca="1">IF($D129&lt;&gt;"Serviço",0,IF(OR(AND(AUTOEVENTO="Manual",$M129=1),$M129&gt;(ROW(PLE.lastrow)-ROW(PLE.firstrow))),0,IF(OFFSET(PLE!$G$14,$M129,BF$13)="",10^12,OFFSET(PLE!$G$14,$M129,BF$13))))</f>
        <v>1000000000000</v>
      </c>
      <c r="BG129" s="182">
        <f ca="1">IF($D129&lt;&gt;"Serviço",0,IF(OR(AND(AUTOEVENTO="Manual",$M129=1),$M129&gt;(ROW(PLE.lastrow)-ROW(PLE.firstrow))),0,IF(OFFSET(PLE!$G$14,$M129,BG$13)="",10^12,OFFSET(PLE!$G$14,$M129,BG$13))))</f>
        <v>1000000000000</v>
      </c>
    </row>
    <row r="130" spans="1:59" ht="25.5" x14ac:dyDescent="0.2">
      <c r="A130" s="7" t="str">
        <f ca="1">IF(AUTOEVENTO="Manual",IF(K130&lt;&gt;"",MIN(VALUE(LEFT(K130,FIND(".",K130)-1)),COUNTA(EVENTOS.Lista)),0),IF(OR($B130&gt;AUTOEVENTO,$B130="S",$B130=0),SUBSTITUTE(OFFSET($A130,-1,0),IF($D130="Serviço",".",""),""),ROW(A130)-ROW($A$15)&amp;"."))</f>
        <v>71</v>
      </c>
      <c r="B130" s="7" t="str">
        <f ca="1">OFFSET(ORÇAMENTO!C$15,ROW(B130)-ROW(B$15),0)</f>
        <v>S</v>
      </c>
      <c r="C130" s="7" t="str">
        <f ca="1">OFFSET(ORÇAMENTO!L$15,ROW(C130)-ROW(C$15),0)</f>
        <v>F</v>
      </c>
      <c r="D130" s="118" t="str">
        <f ca="1">OFFSET(ORÇAMENTO!N$15,ROW(D130)-ROW(D$15),0)</f>
        <v>Serviço</v>
      </c>
      <c r="E130" s="119" t="str">
        <f ca="1">OFFSET(ORÇAMENTO!O$15,ROW(E130)-ROW(E$15),0)</f>
        <v>1.6.8.6.</v>
      </c>
      <c r="F130" s="172" t="str">
        <f ca="1">OFFSET(ORÇAMENTO!R$15,ROW(F130)-ROW(F$15),0)</f>
        <v>(abra o arquivo 'Referência 03-2024.xlsm)</v>
      </c>
      <c r="G130" s="173" t="str">
        <f ca="1">IF($D130&lt;&gt;"Serviço","",OFFSET(ORÇAMENTO!S$15,ROW(G130)-ROW(G$15),0))</f>
        <v>-</v>
      </c>
      <c r="H130" s="124">
        <f ca="1">IF($D130&lt;&gt;"Serviço",0,IF(ACOMPANHAMENTO="BM",ROUND(OFFSET(ORÇAMENTO!AJ$15,ROW(H130)-ROW(H$15),0),15-13*ORÇAMENTO!$AF$7),SUMPRODUCT(($Q$12:$AA$12&lt;&gt;"")*ROUND($Q130:$AA130,15-13*ORÇAMENTO!$AF$7))))</f>
        <v>22</v>
      </c>
      <c r="I130" s="561"/>
      <c r="K130" s="174"/>
      <c r="L130" s="175" t="s">
        <v>255</v>
      </c>
      <c r="M130" s="176">
        <f ca="1">IF($D130&lt;&gt;"Serviço","",IF(AUTOEVENTO="manual",$A130,IF(ISERROR(MATCH($A130,$A$15:OFFSET($A130,-1,0),0)),MAX($M$15:OFFSET(M130,-1,0))+1,INDEX($M$15:OFFSET(M130,-1,0),MATCH($A130,$A$15:OFFSET($A130,-1,0),0)))))</f>
        <v>7</v>
      </c>
      <c r="N130" s="177" t="str">
        <f ca="1">IF($D130&lt;&gt;"Serviço","",IF(AUTOEVENTO="Manual",IF($A130=0,"&lt;-- defina o número do agrupador",OFFSET(EVENTOS!$D$14,$A130,0)),OFFSET($F$15,$A130,0)))</f>
        <v>SANITÁRIO PÚBLICO ACESSÍVEL</v>
      </c>
      <c r="O130" s="178"/>
      <c r="Q130" s="178"/>
      <c r="R130" s="179"/>
      <c r="S130" s="179"/>
      <c r="T130" s="179"/>
      <c r="U130" s="179"/>
      <c r="V130" s="179"/>
      <c r="W130" s="179"/>
      <c r="X130" s="179"/>
      <c r="Y130" s="179"/>
      <c r="Z130" s="180"/>
      <c r="AB130" s="544">
        <f ca="1">IF(AND($D130="Serviço",AB$12&lt;&gt;0,$H130&gt;0,OR(AUTOEVENTO&lt;&gt;"manual",$M130&lt;&gt;1)),
IF(Import.TipoArredondamento&lt;&gt;"TransfereGOV",
ROUND(OFFSET($P130,0,AB$13),15-13*ORÇAMENTO!$AF$7)/$H130*OFFSET(ORÇAMENTO!$X$15,ROW(AB130)-ROW(AB$15),0),
ROUND(ROUND(OFFSET($P130,0,AB$13),15-13*ORÇAMENTO!$AF$7)*OFFSET(ORÇAMENTO!$W$15,ROW(AB130)-ROW(AB$15),0),15-13*ORÇAMENTO!$AF$11)),0)</f>
        <v>0</v>
      </c>
      <c r="AC130" s="545">
        <f ca="1">IF(AND($D130="Serviço",AC$12&lt;&gt;0,$H130&gt;0,OR(AUTOEVENTO&lt;&gt;"manual",$M130&lt;&gt;1)),
IF(Import.TipoArredondamento&lt;&gt;"TransfereGOV",
ROUND(OFFSET($P130,0,AC$13),15-13*ORÇAMENTO!$AF$7)/$H130*OFFSET(ORÇAMENTO!$X$15,ROW(AC130)-ROW(AC$15),0),
ROUND(ROUND(OFFSET($P130,0,AC$13),15-13*ORÇAMENTO!$AF$7)*OFFSET(ORÇAMENTO!$W$15,ROW(AC130)-ROW(AC$15),0),15-13*ORÇAMENTO!$AF$11)),0)</f>
        <v>0</v>
      </c>
      <c r="AD130" s="545">
        <f ca="1">IF(AND($D130="Serviço",AD$12&lt;&gt;0,$H130&gt;0,OR(AUTOEVENTO&lt;&gt;"manual",$M130&lt;&gt;1)),
IF(Import.TipoArredondamento&lt;&gt;"TransfereGOV",
ROUND(OFFSET($P130,0,AD$13),15-13*ORÇAMENTO!$AF$7)/$H130*OFFSET(ORÇAMENTO!$X$15,ROW(AD130)-ROW(AD$15),0),
ROUND(ROUND(OFFSET($P130,0,AD$13),15-13*ORÇAMENTO!$AF$7)*OFFSET(ORÇAMENTO!$W$15,ROW(AD130)-ROW(AD$15),0),15-13*ORÇAMENTO!$AF$11)),0)</f>
        <v>0</v>
      </c>
      <c r="AE130" s="545">
        <f ca="1">IF(AND($D130="Serviço",AE$12&lt;&gt;0,$H130&gt;0,OR(AUTOEVENTO&lt;&gt;"manual",$M130&lt;&gt;1)),
IF(Import.TipoArredondamento&lt;&gt;"TransfereGOV",
ROUND(OFFSET($P130,0,AE$13),15-13*ORÇAMENTO!$AF$7)/$H130*OFFSET(ORÇAMENTO!$X$15,ROW(AE130)-ROW(AE$15),0),
ROUND(ROUND(OFFSET($P130,0,AE$13),15-13*ORÇAMENTO!$AF$7)*OFFSET(ORÇAMENTO!$W$15,ROW(AE130)-ROW(AE$15),0),15-13*ORÇAMENTO!$AF$11)),0)</f>
        <v>0</v>
      </c>
      <c r="AF130" s="545">
        <f ca="1">IF(AND($D130="Serviço",AF$12&lt;&gt;0,$H130&gt;0,OR(AUTOEVENTO&lt;&gt;"manual",$M130&lt;&gt;1)),
IF(Import.TipoArredondamento&lt;&gt;"TransfereGOV",
ROUND(OFFSET($P130,0,AF$13),15-13*ORÇAMENTO!$AF$7)/$H130*OFFSET(ORÇAMENTO!$X$15,ROW(AF130)-ROW(AF$15),0),
ROUND(ROUND(OFFSET($P130,0,AF$13),15-13*ORÇAMENTO!$AF$7)*OFFSET(ORÇAMENTO!$W$15,ROW(AF130)-ROW(AF$15),0),15-13*ORÇAMENTO!$AF$11)),0)</f>
        <v>0</v>
      </c>
      <c r="AG130" s="545">
        <f ca="1">IF(AND($D130="Serviço",AG$12&lt;&gt;0,$H130&gt;0,OR(AUTOEVENTO&lt;&gt;"manual",$M130&lt;&gt;1)),
IF(Import.TipoArredondamento&lt;&gt;"TransfereGOV",
ROUND(OFFSET($P130,0,AG$13),15-13*ORÇAMENTO!$AF$7)/$H130*OFFSET(ORÇAMENTO!$X$15,ROW(AG130)-ROW(AG$15),0),
ROUND(ROUND(OFFSET($P130,0,AG$13),15-13*ORÇAMENTO!$AF$7)*OFFSET(ORÇAMENTO!$W$15,ROW(AG130)-ROW(AG$15),0),15-13*ORÇAMENTO!$AF$11)),0)</f>
        <v>0</v>
      </c>
      <c r="AH130" s="545">
        <f ca="1">IF(AND($D130="Serviço",AH$12&lt;&gt;0,$H130&gt;0,OR(AUTOEVENTO&lt;&gt;"manual",$M130&lt;&gt;1)),
IF(Import.TipoArredondamento&lt;&gt;"TransfereGOV",
ROUND(OFFSET($P130,0,AH$13),15-13*ORÇAMENTO!$AF$7)/$H130*OFFSET(ORÇAMENTO!$X$15,ROW(AH130)-ROW(AH$15),0),
ROUND(ROUND(OFFSET($P130,0,AH$13),15-13*ORÇAMENTO!$AF$7)*OFFSET(ORÇAMENTO!$W$15,ROW(AH130)-ROW(AH$15),0),15-13*ORÇAMENTO!$AF$11)),0)</f>
        <v>0</v>
      </c>
      <c r="AI130" s="545">
        <f ca="1">IF(AND($D130="Serviço",AI$12&lt;&gt;0,$H130&gt;0,OR(AUTOEVENTO&lt;&gt;"manual",$M130&lt;&gt;1)),
IF(Import.TipoArredondamento&lt;&gt;"TransfereGOV",
ROUND(OFFSET($P130,0,AI$13),15-13*ORÇAMENTO!$AF$7)/$H130*OFFSET(ORÇAMENTO!$X$15,ROW(AI130)-ROW(AI$15),0),
ROUND(ROUND(OFFSET($P130,0,AI$13),15-13*ORÇAMENTO!$AF$7)*OFFSET(ORÇAMENTO!$W$15,ROW(AI130)-ROW(AI$15),0),15-13*ORÇAMENTO!$AF$11)),0)</f>
        <v>0</v>
      </c>
      <c r="AJ130" s="545">
        <f ca="1">IF(AND($D130="Serviço",AJ$12&lt;&gt;0,$H130&gt;0,OR(AUTOEVENTO&lt;&gt;"manual",$M130&lt;&gt;1)),
IF(Import.TipoArredondamento&lt;&gt;"TransfereGOV",
ROUND(OFFSET($P130,0,AJ$13),15-13*ORÇAMENTO!$AF$7)/$H130*OFFSET(ORÇAMENTO!$X$15,ROW(AJ130)-ROW(AJ$15),0),
ROUND(ROUND(OFFSET($P130,0,AJ$13),15-13*ORÇAMENTO!$AF$7)*OFFSET(ORÇAMENTO!$W$15,ROW(AJ130)-ROW(AJ$15),0),15-13*ORÇAMENTO!$AF$11)),0)</f>
        <v>0</v>
      </c>
      <c r="AK130" s="546">
        <f ca="1">IF(AND($D130="Serviço",AK$12&lt;&gt;0,$H130&gt;0,OR(AUTOEVENTO&lt;&gt;"manual",$M130&lt;&gt;1)),
IF(Import.TipoArredondamento&lt;&gt;"TransfereGOV",
ROUND(OFFSET($P130,0,AK$13),15-13*ORÇAMENTO!$AF$7)/$H130*OFFSET(ORÇAMENTO!$X$15,ROW(AK130)-ROW(AK$15),0),
ROUND(ROUND(OFFSET($P130,0,AK$13),15-13*ORÇAMENTO!$AF$7)*OFFSET(ORÇAMENTO!$W$15,ROW(AK130)-ROW(AK$15),0),15-13*ORÇAMENTO!$AF$11)),0)</f>
        <v>0</v>
      </c>
      <c r="AM130" s="181">
        <f ca="1">IF($D130&lt;&gt;"Serviço",0,IF(AND(AUTOEVENTO="Manual",$M130=1),0,IF(OFFSET(CRONOPLE!$F$14,$M130,AM$13)="",10^12,OFFSET(CRONOPLE!$F$14,$M130,AM$13))))</f>
        <v>1000000000000</v>
      </c>
      <c r="AN130" s="181">
        <f ca="1">IF($D130&lt;&gt;"Serviço",0,IF(AND(AUTOEVENTO="Manual",$M130=1),0,IF(OFFSET(CRONOPLE!$F$14,$M130,AN$13)="",10^12,OFFSET(CRONOPLE!$F$14,$M130,AN$13))))</f>
        <v>1000000000000</v>
      </c>
      <c r="AO130" s="181">
        <f ca="1">IF($D130&lt;&gt;"Serviço",0,IF(AND(AUTOEVENTO="Manual",$M130=1),0,IF(OFFSET(CRONOPLE!$F$14,$M130,AO$13)="",10^12,OFFSET(CRONOPLE!$F$14,$M130,AO$13))))</f>
        <v>1000000000000</v>
      </c>
      <c r="AP130" s="181">
        <f ca="1">IF($D130&lt;&gt;"Serviço",0,IF(AND(AUTOEVENTO="Manual",$M130=1),0,IF(OFFSET(CRONOPLE!$F$14,$M130,AP$13)="",10^12,OFFSET(CRONOPLE!$F$14,$M130,AP$13))))</f>
        <v>1000000000000</v>
      </c>
      <c r="AQ130" s="181">
        <f ca="1">IF($D130&lt;&gt;"Serviço",0,IF(AND(AUTOEVENTO="Manual",$M130=1),0,IF(OFFSET(CRONOPLE!$F$14,$M130,AQ$13)="",10^12,OFFSET(CRONOPLE!$F$14,$M130,AQ$13))))</f>
        <v>1000000000000</v>
      </c>
      <c r="AR130" s="181">
        <f ca="1">IF($D130&lt;&gt;"Serviço",0,IF(AND(AUTOEVENTO="Manual",$M130=1),0,IF(OFFSET(CRONOPLE!$F$14,$M130,AR$13)="",10^12,OFFSET(CRONOPLE!$F$14,$M130,AR$13))))</f>
        <v>1000000000000</v>
      </c>
      <c r="AS130" s="181">
        <f ca="1">IF($D130&lt;&gt;"Serviço",0,IF(AND(AUTOEVENTO="Manual",$M130=1),0,IF(OFFSET(CRONOPLE!$F$14,$M130,AS$13)="",10^12,OFFSET(CRONOPLE!$F$14,$M130,AS$13))))</f>
        <v>1000000000000</v>
      </c>
      <c r="AT130" s="181">
        <f ca="1">IF($D130&lt;&gt;"Serviço",0,IF(AND(AUTOEVENTO="Manual",$M130=1),0,IF(OFFSET(CRONOPLE!$F$14,$M130,AT$13)="",10^12,OFFSET(CRONOPLE!$F$14,$M130,AT$13))))</f>
        <v>1000000000000</v>
      </c>
      <c r="AU130" s="181">
        <f ca="1">IF($D130&lt;&gt;"Serviço",0,IF(AND(AUTOEVENTO="Manual",$M130=1),0,IF(OFFSET(CRONOPLE!$F$14,$M130,AU$13)="",10^12,OFFSET(CRONOPLE!$F$14,$M130,AU$13))))</f>
        <v>1000000000000</v>
      </c>
      <c r="AV130" s="181">
        <f ca="1">IF($D130&lt;&gt;"Serviço",0,IF(AND(AUTOEVENTO="Manual",$M130=1),0,IF(OFFSET(CRONOPLE!$F$14,$M130,AV$13)="",10^12,OFFSET(CRONOPLE!$F$14,$M130,AV$13))))</f>
        <v>1000000000000</v>
      </c>
      <c r="AX130" s="182">
        <f ca="1">IF($D130&lt;&gt;"Serviço",0,IF(OR(AND(AUTOEVENTO="Manual",$M130=1),$M130&gt;(ROW(PLE.lastrow)-ROW(PLE.firstrow))),0,IF(OFFSET(PLE!$G$14,$M130,AX$13)="",10^12,OFFSET(PLE!$G$14,$M130,AX$13))))</f>
        <v>1000000000000</v>
      </c>
      <c r="AY130" s="182">
        <f ca="1">IF($D130&lt;&gt;"Serviço",0,IF(OR(AND(AUTOEVENTO="Manual",$M130=1),$M130&gt;(ROW(PLE.lastrow)-ROW(PLE.firstrow))),0,IF(OFFSET(PLE!$G$14,$M130,AY$13)="",10^12,OFFSET(PLE!$G$14,$M130,AY$13))))</f>
        <v>1000000000000</v>
      </c>
      <c r="AZ130" s="182">
        <f ca="1">IF($D130&lt;&gt;"Serviço",0,IF(OR(AND(AUTOEVENTO="Manual",$M130=1),$M130&gt;(ROW(PLE.lastrow)-ROW(PLE.firstrow))),0,IF(OFFSET(PLE!$G$14,$M130,AZ$13)="",10^12,OFFSET(PLE!$G$14,$M130,AZ$13))))</f>
        <v>1000000000000</v>
      </c>
      <c r="BA130" s="182">
        <f ca="1">IF($D130&lt;&gt;"Serviço",0,IF(OR(AND(AUTOEVENTO="Manual",$M130=1),$M130&gt;(ROW(PLE.lastrow)-ROW(PLE.firstrow))),0,IF(OFFSET(PLE!$G$14,$M130,BA$13)="",10^12,OFFSET(PLE!$G$14,$M130,BA$13))))</f>
        <v>1000000000000</v>
      </c>
      <c r="BB130" s="182">
        <f ca="1">IF($D130&lt;&gt;"Serviço",0,IF(OR(AND(AUTOEVENTO="Manual",$M130=1),$M130&gt;(ROW(PLE.lastrow)-ROW(PLE.firstrow))),0,IF(OFFSET(PLE!$G$14,$M130,BB$13)="",10^12,OFFSET(PLE!$G$14,$M130,BB$13))))</f>
        <v>1000000000000</v>
      </c>
      <c r="BC130" s="182">
        <f ca="1">IF($D130&lt;&gt;"Serviço",0,IF(OR(AND(AUTOEVENTO="Manual",$M130=1),$M130&gt;(ROW(PLE.lastrow)-ROW(PLE.firstrow))),0,IF(OFFSET(PLE!$G$14,$M130,BC$13)="",10^12,OFFSET(PLE!$G$14,$M130,BC$13))))</f>
        <v>1000000000000</v>
      </c>
      <c r="BD130" s="182">
        <f ca="1">IF($D130&lt;&gt;"Serviço",0,IF(OR(AND(AUTOEVENTO="Manual",$M130=1),$M130&gt;(ROW(PLE.lastrow)-ROW(PLE.firstrow))),0,IF(OFFSET(PLE!$G$14,$M130,BD$13)="",10^12,OFFSET(PLE!$G$14,$M130,BD$13))))</f>
        <v>1000000000000</v>
      </c>
      <c r="BE130" s="182">
        <f ca="1">IF($D130&lt;&gt;"Serviço",0,IF(OR(AND(AUTOEVENTO="Manual",$M130=1),$M130&gt;(ROW(PLE.lastrow)-ROW(PLE.firstrow))),0,IF(OFFSET(PLE!$G$14,$M130,BE$13)="",10^12,OFFSET(PLE!$G$14,$M130,BE$13))))</f>
        <v>1000000000000</v>
      </c>
      <c r="BF130" s="182">
        <f ca="1">IF($D130&lt;&gt;"Serviço",0,IF(OR(AND(AUTOEVENTO="Manual",$M130=1),$M130&gt;(ROW(PLE.lastrow)-ROW(PLE.firstrow))),0,IF(OFFSET(PLE!$G$14,$M130,BF$13)="",10^12,OFFSET(PLE!$G$14,$M130,BF$13))))</f>
        <v>1000000000000</v>
      </c>
      <c r="BG130" s="182">
        <f ca="1">IF($D130&lt;&gt;"Serviço",0,IF(OR(AND(AUTOEVENTO="Manual",$M130=1),$M130&gt;(ROW(PLE.lastrow)-ROW(PLE.firstrow))),0,IF(OFFSET(PLE!$G$14,$M130,BG$13)="",10^12,OFFSET(PLE!$G$14,$M130,BG$13))))</f>
        <v>1000000000000</v>
      </c>
    </row>
    <row r="131" spans="1:59" ht="12.75" x14ac:dyDescent="0.2">
      <c r="A131" s="7" t="str">
        <f t="shared" ca="1" si="9"/>
        <v>71</v>
      </c>
      <c r="B131" s="7">
        <f ca="1">OFFSET(ORÇAMENTO!C$15,ROW(B131)-ROW(B$15),0)</f>
        <v>3</v>
      </c>
      <c r="C131" s="7" t="str">
        <f ca="1">OFFSET(ORÇAMENTO!L$15,ROW(C131)-ROW(C$15),0)</f>
        <v>F</v>
      </c>
      <c r="D131" s="118" t="str">
        <f ca="1">OFFSET(ORÇAMENTO!N$15,ROW(D131)-ROW(D$15),0)</f>
        <v>Nível 3</v>
      </c>
      <c r="E131" s="119" t="str">
        <f ca="1">OFFSET(ORÇAMENTO!O$15,ROW(E131)-ROW(E$15),0)</f>
        <v>1.6.9.</v>
      </c>
      <c r="F131" s="172" t="str">
        <f ca="1">OFFSET(ORÇAMENTO!R$15,ROW(F131)-ROW(F$15),0)</f>
        <v>ESQUADRIAS</v>
      </c>
      <c r="G131" s="173" t="str">
        <f ca="1">IF($D131&lt;&gt;"Serviço","",OFFSET(ORÇAMENTO!S$15,ROW(G131)-ROW(G$15),0))</f>
        <v/>
      </c>
      <c r="H131" s="124">
        <f ca="1">IF($D131&lt;&gt;"Serviço",0,IF(ACOMPANHAMENTO="BM",ROUND(OFFSET(ORÇAMENTO!AJ$15,ROW(H131)-ROW(H$15),0),15-13*ORÇAMENTO!$AF$7),SUMPRODUCT(($Q$12:$AA$12&lt;&gt;"")*ROUND($Q131:$AA131,15-13*ORÇAMENTO!$AF$7))))</f>
        <v>0</v>
      </c>
      <c r="I131" s="561"/>
      <c r="K131" s="174"/>
      <c r="L131" s="175" t="s">
        <v>255</v>
      </c>
      <c r="M131" s="176" t="str">
        <f ca="1">IF($D131&lt;&gt;"Serviço","",IF(AUTOEVENTO="manual",$A131,IF(ISERROR(MATCH($A131,$A$15:OFFSET($A131,-1,0),0)),MAX($M$15:OFFSET(M131,-1,0))+1,INDEX($M$15:OFFSET(M131,-1,0),MATCH($A131,$A$15:OFFSET($A131,-1,0),0)))))</f>
        <v/>
      </c>
      <c r="N131" s="177" t="str">
        <f ca="1">IF($D131&lt;&gt;"Serviço","",IF(AUTOEVENTO="Manual",IF($A131=0,"&lt;-- defina o número do agrupador",OFFSET(EVENTOS!$D$14,$A131,0)),OFFSET($F$15,$A131,0)))</f>
        <v/>
      </c>
      <c r="O131" s="178"/>
      <c r="Q131" s="178"/>
      <c r="R131" s="179"/>
      <c r="S131" s="179"/>
      <c r="T131" s="179"/>
      <c r="U131" s="179"/>
      <c r="V131" s="179"/>
      <c r="W131" s="179"/>
      <c r="X131" s="179"/>
      <c r="Y131" s="179"/>
      <c r="Z131" s="180"/>
      <c r="AB131" s="544">
        <f ca="1">IF(AND($D131="Serviço",AB$12&lt;&gt;0,$H131&gt;0,OR(AUTOEVENTO&lt;&gt;"manual",$M131&lt;&gt;1)),
IF(Import.TipoArredondamento&lt;&gt;"TransfereGOV",
ROUND(OFFSET($P131,0,AB$13),15-13*ORÇAMENTO!$AF$7)/$H131*OFFSET(ORÇAMENTO!$X$15,ROW(AB131)-ROW(AB$15),0),
ROUND(ROUND(OFFSET($P131,0,AB$13),15-13*ORÇAMENTO!$AF$7)*OFFSET(ORÇAMENTO!$W$15,ROW(AB131)-ROW(AB$15),0),15-13*ORÇAMENTO!$AF$11)),0)</f>
        <v>0</v>
      </c>
      <c r="AC131" s="545">
        <f ca="1">IF(AND($D131="Serviço",AC$12&lt;&gt;0,$H131&gt;0,OR(AUTOEVENTO&lt;&gt;"manual",$M131&lt;&gt;1)),
IF(Import.TipoArredondamento&lt;&gt;"TransfereGOV",
ROUND(OFFSET($P131,0,AC$13),15-13*ORÇAMENTO!$AF$7)/$H131*OFFSET(ORÇAMENTO!$X$15,ROW(AC131)-ROW(AC$15),0),
ROUND(ROUND(OFFSET($P131,0,AC$13),15-13*ORÇAMENTO!$AF$7)*OFFSET(ORÇAMENTO!$W$15,ROW(AC131)-ROW(AC$15),0),15-13*ORÇAMENTO!$AF$11)),0)</f>
        <v>0</v>
      </c>
      <c r="AD131" s="545">
        <f ca="1">IF(AND($D131="Serviço",AD$12&lt;&gt;0,$H131&gt;0,OR(AUTOEVENTO&lt;&gt;"manual",$M131&lt;&gt;1)),
IF(Import.TipoArredondamento&lt;&gt;"TransfereGOV",
ROUND(OFFSET($P131,0,AD$13),15-13*ORÇAMENTO!$AF$7)/$H131*OFFSET(ORÇAMENTO!$X$15,ROW(AD131)-ROW(AD$15),0),
ROUND(ROUND(OFFSET($P131,0,AD$13),15-13*ORÇAMENTO!$AF$7)*OFFSET(ORÇAMENTO!$W$15,ROW(AD131)-ROW(AD$15),0),15-13*ORÇAMENTO!$AF$11)),0)</f>
        <v>0</v>
      </c>
      <c r="AE131" s="545">
        <f ca="1">IF(AND($D131="Serviço",AE$12&lt;&gt;0,$H131&gt;0,OR(AUTOEVENTO&lt;&gt;"manual",$M131&lt;&gt;1)),
IF(Import.TipoArredondamento&lt;&gt;"TransfereGOV",
ROUND(OFFSET($P131,0,AE$13),15-13*ORÇAMENTO!$AF$7)/$H131*OFFSET(ORÇAMENTO!$X$15,ROW(AE131)-ROW(AE$15),0),
ROUND(ROUND(OFFSET($P131,0,AE$13),15-13*ORÇAMENTO!$AF$7)*OFFSET(ORÇAMENTO!$W$15,ROW(AE131)-ROW(AE$15),0),15-13*ORÇAMENTO!$AF$11)),0)</f>
        <v>0</v>
      </c>
      <c r="AF131" s="545">
        <f ca="1">IF(AND($D131="Serviço",AF$12&lt;&gt;0,$H131&gt;0,OR(AUTOEVENTO&lt;&gt;"manual",$M131&lt;&gt;1)),
IF(Import.TipoArredondamento&lt;&gt;"TransfereGOV",
ROUND(OFFSET($P131,0,AF$13),15-13*ORÇAMENTO!$AF$7)/$H131*OFFSET(ORÇAMENTO!$X$15,ROW(AF131)-ROW(AF$15),0),
ROUND(ROUND(OFFSET($P131,0,AF$13),15-13*ORÇAMENTO!$AF$7)*OFFSET(ORÇAMENTO!$W$15,ROW(AF131)-ROW(AF$15),0),15-13*ORÇAMENTO!$AF$11)),0)</f>
        <v>0</v>
      </c>
      <c r="AG131" s="545">
        <f ca="1">IF(AND($D131="Serviço",AG$12&lt;&gt;0,$H131&gt;0,OR(AUTOEVENTO&lt;&gt;"manual",$M131&lt;&gt;1)),
IF(Import.TipoArredondamento&lt;&gt;"TransfereGOV",
ROUND(OFFSET($P131,0,AG$13),15-13*ORÇAMENTO!$AF$7)/$H131*OFFSET(ORÇAMENTO!$X$15,ROW(AG131)-ROW(AG$15),0),
ROUND(ROUND(OFFSET($P131,0,AG$13),15-13*ORÇAMENTO!$AF$7)*OFFSET(ORÇAMENTO!$W$15,ROW(AG131)-ROW(AG$15),0),15-13*ORÇAMENTO!$AF$11)),0)</f>
        <v>0</v>
      </c>
      <c r="AH131" s="545">
        <f ca="1">IF(AND($D131="Serviço",AH$12&lt;&gt;0,$H131&gt;0,OR(AUTOEVENTO&lt;&gt;"manual",$M131&lt;&gt;1)),
IF(Import.TipoArredondamento&lt;&gt;"TransfereGOV",
ROUND(OFFSET($P131,0,AH$13),15-13*ORÇAMENTO!$AF$7)/$H131*OFFSET(ORÇAMENTO!$X$15,ROW(AH131)-ROW(AH$15),0),
ROUND(ROUND(OFFSET($P131,0,AH$13),15-13*ORÇAMENTO!$AF$7)*OFFSET(ORÇAMENTO!$W$15,ROW(AH131)-ROW(AH$15),0),15-13*ORÇAMENTO!$AF$11)),0)</f>
        <v>0</v>
      </c>
      <c r="AI131" s="545">
        <f ca="1">IF(AND($D131="Serviço",AI$12&lt;&gt;0,$H131&gt;0,OR(AUTOEVENTO&lt;&gt;"manual",$M131&lt;&gt;1)),
IF(Import.TipoArredondamento&lt;&gt;"TransfereGOV",
ROUND(OFFSET($P131,0,AI$13),15-13*ORÇAMENTO!$AF$7)/$H131*OFFSET(ORÇAMENTO!$X$15,ROW(AI131)-ROW(AI$15),0),
ROUND(ROUND(OFFSET($P131,0,AI$13),15-13*ORÇAMENTO!$AF$7)*OFFSET(ORÇAMENTO!$W$15,ROW(AI131)-ROW(AI$15),0),15-13*ORÇAMENTO!$AF$11)),0)</f>
        <v>0</v>
      </c>
      <c r="AJ131" s="545">
        <f ca="1">IF(AND($D131="Serviço",AJ$12&lt;&gt;0,$H131&gt;0,OR(AUTOEVENTO&lt;&gt;"manual",$M131&lt;&gt;1)),
IF(Import.TipoArredondamento&lt;&gt;"TransfereGOV",
ROUND(OFFSET($P131,0,AJ$13),15-13*ORÇAMENTO!$AF$7)/$H131*OFFSET(ORÇAMENTO!$X$15,ROW(AJ131)-ROW(AJ$15),0),
ROUND(ROUND(OFFSET($P131,0,AJ$13),15-13*ORÇAMENTO!$AF$7)*OFFSET(ORÇAMENTO!$W$15,ROW(AJ131)-ROW(AJ$15),0),15-13*ORÇAMENTO!$AF$11)),0)</f>
        <v>0</v>
      </c>
      <c r="AK131" s="546">
        <f ca="1">IF(AND($D131="Serviço",AK$12&lt;&gt;0,$H131&gt;0,OR(AUTOEVENTO&lt;&gt;"manual",$M131&lt;&gt;1)),
IF(Import.TipoArredondamento&lt;&gt;"TransfereGOV",
ROUND(OFFSET($P131,0,AK$13),15-13*ORÇAMENTO!$AF$7)/$H131*OFFSET(ORÇAMENTO!$X$15,ROW(AK131)-ROW(AK$15),0),
ROUND(ROUND(OFFSET($P131,0,AK$13),15-13*ORÇAMENTO!$AF$7)*OFFSET(ORÇAMENTO!$W$15,ROW(AK131)-ROW(AK$15),0),15-13*ORÇAMENTO!$AF$11)),0)</f>
        <v>0</v>
      </c>
      <c r="AM131" s="181">
        <f ca="1">IF($D131&lt;&gt;"Serviço",0,IF(AND(AUTOEVENTO="Manual",$M131=1),0,IF(OFFSET(CRONOPLE!$F$14,$M131,AM$13)="",10^12,OFFSET(CRONOPLE!$F$14,$M131,AM$13))))</f>
        <v>0</v>
      </c>
      <c r="AN131" s="181">
        <f ca="1">IF($D131&lt;&gt;"Serviço",0,IF(AND(AUTOEVENTO="Manual",$M131=1),0,IF(OFFSET(CRONOPLE!$F$14,$M131,AN$13)="",10^12,OFFSET(CRONOPLE!$F$14,$M131,AN$13))))</f>
        <v>0</v>
      </c>
      <c r="AO131" s="181">
        <f ca="1">IF($D131&lt;&gt;"Serviço",0,IF(AND(AUTOEVENTO="Manual",$M131=1),0,IF(OFFSET(CRONOPLE!$F$14,$M131,AO$13)="",10^12,OFFSET(CRONOPLE!$F$14,$M131,AO$13))))</f>
        <v>0</v>
      </c>
      <c r="AP131" s="181">
        <f ca="1">IF($D131&lt;&gt;"Serviço",0,IF(AND(AUTOEVENTO="Manual",$M131=1),0,IF(OFFSET(CRONOPLE!$F$14,$M131,AP$13)="",10^12,OFFSET(CRONOPLE!$F$14,$M131,AP$13))))</f>
        <v>0</v>
      </c>
      <c r="AQ131" s="181">
        <f ca="1">IF($D131&lt;&gt;"Serviço",0,IF(AND(AUTOEVENTO="Manual",$M131=1),0,IF(OFFSET(CRONOPLE!$F$14,$M131,AQ$13)="",10^12,OFFSET(CRONOPLE!$F$14,$M131,AQ$13))))</f>
        <v>0</v>
      </c>
      <c r="AR131" s="181">
        <f ca="1">IF($D131&lt;&gt;"Serviço",0,IF(AND(AUTOEVENTO="Manual",$M131=1),0,IF(OFFSET(CRONOPLE!$F$14,$M131,AR$13)="",10^12,OFFSET(CRONOPLE!$F$14,$M131,AR$13))))</f>
        <v>0</v>
      </c>
      <c r="AS131" s="181">
        <f ca="1">IF($D131&lt;&gt;"Serviço",0,IF(AND(AUTOEVENTO="Manual",$M131=1),0,IF(OFFSET(CRONOPLE!$F$14,$M131,AS$13)="",10^12,OFFSET(CRONOPLE!$F$14,$M131,AS$13))))</f>
        <v>0</v>
      </c>
      <c r="AT131" s="181">
        <f ca="1">IF($D131&lt;&gt;"Serviço",0,IF(AND(AUTOEVENTO="Manual",$M131=1),0,IF(OFFSET(CRONOPLE!$F$14,$M131,AT$13)="",10^12,OFFSET(CRONOPLE!$F$14,$M131,AT$13))))</f>
        <v>0</v>
      </c>
      <c r="AU131" s="181">
        <f ca="1">IF($D131&lt;&gt;"Serviço",0,IF(AND(AUTOEVENTO="Manual",$M131=1),0,IF(OFFSET(CRONOPLE!$F$14,$M131,AU$13)="",10^12,OFFSET(CRONOPLE!$F$14,$M131,AU$13))))</f>
        <v>0</v>
      </c>
      <c r="AV131" s="181">
        <f ca="1">IF($D131&lt;&gt;"Serviço",0,IF(AND(AUTOEVENTO="Manual",$M131=1),0,IF(OFFSET(CRONOPLE!$F$14,$M131,AV$13)="",10^12,OFFSET(CRONOPLE!$F$14,$M131,AV$13))))</f>
        <v>0</v>
      </c>
      <c r="AX131" s="182">
        <f ca="1">IF($D131&lt;&gt;"Serviço",0,IF(OR(AND(AUTOEVENTO="Manual",$M131=1),$M131&gt;(ROW(PLE.lastrow)-ROW(PLE.firstrow))),0,IF(OFFSET(PLE!$G$14,$M131,AX$13)="",10^12,OFFSET(PLE!$G$14,$M131,AX$13))))</f>
        <v>0</v>
      </c>
      <c r="AY131" s="182">
        <f ca="1">IF($D131&lt;&gt;"Serviço",0,IF(OR(AND(AUTOEVENTO="Manual",$M131=1),$M131&gt;(ROW(PLE.lastrow)-ROW(PLE.firstrow))),0,IF(OFFSET(PLE!$G$14,$M131,AY$13)="",10^12,OFFSET(PLE!$G$14,$M131,AY$13))))</f>
        <v>0</v>
      </c>
      <c r="AZ131" s="182">
        <f ca="1">IF($D131&lt;&gt;"Serviço",0,IF(OR(AND(AUTOEVENTO="Manual",$M131=1),$M131&gt;(ROW(PLE.lastrow)-ROW(PLE.firstrow))),0,IF(OFFSET(PLE!$G$14,$M131,AZ$13)="",10^12,OFFSET(PLE!$G$14,$M131,AZ$13))))</f>
        <v>0</v>
      </c>
      <c r="BA131" s="182">
        <f ca="1">IF($D131&lt;&gt;"Serviço",0,IF(OR(AND(AUTOEVENTO="Manual",$M131=1),$M131&gt;(ROW(PLE.lastrow)-ROW(PLE.firstrow))),0,IF(OFFSET(PLE!$G$14,$M131,BA$13)="",10^12,OFFSET(PLE!$G$14,$M131,BA$13))))</f>
        <v>0</v>
      </c>
      <c r="BB131" s="182">
        <f ca="1">IF($D131&lt;&gt;"Serviço",0,IF(OR(AND(AUTOEVENTO="Manual",$M131=1),$M131&gt;(ROW(PLE.lastrow)-ROW(PLE.firstrow))),0,IF(OFFSET(PLE!$G$14,$M131,BB$13)="",10^12,OFFSET(PLE!$G$14,$M131,BB$13))))</f>
        <v>0</v>
      </c>
      <c r="BC131" s="182">
        <f ca="1">IF($D131&lt;&gt;"Serviço",0,IF(OR(AND(AUTOEVENTO="Manual",$M131=1),$M131&gt;(ROW(PLE.lastrow)-ROW(PLE.firstrow))),0,IF(OFFSET(PLE!$G$14,$M131,BC$13)="",10^12,OFFSET(PLE!$G$14,$M131,BC$13))))</f>
        <v>0</v>
      </c>
      <c r="BD131" s="182">
        <f ca="1">IF($D131&lt;&gt;"Serviço",0,IF(OR(AND(AUTOEVENTO="Manual",$M131=1),$M131&gt;(ROW(PLE.lastrow)-ROW(PLE.firstrow))),0,IF(OFFSET(PLE!$G$14,$M131,BD$13)="",10^12,OFFSET(PLE!$G$14,$M131,BD$13))))</f>
        <v>0</v>
      </c>
      <c r="BE131" s="182">
        <f ca="1">IF($D131&lt;&gt;"Serviço",0,IF(OR(AND(AUTOEVENTO="Manual",$M131=1),$M131&gt;(ROW(PLE.lastrow)-ROW(PLE.firstrow))),0,IF(OFFSET(PLE!$G$14,$M131,BE$13)="",10^12,OFFSET(PLE!$G$14,$M131,BE$13))))</f>
        <v>0</v>
      </c>
      <c r="BF131" s="182">
        <f ca="1">IF($D131&lt;&gt;"Serviço",0,IF(OR(AND(AUTOEVENTO="Manual",$M131=1),$M131&gt;(ROW(PLE.lastrow)-ROW(PLE.firstrow))),0,IF(OFFSET(PLE!$G$14,$M131,BF$13)="",10^12,OFFSET(PLE!$G$14,$M131,BF$13))))</f>
        <v>0</v>
      </c>
      <c r="BG131" s="182">
        <f ca="1">IF($D131&lt;&gt;"Serviço",0,IF(OR(AND(AUTOEVENTO="Manual",$M131=1),$M131&gt;(ROW(PLE.lastrow)-ROW(PLE.firstrow))),0,IF(OFFSET(PLE!$G$14,$M131,BG$13)="",10^12,OFFSET(PLE!$G$14,$M131,BG$13))))</f>
        <v>0</v>
      </c>
    </row>
    <row r="132" spans="1:59" ht="51" x14ac:dyDescent="0.2">
      <c r="A132" s="7" t="str">
        <f t="shared" ca="1" si="9"/>
        <v>71</v>
      </c>
      <c r="B132" s="7" t="str">
        <f ca="1">OFFSET(ORÇAMENTO!C$15,ROW(B132)-ROW(B$15),0)</f>
        <v>S</v>
      </c>
      <c r="C132" s="7" t="str">
        <f ca="1">OFFSET(ORÇAMENTO!L$15,ROW(C132)-ROW(C$15),0)</f>
        <v>F</v>
      </c>
      <c r="D132" s="118" t="str">
        <f ca="1">OFFSET(ORÇAMENTO!N$15,ROW(D132)-ROW(D$15),0)</f>
        <v>Serviço</v>
      </c>
      <c r="E132" s="119" t="str">
        <f ca="1">OFFSET(ORÇAMENTO!O$15,ROW(E132)-ROW(E$15),0)</f>
        <v>1.6.9.1.</v>
      </c>
      <c r="F132" s="172" t="str">
        <f ca="1">OFFSET(ORÇAMENTO!R$15,ROW(F132)-ROW(F$15),0)</f>
        <v>(abra o arquivo 'Referência 03-2024.xlsm)</v>
      </c>
      <c r="G132" s="173" t="str">
        <f ca="1">IF($D132&lt;&gt;"Serviço","",OFFSET(ORÇAMENTO!S$15,ROW(G132)-ROW(G$15),0))</f>
        <v>-</v>
      </c>
      <c r="H132" s="124">
        <f ca="1">IF($D132&lt;&gt;"Serviço",0,IF(ACOMPANHAMENTO="BM",ROUND(OFFSET(ORÇAMENTO!AJ$15,ROW(H132)-ROW(H$15),0),15-13*ORÇAMENTO!$AF$7),SUMPRODUCT(($Q$12:$AA$12&lt;&gt;"")*ROUND($Q132:$AA132,15-13*ORÇAMENTO!$AF$7))))</f>
        <v>2</v>
      </c>
      <c r="I132" s="561"/>
      <c r="K132" s="174"/>
      <c r="L132" s="175" t="s">
        <v>255</v>
      </c>
      <c r="M132" s="176">
        <f ca="1">IF($D132&lt;&gt;"Serviço","",IF(AUTOEVENTO="manual",$A132,IF(ISERROR(MATCH($A132,$A$15:OFFSET($A132,-1,0),0)),MAX($M$15:OFFSET(M132,-1,0))+1,INDEX($M$15:OFFSET(M132,-1,0),MATCH($A132,$A$15:OFFSET($A132,-1,0),0)))))</f>
        <v>7</v>
      </c>
      <c r="N132" s="177" t="str">
        <f ca="1">IF($D132&lt;&gt;"Serviço","",IF(AUTOEVENTO="Manual",IF($A132=0,"&lt;-- defina o número do agrupador",OFFSET(EVENTOS!$D$14,$A132,0)),OFFSET($F$15,$A132,0)))</f>
        <v>SANITÁRIO PÚBLICO ACESSÍVEL</v>
      </c>
      <c r="O132" s="178"/>
      <c r="Q132" s="178"/>
      <c r="R132" s="179"/>
      <c r="S132" s="179"/>
      <c r="T132" s="179"/>
      <c r="U132" s="179"/>
      <c r="V132" s="179"/>
      <c r="W132" s="179"/>
      <c r="X132" s="179"/>
      <c r="Y132" s="179"/>
      <c r="Z132" s="180"/>
      <c r="AB132" s="544">
        <f ca="1">IF(AND($D132="Serviço",AB$12&lt;&gt;0,$H132&gt;0,OR(AUTOEVENTO&lt;&gt;"manual",$M132&lt;&gt;1)),
IF(Import.TipoArredondamento&lt;&gt;"TransfereGOV",
ROUND(OFFSET($P132,0,AB$13),15-13*ORÇAMENTO!$AF$7)/$H132*OFFSET(ORÇAMENTO!$X$15,ROW(AB132)-ROW(AB$15),0),
ROUND(ROUND(OFFSET($P132,0,AB$13),15-13*ORÇAMENTO!$AF$7)*OFFSET(ORÇAMENTO!$W$15,ROW(AB132)-ROW(AB$15),0),15-13*ORÇAMENTO!$AF$11)),0)</f>
        <v>0</v>
      </c>
      <c r="AC132" s="545">
        <f ca="1">IF(AND($D132="Serviço",AC$12&lt;&gt;0,$H132&gt;0,OR(AUTOEVENTO&lt;&gt;"manual",$M132&lt;&gt;1)),
IF(Import.TipoArredondamento&lt;&gt;"TransfereGOV",
ROUND(OFFSET($P132,0,AC$13),15-13*ORÇAMENTO!$AF$7)/$H132*OFFSET(ORÇAMENTO!$X$15,ROW(AC132)-ROW(AC$15),0),
ROUND(ROUND(OFFSET($P132,0,AC$13),15-13*ORÇAMENTO!$AF$7)*OFFSET(ORÇAMENTO!$W$15,ROW(AC132)-ROW(AC$15),0),15-13*ORÇAMENTO!$AF$11)),0)</f>
        <v>0</v>
      </c>
      <c r="AD132" s="545">
        <f ca="1">IF(AND($D132="Serviço",AD$12&lt;&gt;0,$H132&gt;0,OR(AUTOEVENTO&lt;&gt;"manual",$M132&lt;&gt;1)),
IF(Import.TipoArredondamento&lt;&gt;"TransfereGOV",
ROUND(OFFSET($P132,0,AD$13),15-13*ORÇAMENTO!$AF$7)/$H132*OFFSET(ORÇAMENTO!$X$15,ROW(AD132)-ROW(AD$15),0),
ROUND(ROUND(OFFSET($P132,0,AD$13),15-13*ORÇAMENTO!$AF$7)*OFFSET(ORÇAMENTO!$W$15,ROW(AD132)-ROW(AD$15),0),15-13*ORÇAMENTO!$AF$11)),0)</f>
        <v>0</v>
      </c>
      <c r="AE132" s="545">
        <f ca="1">IF(AND($D132="Serviço",AE$12&lt;&gt;0,$H132&gt;0,OR(AUTOEVENTO&lt;&gt;"manual",$M132&lt;&gt;1)),
IF(Import.TipoArredondamento&lt;&gt;"TransfereGOV",
ROUND(OFFSET($P132,0,AE$13),15-13*ORÇAMENTO!$AF$7)/$H132*OFFSET(ORÇAMENTO!$X$15,ROW(AE132)-ROW(AE$15),0),
ROUND(ROUND(OFFSET($P132,0,AE$13),15-13*ORÇAMENTO!$AF$7)*OFFSET(ORÇAMENTO!$W$15,ROW(AE132)-ROW(AE$15),0),15-13*ORÇAMENTO!$AF$11)),0)</f>
        <v>0</v>
      </c>
      <c r="AF132" s="545">
        <f ca="1">IF(AND($D132="Serviço",AF$12&lt;&gt;0,$H132&gt;0,OR(AUTOEVENTO&lt;&gt;"manual",$M132&lt;&gt;1)),
IF(Import.TipoArredondamento&lt;&gt;"TransfereGOV",
ROUND(OFFSET($P132,0,AF$13),15-13*ORÇAMENTO!$AF$7)/$H132*OFFSET(ORÇAMENTO!$X$15,ROW(AF132)-ROW(AF$15),0),
ROUND(ROUND(OFFSET($P132,0,AF$13),15-13*ORÇAMENTO!$AF$7)*OFFSET(ORÇAMENTO!$W$15,ROW(AF132)-ROW(AF$15),0),15-13*ORÇAMENTO!$AF$11)),0)</f>
        <v>0</v>
      </c>
      <c r="AG132" s="545">
        <f ca="1">IF(AND($D132="Serviço",AG$12&lt;&gt;0,$H132&gt;0,OR(AUTOEVENTO&lt;&gt;"manual",$M132&lt;&gt;1)),
IF(Import.TipoArredondamento&lt;&gt;"TransfereGOV",
ROUND(OFFSET($P132,0,AG$13),15-13*ORÇAMENTO!$AF$7)/$H132*OFFSET(ORÇAMENTO!$X$15,ROW(AG132)-ROW(AG$15),0),
ROUND(ROUND(OFFSET($P132,0,AG$13),15-13*ORÇAMENTO!$AF$7)*OFFSET(ORÇAMENTO!$W$15,ROW(AG132)-ROW(AG$15),0),15-13*ORÇAMENTO!$AF$11)),0)</f>
        <v>0</v>
      </c>
      <c r="AH132" s="545">
        <f ca="1">IF(AND($D132="Serviço",AH$12&lt;&gt;0,$H132&gt;0,OR(AUTOEVENTO&lt;&gt;"manual",$M132&lt;&gt;1)),
IF(Import.TipoArredondamento&lt;&gt;"TransfereGOV",
ROUND(OFFSET($P132,0,AH$13),15-13*ORÇAMENTO!$AF$7)/$H132*OFFSET(ORÇAMENTO!$X$15,ROW(AH132)-ROW(AH$15),0),
ROUND(ROUND(OFFSET($P132,0,AH$13),15-13*ORÇAMENTO!$AF$7)*OFFSET(ORÇAMENTO!$W$15,ROW(AH132)-ROW(AH$15),0),15-13*ORÇAMENTO!$AF$11)),0)</f>
        <v>0</v>
      </c>
      <c r="AI132" s="545">
        <f ca="1">IF(AND($D132="Serviço",AI$12&lt;&gt;0,$H132&gt;0,OR(AUTOEVENTO&lt;&gt;"manual",$M132&lt;&gt;1)),
IF(Import.TipoArredondamento&lt;&gt;"TransfereGOV",
ROUND(OFFSET($P132,0,AI$13),15-13*ORÇAMENTO!$AF$7)/$H132*OFFSET(ORÇAMENTO!$X$15,ROW(AI132)-ROW(AI$15),0),
ROUND(ROUND(OFFSET($P132,0,AI$13),15-13*ORÇAMENTO!$AF$7)*OFFSET(ORÇAMENTO!$W$15,ROW(AI132)-ROW(AI$15),0),15-13*ORÇAMENTO!$AF$11)),0)</f>
        <v>0</v>
      </c>
      <c r="AJ132" s="545">
        <f ca="1">IF(AND($D132="Serviço",AJ$12&lt;&gt;0,$H132&gt;0,OR(AUTOEVENTO&lt;&gt;"manual",$M132&lt;&gt;1)),
IF(Import.TipoArredondamento&lt;&gt;"TransfereGOV",
ROUND(OFFSET($P132,0,AJ$13),15-13*ORÇAMENTO!$AF$7)/$H132*OFFSET(ORÇAMENTO!$X$15,ROW(AJ132)-ROW(AJ$15),0),
ROUND(ROUND(OFFSET($P132,0,AJ$13),15-13*ORÇAMENTO!$AF$7)*OFFSET(ORÇAMENTO!$W$15,ROW(AJ132)-ROW(AJ$15),0),15-13*ORÇAMENTO!$AF$11)),0)</f>
        <v>0</v>
      </c>
      <c r="AK132" s="546">
        <f ca="1">IF(AND($D132="Serviço",AK$12&lt;&gt;0,$H132&gt;0,OR(AUTOEVENTO&lt;&gt;"manual",$M132&lt;&gt;1)),
IF(Import.TipoArredondamento&lt;&gt;"TransfereGOV",
ROUND(OFFSET($P132,0,AK$13),15-13*ORÇAMENTO!$AF$7)/$H132*OFFSET(ORÇAMENTO!$X$15,ROW(AK132)-ROW(AK$15),0),
ROUND(ROUND(OFFSET($P132,0,AK$13),15-13*ORÇAMENTO!$AF$7)*OFFSET(ORÇAMENTO!$W$15,ROW(AK132)-ROW(AK$15),0),15-13*ORÇAMENTO!$AF$11)),0)</f>
        <v>0</v>
      </c>
      <c r="AM132" s="181">
        <f ca="1">IF($D132&lt;&gt;"Serviço",0,IF(AND(AUTOEVENTO="Manual",$M132=1),0,IF(OFFSET(CRONOPLE!$F$14,$M132,AM$13)="",10^12,OFFSET(CRONOPLE!$F$14,$M132,AM$13))))</f>
        <v>1000000000000</v>
      </c>
      <c r="AN132" s="181">
        <f ca="1">IF($D132&lt;&gt;"Serviço",0,IF(AND(AUTOEVENTO="Manual",$M132=1),0,IF(OFFSET(CRONOPLE!$F$14,$M132,AN$13)="",10^12,OFFSET(CRONOPLE!$F$14,$M132,AN$13))))</f>
        <v>1000000000000</v>
      </c>
      <c r="AO132" s="181">
        <f ca="1">IF($D132&lt;&gt;"Serviço",0,IF(AND(AUTOEVENTO="Manual",$M132=1),0,IF(OFFSET(CRONOPLE!$F$14,$M132,AO$13)="",10^12,OFFSET(CRONOPLE!$F$14,$M132,AO$13))))</f>
        <v>1000000000000</v>
      </c>
      <c r="AP132" s="181">
        <f ca="1">IF($D132&lt;&gt;"Serviço",0,IF(AND(AUTOEVENTO="Manual",$M132=1),0,IF(OFFSET(CRONOPLE!$F$14,$M132,AP$13)="",10^12,OFFSET(CRONOPLE!$F$14,$M132,AP$13))))</f>
        <v>1000000000000</v>
      </c>
      <c r="AQ132" s="181">
        <f ca="1">IF($D132&lt;&gt;"Serviço",0,IF(AND(AUTOEVENTO="Manual",$M132=1),0,IF(OFFSET(CRONOPLE!$F$14,$M132,AQ$13)="",10^12,OFFSET(CRONOPLE!$F$14,$M132,AQ$13))))</f>
        <v>1000000000000</v>
      </c>
      <c r="AR132" s="181">
        <f ca="1">IF($D132&lt;&gt;"Serviço",0,IF(AND(AUTOEVENTO="Manual",$M132=1),0,IF(OFFSET(CRONOPLE!$F$14,$M132,AR$13)="",10^12,OFFSET(CRONOPLE!$F$14,$M132,AR$13))))</f>
        <v>1000000000000</v>
      </c>
      <c r="AS132" s="181">
        <f ca="1">IF($D132&lt;&gt;"Serviço",0,IF(AND(AUTOEVENTO="Manual",$M132=1),0,IF(OFFSET(CRONOPLE!$F$14,$M132,AS$13)="",10^12,OFFSET(CRONOPLE!$F$14,$M132,AS$13))))</f>
        <v>1000000000000</v>
      </c>
      <c r="AT132" s="181">
        <f ca="1">IF($D132&lt;&gt;"Serviço",0,IF(AND(AUTOEVENTO="Manual",$M132=1),0,IF(OFFSET(CRONOPLE!$F$14,$M132,AT$13)="",10^12,OFFSET(CRONOPLE!$F$14,$M132,AT$13))))</f>
        <v>1000000000000</v>
      </c>
      <c r="AU132" s="181">
        <f ca="1">IF($D132&lt;&gt;"Serviço",0,IF(AND(AUTOEVENTO="Manual",$M132=1),0,IF(OFFSET(CRONOPLE!$F$14,$M132,AU$13)="",10^12,OFFSET(CRONOPLE!$F$14,$M132,AU$13))))</f>
        <v>1000000000000</v>
      </c>
      <c r="AV132" s="181">
        <f ca="1">IF($D132&lt;&gt;"Serviço",0,IF(AND(AUTOEVENTO="Manual",$M132=1),0,IF(OFFSET(CRONOPLE!$F$14,$M132,AV$13)="",10^12,OFFSET(CRONOPLE!$F$14,$M132,AV$13))))</f>
        <v>1000000000000</v>
      </c>
      <c r="AX132" s="182">
        <f ca="1">IF($D132&lt;&gt;"Serviço",0,IF(OR(AND(AUTOEVENTO="Manual",$M132=1),$M132&gt;(ROW(PLE.lastrow)-ROW(PLE.firstrow))),0,IF(OFFSET(PLE!$G$14,$M132,AX$13)="",10^12,OFFSET(PLE!$G$14,$M132,AX$13))))</f>
        <v>1000000000000</v>
      </c>
      <c r="AY132" s="182">
        <f ca="1">IF($D132&lt;&gt;"Serviço",0,IF(OR(AND(AUTOEVENTO="Manual",$M132=1),$M132&gt;(ROW(PLE.lastrow)-ROW(PLE.firstrow))),0,IF(OFFSET(PLE!$G$14,$M132,AY$13)="",10^12,OFFSET(PLE!$G$14,$M132,AY$13))))</f>
        <v>1000000000000</v>
      </c>
      <c r="AZ132" s="182">
        <f ca="1">IF($D132&lt;&gt;"Serviço",0,IF(OR(AND(AUTOEVENTO="Manual",$M132=1),$M132&gt;(ROW(PLE.lastrow)-ROW(PLE.firstrow))),0,IF(OFFSET(PLE!$G$14,$M132,AZ$13)="",10^12,OFFSET(PLE!$G$14,$M132,AZ$13))))</f>
        <v>1000000000000</v>
      </c>
      <c r="BA132" s="182">
        <f ca="1">IF($D132&lt;&gt;"Serviço",0,IF(OR(AND(AUTOEVENTO="Manual",$M132=1),$M132&gt;(ROW(PLE.lastrow)-ROW(PLE.firstrow))),0,IF(OFFSET(PLE!$G$14,$M132,BA$13)="",10^12,OFFSET(PLE!$G$14,$M132,BA$13))))</f>
        <v>1000000000000</v>
      </c>
      <c r="BB132" s="182">
        <f ca="1">IF($D132&lt;&gt;"Serviço",0,IF(OR(AND(AUTOEVENTO="Manual",$M132=1),$M132&gt;(ROW(PLE.lastrow)-ROW(PLE.firstrow))),0,IF(OFFSET(PLE!$G$14,$M132,BB$13)="",10^12,OFFSET(PLE!$G$14,$M132,BB$13))))</f>
        <v>1000000000000</v>
      </c>
      <c r="BC132" s="182">
        <f ca="1">IF($D132&lt;&gt;"Serviço",0,IF(OR(AND(AUTOEVENTO="Manual",$M132=1),$M132&gt;(ROW(PLE.lastrow)-ROW(PLE.firstrow))),0,IF(OFFSET(PLE!$G$14,$M132,BC$13)="",10^12,OFFSET(PLE!$G$14,$M132,BC$13))))</f>
        <v>1000000000000</v>
      </c>
      <c r="BD132" s="182">
        <f ca="1">IF($D132&lt;&gt;"Serviço",0,IF(OR(AND(AUTOEVENTO="Manual",$M132=1),$M132&gt;(ROW(PLE.lastrow)-ROW(PLE.firstrow))),0,IF(OFFSET(PLE!$G$14,$M132,BD$13)="",10^12,OFFSET(PLE!$G$14,$M132,BD$13))))</f>
        <v>1000000000000</v>
      </c>
      <c r="BE132" s="182">
        <f ca="1">IF($D132&lt;&gt;"Serviço",0,IF(OR(AND(AUTOEVENTO="Manual",$M132=1),$M132&gt;(ROW(PLE.lastrow)-ROW(PLE.firstrow))),0,IF(OFFSET(PLE!$G$14,$M132,BE$13)="",10^12,OFFSET(PLE!$G$14,$M132,BE$13))))</f>
        <v>1000000000000</v>
      </c>
      <c r="BF132" s="182">
        <f ca="1">IF($D132&lt;&gt;"Serviço",0,IF(OR(AND(AUTOEVENTO="Manual",$M132=1),$M132&gt;(ROW(PLE.lastrow)-ROW(PLE.firstrow))),0,IF(OFFSET(PLE!$G$14,$M132,BF$13)="",10^12,OFFSET(PLE!$G$14,$M132,BF$13))))</f>
        <v>1000000000000</v>
      </c>
      <c r="BG132" s="182">
        <f ca="1">IF($D132&lt;&gt;"Serviço",0,IF(OR(AND(AUTOEVENTO="Manual",$M132=1),$M132&gt;(ROW(PLE.lastrow)-ROW(PLE.firstrow))),0,IF(OFFSET(PLE!$G$14,$M132,BG$13)="",10^12,OFFSET(PLE!$G$14,$M132,BG$13))))</f>
        <v>1000000000000</v>
      </c>
    </row>
    <row r="133" spans="1:59" ht="38.25" x14ac:dyDescent="0.2">
      <c r="A133" s="7" t="str">
        <f t="shared" ca="1" si="9"/>
        <v>71</v>
      </c>
      <c r="B133" s="7" t="str">
        <f ca="1">OFFSET(ORÇAMENTO!C$15,ROW(B133)-ROW(B$15),0)</f>
        <v>S</v>
      </c>
      <c r="C133" s="7" t="str">
        <f ca="1">OFFSET(ORÇAMENTO!L$15,ROW(C133)-ROW(C$15),0)</f>
        <v>F</v>
      </c>
      <c r="D133" s="118" t="str">
        <f ca="1">OFFSET(ORÇAMENTO!N$15,ROW(D133)-ROW(D$15),0)</f>
        <v>Serviço</v>
      </c>
      <c r="E133" s="119" t="str">
        <f ca="1">OFFSET(ORÇAMENTO!O$15,ROW(E133)-ROW(E$15),0)</f>
        <v>1.6.9.2.</v>
      </c>
      <c r="F133" s="172" t="str">
        <f ca="1">OFFSET(ORÇAMENTO!R$15,ROW(F133)-ROW(F$15),0)</f>
        <v>(abra o arquivo 'Referência 03-2024.xlsm)</v>
      </c>
      <c r="G133" s="173" t="str">
        <f ca="1">IF($D133&lt;&gt;"Serviço","",OFFSET(ORÇAMENTO!S$15,ROW(G133)-ROW(G$15),0))</f>
        <v>-</v>
      </c>
      <c r="H133" s="124">
        <f ca="1">IF($D133&lt;&gt;"Serviço",0,IF(ACOMPANHAMENTO="BM",ROUND(OFFSET(ORÇAMENTO!AJ$15,ROW(H133)-ROW(H$15),0),15-13*ORÇAMENTO!$AF$7),SUMPRODUCT(($Q$12:$AA$12&lt;&gt;"")*ROUND($Q133:$AA133,15-13*ORÇAMENTO!$AF$7))))</f>
        <v>2</v>
      </c>
      <c r="I133" s="561"/>
      <c r="K133" s="174"/>
      <c r="L133" s="175" t="s">
        <v>255</v>
      </c>
      <c r="M133" s="176">
        <f ca="1">IF($D133&lt;&gt;"Serviço","",IF(AUTOEVENTO="manual",$A133,IF(ISERROR(MATCH($A133,$A$15:OFFSET($A133,-1,0),0)),MAX($M$15:OFFSET(M133,-1,0))+1,INDEX($M$15:OFFSET(M133,-1,0),MATCH($A133,$A$15:OFFSET($A133,-1,0),0)))))</f>
        <v>7</v>
      </c>
      <c r="N133" s="177" t="str">
        <f ca="1">IF($D133&lt;&gt;"Serviço","",IF(AUTOEVENTO="Manual",IF($A133=0,"&lt;-- defina o número do agrupador",OFFSET(EVENTOS!$D$14,$A133,0)),OFFSET($F$15,$A133,0)))</f>
        <v>SANITÁRIO PÚBLICO ACESSÍVEL</v>
      </c>
      <c r="O133" s="178"/>
      <c r="Q133" s="178"/>
      <c r="R133" s="179"/>
      <c r="S133" s="179"/>
      <c r="T133" s="179"/>
      <c r="U133" s="179"/>
      <c r="V133" s="179"/>
      <c r="W133" s="179"/>
      <c r="X133" s="179"/>
      <c r="Y133" s="179"/>
      <c r="Z133" s="180"/>
      <c r="AB133" s="544">
        <f ca="1">IF(AND($D133="Serviço",AB$12&lt;&gt;0,$H133&gt;0,OR(AUTOEVENTO&lt;&gt;"manual",$M133&lt;&gt;1)),
IF(Import.TipoArredondamento&lt;&gt;"TransfereGOV",
ROUND(OFFSET($P133,0,AB$13),15-13*ORÇAMENTO!$AF$7)/$H133*OFFSET(ORÇAMENTO!$X$15,ROW(AB133)-ROW(AB$15),0),
ROUND(ROUND(OFFSET($P133,0,AB$13),15-13*ORÇAMENTO!$AF$7)*OFFSET(ORÇAMENTO!$W$15,ROW(AB133)-ROW(AB$15),0),15-13*ORÇAMENTO!$AF$11)),0)</f>
        <v>0</v>
      </c>
      <c r="AC133" s="545">
        <f ca="1">IF(AND($D133="Serviço",AC$12&lt;&gt;0,$H133&gt;0,OR(AUTOEVENTO&lt;&gt;"manual",$M133&lt;&gt;1)),
IF(Import.TipoArredondamento&lt;&gt;"TransfereGOV",
ROUND(OFFSET($P133,0,AC$13),15-13*ORÇAMENTO!$AF$7)/$H133*OFFSET(ORÇAMENTO!$X$15,ROW(AC133)-ROW(AC$15),0),
ROUND(ROUND(OFFSET($P133,0,AC$13),15-13*ORÇAMENTO!$AF$7)*OFFSET(ORÇAMENTO!$W$15,ROW(AC133)-ROW(AC$15),0),15-13*ORÇAMENTO!$AF$11)),0)</f>
        <v>0</v>
      </c>
      <c r="AD133" s="545">
        <f ca="1">IF(AND($D133="Serviço",AD$12&lt;&gt;0,$H133&gt;0,OR(AUTOEVENTO&lt;&gt;"manual",$M133&lt;&gt;1)),
IF(Import.TipoArredondamento&lt;&gt;"TransfereGOV",
ROUND(OFFSET($P133,0,AD$13),15-13*ORÇAMENTO!$AF$7)/$H133*OFFSET(ORÇAMENTO!$X$15,ROW(AD133)-ROW(AD$15),0),
ROUND(ROUND(OFFSET($P133,0,AD$13),15-13*ORÇAMENTO!$AF$7)*OFFSET(ORÇAMENTO!$W$15,ROW(AD133)-ROW(AD$15),0),15-13*ORÇAMENTO!$AF$11)),0)</f>
        <v>0</v>
      </c>
      <c r="AE133" s="545">
        <f ca="1">IF(AND($D133="Serviço",AE$12&lt;&gt;0,$H133&gt;0,OR(AUTOEVENTO&lt;&gt;"manual",$M133&lt;&gt;1)),
IF(Import.TipoArredondamento&lt;&gt;"TransfereGOV",
ROUND(OFFSET($P133,0,AE$13),15-13*ORÇAMENTO!$AF$7)/$H133*OFFSET(ORÇAMENTO!$X$15,ROW(AE133)-ROW(AE$15),0),
ROUND(ROUND(OFFSET($P133,0,AE$13),15-13*ORÇAMENTO!$AF$7)*OFFSET(ORÇAMENTO!$W$15,ROW(AE133)-ROW(AE$15),0),15-13*ORÇAMENTO!$AF$11)),0)</f>
        <v>0</v>
      </c>
      <c r="AF133" s="545">
        <f ca="1">IF(AND($D133="Serviço",AF$12&lt;&gt;0,$H133&gt;0,OR(AUTOEVENTO&lt;&gt;"manual",$M133&lt;&gt;1)),
IF(Import.TipoArredondamento&lt;&gt;"TransfereGOV",
ROUND(OFFSET($P133,0,AF$13),15-13*ORÇAMENTO!$AF$7)/$H133*OFFSET(ORÇAMENTO!$X$15,ROW(AF133)-ROW(AF$15),0),
ROUND(ROUND(OFFSET($P133,0,AF$13),15-13*ORÇAMENTO!$AF$7)*OFFSET(ORÇAMENTO!$W$15,ROW(AF133)-ROW(AF$15),0),15-13*ORÇAMENTO!$AF$11)),0)</f>
        <v>0</v>
      </c>
      <c r="AG133" s="545">
        <f ca="1">IF(AND($D133="Serviço",AG$12&lt;&gt;0,$H133&gt;0,OR(AUTOEVENTO&lt;&gt;"manual",$M133&lt;&gt;1)),
IF(Import.TipoArredondamento&lt;&gt;"TransfereGOV",
ROUND(OFFSET($P133,0,AG$13),15-13*ORÇAMENTO!$AF$7)/$H133*OFFSET(ORÇAMENTO!$X$15,ROW(AG133)-ROW(AG$15),0),
ROUND(ROUND(OFFSET($P133,0,AG$13),15-13*ORÇAMENTO!$AF$7)*OFFSET(ORÇAMENTO!$W$15,ROW(AG133)-ROW(AG$15),0),15-13*ORÇAMENTO!$AF$11)),0)</f>
        <v>0</v>
      </c>
      <c r="AH133" s="545">
        <f ca="1">IF(AND($D133="Serviço",AH$12&lt;&gt;0,$H133&gt;0,OR(AUTOEVENTO&lt;&gt;"manual",$M133&lt;&gt;1)),
IF(Import.TipoArredondamento&lt;&gt;"TransfereGOV",
ROUND(OFFSET($P133,0,AH$13),15-13*ORÇAMENTO!$AF$7)/$H133*OFFSET(ORÇAMENTO!$X$15,ROW(AH133)-ROW(AH$15),0),
ROUND(ROUND(OFFSET($P133,0,AH$13),15-13*ORÇAMENTO!$AF$7)*OFFSET(ORÇAMENTO!$W$15,ROW(AH133)-ROW(AH$15),0),15-13*ORÇAMENTO!$AF$11)),0)</f>
        <v>0</v>
      </c>
      <c r="AI133" s="545">
        <f ca="1">IF(AND($D133="Serviço",AI$12&lt;&gt;0,$H133&gt;0,OR(AUTOEVENTO&lt;&gt;"manual",$M133&lt;&gt;1)),
IF(Import.TipoArredondamento&lt;&gt;"TransfereGOV",
ROUND(OFFSET($P133,0,AI$13),15-13*ORÇAMENTO!$AF$7)/$H133*OFFSET(ORÇAMENTO!$X$15,ROW(AI133)-ROW(AI$15),0),
ROUND(ROUND(OFFSET($P133,0,AI$13),15-13*ORÇAMENTO!$AF$7)*OFFSET(ORÇAMENTO!$W$15,ROW(AI133)-ROW(AI$15),0),15-13*ORÇAMENTO!$AF$11)),0)</f>
        <v>0</v>
      </c>
      <c r="AJ133" s="545">
        <f ca="1">IF(AND($D133="Serviço",AJ$12&lt;&gt;0,$H133&gt;0,OR(AUTOEVENTO&lt;&gt;"manual",$M133&lt;&gt;1)),
IF(Import.TipoArredondamento&lt;&gt;"TransfereGOV",
ROUND(OFFSET($P133,0,AJ$13),15-13*ORÇAMENTO!$AF$7)/$H133*OFFSET(ORÇAMENTO!$X$15,ROW(AJ133)-ROW(AJ$15),0),
ROUND(ROUND(OFFSET($P133,0,AJ$13),15-13*ORÇAMENTO!$AF$7)*OFFSET(ORÇAMENTO!$W$15,ROW(AJ133)-ROW(AJ$15),0),15-13*ORÇAMENTO!$AF$11)),0)</f>
        <v>0</v>
      </c>
      <c r="AK133" s="546">
        <f ca="1">IF(AND($D133="Serviço",AK$12&lt;&gt;0,$H133&gt;0,OR(AUTOEVENTO&lt;&gt;"manual",$M133&lt;&gt;1)),
IF(Import.TipoArredondamento&lt;&gt;"TransfereGOV",
ROUND(OFFSET($P133,0,AK$13),15-13*ORÇAMENTO!$AF$7)/$H133*OFFSET(ORÇAMENTO!$X$15,ROW(AK133)-ROW(AK$15),0),
ROUND(ROUND(OFFSET($P133,0,AK$13),15-13*ORÇAMENTO!$AF$7)*OFFSET(ORÇAMENTO!$W$15,ROW(AK133)-ROW(AK$15),0),15-13*ORÇAMENTO!$AF$11)),0)</f>
        <v>0</v>
      </c>
      <c r="AM133" s="181">
        <f ca="1">IF($D133&lt;&gt;"Serviço",0,IF(AND(AUTOEVENTO="Manual",$M133=1),0,IF(OFFSET(CRONOPLE!$F$14,$M133,AM$13)="",10^12,OFFSET(CRONOPLE!$F$14,$M133,AM$13))))</f>
        <v>1000000000000</v>
      </c>
      <c r="AN133" s="181">
        <f ca="1">IF($D133&lt;&gt;"Serviço",0,IF(AND(AUTOEVENTO="Manual",$M133=1),0,IF(OFFSET(CRONOPLE!$F$14,$M133,AN$13)="",10^12,OFFSET(CRONOPLE!$F$14,$M133,AN$13))))</f>
        <v>1000000000000</v>
      </c>
      <c r="AO133" s="181">
        <f ca="1">IF($D133&lt;&gt;"Serviço",0,IF(AND(AUTOEVENTO="Manual",$M133=1),0,IF(OFFSET(CRONOPLE!$F$14,$M133,AO$13)="",10^12,OFFSET(CRONOPLE!$F$14,$M133,AO$13))))</f>
        <v>1000000000000</v>
      </c>
      <c r="AP133" s="181">
        <f ca="1">IF($D133&lt;&gt;"Serviço",0,IF(AND(AUTOEVENTO="Manual",$M133=1),0,IF(OFFSET(CRONOPLE!$F$14,$M133,AP$13)="",10^12,OFFSET(CRONOPLE!$F$14,$M133,AP$13))))</f>
        <v>1000000000000</v>
      </c>
      <c r="AQ133" s="181">
        <f ca="1">IF($D133&lt;&gt;"Serviço",0,IF(AND(AUTOEVENTO="Manual",$M133=1),0,IF(OFFSET(CRONOPLE!$F$14,$M133,AQ$13)="",10^12,OFFSET(CRONOPLE!$F$14,$M133,AQ$13))))</f>
        <v>1000000000000</v>
      </c>
      <c r="AR133" s="181">
        <f ca="1">IF($D133&lt;&gt;"Serviço",0,IF(AND(AUTOEVENTO="Manual",$M133=1),0,IF(OFFSET(CRONOPLE!$F$14,$M133,AR$13)="",10^12,OFFSET(CRONOPLE!$F$14,$M133,AR$13))))</f>
        <v>1000000000000</v>
      </c>
      <c r="AS133" s="181">
        <f ca="1">IF($D133&lt;&gt;"Serviço",0,IF(AND(AUTOEVENTO="Manual",$M133=1),0,IF(OFFSET(CRONOPLE!$F$14,$M133,AS$13)="",10^12,OFFSET(CRONOPLE!$F$14,$M133,AS$13))))</f>
        <v>1000000000000</v>
      </c>
      <c r="AT133" s="181">
        <f ca="1">IF($D133&lt;&gt;"Serviço",0,IF(AND(AUTOEVENTO="Manual",$M133=1),0,IF(OFFSET(CRONOPLE!$F$14,$M133,AT$13)="",10^12,OFFSET(CRONOPLE!$F$14,$M133,AT$13))))</f>
        <v>1000000000000</v>
      </c>
      <c r="AU133" s="181">
        <f ca="1">IF($D133&lt;&gt;"Serviço",0,IF(AND(AUTOEVENTO="Manual",$M133=1),0,IF(OFFSET(CRONOPLE!$F$14,$M133,AU$13)="",10^12,OFFSET(CRONOPLE!$F$14,$M133,AU$13))))</f>
        <v>1000000000000</v>
      </c>
      <c r="AV133" s="181">
        <f ca="1">IF($D133&lt;&gt;"Serviço",0,IF(AND(AUTOEVENTO="Manual",$M133=1),0,IF(OFFSET(CRONOPLE!$F$14,$M133,AV$13)="",10^12,OFFSET(CRONOPLE!$F$14,$M133,AV$13))))</f>
        <v>1000000000000</v>
      </c>
      <c r="AX133" s="182">
        <f ca="1">IF($D133&lt;&gt;"Serviço",0,IF(OR(AND(AUTOEVENTO="Manual",$M133=1),$M133&gt;(ROW(PLE.lastrow)-ROW(PLE.firstrow))),0,IF(OFFSET(PLE!$G$14,$M133,AX$13)="",10^12,OFFSET(PLE!$G$14,$M133,AX$13))))</f>
        <v>1000000000000</v>
      </c>
      <c r="AY133" s="182">
        <f ca="1">IF($D133&lt;&gt;"Serviço",0,IF(OR(AND(AUTOEVENTO="Manual",$M133=1),$M133&gt;(ROW(PLE.lastrow)-ROW(PLE.firstrow))),0,IF(OFFSET(PLE!$G$14,$M133,AY$13)="",10^12,OFFSET(PLE!$G$14,$M133,AY$13))))</f>
        <v>1000000000000</v>
      </c>
      <c r="AZ133" s="182">
        <f ca="1">IF($D133&lt;&gt;"Serviço",0,IF(OR(AND(AUTOEVENTO="Manual",$M133=1),$M133&gt;(ROW(PLE.lastrow)-ROW(PLE.firstrow))),0,IF(OFFSET(PLE!$G$14,$M133,AZ$13)="",10^12,OFFSET(PLE!$G$14,$M133,AZ$13))))</f>
        <v>1000000000000</v>
      </c>
      <c r="BA133" s="182">
        <f ca="1">IF($D133&lt;&gt;"Serviço",0,IF(OR(AND(AUTOEVENTO="Manual",$M133=1),$M133&gt;(ROW(PLE.lastrow)-ROW(PLE.firstrow))),0,IF(OFFSET(PLE!$G$14,$M133,BA$13)="",10^12,OFFSET(PLE!$G$14,$M133,BA$13))))</f>
        <v>1000000000000</v>
      </c>
      <c r="BB133" s="182">
        <f ca="1">IF($D133&lt;&gt;"Serviço",0,IF(OR(AND(AUTOEVENTO="Manual",$M133=1),$M133&gt;(ROW(PLE.lastrow)-ROW(PLE.firstrow))),0,IF(OFFSET(PLE!$G$14,$M133,BB$13)="",10^12,OFFSET(PLE!$G$14,$M133,BB$13))))</f>
        <v>1000000000000</v>
      </c>
      <c r="BC133" s="182">
        <f ca="1">IF($D133&lt;&gt;"Serviço",0,IF(OR(AND(AUTOEVENTO="Manual",$M133=1),$M133&gt;(ROW(PLE.lastrow)-ROW(PLE.firstrow))),0,IF(OFFSET(PLE!$G$14,$M133,BC$13)="",10^12,OFFSET(PLE!$G$14,$M133,BC$13))))</f>
        <v>1000000000000</v>
      </c>
      <c r="BD133" s="182">
        <f ca="1">IF($D133&lt;&gt;"Serviço",0,IF(OR(AND(AUTOEVENTO="Manual",$M133=1),$M133&gt;(ROW(PLE.lastrow)-ROW(PLE.firstrow))),0,IF(OFFSET(PLE!$G$14,$M133,BD$13)="",10^12,OFFSET(PLE!$G$14,$M133,BD$13))))</f>
        <v>1000000000000</v>
      </c>
      <c r="BE133" s="182">
        <f ca="1">IF($D133&lt;&gt;"Serviço",0,IF(OR(AND(AUTOEVENTO="Manual",$M133=1),$M133&gt;(ROW(PLE.lastrow)-ROW(PLE.firstrow))),0,IF(OFFSET(PLE!$G$14,$M133,BE$13)="",10^12,OFFSET(PLE!$G$14,$M133,BE$13))))</f>
        <v>1000000000000</v>
      </c>
      <c r="BF133" s="182">
        <f ca="1">IF($D133&lt;&gt;"Serviço",0,IF(OR(AND(AUTOEVENTO="Manual",$M133=1),$M133&gt;(ROW(PLE.lastrow)-ROW(PLE.firstrow))),0,IF(OFFSET(PLE!$G$14,$M133,BF$13)="",10^12,OFFSET(PLE!$G$14,$M133,BF$13))))</f>
        <v>1000000000000</v>
      </c>
      <c r="BG133" s="182">
        <f ca="1">IF($D133&lt;&gt;"Serviço",0,IF(OR(AND(AUTOEVENTO="Manual",$M133=1),$M133&gt;(ROW(PLE.lastrow)-ROW(PLE.firstrow))),0,IF(OFFSET(PLE!$G$14,$M133,BG$13)="",10^12,OFFSET(PLE!$G$14,$M133,BG$13))))</f>
        <v>1000000000000</v>
      </c>
    </row>
    <row r="134" spans="1:59" ht="12.75" x14ac:dyDescent="0.2">
      <c r="A134" s="7" t="str">
        <f t="shared" ca="1" si="9"/>
        <v>71</v>
      </c>
      <c r="B134" s="7">
        <f ca="1">OFFSET(ORÇAMENTO!C$15,ROW(B134)-ROW(B$15),0)</f>
        <v>3</v>
      </c>
      <c r="C134" s="7" t="str">
        <f ca="1">OFFSET(ORÇAMENTO!L$15,ROW(C134)-ROW(C$15),0)</f>
        <v>F</v>
      </c>
      <c r="D134" s="118" t="str">
        <f ca="1">OFFSET(ORÇAMENTO!N$15,ROW(D134)-ROW(D$15),0)</f>
        <v>Nível 3</v>
      </c>
      <c r="E134" s="119" t="str">
        <f ca="1">OFFSET(ORÇAMENTO!O$15,ROW(E134)-ROW(E$15),0)</f>
        <v>1.6.10.</v>
      </c>
      <c r="F134" s="172" t="str">
        <f ca="1">OFFSET(ORÇAMENTO!R$15,ROW(F134)-ROW(F$15),0)</f>
        <v>BARRAS DE APOIO</v>
      </c>
      <c r="G134" s="173" t="str">
        <f ca="1">IF($D134&lt;&gt;"Serviço","",OFFSET(ORÇAMENTO!S$15,ROW(G134)-ROW(G$15),0))</f>
        <v/>
      </c>
      <c r="H134" s="124">
        <f ca="1">IF($D134&lt;&gt;"Serviço",0,IF(ACOMPANHAMENTO="BM",ROUND(OFFSET(ORÇAMENTO!AJ$15,ROW(H134)-ROW(H$15),0),15-13*ORÇAMENTO!$AF$7),SUMPRODUCT(($Q$12:$AA$12&lt;&gt;"")*ROUND($Q134:$AA134,15-13*ORÇAMENTO!$AF$7))))</f>
        <v>0</v>
      </c>
      <c r="I134" s="561"/>
      <c r="K134" s="174"/>
      <c r="L134" s="175" t="s">
        <v>255</v>
      </c>
      <c r="M134" s="176" t="str">
        <f ca="1">IF($D134&lt;&gt;"Serviço","",IF(AUTOEVENTO="manual",$A134,IF(ISERROR(MATCH($A134,$A$15:OFFSET($A134,-1,0),0)),MAX($M$15:OFFSET(M134,-1,0))+1,INDEX($M$15:OFFSET(M134,-1,0),MATCH($A134,$A$15:OFFSET($A134,-1,0),0)))))</f>
        <v/>
      </c>
      <c r="N134" s="177" t="str">
        <f ca="1">IF($D134&lt;&gt;"Serviço","",IF(AUTOEVENTO="Manual",IF($A134=0,"&lt;-- defina o número do agrupador",OFFSET(EVENTOS!$D$14,$A134,0)),OFFSET($F$15,$A134,0)))</f>
        <v/>
      </c>
      <c r="O134" s="178"/>
      <c r="Q134" s="178"/>
      <c r="R134" s="179"/>
      <c r="S134" s="179"/>
      <c r="T134" s="179"/>
      <c r="U134" s="179"/>
      <c r="V134" s="179"/>
      <c r="W134" s="179"/>
      <c r="X134" s="179"/>
      <c r="Y134" s="179"/>
      <c r="Z134" s="180"/>
      <c r="AB134" s="544">
        <f ca="1">IF(AND($D134="Serviço",AB$12&lt;&gt;0,$H134&gt;0,OR(AUTOEVENTO&lt;&gt;"manual",$M134&lt;&gt;1)),
IF(Import.TipoArredondamento&lt;&gt;"TransfereGOV",
ROUND(OFFSET($P134,0,AB$13),15-13*ORÇAMENTO!$AF$7)/$H134*OFFSET(ORÇAMENTO!$X$15,ROW(AB134)-ROW(AB$15),0),
ROUND(ROUND(OFFSET($P134,0,AB$13),15-13*ORÇAMENTO!$AF$7)*OFFSET(ORÇAMENTO!$W$15,ROW(AB134)-ROW(AB$15),0),15-13*ORÇAMENTO!$AF$11)),0)</f>
        <v>0</v>
      </c>
      <c r="AC134" s="545">
        <f ca="1">IF(AND($D134="Serviço",AC$12&lt;&gt;0,$H134&gt;0,OR(AUTOEVENTO&lt;&gt;"manual",$M134&lt;&gt;1)),
IF(Import.TipoArredondamento&lt;&gt;"TransfereGOV",
ROUND(OFFSET($P134,0,AC$13),15-13*ORÇAMENTO!$AF$7)/$H134*OFFSET(ORÇAMENTO!$X$15,ROW(AC134)-ROW(AC$15),0),
ROUND(ROUND(OFFSET($P134,0,AC$13),15-13*ORÇAMENTO!$AF$7)*OFFSET(ORÇAMENTO!$W$15,ROW(AC134)-ROW(AC$15),0),15-13*ORÇAMENTO!$AF$11)),0)</f>
        <v>0</v>
      </c>
      <c r="AD134" s="545">
        <f ca="1">IF(AND($D134="Serviço",AD$12&lt;&gt;0,$H134&gt;0,OR(AUTOEVENTO&lt;&gt;"manual",$M134&lt;&gt;1)),
IF(Import.TipoArredondamento&lt;&gt;"TransfereGOV",
ROUND(OFFSET($P134,0,AD$13),15-13*ORÇAMENTO!$AF$7)/$H134*OFFSET(ORÇAMENTO!$X$15,ROW(AD134)-ROW(AD$15),0),
ROUND(ROUND(OFFSET($P134,0,AD$13),15-13*ORÇAMENTO!$AF$7)*OFFSET(ORÇAMENTO!$W$15,ROW(AD134)-ROW(AD$15),0),15-13*ORÇAMENTO!$AF$11)),0)</f>
        <v>0</v>
      </c>
      <c r="AE134" s="545">
        <f ca="1">IF(AND($D134="Serviço",AE$12&lt;&gt;0,$H134&gt;0,OR(AUTOEVENTO&lt;&gt;"manual",$M134&lt;&gt;1)),
IF(Import.TipoArredondamento&lt;&gt;"TransfereGOV",
ROUND(OFFSET($P134,0,AE$13),15-13*ORÇAMENTO!$AF$7)/$H134*OFFSET(ORÇAMENTO!$X$15,ROW(AE134)-ROW(AE$15),0),
ROUND(ROUND(OFFSET($P134,0,AE$13),15-13*ORÇAMENTO!$AF$7)*OFFSET(ORÇAMENTO!$W$15,ROW(AE134)-ROW(AE$15),0),15-13*ORÇAMENTO!$AF$11)),0)</f>
        <v>0</v>
      </c>
      <c r="AF134" s="545">
        <f ca="1">IF(AND($D134="Serviço",AF$12&lt;&gt;0,$H134&gt;0,OR(AUTOEVENTO&lt;&gt;"manual",$M134&lt;&gt;1)),
IF(Import.TipoArredondamento&lt;&gt;"TransfereGOV",
ROUND(OFFSET($P134,0,AF$13),15-13*ORÇAMENTO!$AF$7)/$H134*OFFSET(ORÇAMENTO!$X$15,ROW(AF134)-ROW(AF$15),0),
ROUND(ROUND(OFFSET($P134,0,AF$13),15-13*ORÇAMENTO!$AF$7)*OFFSET(ORÇAMENTO!$W$15,ROW(AF134)-ROW(AF$15),0),15-13*ORÇAMENTO!$AF$11)),0)</f>
        <v>0</v>
      </c>
      <c r="AG134" s="545">
        <f ca="1">IF(AND($D134="Serviço",AG$12&lt;&gt;0,$H134&gt;0,OR(AUTOEVENTO&lt;&gt;"manual",$M134&lt;&gt;1)),
IF(Import.TipoArredondamento&lt;&gt;"TransfereGOV",
ROUND(OFFSET($P134,0,AG$13),15-13*ORÇAMENTO!$AF$7)/$H134*OFFSET(ORÇAMENTO!$X$15,ROW(AG134)-ROW(AG$15),0),
ROUND(ROUND(OFFSET($P134,0,AG$13),15-13*ORÇAMENTO!$AF$7)*OFFSET(ORÇAMENTO!$W$15,ROW(AG134)-ROW(AG$15),0),15-13*ORÇAMENTO!$AF$11)),0)</f>
        <v>0</v>
      </c>
      <c r="AH134" s="545">
        <f ca="1">IF(AND($D134="Serviço",AH$12&lt;&gt;0,$H134&gt;0,OR(AUTOEVENTO&lt;&gt;"manual",$M134&lt;&gt;1)),
IF(Import.TipoArredondamento&lt;&gt;"TransfereGOV",
ROUND(OFFSET($P134,0,AH$13),15-13*ORÇAMENTO!$AF$7)/$H134*OFFSET(ORÇAMENTO!$X$15,ROW(AH134)-ROW(AH$15),0),
ROUND(ROUND(OFFSET($P134,0,AH$13),15-13*ORÇAMENTO!$AF$7)*OFFSET(ORÇAMENTO!$W$15,ROW(AH134)-ROW(AH$15),0),15-13*ORÇAMENTO!$AF$11)),0)</f>
        <v>0</v>
      </c>
      <c r="AI134" s="545">
        <f ca="1">IF(AND($D134="Serviço",AI$12&lt;&gt;0,$H134&gt;0,OR(AUTOEVENTO&lt;&gt;"manual",$M134&lt;&gt;1)),
IF(Import.TipoArredondamento&lt;&gt;"TransfereGOV",
ROUND(OFFSET($P134,0,AI$13),15-13*ORÇAMENTO!$AF$7)/$H134*OFFSET(ORÇAMENTO!$X$15,ROW(AI134)-ROW(AI$15),0),
ROUND(ROUND(OFFSET($P134,0,AI$13),15-13*ORÇAMENTO!$AF$7)*OFFSET(ORÇAMENTO!$W$15,ROW(AI134)-ROW(AI$15),0),15-13*ORÇAMENTO!$AF$11)),0)</f>
        <v>0</v>
      </c>
      <c r="AJ134" s="545">
        <f ca="1">IF(AND($D134="Serviço",AJ$12&lt;&gt;0,$H134&gt;0,OR(AUTOEVENTO&lt;&gt;"manual",$M134&lt;&gt;1)),
IF(Import.TipoArredondamento&lt;&gt;"TransfereGOV",
ROUND(OFFSET($P134,0,AJ$13),15-13*ORÇAMENTO!$AF$7)/$H134*OFFSET(ORÇAMENTO!$X$15,ROW(AJ134)-ROW(AJ$15),0),
ROUND(ROUND(OFFSET($P134,0,AJ$13),15-13*ORÇAMENTO!$AF$7)*OFFSET(ORÇAMENTO!$W$15,ROW(AJ134)-ROW(AJ$15),0),15-13*ORÇAMENTO!$AF$11)),0)</f>
        <v>0</v>
      </c>
      <c r="AK134" s="546">
        <f ca="1">IF(AND($D134="Serviço",AK$12&lt;&gt;0,$H134&gt;0,OR(AUTOEVENTO&lt;&gt;"manual",$M134&lt;&gt;1)),
IF(Import.TipoArredondamento&lt;&gt;"TransfereGOV",
ROUND(OFFSET($P134,0,AK$13),15-13*ORÇAMENTO!$AF$7)/$H134*OFFSET(ORÇAMENTO!$X$15,ROW(AK134)-ROW(AK$15),0),
ROUND(ROUND(OFFSET($P134,0,AK$13),15-13*ORÇAMENTO!$AF$7)*OFFSET(ORÇAMENTO!$W$15,ROW(AK134)-ROW(AK$15),0),15-13*ORÇAMENTO!$AF$11)),0)</f>
        <v>0</v>
      </c>
      <c r="AM134" s="181">
        <f ca="1">IF($D134&lt;&gt;"Serviço",0,IF(AND(AUTOEVENTO="Manual",$M134=1),0,IF(OFFSET(CRONOPLE!$F$14,$M134,AM$13)="",10^12,OFFSET(CRONOPLE!$F$14,$M134,AM$13))))</f>
        <v>0</v>
      </c>
      <c r="AN134" s="181">
        <f ca="1">IF($D134&lt;&gt;"Serviço",0,IF(AND(AUTOEVENTO="Manual",$M134=1),0,IF(OFFSET(CRONOPLE!$F$14,$M134,AN$13)="",10^12,OFFSET(CRONOPLE!$F$14,$M134,AN$13))))</f>
        <v>0</v>
      </c>
      <c r="AO134" s="181">
        <f ca="1">IF($D134&lt;&gt;"Serviço",0,IF(AND(AUTOEVENTO="Manual",$M134=1),0,IF(OFFSET(CRONOPLE!$F$14,$M134,AO$13)="",10^12,OFFSET(CRONOPLE!$F$14,$M134,AO$13))))</f>
        <v>0</v>
      </c>
      <c r="AP134" s="181">
        <f ca="1">IF($D134&lt;&gt;"Serviço",0,IF(AND(AUTOEVENTO="Manual",$M134=1),0,IF(OFFSET(CRONOPLE!$F$14,$M134,AP$13)="",10^12,OFFSET(CRONOPLE!$F$14,$M134,AP$13))))</f>
        <v>0</v>
      </c>
      <c r="AQ134" s="181">
        <f ca="1">IF($D134&lt;&gt;"Serviço",0,IF(AND(AUTOEVENTO="Manual",$M134=1),0,IF(OFFSET(CRONOPLE!$F$14,$M134,AQ$13)="",10^12,OFFSET(CRONOPLE!$F$14,$M134,AQ$13))))</f>
        <v>0</v>
      </c>
      <c r="AR134" s="181">
        <f ca="1">IF($D134&lt;&gt;"Serviço",0,IF(AND(AUTOEVENTO="Manual",$M134=1),0,IF(OFFSET(CRONOPLE!$F$14,$M134,AR$13)="",10^12,OFFSET(CRONOPLE!$F$14,$M134,AR$13))))</f>
        <v>0</v>
      </c>
      <c r="AS134" s="181">
        <f ca="1">IF($D134&lt;&gt;"Serviço",0,IF(AND(AUTOEVENTO="Manual",$M134=1),0,IF(OFFSET(CRONOPLE!$F$14,$M134,AS$13)="",10^12,OFFSET(CRONOPLE!$F$14,$M134,AS$13))))</f>
        <v>0</v>
      </c>
      <c r="AT134" s="181">
        <f ca="1">IF($D134&lt;&gt;"Serviço",0,IF(AND(AUTOEVENTO="Manual",$M134=1),0,IF(OFFSET(CRONOPLE!$F$14,$M134,AT$13)="",10^12,OFFSET(CRONOPLE!$F$14,$M134,AT$13))))</f>
        <v>0</v>
      </c>
      <c r="AU134" s="181">
        <f ca="1">IF($D134&lt;&gt;"Serviço",0,IF(AND(AUTOEVENTO="Manual",$M134=1),0,IF(OFFSET(CRONOPLE!$F$14,$M134,AU$13)="",10^12,OFFSET(CRONOPLE!$F$14,$M134,AU$13))))</f>
        <v>0</v>
      </c>
      <c r="AV134" s="181">
        <f ca="1">IF($D134&lt;&gt;"Serviço",0,IF(AND(AUTOEVENTO="Manual",$M134=1),0,IF(OFFSET(CRONOPLE!$F$14,$M134,AV$13)="",10^12,OFFSET(CRONOPLE!$F$14,$M134,AV$13))))</f>
        <v>0</v>
      </c>
      <c r="AX134" s="182">
        <f ca="1">IF($D134&lt;&gt;"Serviço",0,IF(OR(AND(AUTOEVENTO="Manual",$M134=1),$M134&gt;(ROW(PLE.lastrow)-ROW(PLE.firstrow))),0,IF(OFFSET(PLE!$G$14,$M134,AX$13)="",10^12,OFFSET(PLE!$G$14,$M134,AX$13))))</f>
        <v>0</v>
      </c>
      <c r="AY134" s="182">
        <f ca="1">IF($D134&lt;&gt;"Serviço",0,IF(OR(AND(AUTOEVENTO="Manual",$M134=1),$M134&gt;(ROW(PLE.lastrow)-ROW(PLE.firstrow))),0,IF(OFFSET(PLE!$G$14,$M134,AY$13)="",10^12,OFFSET(PLE!$G$14,$M134,AY$13))))</f>
        <v>0</v>
      </c>
      <c r="AZ134" s="182">
        <f ca="1">IF($D134&lt;&gt;"Serviço",0,IF(OR(AND(AUTOEVENTO="Manual",$M134=1),$M134&gt;(ROW(PLE.lastrow)-ROW(PLE.firstrow))),0,IF(OFFSET(PLE!$G$14,$M134,AZ$13)="",10^12,OFFSET(PLE!$G$14,$M134,AZ$13))))</f>
        <v>0</v>
      </c>
      <c r="BA134" s="182">
        <f ca="1">IF($D134&lt;&gt;"Serviço",0,IF(OR(AND(AUTOEVENTO="Manual",$M134=1),$M134&gt;(ROW(PLE.lastrow)-ROW(PLE.firstrow))),0,IF(OFFSET(PLE!$G$14,$M134,BA$13)="",10^12,OFFSET(PLE!$G$14,$M134,BA$13))))</f>
        <v>0</v>
      </c>
      <c r="BB134" s="182">
        <f ca="1">IF($D134&lt;&gt;"Serviço",0,IF(OR(AND(AUTOEVENTO="Manual",$M134=1),$M134&gt;(ROW(PLE.lastrow)-ROW(PLE.firstrow))),0,IF(OFFSET(PLE!$G$14,$M134,BB$13)="",10^12,OFFSET(PLE!$G$14,$M134,BB$13))))</f>
        <v>0</v>
      </c>
      <c r="BC134" s="182">
        <f ca="1">IF($D134&lt;&gt;"Serviço",0,IF(OR(AND(AUTOEVENTO="Manual",$M134=1),$M134&gt;(ROW(PLE.lastrow)-ROW(PLE.firstrow))),0,IF(OFFSET(PLE!$G$14,$M134,BC$13)="",10^12,OFFSET(PLE!$G$14,$M134,BC$13))))</f>
        <v>0</v>
      </c>
      <c r="BD134" s="182">
        <f ca="1">IF($D134&lt;&gt;"Serviço",0,IF(OR(AND(AUTOEVENTO="Manual",$M134=1),$M134&gt;(ROW(PLE.lastrow)-ROW(PLE.firstrow))),0,IF(OFFSET(PLE!$G$14,$M134,BD$13)="",10^12,OFFSET(PLE!$G$14,$M134,BD$13))))</f>
        <v>0</v>
      </c>
      <c r="BE134" s="182">
        <f ca="1">IF($D134&lt;&gt;"Serviço",0,IF(OR(AND(AUTOEVENTO="Manual",$M134=1),$M134&gt;(ROW(PLE.lastrow)-ROW(PLE.firstrow))),0,IF(OFFSET(PLE!$G$14,$M134,BE$13)="",10^12,OFFSET(PLE!$G$14,$M134,BE$13))))</f>
        <v>0</v>
      </c>
      <c r="BF134" s="182">
        <f ca="1">IF($D134&lt;&gt;"Serviço",0,IF(OR(AND(AUTOEVENTO="Manual",$M134=1),$M134&gt;(ROW(PLE.lastrow)-ROW(PLE.firstrow))),0,IF(OFFSET(PLE!$G$14,$M134,BF$13)="",10^12,OFFSET(PLE!$G$14,$M134,BF$13))))</f>
        <v>0</v>
      </c>
      <c r="BG134" s="182">
        <f ca="1">IF($D134&lt;&gt;"Serviço",0,IF(OR(AND(AUTOEVENTO="Manual",$M134=1),$M134&gt;(ROW(PLE.lastrow)-ROW(PLE.firstrow))),0,IF(OFFSET(PLE!$G$14,$M134,BG$13)="",10^12,OFFSET(PLE!$G$14,$M134,BG$13))))</f>
        <v>0</v>
      </c>
    </row>
    <row r="135" spans="1:59" ht="38.25" x14ac:dyDescent="0.2">
      <c r="A135" s="7" t="str">
        <f t="shared" ca="1" si="9"/>
        <v>71</v>
      </c>
      <c r="B135" s="7" t="str">
        <f ca="1">OFFSET(ORÇAMENTO!C$15,ROW(B135)-ROW(B$15),0)</f>
        <v>S</v>
      </c>
      <c r="C135" s="7" t="str">
        <f ca="1">OFFSET(ORÇAMENTO!L$15,ROW(C135)-ROW(C$15),0)</f>
        <v>F</v>
      </c>
      <c r="D135" s="118" t="str">
        <f ca="1">OFFSET(ORÇAMENTO!N$15,ROW(D135)-ROW(D$15),0)</f>
        <v>Serviço</v>
      </c>
      <c r="E135" s="119" t="str">
        <f ca="1">OFFSET(ORÇAMENTO!O$15,ROW(E135)-ROW(E$15),0)</f>
        <v>1.6.10.1.</v>
      </c>
      <c r="F135" s="172" t="str">
        <f ca="1">OFFSET(ORÇAMENTO!R$15,ROW(F135)-ROW(F$15),0)</f>
        <v>(abra o arquivo 'Referência 03-2024.xlsm)</v>
      </c>
      <c r="G135" s="173" t="str">
        <f ca="1">IF($D135&lt;&gt;"Serviço","",OFFSET(ORÇAMENTO!S$15,ROW(G135)-ROW(G$15),0))</f>
        <v>-</v>
      </c>
      <c r="H135" s="124">
        <f ca="1">IF($D135&lt;&gt;"Serviço",0,IF(ACOMPANHAMENTO="BM",ROUND(OFFSET(ORÇAMENTO!AJ$15,ROW(H135)-ROW(H$15),0),15-13*ORÇAMENTO!$AF$7),SUMPRODUCT(($Q$12:$AA$12&lt;&gt;"")*ROUND($Q135:$AA135,15-13*ORÇAMENTO!$AF$7))))</f>
        <v>6</v>
      </c>
      <c r="I135" s="561"/>
      <c r="K135" s="174"/>
      <c r="L135" s="175" t="s">
        <v>255</v>
      </c>
      <c r="M135" s="176">
        <f ca="1">IF($D135&lt;&gt;"Serviço","",IF(AUTOEVENTO="manual",$A135,IF(ISERROR(MATCH($A135,$A$15:OFFSET($A135,-1,0),0)),MAX($M$15:OFFSET(M135,-1,0))+1,INDEX($M$15:OFFSET(M135,-1,0),MATCH($A135,$A$15:OFFSET($A135,-1,0),0)))))</f>
        <v>7</v>
      </c>
      <c r="N135" s="177" t="str">
        <f ca="1">IF($D135&lt;&gt;"Serviço","",IF(AUTOEVENTO="Manual",IF($A135=0,"&lt;-- defina o número do agrupador",OFFSET(EVENTOS!$D$14,$A135,0)),OFFSET($F$15,$A135,0)))</f>
        <v>SANITÁRIO PÚBLICO ACESSÍVEL</v>
      </c>
      <c r="O135" s="178"/>
      <c r="Q135" s="178"/>
      <c r="R135" s="179"/>
      <c r="S135" s="179"/>
      <c r="T135" s="179"/>
      <c r="U135" s="179"/>
      <c r="V135" s="179"/>
      <c r="W135" s="179"/>
      <c r="X135" s="179"/>
      <c r="Y135" s="179"/>
      <c r="Z135" s="180"/>
      <c r="AB135" s="544">
        <f ca="1">IF(AND($D135="Serviço",AB$12&lt;&gt;0,$H135&gt;0,OR(AUTOEVENTO&lt;&gt;"manual",$M135&lt;&gt;1)),
IF(Import.TipoArredondamento&lt;&gt;"TransfereGOV",
ROUND(OFFSET($P135,0,AB$13),15-13*ORÇAMENTO!$AF$7)/$H135*OFFSET(ORÇAMENTO!$X$15,ROW(AB135)-ROW(AB$15),0),
ROUND(ROUND(OFFSET($P135,0,AB$13),15-13*ORÇAMENTO!$AF$7)*OFFSET(ORÇAMENTO!$W$15,ROW(AB135)-ROW(AB$15),0),15-13*ORÇAMENTO!$AF$11)),0)</f>
        <v>0</v>
      </c>
      <c r="AC135" s="545">
        <f ca="1">IF(AND($D135="Serviço",AC$12&lt;&gt;0,$H135&gt;0,OR(AUTOEVENTO&lt;&gt;"manual",$M135&lt;&gt;1)),
IF(Import.TipoArredondamento&lt;&gt;"TransfereGOV",
ROUND(OFFSET($P135,0,AC$13),15-13*ORÇAMENTO!$AF$7)/$H135*OFFSET(ORÇAMENTO!$X$15,ROW(AC135)-ROW(AC$15),0),
ROUND(ROUND(OFFSET($P135,0,AC$13),15-13*ORÇAMENTO!$AF$7)*OFFSET(ORÇAMENTO!$W$15,ROW(AC135)-ROW(AC$15),0),15-13*ORÇAMENTO!$AF$11)),0)</f>
        <v>0</v>
      </c>
      <c r="AD135" s="545">
        <f ca="1">IF(AND($D135="Serviço",AD$12&lt;&gt;0,$H135&gt;0,OR(AUTOEVENTO&lt;&gt;"manual",$M135&lt;&gt;1)),
IF(Import.TipoArredondamento&lt;&gt;"TransfereGOV",
ROUND(OFFSET($P135,0,AD$13),15-13*ORÇAMENTO!$AF$7)/$H135*OFFSET(ORÇAMENTO!$X$15,ROW(AD135)-ROW(AD$15),0),
ROUND(ROUND(OFFSET($P135,0,AD$13),15-13*ORÇAMENTO!$AF$7)*OFFSET(ORÇAMENTO!$W$15,ROW(AD135)-ROW(AD$15),0),15-13*ORÇAMENTO!$AF$11)),0)</f>
        <v>0</v>
      </c>
      <c r="AE135" s="545">
        <f ca="1">IF(AND($D135="Serviço",AE$12&lt;&gt;0,$H135&gt;0,OR(AUTOEVENTO&lt;&gt;"manual",$M135&lt;&gt;1)),
IF(Import.TipoArredondamento&lt;&gt;"TransfereGOV",
ROUND(OFFSET($P135,0,AE$13),15-13*ORÇAMENTO!$AF$7)/$H135*OFFSET(ORÇAMENTO!$X$15,ROW(AE135)-ROW(AE$15),0),
ROUND(ROUND(OFFSET($P135,0,AE$13),15-13*ORÇAMENTO!$AF$7)*OFFSET(ORÇAMENTO!$W$15,ROW(AE135)-ROW(AE$15),0),15-13*ORÇAMENTO!$AF$11)),0)</f>
        <v>0</v>
      </c>
      <c r="AF135" s="545">
        <f ca="1">IF(AND($D135="Serviço",AF$12&lt;&gt;0,$H135&gt;0,OR(AUTOEVENTO&lt;&gt;"manual",$M135&lt;&gt;1)),
IF(Import.TipoArredondamento&lt;&gt;"TransfereGOV",
ROUND(OFFSET($P135,0,AF$13),15-13*ORÇAMENTO!$AF$7)/$H135*OFFSET(ORÇAMENTO!$X$15,ROW(AF135)-ROW(AF$15),0),
ROUND(ROUND(OFFSET($P135,0,AF$13),15-13*ORÇAMENTO!$AF$7)*OFFSET(ORÇAMENTO!$W$15,ROW(AF135)-ROW(AF$15),0),15-13*ORÇAMENTO!$AF$11)),0)</f>
        <v>0</v>
      </c>
      <c r="AG135" s="545">
        <f ca="1">IF(AND($D135="Serviço",AG$12&lt;&gt;0,$H135&gt;0,OR(AUTOEVENTO&lt;&gt;"manual",$M135&lt;&gt;1)),
IF(Import.TipoArredondamento&lt;&gt;"TransfereGOV",
ROUND(OFFSET($P135,0,AG$13),15-13*ORÇAMENTO!$AF$7)/$H135*OFFSET(ORÇAMENTO!$X$15,ROW(AG135)-ROW(AG$15),0),
ROUND(ROUND(OFFSET($P135,0,AG$13),15-13*ORÇAMENTO!$AF$7)*OFFSET(ORÇAMENTO!$W$15,ROW(AG135)-ROW(AG$15),0),15-13*ORÇAMENTO!$AF$11)),0)</f>
        <v>0</v>
      </c>
      <c r="AH135" s="545">
        <f ca="1">IF(AND($D135="Serviço",AH$12&lt;&gt;0,$H135&gt;0,OR(AUTOEVENTO&lt;&gt;"manual",$M135&lt;&gt;1)),
IF(Import.TipoArredondamento&lt;&gt;"TransfereGOV",
ROUND(OFFSET($P135,0,AH$13),15-13*ORÇAMENTO!$AF$7)/$H135*OFFSET(ORÇAMENTO!$X$15,ROW(AH135)-ROW(AH$15),0),
ROUND(ROUND(OFFSET($P135,0,AH$13),15-13*ORÇAMENTO!$AF$7)*OFFSET(ORÇAMENTO!$W$15,ROW(AH135)-ROW(AH$15),0),15-13*ORÇAMENTO!$AF$11)),0)</f>
        <v>0</v>
      </c>
      <c r="AI135" s="545">
        <f ca="1">IF(AND($D135="Serviço",AI$12&lt;&gt;0,$H135&gt;0,OR(AUTOEVENTO&lt;&gt;"manual",$M135&lt;&gt;1)),
IF(Import.TipoArredondamento&lt;&gt;"TransfereGOV",
ROUND(OFFSET($P135,0,AI$13),15-13*ORÇAMENTO!$AF$7)/$H135*OFFSET(ORÇAMENTO!$X$15,ROW(AI135)-ROW(AI$15),0),
ROUND(ROUND(OFFSET($P135,0,AI$13),15-13*ORÇAMENTO!$AF$7)*OFFSET(ORÇAMENTO!$W$15,ROW(AI135)-ROW(AI$15),0),15-13*ORÇAMENTO!$AF$11)),0)</f>
        <v>0</v>
      </c>
      <c r="AJ135" s="545">
        <f ca="1">IF(AND($D135="Serviço",AJ$12&lt;&gt;0,$H135&gt;0,OR(AUTOEVENTO&lt;&gt;"manual",$M135&lt;&gt;1)),
IF(Import.TipoArredondamento&lt;&gt;"TransfereGOV",
ROUND(OFFSET($P135,0,AJ$13),15-13*ORÇAMENTO!$AF$7)/$H135*OFFSET(ORÇAMENTO!$X$15,ROW(AJ135)-ROW(AJ$15),0),
ROUND(ROUND(OFFSET($P135,0,AJ$13),15-13*ORÇAMENTO!$AF$7)*OFFSET(ORÇAMENTO!$W$15,ROW(AJ135)-ROW(AJ$15),0),15-13*ORÇAMENTO!$AF$11)),0)</f>
        <v>0</v>
      </c>
      <c r="AK135" s="546">
        <f ca="1">IF(AND($D135="Serviço",AK$12&lt;&gt;0,$H135&gt;0,OR(AUTOEVENTO&lt;&gt;"manual",$M135&lt;&gt;1)),
IF(Import.TipoArredondamento&lt;&gt;"TransfereGOV",
ROUND(OFFSET($P135,0,AK$13),15-13*ORÇAMENTO!$AF$7)/$H135*OFFSET(ORÇAMENTO!$X$15,ROW(AK135)-ROW(AK$15),0),
ROUND(ROUND(OFFSET($P135,0,AK$13),15-13*ORÇAMENTO!$AF$7)*OFFSET(ORÇAMENTO!$W$15,ROW(AK135)-ROW(AK$15),0),15-13*ORÇAMENTO!$AF$11)),0)</f>
        <v>0</v>
      </c>
      <c r="AM135" s="181">
        <f ca="1">IF($D135&lt;&gt;"Serviço",0,IF(AND(AUTOEVENTO="Manual",$M135=1),0,IF(OFFSET(CRONOPLE!$F$14,$M135,AM$13)="",10^12,OFFSET(CRONOPLE!$F$14,$M135,AM$13))))</f>
        <v>1000000000000</v>
      </c>
      <c r="AN135" s="181">
        <f ca="1">IF($D135&lt;&gt;"Serviço",0,IF(AND(AUTOEVENTO="Manual",$M135=1),0,IF(OFFSET(CRONOPLE!$F$14,$M135,AN$13)="",10^12,OFFSET(CRONOPLE!$F$14,$M135,AN$13))))</f>
        <v>1000000000000</v>
      </c>
      <c r="AO135" s="181">
        <f ca="1">IF($D135&lt;&gt;"Serviço",0,IF(AND(AUTOEVENTO="Manual",$M135=1),0,IF(OFFSET(CRONOPLE!$F$14,$M135,AO$13)="",10^12,OFFSET(CRONOPLE!$F$14,$M135,AO$13))))</f>
        <v>1000000000000</v>
      </c>
      <c r="AP135" s="181">
        <f ca="1">IF($D135&lt;&gt;"Serviço",0,IF(AND(AUTOEVENTO="Manual",$M135=1),0,IF(OFFSET(CRONOPLE!$F$14,$M135,AP$13)="",10^12,OFFSET(CRONOPLE!$F$14,$M135,AP$13))))</f>
        <v>1000000000000</v>
      </c>
      <c r="AQ135" s="181">
        <f ca="1">IF($D135&lt;&gt;"Serviço",0,IF(AND(AUTOEVENTO="Manual",$M135=1),0,IF(OFFSET(CRONOPLE!$F$14,$M135,AQ$13)="",10^12,OFFSET(CRONOPLE!$F$14,$M135,AQ$13))))</f>
        <v>1000000000000</v>
      </c>
      <c r="AR135" s="181">
        <f ca="1">IF($D135&lt;&gt;"Serviço",0,IF(AND(AUTOEVENTO="Manual",$M135=1),0,IF(OFFSET(CRONOPLE!$F$14,$M135,AR$13)="",10^12,OFFSET(CRONOPLE!$F$14,$M135,AR$13))))</f>
        <v>1000000000000</v>
      </c>
      <c r="AS135" s="181">
        <f ca="1">IF($D135&lt;&gt;"Serviço",0,IF(AND(AUTOEVENTO="Manual",$M135=1),0,IF(OFFSET(CRONOPLE!$F$14,$M135,AS$13)="",10^12,OFFSET(CRONOPLE!$F$14,$M135,AS$13))))</f>
        <v>1000000000000</v>
      </c>
      <c r="AT135" s="181">
        <f ca="1">IF($D135&lt;&gt;"Serviço",0,IF(AND(AUTOEVENTO="Manual",$M135=1),0,IF(OFFSET(CRONOPLE!$F$14,$M135,AT$13)="",10^12,OFFSET(CRONOPLE!$F$14,$M135,AT$13))))</f>
        <v>1000000000000</v>
      </c>
      <c r="AU135" s="181">
        <f ca="1">IF($D135&lt;&gt;"Serviço",0,IF(AND(AUTOEVENTO="Manual",$M135=1),0,IF(OFFSET(CRONOPLE!$F$14,$M135,AU$13)="",10^12,OFFSET(CRONOPLE!$F$14,$M135,AU$13))))</f>
        <v>1000000000000</v>
      </c>
      <c r="AV135" s="181">
        <f ca="1">IF($D135&lt;&gt;"Serviço",0,IF(AND(AUTOEVENTO="Manual",$M135=1),0,IF(OFFSET(CRONOPLE!$F$14,$M135,AV$13)="",10^12,OFFSET(CRONOPLE!$F$14,$M135,AV$13))))</f>
        <v>1000000000000</v>
      </c>
      <c r="AX135" s="182">
        <f ca="1">IF($D135&lt;&gt;"Serviço",0,IF(OR(AND(AUTOEVENTO="Manual",$M135=1),$M135&gt;(ROW(PLE.lastrow)-ROW(PLE.firstrow))),0,IF(OFFSET(PLE!$G$14,$M135,AX$13)="",10^12,OFFSET(PLE!$G$14,$M135,AX$13))))</f>
        <v>1000000000000</v>
      </c>
      <c r="AY135" s="182">
        <f ca="1">IF($D135&lt;&gt;"Serviço",0,IF(OR(AND(AUTOEVENTO="Manual",$M135=1),$M135&gt;(ROW(PLE.lastrow)-ROW(PLE.firstrow))),0,IF(OFFSET(PLE!$G$14,$M135,AY$13)="",10^12,OFFSET(PLE!$G$14,$M135,AY$13))))</f>
        <v>1000000000000</v>
      </c>
      <c r="AZ135" s="182">
        <f ca="1">IF($D135&lt;&gt;"Serviço",0,IF(OR(AND(AUTOEVENTO="Manual",$M135=1),$M135&gt;(ROW(PLE.lastrow)-ROW(PLE.firstrow))),0,IF(OFFSET(PLE!$G$14,$M135,AZ$13)="",10^12,OFFSET(PLE!$G$14,$M135,AZ$13))))</f>
        <v>1000000000000</v>
      </c>
      <c r="BA135" s="182">
        <f ca="1">IF($D135&lt;&gt;"Serviço",0,IF(OR(AND(AUTOEVENTO="Manual",$M135=1),$M135&gt;(ROW(PLE.lastrow)-ROW(PLE.firstrow))),0,IF(OFFSET(PLE!$G$14,$M135,BA$13)="",10^12,OFFSET(PLE!$G$14,$M135,BA$13))))</f>
        <v>1000000000000</v>
      </c>
      <c r="BB135" s="182">
        <f ca="1">IF($D135&lt;&gt;"Serviço",0,IF(OR(AND(AUTOEVENTO="Manual",$M135=1),$M135&gt;(ROW(PLE.lastrow)-ROW(PLE.firstrow))),0,IF(OFFSET(PLE!$G$14,$M135,BB$13)="",10^12,OFFSET(PLE!$G$14,$M135,BB$13))))</f>
        <v>1000000000000</v>
      </c>
      <c r="BC135" s="182">
        <f ca="1">IF($D135&lt;&gt;"Serviço",0,IF(OR(AND(AUTOEVENTO="Manual",$M135=1),$M135&gt;(ROW(PLE.lastrow)-ROW(PLE.firstrow))),0,IF(OFFSET(PLE!$G$14,$M135,BC$13)="",10^12,OFFSET(PLE!$G$14,$M135,BC$13))))</f>
        <v>1000000000000</v>
      </c>
      <c r="BD135" s="182">
        <f ca="1">IF($D135&lt;&gt;"Serviço",0,IF(OR(AND(AUTOEVENTO="Manual",$M135=1),$M135&gt;(ROW(PLE.lastrow)-ROW(PLE.firstrow))),0,IF(OFFSET(PLE!$G$14,$M135,BD$13)="",10^12,OFFSET(PLE!$G$14,$M135,BD$13))))</f>
        <v>1000000000000</v>
      </c>
      <c r="BE135" s="182">
        <f ca="1">IF($D135&lt;&gt;"Serviço",0,IF(OR(AND(AUTOEVENTO="Manual",$M135=1),$M135&gt;(ROW(PLE.lastrow)-ROW(PLE.firstrow))),0,IF(OFFSET(PLE!$G$14,$M135,BE$13)="",10^12,OFFSET(PLE!$G$14,$M135,BE$13))))</f>
        <v>1000000000000</v>
      </c>
      <c r="BF135" s="182">
        <f ca="1">IF($D135&lt;&gt;"Serviço",0,IF(OR(AND(AUTOEVENTO="Manual",$M135=1),$M135&gt;(ROW(PLE.lastrow)-ROW(PLE.firstrow))),0,IF(OFFSET(PLE!$G$14,$M135,BF$13)="",10^12,OFFSET(PLE!$G$14,$M135,BF$13))))</f>
        <v>1000000000000</v>
      </c>
      <c r="BG135" s="182">
        <f ca="1">IF($D135&lt;&gt;"Serviço",0,IF(OR(AND(AUTOEVENTO="Manual",$M135=1),$M135&gt;(ROW(PLE.lastrow)-ROW(PLE.firstrow))),0,IF(OFFSET(PLE!$G$14,$M135,BG$13)="",10^12,OFFSET(PLE!$G$14,$M135,BG$13))))</f>
        <v>1000000000000</v>
      </c>
    </row>
    <row r="136" spans="1:59" ht="12.75" x14ac:dyDescent="0.2">
      <c r="A136" s="7" t="str">
        <f t="shared" ca="1" si="9"/>
        <v>71</v>
      </c>
      <c r="B136" s="7">
        <f ca="1">OFFSET(ORÇAMENTO!C$15,ROW(B136)-ROW(B$15),0)</f>
        <v>3</v>
      </c>
      <c r="C136" s="7" t="str">
        <f ca="1">OFFSET(ORÇAMENTO!L$15,ROW(C136)-ROW(C$15),0)</f>
        <v>F</v>
      </c>
      <c r="D136" s="118" t="str">
        <f ca="1">OFFSET(ORÇAMENTO!N$15,ROW(D136)-ROW(D$15),0)</f>
        <v>Nível 3</v>
      </c>
      <c r="E136" s="119" t="str">
        <f ca="1">OFFSET(ORÇAMENTO!O$15,ROW(E136)-ROW(E$15),0)</f>
        <v>1.6.11.</v>
      </c>
      <c r="F136" s="172" t="str">
        <f ca="1">OFFSET(ORÇAMENTO!R$15,ROW(F136)-ROW(F$15),0)</f>
        <v>REVESTIMENTO INTERNO</v>
      </c>
      <c r="G136" s="173" t="str">
        <f ca="1">IF($D136&lt;&gt;"Serviço","",OFFSET(ORÇAMENTO!S$15,ROW(G136)-ROW(G$15),0))</f>
        <v/>
      </c>
      <c r="H136" s="124">
        <f ca="1">IF($D136&lt;&gt;"Serviço",0,IF(ACOMPANHAMENTO="BM",ROUND(OFFSET(ORÇAMENTO!AJ$15,ROW(H136)-ROW(H$15),0),15-13*ORÇAMENTO!$AF$7),SUMPRODUCT(($Q$12:$AA$12&lt;&gt;"")*ROUND($Q136:$AA136,15-13*ORÇAMENTO!$AF$7))))</f>
        <v>0</v>
      </c>
      <c r="I136" s="561"/>
      <c r="K136" s="174"/>
      <c r="L136" s="175" t="s">
        <v>255</v>
      </c>
      <c r="M136" s="176" t="str">
        <f ca="1">IF($D136&lt;&gt;"Serviço","",IF(AUTOEVENTO="manual",$A136,IF(ISERROR(MATCH($A136,$A$15:OFFSET($A136,-1,0),0)),MAX($M$15:OFFSET(M136,-1,0))+1,INDEX($M$15:OFFSET(M136,-1,0),MATCH($A136,$A$15:OFFSET($A136,-1,0),0)))))</f>
        <v/>
      </c>
      <c r="N136" s="177" t="str">
        <f ca="1">IF($D136&lt;&gt;"Serviço","",IF(AUTOEVENTO="Manual",IF($A136=0,"&lt;-- defina o número do agrupador",OFFSET(EVENTOS!$D$14,$A136,0)),OFFSET($F$15,$A136,0)))</f>
        <v/>
      </c>
      <c r="O136" s="178"/>
      <c r="Q136" s="178"/>
      <c r="R136" s="179"/>
      <c r="S136" s="179"/>
      <c r="T136" s="179"/>
      <c r="U136" s="179"/>
      <c r="V136" s="179"/>
      <c r="W136" s="179"/>
      <c r="X136" s="179"/>
      <c r="Y136" s="179"/>
      <c r="Z136" s="180"/>
      <c r="AB136" s="544">
        <f ca="1">IF(AND($D136="Serviço",AB$12&lt;&gt;0,$H136&gt;0,OR(AUTOEVENTO&lt;&gt;"manual",$M136&lt;&gt;1)),
IF(Import.TipoArredondamento&lt;&gt;"TransfereGOV",
ROUND(OFFSET($P136,0,AB$13),15-13*ORÇAMENTO!$AF$7)/$H136*OFFSET(ORÇAMENTO!$X$15,ROW(AB136)-ROW(AB$15),0),
ROUND(ROUND(OFFSET($P136,0,AB$13),15-13*ORÇAMENTO!$AF$7)*OFFSET(ORÇAMENTO!$W$15,ROW(AB136)-ROW(AB$15),0),15-13*ORÇAMENTO!$AF$11)),0)</f>
        <v>0</v>
      </c>
      <c r="AC136" s="545">
        <f ca="1">IF(AND($D136="Serviço",AC$12&lt;&gt;0,$H136&gt;0,OR(AUTOEVENTO&lt;&gt;"manual",$M136&lt;&gt;1)),
IF(Import.TipoArredondamento&lt;&gt;"TransfereGOV",
ROUND(OFFSET($P136,0,AC$13),15-13*ORÇAMENTO!$AF$7)/$H136*OFFSET(ORÇAMENTO!$X$15,ROW(AC136)-ROW(AC$15),0),
ROUND(ROUND(OFFSET($P136,0,AC$13),15-13*ORÇAMENTO!$AF$7)*OFFSET(ORÇAMENTO!$W$15,ROW(AC136)-ROW(AC$15),0),15-13*ORÇAMENTO!$AF$11)),0)</f>
        <v>0</v>
      </c>
      <c r="AD136" s="545">
        <f ca="1">IF(AND($D136="Serviço",AD$12&lt;&gt;0,$H136&gt;0,OR(AUTOEVENTO&lt;&gt;"manual",$M136&lt;&gt;1)),
IF(Import.TipoArredondamento&lt;&gt;"TransfereGOV",
ROUND(OFFSET($P136,0,AD$13),15-13*ORÇAMENTO!$AF$7)/$H136*OFFSET(ORÇAMENTO!$X$15,ROW(AD136)-ROW(AD$15),0),
ROUND(ROUND(OFFSET($P136,0,AD$13),15-13*ORÇAMENTO!$AF$7)*OFFSET(ORÇAMENTO!$W$15,ROW(AD136)-ROW(AD$15),0),15-13*ORÇAMENTO!$AF$11)),0)</f>
        <v>0</v>
      </c>
      <c r="AE136" s="545">
        <f ca="1">IF(AND($D136="Serviço",AE$12&lt;&gt;0,$H136&gt;0,OR(AUTOEVENTO&lt;&gt;"manual",$M136&lt;&gt;1)),
IF(Import.TipoArredondamento&lt;&gt;"TransfereGOV",
ROUND(OFFSET($P136,0,AE$13),15-13*ORÇAMENTO!$AF$7)/$H136*OFFSET(ORÇAMENTO!$X$15,ROW(AE136)-ROW(AE$15),0),
ROUND(ROUND(OFFSET($P136,0,AE$13),15-13*ORÇAMENTO!$AF$7)*OFFSET(ORÇAMENTO!$W$15,ROW(AE136)-ROW(AE$15),0),15-13*ORÇAMENTO!$AF$11)),0)</f>
        <v>0</v>
      </c>
      <c r="AF136" s="545">
        <f ca="1">IF(AND($D136="Serviço",AF$12&lt;&gt;0,$H136&gt;0,OR(AUTOEVENTO&lt;&gt;"manual",$M136&lt;&gt;1)),
IF(Import.TipoArredondamento&lt;&gt;"TransfereGOV",
ROUND(OFFSET($P136,0,AF$13),15-13*ORÇAMENTO!$AF$7)/$H136*OFFSET(ORÇAMENTO!$X$15,ROW(AF136)-ROW(AF$15),0),
ROUND(ROUND(OFFSET($P136,0,AF$13),15-13*ORÇAMENTO!$AF$7)*OFFSET(ORÇAMENTO!$W$15,ROW(AF136)-ROW(AF$15),0),15-13*ORÇAMENTO!$AF$11)),0)</f>
        <v>0</v>
      </c>
      <c r="AG136" s="545">
        <f ca="1">IF(AND($D136="Serviço",AG$12&lt;&gt;0,$H136&gt;0,OR(AUTOEVENTO&lt;&gt;"manual",$M136&lt;&gt;1)),
IF(Import.TipoArredondamento&lt;&gt;"TransfereGOV",
ROUND(OFFSET($P136,0,AG$13),15-13*ORÇAMENTO!$AF$7)/$H136*OFFSET(ORÇAMENTO!$X$15,ROW(AG136)-ROW(AG$15),0),
ROUND(ROUND(OFFSET($P136,0,AG$13),15-13*ORÇAMENTO!$AF$7)*OFFSET(ORÇAMENTO!$W$15,ROW(AG136)-ROW(AG$15),0),15-13*ORÇAMENTO!$AF$11)),0)</f>
        <v>0</v>
      </c>
      <c r="AH136" s="545">
        <f ca="1">IF(AND($D136="Serviço",AH$12&lt;&gt;0,$H136&gt;0,OR(AUTOEVENTO&lt;&gt;"manual",$M136&lt;&gt;1)),
IF(Import.TipoArredondamento&lt;&gt;"TransfereGOV",
ROUND(OFFSET($P136,0,AH$13),15-13*ORÇAMENTO!$AF$7)/$H136*OFFSET(ORÇAMENTO!$X$15,ROW(AH136)-ROW(AH$15),0),
ROUND(ROUND(OFFSET($P136,0,AH$13),15-13*ORÇAMENTO!$AF$7)*OFFSET(ORÇAMENTO!$W$15,ROW(AH136)-ROW(AH$15),0),15-13*ORÇAMENTO!$AF$11)),0)</f>
        <v>0</v>
      </c>
      <c r="AI136" s="545">
        <f ca="1">IF(AND($D136="Serviço",AI$12&lt;&gt;0,$H136&gt;0,OR(AUTOEVENTO&lt;&gt;"manual",$M136&lt;&gt;1)),
IF(Import.TipoArredondamento&lt;&gt;"TransfereGOV",
ROUND(OFFSET($P136,0,AI$13),15-13*ORÇAMENTO!$AF$7)/$H136*OFFSET(ORÇAMENTO!$X$15,ROW(AI136)-ROW(AI$15),0),
ROUND(ROUND(OFFSET($P136,0,AI$13),15-13*ORÇAMENTO!$AF$7)*OFFSET(ORÇAMENTO!$W$15,ROW(AI136)-ROW(AI$15),0),15-13*ORÇAMENTO!$AF$11)),0)</f>
        <v>0</v>
      </c>
      <c r="AJ136" s="545">
        <f ca="1">IF(AND($D136="Serviço",AJ$12&lt;&gt;0,$H136&gt;0,OR(AUTOEVENTO&lt;&gt;"manual",$M136&lt;&gt;1)),
IF(Import.TipoArredondamento&lt;&gt;"TransfereGOV",
ROUND(OFFSET($P136,0,AJ$13),15-13*ORÇAMENTO!$AF$7)/$H136*OFFSET(ORÇAMENTO!$X$15,ROW(AJ136)-ROW(AJ$15),0),
ROUND(ROUND(OFFSET($P136,0,AJ$13),15-13*ORÇAMENTO!$AF$7)*OFFSET(ORÇAMENTO!$W$15,ROW(AJ136)-ROW(AJ$15),0),15-13*ORÇAMENTO!$AF$11)),0)</f>
        <v>0</v>
      </c>
      <c r="AK136" s="546">
        <f ca="1">IF(AND($D136="Serviço",AK$12&lt;&gt;0,$H136&gt;0,OR(AUTOEVENTO&lt;&gt;"manual",$M136&lt;&gt;1)),
IF(Import.TipoArredondamento&lt;&gt;"TransfereGOV",
ROUND(OFFSET($P136,0,AK$13),15-13*ORÇAMENTO!$AF$7)/$H136*OFFSET(ORÇAMENTO!$X$15,ROW(AK136)-ROW(AK$15),0),
ROUND(ROUND(OFFSET($P136,0,AK$13),15-13*ORÇAMENTO!$AF$7)*OFFSET(ORÇAMENTO!$W$15,ROW(AK136)-ROW(AK$15),0),15-13*ORÇAMENTO!$AF$11)),0)</f>
        <v>0</v>
      </c>
      <c r="AM136" s="181">
        <f ca="1">IF($D136&lt;&gt;"Serviço",0,IF(AND(AUTOEVENTO="Manual",$M136=1),0,IF(OFFSET(CRONOPLE!$F$14,$M136,AM$13)="",10^12,OFFSET(CRONOPLE!$F$14,$M136,AM$13))))</f>
        <v>0</v>
      </c>
      <c r="AN136" s="181">
        <f ca="1">IF($D136&lt;&gt;"Serviço",0,IF(AND(AUTOEVENTO="Manual",$M136=1),0,IF(OFFSET(CRONOPLE!$F$14,$M136,AN$13)="",10^12,OFFSET(CRONOPLE!$F$14,$M136,AN$13))))</f>
        <v>0</v>
      </c>
      <c r="AO136" s="181">
        <f ca="1">IF($D136&lt;&gt;"Serviço",0,IF(AND(AUTOEVENTO="Manual",$M136=1),0,IF(OFFSET(CRONOPLE!$F$14,$M136,AO$13)="",10^12,OFFSET(CRONOPLE!$F$14,$M136,AO$13))))</f>
        <v>0</v>
      </c>
      <c r="AP136" s="181">
        <f ca="1">IF($D136&lt;&gt;"Serviço",0,IF(AND(AUTOEVENTO="Manual",$M136=1),0,IF(OFFSET(CRONOPLE!$F$14,$M136,AP$13)="",10^12,OFFSET(CRONOPLE!$F$14,$M136,AP$13))))</f>
        <v>0</v>
      </c>
      <c r="AQ136" s="181">
        <f ca="1">IF($D136&lt;&gt;"Serviço",0,IF(AND(AUTOEVENTO="Manual",$M136=1),0,IF(OFFSET(CRONOPLE!$F$14,$M136,AQ$13)="",10^12,OFFSET(CRONOPLE!$F$14,$M136,AQ$13))))</f>
        <v>0</v>
      </c>
      <c r="AR136" s="181">
        <f ca="1">IF($D136&lt;&gt;"Serviço",0,IF(AND(AUTOEVENTO="Manual",$M136=1),0,IF(OFFSET(CRONOPLE!$F$14,$M136,AR$13)="",10^12,OFFSET(CRONOPLE!$F$14,$M136,AR$13))))</f>
        <v>0</v>
      </c>
      <c r="AS136" s="181">
        <f ca="1">IF($D136&lt;&gt;"Serviço",0,IF(AND(AUTOEVENTO="Manual",$M136=1),0,IF(OFFSET(CRONOPLE!$F$14,$M136,AS$13)="",10^12,OFFSET(CRONOPLE!$F$14,$M136,AS$13))))</f>
        <v>0</v>
      </c>
      <c r="AT136" s="181">
        <f ca="1">IF($D136&lt;&gt;"Serviço",0,IF(AND(AUTOEVENTO="Manual",$M136=1),0,IF(OFFSET(CRONOPLE!$F$14,$M136,AT$13)="",10^12,OFFSET(CRONOPLE!$F$14,$M136,AT$13))))</f>
        <v>0</v>
      </c>
      <c r="AU136" s="181">
        <f ca="1">IF($D136&lt;&gt;"Serviço",0,IF(AND(AUTOEVENTO="Manual",$M136=1),0,IF(OFFSET(CRONOPLE!$F$14,$M136,AU$13)="",10^12,OFFSET(CRONOPLE!$F$14,$M136,AU$13))))</f>
        <v>0</v>
      </c>
      <c r="AV136" s="181">
        <f ca="1">IF($D136&lt;&gt;"Serviço",0,IF(AND(AUTOEVENTO="Manual",$M136=1),0,IF(OFFSET(CRONOPLE!$F$14,$M136,AV$13)="",10^12,OFFSET(CRONOPLE!$F$14,$M136,AV$13))))</f>
        <v>0</v>
      </c>
      <c r="AX136" s="182">
        <f ca="1">IF($D136&lt;&gt;"Serviço",0,IF(OR(AND(AUTOEVENTO="Manual",$M136=1),$M136&gt;(ROW(PLE.lastrow)-ROW(PLE.firstrow))),0,IF(OFFSET(PLE!$G$14,$M136,AX$13)="",10^12,OFFSET(PLE!$G$14,$M136,AX$13))))</f>
        <v>0</v>
      </c>
      <c r="AY136" s="182">
        <f ca="1">IF($D136&lt;&gt;"Serviço",0,IF(OR(AND(AUTOEVENTO="Manual",$M136=1),$M136&gt;(ROW(PLE.lastrow)-ROW(PLE.firstrow))),0,IF(OFFSET(PLE!$G$14,$M136,AY$13)="",10^12,OFFSET(PLE!$G$14,$M136,AY$13))))</f>
        <v>0</v>
      </c>
      <c r="AZ136" s="182">
        <f ca="1">IF($D136&lt;&gt;"Serviço",0,IF(OR(AND(AUTOEVENTO="Manual",$M136=1),$M136&gt;(ROW(PLE.lastrow)-ROW(PLE.firstrow))),0,IF(OFFSET(PLE!$G$14,$M136,AZ$13)="",10^12,OFFSET(PLE!$G$14,$M136,AZ$13))))</f>
        <v>0</v>
      </c>
      <c r="BA136" s="182">
        <f ca="1">IF($D136&lt;&gt;"Serviço",0,IF(OR(AND(AUTOEVENTO="Manual",$M136=1),$M136&gt;(ROW(PLE.lastrow)-ROW(PLE.firstrow))),0,IF(OFFSET(PLE!$G$14,$M136,BA$13)="",10^12,OFFSET(PLE!$G$14,$M136,BA$13))))</f>
        <v>0</v>
      </c>
      <c r="BB136" s="182">
        <f ca="1">IF($D136&lt;&gt;"Serviço",0,IF(OR(AND(AUTOEVENTO="Manual",$M136=1),$M136&gt;(ROW(PLE.lastrow)-ROW(PLE.firstrow))),0,IF(OFFSET(PLE!$G$14,$M136,BB$13)="",10^12,OFFSET(PLE!$G$14,$M136,BB$13))))</f>
        <v>0</v>
      </c>
      <c r="BC136" s="182">
        <f ca="1">IF($D136&lt;&gt;"Serviço",0,IF(OR(AND(AUTOEVENTO="Manual",$M136=1),$M136&gt;(ROW(PLE.lastrow)-ROW(PLE.firstrow))),0,IF(OFFSET(PLE!$G$14,$M136,BC$13)="",10^12,OFFSET(PLE!$G$14,$M136,BC$13))))</f>
        <v>0</v>
      </c>
      <c r="BD136" s="182">
        <f ca="1">IF($D136&lt;&gt;"Serviço",0,IF(OR(AND(AUTOEVENTO="Manual",$M136=1),$M136&gt;(ROW(PLE.lastrow)-ROW(PLE.firstrow))),0,IF(OFFSET(PLE!$G$14,$M136,BD$13)="",10^12,OFFSET(PLE!$G$14,$M136,BD$13))))</f>
        <v>0</v>
      </c>
      <c r="BE136" s="182">
        <f ca="1">IF($D136&lt;&gt;"Serviço",0,IF(OR(AND(AUTOEVENTO="Manual",$M136=1),$M136&gt;(ROW(PLE.lastrow)-ROW(PLE.firstrow))),0,IF(OFFSET(PLE!$G$14,$M136,BE$13)="",10^12,OFFSET(PLE!$G$14,$M136,BE$13))))</f>
        <v>0</v>
      </c>
      <c r="BF136" s="182">
        <f ca="1">IF($D136&lt;&gt;"Serviço",0,IF(OR(AND(AUTOEVENTO="Manual",$M136=1),$M136&gt;(ROW(PLE.lastrow)-ROW(PLE.firstrow))),0,IF(OFFSET(PLE!$G$14,$M136,BF$13)="",10^12,OFFSET(PLE!$G$14,$M136,BF$13))))</f>
        <v>0</v>
      </c>
      <c r="BG136" s="182">
        <f ca="1">IF($D136&lt;&gt;"Serviço",0,IF(OR(AND(AUTOEVENTO="Manual",$M136=1),$M136&gt;(ROW(PLE.lastrow)-ROW(PLE.firstrow))),0,IF(OFFSET(PLE!$G$14,$M136,BG$13)="",10^12,OFFSET(PLE!$G$14,$M136,BG$13))))</f>
        <v>0</v>
      </c>
    </row>
    <row r="137" spans="1:59" ht="51" x14ac:dyDescent="0.2">
      <c r="A137" s="7" t="str">
        <f t="shared" ca="1" si="9"/>
        <v>71</v>
      </c>
      <c r="B137" s="7" t="str">
        <f ca="1">OFFSET(ORÇAMENTO!C$15,ROW(B137)-ROW(B$15),0)</f>
        <v>S</v>
      </c>
      <c r="C137" s="7" t="str">
        <f ca="1">OFFSET(ORÇAMENTO!L$15,ROW(C137)-ROW(C$15),0)</f>
        <v>F</v>
      </c>
      <c r="D137" s="118" t="str">
        <f ca="1">OFFSET(ORÇAMENTO!N$15,ROW(D137)-ROW(D$15),0)</f>
        <v>Serviço</v>
      </c>
      <c r="E137" s="119" t="str">
        <f ca="1">OFFSET(ORÇAMENTO!O$15,ROW(E137)-ROW(E$15),0)</f>
        <v>1.6.11.1.</v>
      </c>
      <c r="F137" s="172" t="str">
        <f ca="1">OFFSET(ORÇAMENTO!R$15,ROW(F137)-ROW(F$15),0)</f>
        <v>(abra o arquivo 'Referência 03-2024.xlsm)</v>
      </c>
      <c r="G137" s="173" t="str">
        <f ca="1">IF($D137&lt;&gt;"Serviço","",OFFSET(ORÇAMENTO!S$15,ROW(G137)-ROW(G$15),0))</f>
        <v>-</v>
      </c>
      <c r="H137" s="124">
        <f ca="1">IF($D137&lt;&gt;"Serviço",0,IF(ACOMPANHAMENTO="BM",ROUND(OFFSET(ORÇAMENTO!AJ$15,ROW(H137)-ROW(H$15),0),15-13*ORÇAMENTO!$AF$7),SUMPRODUCT(($Q$12:$AA$12&lt;&gt;"")*ROUND($Q137:$AA137,15-13*ORÇAMENTO!$AF$7))))</f>
        <v>38</v>
      </c>
      <c r="I137" s="561"/>
      <c r="K137" s="174"/>
      <c r="L137" s="175" t="s">
        <v>255</v>
      </c>
      <c r="M137" s="176">
        <f ca="1">IF($D137&lt;&gt;"Serviço","",IF(AUTOEVENTO="manual",$A137,IF(ISERROR(MATCH($A137,$A$15:OFFSET($A137,-1,0),0)),MAX($M$15:OFFSET(M137,-1,0))+1,INDEX($M$15:OFFSET(M137,-1,0),MATCH($A137,$A$15:OFFSET($A137,-1,0),0)))))</f>
        <v>7</v>
      </c>
      <c r="N137" s="177" t="str">
        <f ca="1">IF($D137&lt;&gt;"Serviço","",IF(AUTOEVENTO="Manual",IF($A137=0,"&lt;-- defina o número do agrupador",OFFSET(EVENTOS!$D$14,$A137,0)),OFFSET($F$15,$A137,0)))</f>
        <v>SANITÁRIO PÚBLICO ACESSÍVEL</v>
      </c>
      <c r="O137" s="178"/>
      <c r="Q137" s="178"/>
      <c r="R137" s="179"/>
      <c r="S137" s="179"/>
      <c r="T137" s="179"/>
      <c r="U137" s="179"/>
      <c r="V137" s="179"/>
      <c r="W137" s="179"/>
      <c r="X137" s="179"/>
      <c r="Y137" s="179"/>
      <c r="Z137" s="180"/>
      <c r="AB137" s="544">
        <f ca="1">IF(AND($D137="Serviço",AB$12&lt;&gt;0,$H137&gt;0,OR(AUTOEVENTO&lt;&gt;"manual",$M137&lt;&gt;1)),
IF(Import.TipoArredondamento&lt;&gt;"TransfereGOV",
ROUND(OFFSET($P137,0,AB$13),15-13*ORÇAMENTO!$AF$7)/$H137*OFFSET(ORÇAMENTO!$X$15,ROW(AB137)-ROW(AB$15),0),
ROUND(ROUND(OFFSET($P137,0,AB$13),15-13*ORÇAMENTO!$AF$7)*OFFSET(ORÇAMENTO!$W$15,ROW(AB137)-ROW(AB$15),0),15-13*ORÇAMENTO!$AF$11)),0)</f>
        <v>0</v>
      </c>
      <c r="AC137" s="545">
        <f ca="1">IF(AND($D137="Serviço",AC$12&lt;&gt;0,$H137&gt;0,OR(AUTOEVENTO&lt;&gt;"manual",$M137&lt;&gt;1)),
IF(Import.TipoArredondamento&lt;&gt;"TransfereGOV",
ROUND(OFFSET($P137,0,AC$13),15-13*ORÇAMENTO!$AF$7)/$H137*OFFSET(ORÇAMENTO!$X$15,ROW(AC137)-ROW(AC$15),0),
ROUND(ROUND(OFFSET($P137,0,AC$13),15-13*ORÇAMENTO!$AF$7)*OFFSET(ORÇAMENTO!$W$15,ROW(AC137)-ROW(AC$15),0),15-13*ORÇAMENTO!$AF$11)),0)</f>
        <v>0</v>
      </c>
      <c r="AD137" s="545">
        <f ca="1">IF(AND($D137="Serviço",AD$12&lt;&gt;0,$H137&gt;0,OR(AUTOEVENTO&lt;&gt;"manual",$M137&lt;&gt;1)),
IF(Import.TipoArredondamento&lt;&gt;"TransfereGOV",
ROUND(OFFSET($P137,0,AD$13),15-13*ORÇAMENTO!$AF$7)/$H137*OFFSET(ORÇAMENTO!$X$15,ROW(AD137)-ROW(AD$15),0),
ROUND(ROUND(OFFSET($P137,0,AD$13),15-13*ORÇAMENTO!$AF$7)*OFFSET(ORÇAMENTO!$W$15,ROW(AD137)-ROW(AD$15),0),15-13*ORÇAMENTO!$AF$11)),0)</f>
        <v>0</v>
      </c>
      <c r="AE137" s="545">
        <f ca="1">IF(AND($D137="Serviço",AE$12&lt;&gt;0,$H137&gt;0,OR(AUTOEVENTO&lt;&gt;"manual",$M137&lt;&gt;1)),
IF(Import.TipoArredondamento&lt;&gt;"TransfereGOV",
ROUND(OFFSET($P137,0,AE$13),15-13*ORÇAMENTO!$AF$7)/$H137*OFFSET(ORÇAMENTO!$X$15,ROW(AE137)-ROW(AE$15),0),
ROUND(ROUND(OFFSET($P137,0,AE$13),15-13*ORÇAMENTO!$AF$7)*OFFSET(ORÇAMENTO!$W$15,ROW(AE137)-ROW(AE$15),0),15-13*ORÇAMENTO!$AF$11)),0)</f>
        <v>0</v>
      </c>
      <c r="AF137" s="545">
        <f ca="1">IF(AND($D137="Serviço",AF$12&lt;&gt;0,$H137&gt;0,OR(AUTOEVENTO&lt;&gt;"manual",$M137&lt;&gt;1)),
IF(Import.TipoArredondamento&lt;&gt;"TransfereGOV",
ROUND(OFFSET($P137,0,AF$13),15-13*ORÇAMENTO!$AF$7)/$H137*OFFSET(ORÇAMENTO!$X$15,ROW(AF137)-ROW(AF$15),0),
ROUND(ROUND(OFFSET($P137,0,AF$13),15-13*ORÇAMENTO!$AF$7)*OFFSET(ORÇAMENTO!$W$15,ROW(AF137)-ROW(AF$15),0),15-13*ORÇAMENTO!$AF$11)),0)</f>
        <v>0</v>
      </c>
      <c r="AG137" s="545">
        <f ca="1">IF(AND($D137="Serviço",AG$12&lt;&gt;0,$H137&gt;0,OR(AUTOEVENTO&lt;&gt;"manual",$M137&lt;&gt;1)),
IF(Import.TipoArredondamento&lt;&gt;"TransfereGOV",
ROUND(OFFSET($P137,0,AG$13),15-13*ORÇAMENTO!$AF$7)/$H137*OFFSET(ORÇAMENTO!$X$15,ROW(AG137)-ROW(AG$15),0),
ROUND(ROUND(OFFSET($P137,0,AG$13),15-13*ORÇAMENTO!$AF$7)*OFFSET(ORÇAMENTO!$W$15,ROW(AG137)-ROW(AG$15),0),15-13*ORÇAMENTO!$AF$11)),0)</f>
        <v>0</v>
      </c>
      <c r="AH137" s="545">
        <f ca="1">IF(AND($D137="Serviço",AH$12&lt;&gt;0,$H137&gt;0,OR(AUTOEVENTO&lt;&gt;"manual",$M137&lt;&gt;1)),
IF(Import.TipoArredondamento&lt;&gt;"TransfereGOV",
ROUND(OFFSET($P137,0,AH$13),15-13*ORÇAMENTO!$AF$7)/$H137*OFFSET(ORÇAMENTO!$X$15,ROW(AH137)-ROW(AH$15),0),
ROUND(ROUND(OFFSET($P137,0,AH$13),15-13*ORÇAMENTO!$AF$7)*OFFSET(ORÇAMENTO!$W$15,ROW(AH137)-ROW(AH$15),0),15-13*ORÇAMENTO!$AF$11)),0)</f>
        <v>0</v>
      </c>
      <c r="AI137" s="545">
        <f ca="1">IF(AND($D137="Serviço",AI$12&lt;&gt;0,$H137&gt;0,OR(AUTOEVENTO&lt;&gt;"manual",$M137&lt;&gt;1)),
IF(Import.TipoArredondamento&lt;&gt;"TransfereGOV",
ROUND(OFFSET($P137,0,AI$13),15-13*ORÇAMENTO!$AF$7)/$H137*OFFSET(ORÇAMENTO!$X$15,ROW(AI137)-ROW(AI$15),0),
ROUND(ROUND(OFFSET($P137,0,AI$13),15-13*ORÇAMENTO!$AF$7)*OFFSET(ORÇAMENTO!$W$15,ROW(AI137)-ROW(AI$15),0),15-13*ORÇAMENTO!$AF$11)),0)</f>
        <v>0</v>
      </c>
      <c r="AJ137" s="545">
        <f ca="1">IF(AND($D137="Serviço",AJ$12&lt;&gt;0,$H137&gt;0,OR(AUTOEVENTO&lt;&gt;"manual",$M137&lt;&gt;1)),
IF(Import.TipoArredondamento&lt;&gt;"TransfereGOV",
ROUND(OFFSET($P137,0,AJ$13),15-13*ORÇAMENTO!$AF$7)/$H137*OFFSET(ORÇAMENTO!$X$15,ROW(AJ137)-ROW(AJ$15),0),
ROUND(ROUND(OFFSET($P137,0,AJ$13),15-13*ORÇAMENTO!$AF$7)*OFFSET(ORÇAMENTO!$W$15,ROW(AJ137)-ROW(AJ$15),0),15-13*ORÇAMENTO!$AF$11)),0)</f>
        <v>0</v>
      </c>
      <c r="AK137" s="546">
        <f ca="1">IF(AND($D137="Serviço",AK$12&lt;&gt;0,$H137&gt;0,OR(AUTOEVENTO&lt;&gt;"manual",$M137&lt;&gt;1)),
IF(Import.TipoArredondamento&lt;&gt;"TransfereGOV",
ROUND(OFFSET($P137,0,AK$13),15-13*ORÇAMENTO!$AF$7)/$H137*OFFSET(ORÇAMENTO!$X$15,ROW(AK137)-ROW(AK$15),0),
ROUND(ROUND(OFFSET($P137,0,AK$13),15-13*ORÇAMENTO!$AF$7)*OFFSET(ORÇAMENTO!$W$15,ROW(AK137)-ROW(AK$15),0),15-13*ORÇAMENTO!$AF$11)),0)</f>
        <v>0</v>
      </c>
      <c r="AM137" s="181">
        <f ca="1">IF($D137&lt;&gt;"Serviço",0,IF(AND(AUTOEVENTO="Manual",$M137=1),0,IF(OFFSET(CRONOPLE!$F$14,$M137,AM$13)="",10^12,OFFSET(CRONOPLE!$F$14,$M137,AM$13))))</f>
        <v>1000000000000</v>
      </c>
      <c r="AN137" s="181">
        <f ca="1">IF($D137&lt;&gt;"Serviço",0,IF(AND(AUTOEVENTO="Manual",$M137=1),0,IF(OFFSET(CRONOPLE!$F$14,$M137,AN$13)="",10^12,OFFSET(CRONOPLE!$F$14,$M137,AN$13))))</f>
        <v>1000000000000</v>
      </c>
      <c r="AO137" s="181">
        <f ca="1">IF($D137&lt;&gt;"Serviço",0,IF(AND(AUTOEVENTO="Manual",$M137=1),0,IF(OFFSET(CRONOPLE!$F$14,$M137,AO$13)="",10^12,OFFSET(CRONOPLE!$F$14,$M137,AO$13))))</f>
        <v>1000000000000</v>
      </c>
      <c r="AP137" s="181">
        <f ca="1">IF($D137&lt;&gt;"Serviço",0,IF(AND(AUTOEVENTO="Manual",$M137=1),0,IF(OFFSET(CRONOPLE!$F$14,$M137,AP$13)="",10^12,OFFSET(CRONOPLE!$F$14,$M137,AP$13))))</f>
        <v>1000000000000</v>
      </c>
      <c r="AQ137" s="181">
        <f ca="1">IF($D137&lt;&gt;"Serviço",0,IF(AND(AUTOEVENTO="Manual",$M137=1),0,IF(OFFSET(CRONOPLE!$F$14,$M137,AQ$13)="",10^12,OFFSET(CRONOPLE!$F$14,$M137,AQ$13))))</f>
        <v>1000000000000</v>
      </c>
      <c r="AR137" s="181">
        <f ca="1">IF($D137&lt;&gt;"Serviço",0,IF(AND(AUTOEVENTO="Manual",$M137=1),0,IF(OFFSET(CRONOPLE!$F$14,$M137,AR$13)="",10^12,OFFSET(CRONOPLE!$F$14,$M137,AR$13))))</f>
        <v>1000000000000</v>
      </c>
      <c r="AS137" s="181">
        <f ca="1">IF($D137&lt;&gt;"Serviço",0,IF(AND(AUTOEVENTO="Manual",$M137=1),0,IF(OFFSET(CRONOPLE!$F$14,$M137,AS$13)="",10^12,OFFSET(CRONOPLE!$F$14,$M137,AS$13))))</f>
        <v>1000000000000</v>
      </c>
      <c r="AT137" s="181">
        <f ca="1">IF($D137&lt;&gt;"Serviço",0,IF(AND(AUTOEVENTO="Manual",$M137=1),0,IF(OFFSET(CRONOPLE!$F$14,$M137,AT$13)="",10^12,OFFSET(CRONOPLE!$F$14,$M137,AT$13))))</f>
        <v>1000000000000</v>
      </c>
      <c r="AU137" s="181">
        <f ca="1">IF($D137&lt;&gt;"Serviço",0,IF(AND(AUTOEVENTO="Manual",$M137=1),0,IF(OFFSET(CRONOPLE!$F$14,$M137,AU$13)="",10^12,OFFSET(CRONOPLE!$F$14,$M137,AU$13))))</f>
        <v>1000000000000</v>
      </c>
      <c r="AV137" s="181">
        <f ca="1">IF($D137&lt;&gt;"Serviço",0,IF(AND(AUTOEVENTO="Manual",$M137=1),0,IF(OFFSET(CRONOPLE!$F$14,$M137,AV$13)="",10^12,OFFSET(CRONOPLE!$F$14,$M137,AV$13))))</f>
        <v>1000000000000</v>
      </c>
      <c r="AX137" s="182">
        <f ca="1">IF($D137&lt;&gt;"Serviço",0,IF(OR(AND(AUTOEVENTO="Manual",$M137=1),$M137&gt;(ROW(PLE.lastrow)-ROW(PLE.firstrow))),0,IF(OFFSET(PLE!$G$14,$M137,AX$13)="",10^12,OFFSET(PLE!$G$14,$M137,AX$13))))</f>
        <v>1000000000000</v>
      </c>
      <c r="AY137" s="182">
        <f ca="1">IF($D137&lt;&gt;"Serviço",0,IF(OR(AND(AUTOEVENTO="Manual",$M137=1),$M137&gt;(ROW(PLE.lastrow)-ROW(PLE.firstrow))),0,IF(OFFSET(PLE!$G$14,$M137,AY$13)="",10^12,OFFSET(PLE!$G$14,$M137,AY$13))))</f>
        <v>1000000000000</v>
      </c>
      <c r="AZ137" s="182">
        <f ca="1">IF($D137&lt;&gt;"Serviço",0,IF(OR(AND(AUTOEVENTO="Manual",$M137=1),$M137&gt;(ROW(PLE.lastrow)-ROW(PLE.firstrow))),0,IF(OFFSET(PLE!$G$14,$M137,AZ$13)="",10^12,OFFSET(PLE!$G$14,$M137,AZ$13))))</f>
        <v>1000000000000</v>
      </c>
      <c r="BA137" s="182">
        <f ca="1">IF($D137&lt;&gt;"Serviço",0,IF(OR(AND(AUTOEVENTO="Manual",$M137=1),$M137&gt;(ROW(PLE.lastrow)-ROW(PLE.firstrow))),0,IF(OFFSET(PLE!$G$14,$M137,BA$13)="",10^12,OFFSET(PLE!$G$14,$M137,BA$13))))</f>
        <v>1000000000000</v>
      </c>
      <c r="BB137" s="182">
        <f ca="1">IF($D137&lt;&gt;"Serviço",0,IF(OR(AND(AUTOEVENTO="Manual",$M137=1),$M137&gt;(ROW(PLE.lastrow)-ROW(PLE.firstrow))),0,IF(OFFSET(PLE!$G$14,$M137,BB$13)="",10^12,OFFSET(PLE!$G$14,$M137,BB$13))))</f>
        <v>1000000000000</v>
      </c>
      <c r="BC137" s="182">
        <f ca="1">IF($D137&lt;&gt;"Serviço",0,IF(OR(AND(AUTOEVENTO="Manual",$M137=1),$M137&gt;(ROW(PLE.lastrow)-ROW(PLE.firstrow))),0,IF(OFFSET(PLE!$G$14,$M137,BC$13)="",10^12,OFFSET(PLE!$G$14,$M137,BC$13))))</f>
        <v>1000000000000</v>
      </c>
      <c r="BD137" s="182">
        <f ca="1">IF($D137&lt;&gt;"Serviço",0,IF(OR(AND(AUTOEVENTO="Manual",$M137=1),$M137&gt;(ROW(PLE.lastrow)-ROW(PLE.firstrow))),0,IF(OFFSET(PLE!$G$14,$M137,BD$13)="",10^12,OFFSET(PLE!$G$14,$M137,BD$13))))</f>
        <v>1000000000000</v>
      </c>
      <c r="BE137" s="182">
        <f ca="1">IF($D137&lt;&gt;"Serviço",0,IF(OR(AND(AUTOEVENTO="Manual",$M137=1),$M137&gt;(ROW(PLE.lastrow)-ROW(PLE.firstrow))),0,IF(OFFSET(PLE!$G$14,$M137,BE$13)="",10^12,OFFSET(PLE!$G$14,$M137,BE$13))))</f>
        <v>1000000000000</v>
      </c>
      <c r="BF137" s="182">
        <f ca="1">IF($D137&lt;&gt;"Serviço",0,IF(OR(AND(AUTOEVENTO="Manual",$M137=1),$M137&gt;(ROW(PLE.lastrow)-ROW(PLE.firstrow))),0,IF(OFFSET(PLE!$G$14,$M137,BF$13)="",10^12,OFFSET(PLE!$G$14,$M137,BF$13))))</f>
        <v>1000000000000</v>
      </c>
      <c r="BG137" s="182">
        <f ca="1">IF($D137&lt;&gt;"Serviço",0,IF(OR(AND(AUTOEVENTO="Manual",$M137=1),$M137&gt;(ROW(PLE.lastrow)-ROW(PLE.firstrow))),0,IF(OFFSET(PLE!$G$14,$M137,BG$13)="",10^12,OFFSET(PLE!$G$14,$M137,BG$13))))</f>
        <v>1000000000000</v>
      </c>
    </row>
    <row r="138" spans="1:59" ht="63.75" x14ac:dyDescent="0.2">
      <c r="A138" s="7" t="str">
        <f t="shared" ca="1" si="9"/>
        <v>71</v>
      </c>
      <c r="B138" s="7" t="str">
        <f ca="1">OFFSET(ORÇAMENTO!C$15,ROW(B138)-ROW(B$15),0)</f>
        <v>S</v>
      </c>
      <c r="C138" s="7" t="str">
        <f ca="1">OFFSET(ORÇAMENTO!L$15,ROW(C138)-ROW(C$15),0)</f>
        <v>F</v>
      </c>
      <c r="D138" s="118" t="str">
        <f ca="1">OFFSET(ORÇAMENTO!N$15,ROW(D138)-ROW(D$15),0)</f>
        <v>Serviço</v>
      </c>
      <c r="E138" s="119" t="str">
        <f ca="1">OFFSET(ORÇAMENTO!O$15,ROW(E138)-ROW(E$15),0)</f>
        <v>1.6.11.2.</v>
      </c>
      <c r="F138" s="172" t="str">
        <f ca="1">OFFSET(ORÇAMENTO!R$15,ROW(F138)-ROW(F$15),0)</f>
        <v>(abra o arquivo 'Referência 03-2024.xlsm)</v>
      </c>
      <c r="G138" s="173" t="str">
        <f ca="1">IF($D138&lt;&gt;"Serviço","",OFFSET(ORÇAMENTO!S$15,ROW(G138)-ROW(G$15),0))</f>
        <v>-</v>
      </c>
      <c r="H138" s="124">
        <f ca="1">IF($D138&lt;&gt;"Serviço",0,IF(ACOMPANHAMENTO="BM",ROUND(OFFSET(ORÇAMENTO!AJ$15,ROW(H138)-ROW(H$15),0),15-13*ORÇAMENTO!$AF$7),SUMPRODUCT(($Q$12:$AA$12&lt;&gt;"")*ROUND($Q138:$AA138,15-13*ORÇAMENTO!$AF$7))))</f>
        <v>38</v>
      </c>
      <c r="I138" s="561"/>
      <c r="K138" s="174"/>
      <c r="L138" s="175" t="s">
        <v>255</v>
      </c>
      <c r="M138" s="176">
        <f ca="1">IF($D138&lt;&gt;"Serviço","",IF(AUTOEVENTO="manual",$A138,IF(ISERROR(MATCH($A138,$A$15:OFFSET($A138,-1,0),0)),MAX($M$15:OFFSET(M138,-1,0))+1,INDEX($M$15:OFFSET(M138,-1,0),MATCH($A138,$A$15:OFFSET($A138,-1,0),0)))))</f>
        <v>7</v>
      </c>
      <c r="N138" s="177" t="str">
        <f ca="1">IF($D138&lt;&gt;"Serviço","",IF(AUTOEVENTO="Manual",IF($A138=0,"&lt;-- defina o número do agrupador",OFFSET(EVENTOS!$D$14,$A138,0)),OFFSET($F$15,$A138,0)))</f>
        <v>SANITÁRIO PÚBLICO ACESSÍVEL</v>
      </c>
      <c r="O138" s="178"/>
      <c r="Q138" s="178"/>
      <c r="R138" s="179"/>
      <c r="S138" s="179"/>
      <c r="T138" s="179"/>
      <c r="U138" s="179"/>
      <c r="V138" s="179"/>
      <c r="W138" s="179"/>
      <c r="X138" s="179"/>
      <c r="Y138" s="179"/>
      <c r="Z138" s="180"/>
      <c r="AB138" s="544">
        <f ca="1">IF(AND($D138="Serviço",AB$12&lt;&gt;0,$H138&gt;0,OR(AUTOEVENTO&lt;&gt;"manual",$M138&lt;&gt;1)),
IF(Import.TipoArredondamento&lt;&gt;"TransfereGOV",
ROUND(OFFSET($P138,0,AB$13),15-13*ORÇAMENTO!$AF$7)/$H138*OFFSET(ORÇAMENTO!$X$15,ROW(AB138)-ROW(AB$15),0),
ROUND(ROUND(OFFSET($P138,0,AB$13),15-13*ORÇAMENTO!$AF$7)*OFFSET(ORÇAMENTO!$W$15,ROW(AB138)-ROW(AB$15),0),15-13*ORÇAMENTO!$AF$11)),0)</f>
        <v>0</v>
      </c>
      <c r="AC138" s="545">
        <f ca="1">IF(AND($D138="Serviço",AC$12&lt;&gt;0,$H138&gt;0,OR(AUTOEVENTO&lt;&gt;"manual",$M138&lt;&gt;1)),
IF(Import.TipoArredondamento&lt;&gt;"TransfereGOV",
ROUND(OFFSET($P138,0,AC$13),15-13*ORÇAMENTO!$AF$7)/$H138*OFFSET(ORÇAMENTO!$X$15,ROW(AC138)-ROW(AC$15),0),
ROUND(ROUND(OFFSET($P138,0,AC$13),15-13*ORÇAMENTO!$AF$7)*OFFSET(ORÇAMENTO!$W$15,ROW(AC138)-ROW(AC$15),0),15-13*ORÇAMENTO!$AF$11)),0)</f>
        <v>0</v>
      </c>
      <c r="AD138" s="545">
        <f ca="1">IF(AND($D138="Serviço",AD$12&lt;&gt;0,$H138&gt;0,OR(AUTOEVENTO&lt;&gt;"manual",$M138&lt;&gt;1)),
IF(Import.TipoArredondamento&lt;&gt;"TransfereGOV",
ROUND(OFFSET($P138,0,AD$13),15-13*ORÇAMENTO!$AF$7)/$H138*OFFSET(ORÇAMENTO!$X$15,ROW(AD138)-ROW(AD$15),0),
ROUND(ROUND(OFFSET($P138,0,AD$13),15-13*ORÇAMENTO!$AF$7)*OFFSET(ORÇAMENTO!$W$15,ROW(AD138)-ROW(AD$15),0),15-13*ORÇAMENTO!$AF$11)),0)</f>
        <v>0</v>
      </c>
      <c r="AE138" s="545">
        <f ca="1">IF(AND($D138="Serviço",AE$12&lt;&gt;0,$H138&gt;0,OR(AUTOEVENTO&lt;&gt;"manual",$M138&lt;&gt;1)),
IF(Import.TipoArredondamento&lt;&gt;"TransfereGOV",
ROUND(OFFSET($P138,0,AE$13),15-13*ORÇAMENTO!$AF$7)/$H138*OFFSET(ORÇAMENTO!$X$15,ROW(AE138)-ROW(AE$15),0),
ROUND(ROUND(OFFSET($P138,0,AE$13),15-13*ORÇAMENTO!$AF$7)*OFFSET(ORÇAMENTO!$W$15,ROW(AE138)-ROW(AE$15),0),15-13*ORÇAMENTO!$AF$11)),0)</f>
        <v>0</v>
      </c>
      <c r="AF138" s="545">
        <f ca="1">IF(AND($D138="Serviço",AF$12&lt;&gt;0,$H138&gt;0,OR(AUTOEVENTO&lt;&gt;"manual",$M138&lt;&gt;1)),
IF(Import.TipoArredondamento&lt;&gt;"TransfereGOV",
ROUND(OFFSET($P138,0,AF$13),15-13*ORÇAMENTO!$AF$7)/$H138*OFFSET(ORÇAMENTO!$X$15,ROW(AF138)-ROW(AF$15),0),
ROUND(ROUND(OFFSET($P138,0,AF$13),15-13*ORÇAMENTO!$AF$7)*OFFSET(ORÇAMENTO!$W$15,ROW(AF138)-ROW(AF$15),0),15-13*ORÇAMENTO!$AF$11)),0)</f>
        <v>0</v>
      </c>
      <c r="AG138" s="545">
        <f ca="1">IF(AND($D138="Serviço",AG$12&lt;&gt;0,$H138&gt;0,OR(AUTOEVENTO&lt;&gt;"manual",$M138&lt;&gt;1)),
IF(Import.TipoArredondamento&lt;&gt;"TransfereGOV",
ROUND(OFFSET($P138,0,AG$13),15-13*ORÇAMENTO!$AF$7)/$H138*OFFSET(ORÇAMENTO!$X$15,ROW(AG138)-ROW(AG$15),0),
ROUND(ROUND(OFFSET($P138,0,AG$13),15-13*ORÇAMENTO!$AF$7)*OFFSET(ORÇAMENTO!$W$15,ROW(AG138)-ROW(AG$15),0),15-13*ORÇAMENTO!$AF$11)),0)</f>
        <v>0</v>
      </c>
      <c r="AH138" s="545">
        <f ca="1">IF(AND($D138="Serviço",AH$12&lt;&gt;0,$H138&gt;0,OR(AUTOEVENTO&lt;&gt;"manual",$M138&lt;&gt;1)),
IF(Import.TipoArredondamento&lt;&gt;"TransfereGOV",
ROUND(OFFSET($P138,0,AH$13),15-13*ORÇAMENTO!$AF$7)/$H138*OFFSET(ORÇAMENTO!$X$15,ROW(AH138)-ROW(AH$15),0),
ROUND(ROUND(OFFSET($P138,0,AH$13),15-13*ORÇAMENTO!$AF$7)*OFFSET(ORÇAMENTO!$W$15,ROW(AH138)-ROW(AH$15),0),15-13*ORÇAMENTO!$AF$11)),0)</f>
        <v>0</v>
      </c>
      <c r="AI138" s="545">
        <f ca="1">IF(AND($D138="Serviço",AI$12&lt;&gt;0,$H138&gt;0,OR(AUTOEVENTO&lt;&gt;"manual",$M138&lt;&gt;1)),
IF(Import.TipoArredondamento&lt;&gt;"TransfereGOV",
ROUND(OFFSET($P138,0,AI$13),15-13*ORÇAMENTO!$AF$7)/$H138*OFFSET(ORÇAMENTO!$X$15,ROW(AI138)-ROW(AI$15),0),
ROUND(ROUND(OFFSET($P138,0,AI$13),15-13*ORÇAMENTO!$AF$7)*OFFSET(ORÇAMENTO!$W$15,ROW(AI138)-ROW(AI$15),0),15-13*ORÇAMENTO!$AF$11)),0)</f>
        <v>0</v>
      </c>
      <c r="AJ138" s="545">
        <f ca="1">IF(AND($D138="Serviço",AJ$12&lt;&gt;0,$H138&gt;0,OR(AUTOEVENTO&lt;&gt;"manual",$M138&lt;&gt;1)),
IF(Import.TipoArredondamento&lt;&gt;"TransfereGOV",
ROUND(OFFSET($P138,0,AJ$13),15-13*ORÇAMENTO!$AF$7)/$H138*OFFSET(ORÇAMENTO!$X$15,ROW(AJ138)-ROW(AJ$15),0),
ROUND(ROUND(OFFSET($P138,0,AJ$13),15-13*ORÇAMENTO!$AF$7)*OFFSET(ORÇAMENTO!$W$15,ROW(AJ138)-ROW(AJ$15),0),15-13*ORÇAMENTO!$AF$11)),0)</f>
        <v>0</v>
      </c>
      <c r="AK138" s="546">
        <f ca="1">IF(AND($D138="Serviço",AK$12&lt;&gt;0,$H138&gt;0,OR(AUTOEVENTO&lt;&gt;"manual",$M138&lt;&gt;1)),
IF(Import.TipoArredondamento&lt;&gt;"TransfereGOV",
ROUND(OFFSET($P138,0,AK$13),15-13*ORÇAMENTO!$AF$7)/$H138*OFFSET(ORÇAMENTO!$X$15,ROW(AK138)-ROW(AK$15),0),
ROUND(ROUND(OFFSET($P138,0,AK$13),15-13*ORÇAMENTO!$AF$7)*OFFSET(ORÇAMENTO!$W$15,ROW(AK138)-ROW(AK$15),0),15-13*ORÇAMENTO!$AF$11)),0)</f>
        <v>0</v>
      </c>
      <c r="AM138" s="181">
        <f ca="1">IF($D138&lt;&gt;"Serviço",0,IF(AND(AUTOEVENTO="Manual",$M138=1),0,IF(OFFSET(CRONOPLE!$F$14,$M138,AM$13)="",10^12,OFFSET(CRONOPLE!$F$14,$M138,AM$13))))</f>
        <v>1000000000000</v>
      </c>
      <c r="AN138" s="181">
        <f ca="1">IF($D138&lt;&gt;"Serviço",0,IF(AND(AUTOEVENTO="Manual",$M138=1),0,IF(OFFSET(CRONOPLE!$F$14,$M138,AN$13)="",10^12,OFFSET(CRONOPLE!$F$14,$M138,AN$13))))</f>
        <v>1000000000000</v>
      </c>
      <c r="AO138" s="181">
        <f ca="1">IF($D138&lt;&gt;"Serviço",0,IF(AND(AUTOEVENTO="Manual",$M138=1),0,IF(OFFSET(CRONOPLE!$F$14,$M138,AO$13)="",10^12,OFFSET(CRONOPLE!$F$14,$M138,AO$13))))</f>
        <v>1000000000000</v>
      </c>
      <c r="AP138" s="181">
        <f ca="1">IF($D138&lt;&gt;"Serviço",0,IF(AND(AUTOEVENTO="Manual",$M138=1),0,IF(OFFSET(CRONOPLE!$F$14,$M138,AP$13)="",10^12,OFFSET(CRONOPLE!$F$14,$M138,AP$13))))</f>
        <v>1000000000000</v>
      </c>
      <c r="AQ138" s="181">
        <f ca="1">IF($D138&lt;&gt;"Serviço",0,IF(AND(AUTOEVENTO="Manual",$M138=1),0,IF(OFFSET(CRONOPLE!$F$14,$M138,AQ$13)="",10^12,OFFSET(CRONOPLE!$F$14,$M138,AQ$13))))</f>
        <v>1000000000000</v>
      </c>
      <c r="AR138" s="181">
        <f ca="1">IF($D138&lt;&gt;"Serviço",0,IF(AND(AUTOEVENTO="Manual",$M138=1),0,IF(OFFSET(CRONOPLE!$F$14,$M138,AR$13)="",10^12,OFFSET(CRONOPLE!$F$14,$M138,AR$13))))</f>
        <v>1000000000000</v>
      </c>
      <c r="AS138" s="181">
        <f ca="1">IF($D138&lt;&gt;"Serviço",0,IF(AND(AUTOEVENTO="Manual",$M138=1),0,IF(OFFSET(CRONOPLE!$F$14,$M138,AS$13)="",10^12,OFFSET(CRONOPLE!$F$14,$M138,AS$13))))</f>
        <v>1000000000000</v>
      </c>
      <c r="AT138" s="181">
        <f ca="1">IF($D138&lt;&gt;"Serviço",0,IF(AND(AUTOEVENTO="Manual",$M138=1),0,IF(OFFSET(CRONOPLE!$F$14,$M138,AT$13)="",10^12,OFFSET(CRONOPLE!$F$14,$M138,AT$13))))</f>
        <v>1000000000000</v>
      </c>
      <c r="AU138" s="181">
        <f ca="1">IF($D138&lt;&gt;"Serviço",0,IF(AND(AUTOEVENTO="Manual",$M138=1),0,IF(OFFSET(CRONOPLE!$F$14,$M138,AU$13)="",10^12,OFFSET(CRONOPLE!$F$14,$M138,AU$13))))</f>
        <v>1000000000000</v>
      </c>
      <c r="AV138" s="181">
        <f ca="1">IF($D138&lt;&gt;"Serviço",0,IF(AND(AUTOEVENTO="Manual",$M138=1),0,IF(OFFSET(CRONOPLE!$F$14,$M138,AV$13)="",10^12,OFFSET(CRONOPLE!$F$14,$M138,AV$13))))</f>
        <v>1000000000000</v>
      </c>
      <c r="AX138" s="182">
        <f ca="1">IF($D138&lt;&gt;"Serviço",0,IF(OR(AND(AUTOEVENTO="Manual",$M138=1),$M138&gt;(ROW(PLE.lastrow)-ROW(PLE.firstrow))),0,IF(OFFSET(PLE!$G$14,$M138,AX$13)="",10^12,OFFSET(PLE!$G$14,$M138,AX$13))))</f>
        <v>1000000000000</v>
      </c>
      <c r="AY138" s="182">
        <f ca="1">IF($D138&lt;&gt;"Serviço",0,IF(OR(AND(AUTOEVENTO="Manual",$M138=1),$M138&gt;(ROW(PLE.lastrow)-ROW(PLE.firstrow))),0,IF(OFFSET(PLE!$G$14,$M138,AY$13)="",10^12,OFFSET(PLE!$G$14,$M138,AY$13))))</f>
        <v>1000000000000</v>
      </c>
      <c r="AZ138" s="182">
        <f ca="1">IF($D138&lt;&gt;"Serviço",0,IF(OR(AND(AUTOEVENTO="Manual",$M138=1),$M138&gt;(ROW(PLE.lastrow)-ROW(PLE.firstrow))),0,IF(OFFSET(PLE!$G$14,$M138,AZ$13)="",10^12,OFFSET(PLE!$G$14,$M138,AZ$13))))</f>
        <v>1000000000000</v>
      </c>
      <c r="BA138" s="182">
        <f ca="1">IF($D138&lt;&gt;"Serviço",0,IF(OR(AND(AUTOEVENTO="Manual",$M138=1),$M138&gt;(ROW(PLE.lastrow)-ROW(PLE.firstrow))),0,IF(OFFSET(PLE!$G$14,$M138,BA$13)="",10^12,OFFSET(PLE!$G$14,$M138,BA$13))))</f>
        <v>1000000000000</v>
      </c>
      <c r="BB138" s="182">
        <f ca="1">IF($D138&lt;&gt;"Serviço",0,IF(OR(AND(AUTOEVENTO="Manual",$M138=1),$M138&gt;(ROW(PLE.lastrow)-ROW(PLE.firstrow))),0,IF(OFFSET(PLE!$G$14,$M138,BB$13)="",10^12,OFFSET(PLE!$G$14,$M138,BB$13))))</f>
        <v>1000000000000</v>
      </c>
      <c r="BC138" s="182">
        <f ca="1">IF($D138&lt;&gt;"Serviço",0,IF(OR(AND(AUTOEVENTO="Manual",$M138=1),$M138&gt;(ROW(PLE.lastrow)-ROW(PLE.firstrow))),0,IF(OFFSET(PLE!$G$14,$M138,BC$13)="",10^12,OFFSET(PLE!$G$14,$M138,BC$13))))</f>
        <v>1000000000000</v>
      </c>
      <c r="BD138" s="182">
        <f ca="1">IF($D138&lt;&gt;"Serviço",0,IF(OR(AND(AUTOEVENTO="Manual",$M138=1),$M138&gt;(ROW(PLE.lastrow)-ROW(PLE.firstrow))),0,IF(OFFSET(PLE!$G$14,$M138,BD$13)="",10^12,OFFSET(PLE!$G$14,$M138,BD$13))))</f>
        <v>1000000000000</v>
      </c>
      <c r="BE138" s="182">
        <f ca="1">IF($D138&lt;&gt;"Serviço",0,IF(OR(AND(AUTOEVENTO="Manual",$M138=1),$M138&gt;(ROW(PLE.lastrow)-ROW(PLE.firstrow))),0,IF(OFFSET(PLE!$G$14,$M138,BE$13)="",10^12,OFFSET(PLE!$G$14,$M138,BE$13))))</f>
        <v>1000000000000</v>
      </c>
      <c r="BF138" s="182">
        <f ca="1">IF($D138&lt;&gt;"Serviço",0,IF(OR(AND(AUTOEVENTO="Manual",$M138=1),$M138&gt;(ROW(PLE.lastrow)-ROW(PLE.firstrow))),0,IF(OFFSET(PLE!$G$14,$M138,BF$13)="",10^12,OFFSET(PLE!$G$14,$M138,BF$13))))</f>
        <v>1000000000000</v>
      </c>
      <c r="BG138" s="182">
        <f ca="1">IF($D138&lt;&gt;"Serviço",0,IF(OR(AND(AUTOEVENTO="Manual",$M138=1),$M138&gt;(ROW(PLE.lastrow)-ROW(PLE.firstrow))),0,IF(OFFSET(PLE!$G$14,$M138,BG$13)="",10^12,OFFSET(PLE!$G$14,$M138,BG$13))))</f>
        <v>1000000000000</v>
      </c>
    </row>
    <row r="139" spans="1:59" ht="38.25" x14ac:dyDescent="0.2">
      <c r="A139" s="7" t="str">
        <f t="shared" ca="1" si="9"/>
        <v>71</v>
      </c>
      <c r="B139" s="7" t="str">
        <f ca="1">OFFSET(ORÇAMENTO!C$15,ROW(B139)-ROW(B$15),0)</f>
        <v>S</v>
      </c>
      <c r="C139" s="7" t="str">
        <f ca="1">OFFSET(ORÇAMENTO!L$15,ROW(C139)-ROW(C$15),0)</f>
        <v>F</v>
      </c>
      <c r="D139" s="118" t="str">
        <f ca="1">OFFSET(ORÇAMENTO!N$15,ROW(D139)-ROW(D$15),0)</f>
        <v>Serviço</v>
      </c>
      <c r="E139" s="119" t="str">
        <f ca="1">OFFSET(ORÇAMENTO!O$15,ROW(E139)-ROW(E$15),0)</f>
        <v>1.6.11.3.</v>
      </c>
      <c r="F139" s="172" t="str">
        <f ca="1">OFFSET(ORÇAMENTO!R$15,ROW(F139)-ROW(F$15),0)</f>
        <v>(abra o arquivo 'Referência 03-2024.xlsm)</v>
      </c>
      <c r="G139" s="173" t="str">
        <f ca="1">IF($D139&lt;&gt;"Serviço","",OFFSET(ORÇAMENTO!S$15,ROW(G139)-ROW(G$15),0))</f>
        <v>-</v>
      </c>
      <c r="H139" s="124">
        <f ca="1">IF($D139&lt;&gt;"Serviço",0,IF(ACOMPANHAMENTO="BM",ROUND(OFFSET(ORÇAMENTO!AJ$15,ROW(H139)-ROW(H$15),0),15-13*ORÇAMENTO!$AF$7),SUMPRODUCT(($Q$12:$AA$12&lt;&gt;"")*ROUND($Q139:$AA139,15-13*ORÇAMENTO!$AF$7))))</f>
        <v>38</v>
      </c>
      <c r="I139" s="561"/>
      <c r="K139" s="174"/>
      <c r="L139" s="175" t="s">
        <v>255</v>
      </c>
      <c r="M139" s="176">
        <f ca="1">IF($D139&lt;&gt;"Serviço","",IF(AUTOEVENTO="manual",$A139,IF(ISERROR(MATCH($A139,$A$15:OFFSET($A139,-1,0),0)),MAX($M$15:OFFSET(M139,-1,0))+1,INDEX($M$15:OFFSET(M139,-1,0),MATCH($A139,$A$15:OFFSET($A139,-1,0),0)))))</f>
        <v>7</v>
      </c>
      <c r="N139" s="177" t="str">
        <f ca="1">IF($D139&lt;&gt;"Serviço","",IF(AUTOEVENTO="Manual",IF($A139=0,"&lt;-- defina o número do agrupador",OFFSET(EVENTOS!$D$14,$A139,0)),OFFSET($F$15,$A139,0)))</f>
        <v>SANITÁRIO PÚBLICO ACESSÍVEL</v>
      </c>
      <c r="O139" s="178"/>
      <c r="Q139" s="178"/>
      <c r="R139" s="179"/>
      <c r="S139" s="179"/>
      <c r="T139" s="179"/>
      <c r="U139" s="179"/>
      <c r="V139" s="179"/>
      <c r="W139" s="179"/>
      <c r="X139" s="179"/>
      <c r="Y139" s="179"/>
      <c r="Z139" s="180"/>
      <c r="AB139" s="544">
        <f ca="1">IF(AND($D139="Serviço",AB$12&lt;&gt;0,$H139&gt;0,OR(AUTOEVENTO&lt;&gt;"manual",$M139&lt;&gt;1)),
IF(Import.TipoArredondamento&lt;&gt;"TransfereGOV",
ROUND(OFFSET($P139,0,AB$13),15-13*ORÇAMENTO!$AF$7)/$H139*OFFSET(ORÇAMENTO!$X$15,ROW(AB139)-ROW(AB$15),0),
ROUND(ROUND(OFFSET($P139,0,AB$13),15-13*ORÇAMENTO!$AF$7)*OFFSET(ORÇAMENTO!$W$15,ROW(AB139)-ROW(AB$15),0),15-13*ORÇAMENTO!$AF$11)),0)</f>
        <v>0</v>
      </c>
      <c r="AC139" s="545">
        <f ca="1">IF(AND($D139="Serviço",AC$12&lt;&gt;0,$H139&gt;0,OR(AUTOEVENTO&lt;&gt;"manual",$M139&lt;&gt;1)),
IF(Import.TipoArredondamento&lt;&gt;"TransfereGOV",
ROUND(OFFSET($P139,0,AC$13),15-13*ORÇAMENTO!$AF$7)/$H139*OFFSET(ORÇAMENTO!$X$15,ROW(AC139)-ROW(AC$15),0),
ROUND(ROUND(OFFSET($P139,0,AC$13),15-13*ORÇAMENTO!$AF$7)*OFFSET(ORÇAMENTO!$W$15,ROW(AC139)-ROW(AC$15),0),15-13*ORÇAMENTO!$AF$11)),0)</f>
        <v>0</v>
      </c>
      <c r="AD139" s="545">
        <f ca="1">IF(AND($D139="Serviço",AD$12&lt;&gt;0,$H139&gt;0,OR(AUTOEVENTO&lt;&gt;"manual",$M139&lt;&gt;1)),
IF(Import.TipoArredondamento&lt;&gt;"TransfereGOV",
ROUND(OFFSET($P139,0,AD$13),15-13*ORÇAMENTO!$AF$7)/$H139*OFFSET(ORÇAMENTO!$X$15,ROW(AD139)-ROW(AD$15),0),
ROUND(ROUND(OFFSET($P139,0,AD$13),15-13*ORÇAMENTO!$AF$7)*OFFSET(ORÇAMENTO!$W$15,ROW(AD139)-ROW(AD$15),0),15-13*ORÇAMENTO!$AF$11)),0)</f>
        <v>0</v>
      </c>
      <c r="AE139" s="545">
        <f ca="1">IF(AND($D139="Serviço",AE$12&lt;&gt;0,$H139&gt;0,OR(AUTOEVENTO&lt;&gt;"manual",$M139&lt;&gt;1)),
IF(Import.TipoArredondamento&lt;&gt;"TransfereGOV",
ROUND(OFFSET($P139,0,AE$13),15-13*ORÇAMENTO!$AF$7)/$H139*OFFSET(ORÇAMENTO!$X$15,ROW(AE139)-ROW(AE$15),0),
ROUND(ROUND(OFFSET($P139,0,AE$13),15-13*ORÇAMENTO!$AF$7)*OFFSET(ORÇAMENTO!$W$15,ROW(AE139)-ROW(AE$15),0),15-13*ORÇAMENTO!$AF$11)),0)</f>
        <v>0</v>
      </c>
      <c r="AF139" s="545">
        <f ca="1">IF(AND($D139="Serviço",AF$12&lt;&gt;0,$H139&gt;0,OR(AUTOEVENTO&lt;&gt;"manual",$M139&lt;&gt;1)),
IF(Import.TipoArredondamento&lt;&gt;"TransfereGOV",
ROUND(OFFSET($P139,0,AF$13),15-13*ORÇAMENTO!$AF$7)/$H139*OFFSET(ORÇAMENTO!$X$15,ROW(AF139)-ROW(AF$15),0),
ROUND(ROUND(OFFSET($P139,0,AF$13),15-13*ORÇAMENTO!$AF$7)*OFFSET(ORÇAMENTO!$W$15,ROW(AF139)-ROW(AF$15),0),15-13*ORÇAMENTO!$AF$11)),0)</f>
        <v>0</v>
      </c>
      <c r="AG139" s="545">
        <f ca="1">IF(AND($D139="Serviço",AG$12&lt;&gt;0,$H139&gt;0,OR(AUTOEVENTO&lt;&gt;"manual",$M139&lt;&gt;1)),
IF(Import.TipoArredondamento&lt;&gt;"TransfereGOV",
ROUND(OFFSET($P139,0,AG$13),15-13*ORÇAMENTO!$AF$7)/$H139*OFFSET(ORÇAMENTO!$X$15,ROW(AG139)-ROW(AG$15),0),
ROUND(ROUND(OFFSET($P139,0,AG$13),15-13*ORÇAMENTO!$AF$7)*OFFSET(ORÇAMENTO!$W$15,ROW(AG139)-ROW(AG$15),0),15-13*ORÇAMENTO!$AF$11)),0)</f>
        <v>0</v>
      </c>
      <c r="AH139" s="545">
        <f ca="1">IF(AND($D139="Serviço",AH$12&lt;&gt;0,$H139&gt;0,OR(AUTOEVENTO&lt;&gt;"manual",$M139&lt;&gt;1)),
IF(Import.TipoArredondamento&lt;&gt;"TransfereGOV",
ROUND(OFFSET($P139,0,AH$13),15-13*ORÇAMENTO!$AF$7)/$H139*OFFSET(ORÇAMENTO!$X$15,ROW(AH139)-ROW(AH$15),0),
ROUND(ROUND(OFFSET($P139,0,AH$13),15-13*ORÇAMENTO!$AF$7)*OFFSET(ORÇAMENTO!$W$15,ROW(AH139)-ROW(AH$15),0),15-13*ORÇAMENTO!$AF$11)),0)</f>
        <v>0</v>
      </c>
      <c r="AI139" s="545">
        <f ca="1">IF(AND($D139="Serviço",AI$12&lt;&gt;0,$H139&gt;0,OR(AUTOEVENTO&lt;&gt;"manual",$M139&lt;&gt;1)),
IF(Import.TipoArredondamento&lt;&gt;"TransfereGOV",
ROUND(OFFSET($P139,0,AI$13),15-13*ORÇAMENTO!$AF$7)/$H139*OFFSET(ORÇAMENTO!$X$15,ROW(AI139)-ROW(AI$15),0),
ROUND(ROUND(OFFSET($P139,0,AI$13),15-13*ORÇAMENTO!$AF$7)*OFFSET(ORÇAMENTO!$W$15,ROW(AI139)-ROW(AI$15),0),15-13*ORÇAMENTO!$AF$11)),0)</f>
        <v>0</v>
      </c>
      <c r="AJ139" s="545">
        <f ca="1">IF(AND($D139="Serviço",AJ$12&lt;&gt;0,$H139&gt;0,OR(AUTOEVENTO&lt;&gt;"manual",$M139&lt;&gt;1)),
IF(Import.TipoArredondamento&lt;&gt;"TransfereGOV",
ROUND(OFFSET($P139,0,AJ$13),15-13*ORÇAMENTO!$AF$7)/$H139*OFFSET(ORÇAMENTO!$X$15,ROW(AJ139)-ROW(AJ$15),0),
ROUND(ROUND(OFFSET($P139,0,AJ$13),15-13*ORÇAMENTO!$AF$7)*OFFSET(ORÇAMENTO!$W$15,ROW(AJ139)-ROW(AJ$15),0),15-13*ORÇAMENTO!$AF$11)),0)</f>
        <v>0</v>
      </c>
      <c r="AK139" s="546">
        <f ca="1">IF(AND($D139="Serviço",AK$12&lt;&gt;0,$H139&gt;0,OR(AUTOEVENTO&lt;&gt;"manual",$M139&lt;&gt;1)),
IF(Import.TipoArredondamento&lt;&gt;"TransfereGOV",
ROUND(OFFSET($P139,0,AK$13),15-13*ORÇAMENTO!$AF$7)/$H139*OFFSET(ORÇAMENTO!$X$15,ROW(AK139)-ROW(AK$15),0),
ROUND(ROUND(OFFSET($P139,0,AK$13),15-13*ORÇAMENTO!$AF$7)*OFFSET(ORÇAMENTO!$W$15,ROW(AK139)-ROW(AK$15),0),15-13*ORÇAMENTO!$AF$11)),0)</f>
        <v>0</v>
      </c>
      <c r="AM139" s="181">
        <f ca="1">IF($D139&lt;&gt;"Serviço",0,IF(AND(AUTOEVENTO="Manual",$M139=1),0,IF(OFFSET(CRONOPLE!$F$14,$M139,AM$13)="",10^12,OFFSET(CRONOPLE!$F$14,$M139,AM$13))))</f>
        <v>1000000000000</v>
      </c>
      <c r="AN139" s="181">
        <f ca="1">IF($D139&lt;&gt;"Serviço",0,IF(AND(AUTOEVENTO="Manual",$M139=1),0,IF(OFFSET(CRONOPLE!$F$14,$M139,AN$13)="",10^12,OFFSET(CRONOPLE!$F$14,$M139,AN$13))))</f>
        <v>1000000000000</v>
      </c>
      <c r="AO139" s="181">
        <f ca="1">IF($D139&lt;&gt;"Serviço",0,IF(AND(AUTOEVENTO="Manual",$M139=1),0,IF(OFFSET(CRONOPLE!$F$14,$M139,AO$13)="",10^12,OFFSET(CRONOPLE!$F$14,$M139,AO$13))))</f>
        <v>1000000000000</v>
      </c>
      <c r="AP139" s="181">
        <f ca="1">IF($D139&lt;&gt;"Serviço",0,IF(AND(AUTOEVENTO="Manual",$M139=1),0,IF(OFFSET(CRONOPLE!$F$14,$M139,AP$13)="",10^12,OFFSET(CRONOPLE!$F$14,$M139,AP$13))))</f>
        <v>1000000000000</v>
      </c>
      <c r="AQ139" s="181">
        <f ca="1">IF($D139&lt;&gt;"Serviço",0,IF(AND(AUTOEVENTO="Manual",$M139=1),0,IF(OFFSET(CRONOPLE!$F$14,$M139,AQ$13)="",10^12,OFFSET(CRONOPLE!$F$14,$M139,AQ$13))))</f>
        <v>1000000000000</v>
      </c>
      <c r="AR139" s="181">
        <f ca="1">IF($D139&lt;&gt;"Serviço",0,IF(AND(AUTOEVENTO="Manual",$M139=1),0,IF(OFFSET(CRONOPLE!$F$14,$M139,AR$13)="",10^12,OFFSET(CRONOPLE!$F$14,$M139,AR$13))))</f>
        <v>1000000000000</v>
      </c>
      <c r="AS139" s="181">
        <f ca="1">IF($D139&lt;&gt;"Serviço",0,IF(AND(AUTOEVENTO="Manual",$M139=1),0,IF(OFFSET(CRONOPLE!$F$14,$M139,AS$13)="",10^12,OFFSET(CRONOPLE!$F$14,$M139,AS$13))))</f>
        <v>1000000000000</v>
      </c>
      <c r="AT139" s="181">
        <f ca="1">IF($D139&lt;&gt;"Serviço",0,IF(AND(AUTOEVENTO="Manual",$M139=1),0,IF(OFFSET(CRONOPLE!$F$14,$M139,AT$13)="",10^12,OFFSET(CRONOPLE!$F$14,$M139,AT$13))))</f>
        <v>1000000000000</v>
      </c>
      <c r="AU139" s="181">
        <f ca="1">IF($D139&lt;&gt;"Serviço",0,IF(AND(AUTOEVENTO="Manual",$M139=1),0,IF(OFFSET(CRONOPLE!$F$14,$M139,AU$13)="",10^12,OFFSET(CRONOPLE!$F$14,$M139,AU$13))))</f>
        <v>1000000000000</v>
      </c>
      <c r="AV139" s="181">
        <f ca="1">IF($D139&lt;&gt;"Serviço",0,IF(AND(AUTOEVENTO="Manual",$M139=1),0,IF(OFFSET(CRONOPLE!$F$14,$M139,AV$13)="",10^12,OFFSET(CRONOPLE!$F$14,$M139,AV$13))))</f>
        <v>1000000000000</v>
      </c>
      <c r="AX139" s="182">
        <f ca="1">IF($D139&lt;&gt;"Serviço",0,IF(OR(AND(AUTOEVENTO="Manual",$M139=1),$M139&gt;(ROW(PLE.lastrow)-ROW(PLE.firstrow))),0,IF(OFFSET(PLE!$G$14,$M139,AX$13)="",10^12,OFFSET(PLE!$G$14,$M139,AX$13))))</f>
        <v>1000000000000</v>
      </c>
      <c r="AY139" s="182">
        <f ca="1">IF($D139&lt;&gt;"Serviço",0,IF(OR(AND(AUTOEVENTO="Manual",$M139=1),$M139&gt;(ROW(PLE.lastrow)-ROW(PLE.firstrow))),0,IF(OFFSET(PLE!$G$14,$M139,AY$13)="",10^12,OFFSET(PLE!$G$14,$M139,AY$13))))</f>
        <v>1000000000000</v>
      </c>
      <c r="AZ139" s="182">
        <f ca="1">IF($D139&lt;&gt;"Serviço",0,IF(OR(AND(AUTOEVENTO="Manual",$M139=1),$M139&gt;(ROW(PLE.lastrow)-ROW(PLE.firstrow))),0,IF(OFFSET(PLE!$G$14,$M139,AZ$13)="",10^12,OFFSET(PLE!$G$14,$M139,AZ$13))))</f>
        <v>1000000000000</v>
      </c>
      <c r="BA139" s="182">
        <f ca="1">IF($D139&lt;&gt;"Serviço",0,IF(OR(AND(AUTOEVENTO="Manual",$M139=1),$M139&gt;(ROW(PLE.lastrow)-ROW(PLE.firstrow))),0,IF(OFFSET(PLE!$G$14,$M139,BA$13)="",10^12,OFFSET(PLE!$G$14,$M139,BA$13))))</f>
        <v>1000000000000</v>
      </c>
      <c r="BB139" s="182">
        <f ca="1">IF($D139&lt;&gt;"Serviço",0,IF(OR(AND(AUTOEVENTO="Manual",$M139=1),$M139&gt;(ROW(PLE.lastrow)-ROW(PLE.firstrow))),0,IF(OFFSET(PLE!$G$14,$M139,BB$13)="",10^12,OFFSET(PLE!$G$14,$M139,BB$13))))</f>
        <v>1000000000000</v>
      </c>
      <c r="BC139" s="182">
        <f ca="1">IF($D139&lt;&gt;"Serviço",0,IF(OR(AND(AUTOEVENTO="Manual",$M139=1),$M139&gt;(ROW(PLE.lastrow)-ROW(PLE.firstrow))),0,IF(OFFSET(PLE!$G$14,$M139,BC$13)="",10^12,OFFSET(PLE!$G$14,$M139,BC$13))))</f>
        <v>1000000000000</v>
      </c>
      <c r="BD139" s="182">
        <f ca="1">IF($D139&lt;&gt;"Serviço",0,IF(OR(AND(AUTOEVENTO="Manual",$M139=1),$M139&gt;(ROW(PLE.lastrow)-ROW(PLE.firstrow))),0,IF(OFFSET(PLE!$G$14,$M139,BD$13)="",10^12,OFFSET(PLE!$G$14,$M139,BD$13))))</f>
        <v>1000000000000</v>
      </c>
      <c r="BE139" s="182">
        <f ca="1">IF($D139&lt;&gt;"Serviço",0,IF(OR(AND(AUTOEVENTO="Manual",$M139=1),$M139&gt;(ROW(PLE.lastrow)-ROW(PLE.firstrow))),0,IF(OFFSET(PLE!$G$14,$M139,BE$13)="",10^12,OFFSET(PLE!$G$14,$M139,BE$13))))</f>
        <v>1000000000000</v>
      </c>
      <c r="BF139" s="182">
        <f ca="1">IF($D139&lt;&gt;"Serviço",0,IF(OR(AND(AUTOEVENTO="Manual",$M139=1),$M139&gt;(ROW(PLE.lastrow)-ROW(PLE.firstrow))),0,IF(OFFSET(PLE!$G$14,$M139,BF$13)="",10^12,OFFSET(PLE!$G$14,$M139,BF$13))))</f>
        <v>1000000000000</v>
      </c>
      <c r="BG139" s="182">
        <f ca="1">IF($D139&lt;&gt;"Serviço",0,IF(OR(AND(AUTOEVENTO="Manual",$M139=1),$M139&gt;(ROW(PLE.lastrow)-ROW(PLE.firstrow))),0,IF(OFFSET(PLE!$G$14,$M139,BG$13)="",10^12,OFFSET(PLE!$G$14,$M139,BG$13))))</f>
        <v>1000000000000</v>
      </c>
    </row>
    <row r="140" spans="1:59" ht="12.75" x14ac:dyDescent="0.2">
      <c r="A140" s="7" t="str">
        <f t="shared" ca="1" si="9"/>
        <v>71</v>
      </c>
      <c r="B140" s="7">
        <f ca="1">OFFSET(ORÇAMENTO!C$15,ROW(B140)-ROW(B$15),0)</f>
        <v>3</v>
      </c>
      <c r="C140" s="7" t="str">
        <f ca="1">OFFSET(ORÇAMENTO!L$15,ROW(C140)-ROW(C$15),0)</f>
        <v>F</v>
      </c>
      <c r="D140" s="118" t="str">
        <f ca="1">OFFSET(ORÇAMENTO!N$15,ROW(D140)-ROW(D$15),0)</f>
        <v>Nível 3</v>
      </c>
      <c r="E140" s="119" t="str">
        <f ca="1">OFFSET(ORÇAMENTO!O$15,ROW(E140)-ROW(E$15),0)</f>
        <v>1.6.12.</v>
      </c>
      <c r="F140" s="172" t="str">
        <f ca="1">OFFSET(ORÇAMENTO!R$15,ROW(F140)-ROW(F$15),0)</f>
        <v>REVESTIMENTO EXTERNO</v>
      </c>
      <c r="G140" s="173" t="str">
        <f ca="1">IF($D140&lt;&gt;"Serviço","",OFFSET(ORÇAMENTO!S$15,ROW(G140)-ROW(G$15),0))</f>
        <v/>
      </c>
      <c r="H140" s="124">
        <f ca="1">IF($D140&lt;&gt;"Serviço",0,IF(ACOMPANHAMENTO="BM",ROUND(OFFSET(ORÇAMENTO!AJ$15,ROW(H140)-ROW(H$15),0),15-13*ORÇAMENTO!$AF$7),SUMPRODUCT(($Q$12:$AA$12&lt;&gt;"")*ROUND($Q140:$AA140,15-13*ORÇAMENTO!$AF$7))))</f>
        <v>0</v>
      </c>
      <c r="I140" s="561"/>
      <c r="K140" s="174"/>
      <c r="L140" s="175" t="s">
        <v>255</v>
      </c>
      <c r="M140" s="176" t="str">
        <f ca="1">IF($D140&lt;&gt;"Serviço","",IF(AUTOEVENTO="manual",$A140,IF(ISERROR(MATCH($A140,$A$15:OFFSET($A140,-1,0),0)),MAX($M$15:OFFSET(M140,-1,0))+1,INDEX($M$15:OFFSET(M140,-1,0),MATCH($A140,$A$15:OFFSET($A140,-1,0),0)))))</f>
        <v/>
      </c>
      <c r="N140" s="177" t="str">
        <f ca="1">IF($D140&lt;&gt;"Serviço","",IF(AUTOEVENTO="Manual",IF($A140=0,"&lt;-- defina o número do agrupador",OFFSET(EVENTOS!$D$14,$A140,0)),OFFSET($F$15,$A140,0)))</f>
        <v/>
      </c>
      <c r="O140" s="178"/>
      <c r="Q140" s="178"/>
      <c r="R140" s="179"/>
      <c r="S140" s="179"/>
      <c r="T140" s="179"/>
      <c r="U140" s="179"/>
      <c r="V140" s="179"/>
      <c r="W140" s="179"/>
      <c r="X140" s="179"/>
      <c r="Y140" s="179"/>
      <c r="Z140" s="180"/>
      <c r="AB140" s="544">
        <f ca="1">IF(AND($D140="Serviço",AB$12&lt;&gt;0,$H140&gt;0,OR(AUTOEVENTO&lt;&gt;"manual",$M140&lt;&gt;1)),
IF(Import.TipoArredondamento&lt;&gt;"TransfereGOV",
ROUND(OFFSET($P140,0,AB$13),15-13*ORÇAMENTO!$AF$7)/$H140*OFFSET(ORÇAMENTO!$X$15,ROW(AB140)-ROW(AB$15),0),
ROUND(ROUND(OFFSET($P140,0,AB$13),15-13*ORÇAMENTO!$AF$7)*OFFSET(ORÇAMENTO!$W$15,ROW(AB140)-ROW(AB$15),0),15-13*ORÇAMENTO!$AF$11)),0)</f>
        <v>0</v>
      </c>
      <c r="AC140" s="545">
        <f ca="1">IF(AND($D140="Serviço",AC$12&lt;&gt;0,$H140&gt;0,OR(AUTOEVENTO&lt;&gt;"manual",$M140&lt;&gt;1)),
IF(Import.TipoArredondamento&lt;&gt;"TransfereGOV",
ROUND(OFFSET($P140,0,AC$13),15-13*ORÇAMENTO!$AF$7)/$H140*OFFSET(ORÇAMENTO!$X$15,ROW(AC140)-ROW(AC$15),0),
ROUND(ROUND(OFFSET($P140,0,AC$13),15-13*ORÇAMENTO!$AF$7)*OFFSET(ORÇAMENTO!$W$15,ROW(AC140)-ROW(AC$15),0),15-13*ORÇAMENTO!$AF$11)),0)</f>
        <v>0</v>
      </c>
      <c r="AD140" s="545">
        <f ca="1">IF(AND($D140="Serviço",AD$12&lt;&gt;0,$H140&gt;0,OR(AUTOEVENTO&lt;&gt;"manual",$M140&lt;&gt;1)),
IF(Import.TipoArredondamento&lt;&gt;"TransfereGOV",
ROUND(OFFSET($P140,0,AD$13),15-13*ORÇAMENTO!$AF$7)/$H140*OFFSET(ORÇAMENTO!$X$15,ROW(AD140)-ROW(AD$15),0),
ROUND(ROUND(OFFSET($P140,0,AD$13),15-13*ORÇAMENTO!$AF$7)*OFFSET(ORÇAMENTO!$W$15,ROW(AD140)-ROW(AD$15),0),15-13*ORÇAMENTO!$AF$11)),0)</f>
        <v>0</v>
      </c>
      <c r="AE140" s="545">
        <f ca="1">IF(AND($D140="Serviço",AE$12&lt;&gt;0,$H140&gt;0,OR(AUTOEVENTO&lt;&gt;"manual",$M140&lt;&gt;1)),
IF(Import.TipoArredondamento&lt;&gt;"TransfereGOV",
ROUND(OFFSET($P140,0,AE$13),15-13*ORÇAMENTO!$AF$7)/$H140*OFFSET(ORÇAMENTO!$X$15,ROW(AE140)-ROW(AE$15),0),
ROUND(ROUND(OFFSET($P140,0,AE$13),15-13*ORÇAMENTO!$AF$7)*OFFSET(ORÇAMENTO!$W$15,ROW(AE140)-ROW(AE$15),0),15-13*ORÇAMENTO!$AF$11)),0)</f>
        <v>0</v>
      </c>
      <c r="AF140" s="545">
        <f ca="1">IF(AND($D140="Serviço",AF$12&lt;&gt;0,$H140&gt;0,OR(AUTOEVENTO&lt;&gt;"manual",$M140&lt;&gt;1)),
IF(Import.TipoArredondamento&lt;&gt;"TransfereGOV",
ROUND(OFFSET($P140,0,AF$13),15-13*ORÇAMENTO!$AF$7)/$H140*OFFSET(ORÇAMENTO!$X$15,ROW(AF140)-ROW(AF$15),0),
ROUND(ROUND(OFFSET($P140,0,AF$13),15-13*ORÇAMENTO!$AF$7)*OFFSET(ORÇAMENTO!$W$15,ROW(AF140)-ROW(AF$15),0),15-13*ORÇAMENTO!$AF$11)),0)</f>
        <v>0</v>
      </c>
      <c r="AG140" s="545">
        <f ca="1">IF(AND($D140="Serviço",AG$12&lt;&gt;0,$H140&gt;0,OR(AUTOEVENTO&lt;&gt;"manual",$M140&lt;&gt;1)),
IF(Import.TipoArredondamento&lt;&gt;"TransfereGOV",
ROUND(OFFSET($P140,0,AG$13),15-13*ORÇAMENTO!$AF$7)/$H140*OFFSET(ORÇAMENTO!$X$15,ROW(AG140)-ROW(AG$15),0),
ROUND(ROUND(OFFSET($P140,0,AG$13),15-13*ORÇAMENTO!$AF$7)*OFFSET(ORÇAMENTO!$W$15,ROW(AG140)-ROW(AG$15),0),15-13*ORÇAMENTO!$AF$11)),0)</f>
        <v>0</v>
      </c>
      <c r="AH140" s="545">
        <f ca="1">IF(AND($D140="Serviço",AH$12&lt;&gt;0,$H140&gt;0,OR(AUTOEVENTO&lt;&gt;"manual",$M140&lt;&gt;1)),
IF(Import.TipoArredondamento&lt;&gt;"TransfereGOV",
ROUND(OFFSET($P140,0,AH$13),15-13*ORÇAMENTO!$AF$7)/$H140*OFFSET(ORÇAMENTO!$X$15,ROW(AH140)-ROW(AH$15),0),
ROUND(ROUND(OFFSET($P140,0,AH$13),15-13*ORÇAMENTO!$AF$7)*OFFSET(ORÇAMENTO!$W$15,ROW(AH140)-ROW(AH$15),0),15-13*ORÇAMENTO!$AF$11)),0)</f>
        <v>0</v>
      </c>
      <c r="AI140" s="545">
        <f ca="1">IF(AND($D140="Serviço",AI$12&lt;&gt;0,$H140&gt;0,OR(AUTOEVENTO&lt;&gt;"manual",$M140&lt;&gt;1)),
IF(Import.TipoArredondamento&lt;&gt;"TransfereGOV",
ROUND(OFFSET($P140,0,AI$13),15-13*ORÇAMENTO!$AF$7)/$H140*OFFSET(ORÇAMENTO!$X$15,ROW(AI140)-ROW(AI$15),0),
ROUND(ROUND(OFFSET($P140,0,AI$13),15-13*ORÇAMENTO!$AF$7)*OFFSET(ORÇAMENTO!$W$15,ROW(AI140)-ROW(AI$15),0),15-13*ORÇAMENTO!$AF$11)),0)</f>
        <v>0</v>
      </c>
      <c r="AJ140" s="545">
        <f ca="1">IF(AND($D140="Serviço",AJ$12&lt;&gt;0,$H140&gt;0,OR(AUTOEVENTO&lt;&gt;"manual",$M140&lt;&gt;1)),
IF(Import.TipoArredondamento&lt;&gt;"TransfereGOV",
ROUND(OFFSET($P140,0,AJ$13),15-13*ORÇAMENTO!$AF$7)/$H140*OFFSET(ORÇAMENTO!$X$15,ROW(AJ140)-ROW(AJ$15),0),
ROUND(ROUND(OFFSET($P140,0,AJ$13),15-13*ORÇAMENTO!$AF$7)*OFFSET(ORÇAMENTO!$W$15,ROW(AJ140)-ROW(AJ$15),0),15-13*ORÇAMENTO!$AF$11)),0)</f>
        <v>0</v>
      </c>
      <c r="AK140" s="546">
        <f ca="1">IF(AND($D140="Serviço",AK$12&lt;&gt;0,$H140&gt;0,OR(AUTOEVENTO&lt;&gt;"manual",$M140&lt;&gt;1)),
IF(Import.TipoArredondamento&lt;&gt;"TransfereGOV",
ROUND(OFFSET($P140,0,AK$13),15-13*ORÇAMENTO!$AF$7)/$H140*OFFSET(ORÇAMENTO!$X$15,ROW(AK140)-ROW(AK$15),0),
ROUND(ROUND(OFFSET($P140,0,AK$13),15-13*ORÇAMENTO!$AF$7)*OFFSET(ORÇAMENTO!$W$15,ROW(AK140)-ROW(AK$15),0),15-13*ORÇAMENTO!$AF$11)),0)</f>
        <v>0</v>
      </c>
      <c r="AM140" s="181">
        <f ca="1">IF($D140&lt;&gt;"Serviço",0,IF(AND(AUTOEVENTO="Manual",$M140=1),0,IF(OFFSET(CRONOPLE!$F$14,$M140,AM$13)="",10^12,OFFSET(CRONOPLE!$F$14,$M140,AM$13))))</f>
        <v>0</v>
      </c>
      <c r="AN140" s="181">
        <f ca="1">IF($D140&lt;&gt;"Serviço",0,IF(AND(AUTOEVENTO="Manual",$M140=1),0,IF(OFFSET(CRONOPLE!$F$14,$M140,AN$13)="",10^12,OFFSET(CRONOPLE!$F$14,$M140,AN$13))))</f>
        <v>0</v>
      </c>
      <c r="AO140" s="181">
        <f ca="1">IF($D140&lt;&gt;"Serviço",0,IF(AND(AUTOEVENTO="Manual",$M140=1),0,IF(OFFSET(CRONOPLE!$F$14,$M140,AO$13)="",10^12,OFFSET(CRONOPLE!$F$14,$M140,AO$13))))</f>
        <v>0</v>
      </c>
      <c r="AP140" s="181">
        <f ca="1">IF($D140&lt;&gt;"Serviço",0,IF(AND(AUTOEVENTO="Manual",$M140=1),0,IF(OFFSET(CRONOPLE!$F$14,$M140,AP$13)="",10^12,OFFSET(CRONOPLE!$F$14,$M140,AP$13))))</f>
        <v>0</v>
      </c>
      <c r="AQ140" s="181">
        <f ca="1">IF($D140&lt;&gt;"Serviço",0,IF(AND(AUTOEVENTO="Manual",$M140=1),0,IF(OFFSET(CRONOPLE!$F$14,$M140,AQ$13)="",10^12,OFFSET(CRONOPLE!$F$14,$M140,AQ$13))))</f>
        <v>0</v>
      </c>
      <c r="AR140" s="181">
        <f ca="1">IF($D140&lt;&gt;"Serviço",0,IF(AND(AUTOEVENTO="Manual",$M140=1),0,IF(OFFSET(CRONOPLE!$F$14,$M140,AR$13)="",10^12,OFFSET(CRONOPLE!$F$14,$M140,AR$13))))</f>
        <v>0</v>
      </c>
      <c r="AS140" s="181">
        <f ca="1">IF($D140&lt;&gt;"Serviço",0,IF(AND(AUTOEVENTO="Manual",$M140=1),0,IF(OFFSET(CRONOPLE!$F$14,$M140,AS$13)="",10^12,OFFSET(CRONOPLE!$F$14,$M140,AS$13))))</f>
        <v>0</v>
      </c>
      <c r="AT140" s="181">
        <f ca="1">IF($D140&lt;&gt;"Serviço",0,IF(AND(AUTOEVENTO="Manual",$M140=1),0,IF(OFFSET(CRONOPLE!$F$14,$M140,AT$13)="",10^12,OFFSET(CRONOPLE!$F$14,$M140,AT$13))))</f>
        <v>0</v>
      </c>
      <c r="AU140" s="181">
        <f ca="1">IF($D140&lt;&gt;"Serviço",0,IF(AND(AUTOEVENTO="Manual",$M140=1),0,IF(OFFSET(CRONOPLE!$F$14,$M140,AU$13)="",10^12,OFFSET(CRONOPLE!$F$14,$M140,AU$13))))</f>
        <v>0</v>
      </c>
      <c r="AV140" s="181">
        <f ca="1">IF($D140&lt;&gt;"Serviço",0,IF(AND(AUTOEVENTO="Manual",$M140=1),0,IF(OFFSET(CRONOPLE!$F$14,$M140,AV$13)="",10^12,OFFSET(CRONOPLE!$F$14,$M140,AV$13))))</f>
        <v>0</v>
      </c>
      <c r="AX140" s="182">
        <f ca="1">IF($D140&lt;&gt;"Serviço",0,IF(OR(AND(AUTOEVENTO="Manual",$M140=1),$M140&gt;(ROW(PLE.lastrow)-ROW(PLE.firstrow))),0,IF(OFFSET(PLE!$G$14,$M140,AX$13)="",10^12,OFFSET(PLE!$G$14,$M140,AX$13))))</f>
        <v>0</v>
      </c>
      <c r="AY140" s="182">
        <f ca="1">IF($D140&lt;&gt;"Serviço",0,IF(OR(AND(AUTOEVENTO="Manual",$M140=1),$M140&gt;(ROW(PLE.lastrow)-ROW(PLE.firstrow))),0,IF(OFFSET(PLE!$G$14,$M140,AY$13)="",10^12,OFFSET(PLE!$G$14,$M140,AY$13))))</f>
        <v>0</v>
      </c>
      <c r="AZ140" s="182">
        <f ca="1">IF($D140&lt;&gt;"Serviço",0,IF(OR(AND(AUTOEVENTO="Manual",$M140=1),$M140&gt;(ROW(PLE.lastrow)-ROW(PLE.firstrow))),0,IF(OFFSET(PLE!$G$14,$M140,AZ$13)="",10^12,OFFSET(PLE!$G$14,$M140,AZ$13))))</f>
        <v>0</v>
      </c>
      <c r="BA140" s="182">
        <f ca="1">IF($D140&lt;&gt;"Serviço",0,IF(OR(AND(AUTOEVENTO="Manual",$M140=1),$M140&gt;(ROW(PLE.lastrow)-ROW(PLE.firstrow))),0,IF(OFFSET(PLE!$G$14,$M140,BA$13)="",10^12,OFFSET(PLE!$G$14,$M140,BA$13))))</f>
        <v>0</v>
      </c>
      <c r="BB140" s="182">
        <f ca="1">IF($D140&lt;&gt;"Serviço",0,IF(OR(AND(AUTOEVENTO="Manual",$M140=1),$M140&gt;(ROW(PLE.lastrow)-ROW(PLE.firstrow))),0,IF(OFFSET(PLE!$G$14,$M140,BB$13)="",10^12,OFFSET(PLE!$G$14,$M140,BB$13))))</f>
        <v>0</v>
      </c>
      <c r="BC140" s="182">
        <f ca="1">IF($D140&lt;&gt;"Serviço",0,IF(OR(AND(AUTOEVENTO="Manual",$M140=1),$M140&gt;(ROW(PLE.lastrow)-ROW(PLE.firstrow))),0,IF(OFFSET(PLE!$G$14,$M140,BC$13)="",10^12,OFFSET(PLE!$G$14,$M140,BC$13))))</f>
        <v>0</v>
      </c>
      <c r="BD140" s="182">
        <f ca="1">IF($D140&lt;&gt;"Serviço",0,IF(OR(AND(AUTOEVENTO="Manual",$M140=1),$M140&gt;(ROW(PLE.lastrow)-ROW(PLE.firstrow))),0,IF(OFFSET(PLE!$G$14,$M140,BD$13)="",10^12,OFFSET(PLE!$G$14,$M140,BD$13))))</f>
        <v>0</v>
      </c>
      <c r="BE140" s="182">
        <f ca="1">IF($D140&lt;&gt;"Serviço",0,IF(OR(AND(AUTOEVENTO="Manual",$M140=1),$M140&gt;(ROW(PLE.lastrow)-ROW(PLE.firstrow))),0,IF(OFFSET(PLE!$G$14,$M140,BE$13)="",10^12,OFFSET(PLE!$G$14,$M140,BE$13))))</f>
        <v>0</v>
      </c>
      <c r="BF140" s="182">
        <f ca="1">IF($D140&lt;&gt;"Serviço",0,IF(OR(AND(AUTOEVENTO="Manual",$M140=1),$M140&gt;(ROW(PLE.lastrow)-ROW(PLE.firstrow))),0,IF(OFFSET(PLE!$G$14,$M140,BF$13)="",10^12,OFFSET(PLE!$G$14,$M140,BF$13))))</f>
        <v>0</v>
      </c>
      <c r="BG140" s="182">
        <f ca="1">IF($D140&lt;&gt;"Serviço",0,IF(OR(AND(AUTOEVENTO="Manual",$M140=1),$M140&gt;(ROW(PLE.lastrow)-ROW(PLE.firstrow))),0,IF(OFFSET(PLE!$G$14,$M140,BG$13)="",10^12,OFFSET(PLE!$G$14,$M140,BG$13))))</f>
        <v>0</v>
      </c>
    </row>
    <row r="141" spans="1:59" ht="51" x14ac:dyDescent="0.2">
      <c r="A141" s="7" t="str">
        <f t="shared" ca="1" si="9"/>
        <v>71</v>
      </c>
      <c r="B141" s="7" t="str">
        <f ca="1">OFFSET(ORÇAMENTO!C$15,ROW(B141)-ROW(B$15),0)</f>
        <v>S</v>
      </c>
      <c r="C141" s="7" t="str">
        <f ca="1">OFFSET(ORÇAMENTO!L$15,ROW(C141)-ROW(C$15),0)</f>
        <v>F</v>
      </c>
      <c r="D141" s="118" t="str">
        <f ca="1">OFFSET(ORÇAMENTO!N$15,ROW(D141)-ROW(D$15),0)</f>
        <v>Serviço</v>
      </c>
      <c r="E141" s="119" t="str">
        <f ca="1">OFFSET(ORÇAMENTO!O$15,ROW(E141)-ROW(E$15),0)</f>
        <v>1.6.12.1.</v>
      </c>
      <c r="F141" s="172" t="str">
        <f ca="1">OFFSET(ORÇAMENTO!R$15,ROW(F141)-ROW(F$15),0)</f>
        <v>(abra o arquivo 'Referência 03-2024.xlsm)</v>
      </c>
      <c r="G141" s="173" t="str">
        <f ca="1">IF($D141&lt;&gt;"Serviço","",OFFSET(ORÇAMENTO!S$15,ROW(G141)-ROW(G$15),0))</f>
        <v>-</v>
      </c>
      <c r="H141" s="124">
        <f ca="1">IF($D141&lt;&gt;"Serviço",0,IF(ACOMPANHAMENTO="BM",ROUND(OFFSET(ORÇAMENTO!AJ$15,ROW(H141)-ROW(H$15),0),15-13*ORÇAMENTO!$AF$7),SUMPRODUCT(($Q$12:$AA$12&lt;&gt;"")*ROUND($Q141:$AA141,15-13*ORÇAMENTO!$AF$7))))</f>
        <v>53</v>
      </c>
      <c r="I141" s="561"/>
      <c r="K141" s="174"/>
      <c r="L141" s="175" t="s">
        <v>255</v>
      </c>
      <c r="M141" s="176">
        <f ca="1">IF($D141&lt;&gt;"Serviço","",IF(AUTOEVENTO="manual",$A141,IF(ISERROR(MATCH($A141,$A$15:OFFSET($A141,-1,0),0)),MAX($M$15:OFFSET(M141,-1,0))+1,INDEX($M$15:OFFSET(M141,-1,0),MATCH($A141,$A$15:OFFSET($A141,-1,0),0)))))</f>
        <v>7</v>
      </c>
      <c r="N141" s="177" t="str">
        <f ca="1">IF($D141&lt;&gt;"Serviço","",IF(AUTOEVENTO="Manual",IF($A141=0,"&lt;-- defina o número do agrupador",OFFSET(EVENTOS!$D$14,$A141,0)),OFFSET($F$15,$A141,0)))</f>
        <v>SANITÁRIO PÚBLICO ACESSÍVEL</v>
      </c>
      <c r="O141" s="178"/>
      <c r="Q141" s="178"/>
      <c r="R141" s="179"/>
      <c r="S141" s="179"/>
      <c r="T141" s="179"/>
      <c r="U141" s="179"/>
      <c r="V141" s="179"/>
      <c r="W141" s="179"/>
      <c r="X141" s="179"/>
      <c r="Y141" s="179"/>
      <c r="Z141" s="180"/>
      <c r="AB141" s="544">
        <f ca="1">IF(AND($D141="Serviço",AB$12&lt;&gt;0,$H141&gt;0,OR(AUTOEVENTO&lt;&gt;"manual",$M141&lt;&gt;1)),
IF(Import.TipoArredondamento&lt;&gt;"TransfereGOV",
ROUND(OFFSET($P141,0,AB$13),15-13*ORÇAMENTO!$AF$7)/$H141*OFFSET(ORÇAMENTO!$X$15,ROW(AB141)-ROW(AB$15),0),
ROUND(ROUND(OFFSET($P141,0,AB$13),15-13*ORÇAMENTO!$AF$7)*OFFSET(ORÇAMENTO!$W$15,ROW(AB141)-ROW(AB$15),0),15-13*ORÇAMENTO!$AF$11)),0)</f>
        <v>0</v>
      </c>
      <c r="AC141" s="545">
        <f ca="1">IF(AND($D141="Serviço",AC$12&lt;&gt;0,$H141&gt;0,OR(AUTOEVENTO&lt;&gt;"manual",$M141&lt;&gt;1)),
IF(Import.TipoArredondamento&lt;&gt;"TransfereGOV",
ROUND(OFFSET($P141,0,AC$13),15-13*ORÇAMENTO!$AF$7)/$H141*OFFSET(ORÇAMENTO!$X$15,ROW(AC141)-ROW(AC$15),0),
ROUND(ROUND(OFFSET($P141,0,AC$13),15-13*ORÇAMENTO!$AF$7)*OFFSET(ORÇAMENTO!$W$15,ROW(AC141)-ROW(AC$15),0),15-13*ORÇAMENTO!$AF$11)),0)</f>
        <v>0</v>
      </c>
      <c r="AD141" s="545">
        <f ca="1">IF(AND($D141="Serviço",AD$12&lt;&gt;0,$H141&gt;0,OR(AUTOEVENTO&lt;&gt;"manual",$M141&lt;&gt;1)),
IF(Import.TipoArredondamento&lt;&gt;"TransfereGOV",
ROUND(OFFSET($P141,0,AD$13),15-13*ORÇAMENTO!$AF$7)/$H141*OFFSET(ORÇAMENTO!$X$15,ROW(AD141)-ROW(AD$15),0),
ROUND(ROUND(OFFSET($P141,0,AD$13),15-13*ORÇAMENTO!$AF$7)*OFFSET(ORÇAMENTO!$W$15,ROW(AD141)-ROW(AD$15),0),15-13*ORÇAMENTO!$AF$11)),0)</f>
        <v>0</v>
      </c>
      <c r="AE141" s="545">
        <f ca="1">IF(AND($D141="Serviço",AE$12&lt;&gt;0,$H141&gt;0,OR(AUTOEVENTO&lt;&gt;"manual",$M141&lt;&gt;1)),
IF(Import.TipoArredondamento&lt;&gt;"TransfereGOV",
ROUND(OFFSET($P141,0,AE$13),15-13*ORÇAMENTO!$AF$7)/$H141*OFFSET(ORÇAMENTO!$X$15,ROW(AE141)-ROW(AE$15),0),
ROUND(ROUND(OFFSET($P141,0,AE$13),15-13*ORÇAMENTO!$AF$7)*OFFSET(ORÇAMENTO!$W$15,ROW(AE141)-ROW(AE$15),0),15-13*ORÇAMENTO!$AF$11)),0)</f>
        <v>0</v>
      </c>
      <c r="AF141" s="545">
        <f ca="1">IF(AND($D141="Serviço",AF$12&lt;&gt;0,$H141&gt;0,OR(AUTOEVENTO&lt;&gt;"manual",$M141&lt;&gt;1)),
IF(Import.TipoArredondamento&lt;&gt;"TransfereGOV",
ROUND(OFFSET($P141,0,AF$13),15-13*ORÇAMENTO!$AF$7)/$H141*OFFSET(ORÇAMENTO!$X$15,ROW(AF141)-ROW(AF$15),0),
ROUND(ROUND(OFFSET($P141,0,AF$13),15-13*ORÇAMENTO!$AF$7)*OFFSET(ORÇAMENTO!$W$15,ROW(AF141)-ROW(AF$15),0),15-13*ORÇAMENTO!$AF$11)),0)</f>
        <v>0</v>
      </c>
      <c r="AG141" s="545">
        <f ca="1">IF(AND($D141="Serviço",AG$12&lt;&gt;0,$H141&gt;0,OR(AUTOEVENTO&lt;&gt;"manual",$M141&lt;&gt;1)),
IF(Import.TipoArredondamento&lt;&gt;"TransfereGOV",
ROUND(OFFSET($P141,0,AG$13),15-13*ORÇAMENTO!$AF$7)/$H141*OFFSET(ORÇAMENTO!$X$15,ROW(AG141)-ROW(AG$15),0),
ROUND(ROUND(OFFSET($P141,0,AG$13),15-13*ORÇAMENTO!$AF$7)*OFFSET(ORÇAMENTO!$W$15,ROW(AG141)-ROW(AG$15),0),15-13*ORÇAMENTO!$AF$11)),0)</f>
        <v>0</v>
      </c>
      <c r="AH141" s="545">
        <f ca="1">IF(AND($D141="Serviço",AH$12&lt;&gt;0,$H141&gt;0,OR(AUTOEVENTO&lt;&gt;"manual",$M141&lt;&gt;1)),
IF(Import.TipoArredondamento&lt;&gt;"TransfereGOV",
ROUND(OFFSET($P141,0,AH$13),15-13*ORÇAMENTO!$AF$7)/$H141*OFFSET(ORÇAMENTO!$X$15,ROW(AH141)-ROW(AH$15),0),
ROUND(ROUND(OFFSET($P141,0,AH$13),15-13*ORÇAMENTO!$AF$7)*OFFSET(ORÇAMENTO!$W$15,ROW(AH141)-ROW(AH$15),0),15-13*ORÇAMENTO!$AF$11)),0)</f>
        <v>0</v>
      </c>
      <c r="AI141" s="545">
        <f ca="1">IF(AND($D141="Serviço",AI$12&lt;&gt;0,$H141&gt;0,OR(AUTOEVENTO&lt;&gt;"manual",$M141&lt;&gt;1)),
IF(Import.TipoArredondamento&lt;&gt;"TransfereGOV",
ROUND(OFFSET($P141,0,AI$13),15-13*ORÇAMENTO!$AF$7)/$H141*OFFSET(ORÇAMENTO!$X$15,ROW(AI141)-ROW(AI$15),0),
ROUND(ROUND(OFFSET($P141,0,AI$13),15-13*ORÇAMENTO!$AF$7)*OFFSET(ORÇAMENTO!$W$15,ROW(AI141)-ROW(AI$15),0),15-13*ORÇAMENTO!$AF$11)),0)</f>
        <v>0</v>
      </c>
      <c r="AJ141" s="545">
        <f ca="1">IF(AND($D141="Serviço",AJ$12&lt;&gt;0,$H141&gt;0,OR(AUTOEVENTO&lt;&gt;"manual",$M141&lt;&gt;1)),
IF(Import.TipoArredondamento&lt;&gt;"TransfereGOV",
ROUND(OFFSET($P141,0,AJ$13),15-13*ORÇAMENTO!$AF$7)/$H141*OFFSET(ORÇAMENTO!$X$15,ROW(AJ141)-ROW(AJ$15),0),
ROUND(ROUND(OFFSET($P141,0,AJ$13),15-13*ORÇAMENTO!$AF$7)*OFFSET(ORÇAMENTO!$W$15,ROW(AJ141)-ROW(AJ$15),0),15-13*ORÇAMENTO!$AF$11)),0)</f>
        <v>0</v>
      </c>
      <c r="AK141" s="546">
        <f ca="1">IF(AND($D141="Serviço",AK$12&lt;&gt;0,$H141&gt;0,OR(AUTOEVENTO&lt;&gt;"manual",$M141&lt;&gt;1)),
IF(Import.TipoArredondamento&lt;&gt;"TransfereGOV",
ROUND(OFFSET($P141,0,AK$13),15-13*ORÇAMENTO!$AF$7)/$H141*OFFSET(ORÇAMENTO!$X$15,ROW(AK141)-ROW(AK$15),0),
ROUND(ROUND(OFFSET($P141,0,AK$13),15-13*ORÇAMENTO!$AF$7)*OFFSET(ORÇAMENTO!$W$15,ROW(AK141)-ROW(AK$15),0),15-13*ORÇAMENTO!$AF$11)),0)</f>
        <v>0</v>
      </c>
      <c r="AM141" s="181">
        <f ca="1">IF($D141&lt;&gt;"Serviço",0,IF(AND(AUTOEVENTO="Manual",$M141=1),0,IF(OFFSET(CRONOPLE!$F$14,$M141,AM$13)="",10^12,OFFSET(CRONOPLE!$F$14,$M141,AM$13))))</f>
        <v>1000000000000</v>
      </c>
      <c r="AN141" s="181">
        <f ca="1">IF($D141&lt;&gt;"Serviço",0,IF(AND(AUTOEVENTO="Manual",$M141=1),0,IF(OFFSET(CRONOPLE!$F$14,$M141,AN$13)="",10^12,OFFSET(CRONOPLE!$F$14,$M141,AN$13))))</f>
        <v>1000000000000</v>
      </c>
      <c r="AO141" s="181">
        <f ca="1">IF($D141&lt;&gt;"Serviço",0,IF(AND(AUTOEVENTO="Manual",$M141=1),0,IF(OFFSET(CRONOPLE!$F$14,$M141,AO$13)="",10^12,OFFSET(CRONOPLE!$F$14,$M141,AO$13))))</f>
        <v>1000000000000</v>
      </c>
      <c r="AP141" s="181">
        <f ca="1">IF($D141&lt;&gt;"Serviço",0,IF(AND(AUTOEVENTO="Manual",$M141=1),0,IF(OFFSET(CRONOPLE!$F$14,$M141,AP$13)="",10^12,OFFSET(CRONOPLE!$F$14,$M141,AP$13))))</f>
        <v>1000000000000</v>
      </c>
      <c r="AQ141" s="181">
        <f ca="1">IF($D141&lt;&gt;"Serviço",0,IF(AND(AUTOEVENTO="Manual",$M141=1),0,IF(OFFSET(CRONOPLE!$F$14,$M141,AQ$13)="",10^12,OFFSET(CRONOPLE!$F$14,$M141,AQ$13))))</f>
        <v>1000000000000</v>
      </c>
      <c r="AR141" s="181">
        <f ca="1">IF($D141&lt;&gt;"Serviço",0,IF(AND(AUTOEVENTO="Manual",$M141=1),0,IF(OFFSET(CRONOPLE!$F$14,$M141,AR$13)="",10^12,OFFSET(CRONOPLE!$F$14,$M141,AR$13))))</f>
        <v>1000000000000</v>
      </c>
      <c r="AS141" s="181">
        <f ca="1">IF($D141&lt;&gt;"Serviço",0,IF(AND(AUTOEVENTO="Manual",$M141=1),0,IF(OFFSET(CRONOPLE!$F$14,$M141,AS$13)="",10^12,OFFSET(CRONOPLE!$F$14,$M141,AS$13))))</f>
        <v>1000000000000</v>
      </c>
      <c r="AT141" s="181">
        <f ca="1">IF($D141&lt;&gt;"Serviço",0,IF(AND(AUTOEVENTO="Manual",$M141=1),0,IF(OFFSET(CRONOPLE!$F$14,$M141,AT$13)="",10^12,OFFSET(CRONOPLE!$F$14,$M141,AT$13))))</f>
        <v>1000000000000</v>
      </c>
      <c r="AU141" s="181">
        <f ca="1">IF($D141&lt;&gt;"Serviço",0,IF(AND(AUTOEVENTO="Manual",$M141=1),0,IF(OFFSET(CRONOPLE!$F$14,$M141,AU$13)="",10^12,OFFSET(CRONOPLE!$F$14,$M141,AU$13))))</f>
        <v>1000000000000</v>
      </c>
      <c r="AV141" s="181">
        <f ca="1">IF($D141&lt;&gt;"Serviço",0,IF(AND(AUTOEVENTO="Manual",$M141=1),0,IF(OFFSET(CRONOPLE!$F$14,$M141,AV$13)="",10^12,OFFSET(CRONOPLE!$F$14,$M141,AV$13))))</f>
        <v>1000000000000</v>
      </c>
      <c r="AX141" s="182">
        <f ca="1">IF($D141&lt;&gt;"Serviço",0,IF(OR(AND(AUTOEVENTO="Manual",$M141=1),$M141&gt;(ROW(PLE.lastrow)-ROW(PLE.firstrow))),0,IF(OFFSET(PLE!$G$14,$M141,AX$13)="",10^12,OFFSET(PLE!$G$14,$M141,AX$13))))</f>
        <v>1000000000000</v>
      </c>
      <c r="AY141" s="182">
        <f ca="1">IF($D141&lt;&gt;"Serviço",0,IF(OR(AND(AUTOEVENTO="Manual",$M141=1),$M141&gt;(ROW(PLE.lastrow)-ROW(PLE.firstrow))),0,IF(OFFSET(PLE!$G$14,$M141,AY$13)="",10^12,OFFSET(PLE!$G$14,$M141,AY$13))))</f>
        <v>1000000000000</v>
      </c>
      <c r="AZ141" s="182">
        <f ca="1">IF($D141&lt;&gt;"Serviço",0,IF(OR(AND(AUTOEVENTO="Manual",$M141=1),$M141&gt;(ROW(PLE.lastrow)-ROW(PLE.firstrow))),0,IF(OFFSET(PLE!$G$14,$M141,AZ$13)="",10^12,OFFSET(PLE!$G$14,$M141,AZ$13))))</f>
        <v>1000000000000</v>
      </c>
      <c r="BA141" s="182">
        <f ca="1">IF($D141&lt;&gt;"Serviço",0,IF(OR(AND(AUTOEVENTO="Manual",$M141=1),$M141&gt;(ROW(PLE.lastrow)-ROW(PLE.firstrow))),0,IF(OFFSET(PLE!$G$14,$M141,BA$13)="",10^12,OFFSET(PLE!$G$14,$M141,BA$13))))</f>
        <v>1000000000000</v>
      </c>
      <c r="BB141" s="182">
        <f ca="1">IF($D141&lt;&gt;"Serviço",0,IF(OR(AND(AUTOEVENTO="Manual",$M141=1),$M141&gt;(ROW(PLE.lastrow)-ROW(PLE.firstrow))),0,IF(OFFSET(PLE!$G$14,$M141,BB$13)="",10^12,OFFSET(PLE!$G$14,$M141,BB$13))))</f>
        <v>1000000000000</v>
      </c>
      <c r="BC141" s="182">
        <f ca="1">IF($D141&lt;&gt;"Serviço",0,IF(OR(AND(AUTOEVENTO="Manual",$M141=1),$M141&gt;(ROW(PLE.lastrow)-ROW(PLE.firstrow))),0,IF(OFFSET(PLE!$G$14,$M141,BC$13)="",10^12,OFFSET(PLE!$G$14,$M141,BC$13))))</f>
        <v>1000000000000</v>
      </c>
      <c r="BD141" s="182">
        <f ca="1">IF($D141&lt;&gt;"Serviço",0,IF(OR(AND(AUTOEVENTO="Manual",$M141=1),$M141&gt;(ROW(PLE.lastrow)-ROW(PLE.firstrow))),0,IF(OFFSET(PLE!$G$14,$M141,BD$13)="",10^12,OFFSET(PLE!$G$14,$M141,BD$13))))</f>
        <v>1000000000000</v>
      </c>
      <c r="BE141" s="182">
        <f ca="1">IF($D141&lt;&gt;"Serviço",0,IF(OR(AND(AUTOEVENTO="Manual",$M141=1),$M141&gt;(ROW(PLE.lastrow)-ROW(PLE.firstrow))),0,IF(OFFSET(PLE!$G$14,$M141,BE$13)="",10^12,OFFSET(PLE!$G$14,$M141,BE$13))))</f>
        <v>1000000000000</v>
      </c>
      <c r="BF141" s="182">
        <f ca="1">IF($D141&lt;&gt;"Serviço",0,IF(OR(AND(AUTOEVENTO="Manual",$M141=1),$M141&gt;(ROW(PLE.lastrow)-ROW(PLE.firstrow))),0,IF(OFFSET(PLE!$G$14,$M141,BF$13)="",10^12,OFFSET(PLE!$G$14,$M141,BF$13))))</f>
        <v>1000000000000</v>
      </c>
      <c r="BG141" s="182">
        <f ca="1">IF($D141&lt;&gt;"Serviço",0,IF(OR(AND(AUTOEVENTO="Manual",$M141=1),$M141&gt;(ROW(PLE.lastrow)-ROW(PLE.firstrow))),0,IF(OFFSET(PLE!$G$14,$M141,BG$13)="",10^12,OFFSET(PLE!$G$14,$M141,BG$13))))</f>
        <v>1000000000000</v>
      </c>
    </row>
    <row r="142" spans="1:59" ht="51" x14ac:dyDescent="0.2">
      <c r="A142" s="7" t="str">
        <f t="shared" ca="1" si="9"/>
        <v>71</v>
      </c>
      <c r="B142" s="7" t="str">
        <f ca="1">OFFSET(ORÇAMENTO!C$15,ROW(B142)-ROW(B$15),0)</f>
        <v>S</v>
      </c>
      <c r="C142" s="7" t="str">
        <f ca="1">OFFSET(ORÇAMENTO!L$15,ROW(C142)-ROW(C$15),0)</f>
        <v>F</v>
      </c>
      <c r="D142" s="118" t="str">
        <f ca="1">OFFSET(ORÇAMENTO!N$15,ROW(D142)-ROW(D$15),0)</f>
        <v>Serviço</v>
      </c>
      <c r="E142" s="119" t="str">
        <f ca="1">OFFSET(ORÇAMENTO!O$15,ROW(E142)-ROW(E$15),0)</f>
        <v>1.6.12.2.</v>
      </c>
      <c r="F142" s="172" t="str">
        <f ca="1">OFFSET(ORÇAMENTO!R$15,ROW(F142)-ROW(F$15),0)</f>
        <v>(abra o arquivo 'Referência 03-2024.xlsm)</v>
      </c>
      <c r="G142" s="173" t="str">
        <f ca="1">IF($D142&lt;&gt;"Serviço","",OFFSET(ORÇAMENTO!S$15,ROW(G142)-ROW(G$15),0))</f>
        <v>-</v>
      </c>
      <c r="H142" s="124">
        <f ca="1">IF($D142&lt;&gt;"Serviço",0,IF(ACOMPANHAMENTO="BM",ROUND(OFFSET(ORÇAMENTO!AJ$15,ROW(H142)-ROW(H$15),0),15-13*ORÇAMENTO!$AF$7),SUMPRODUCT(($Q$12:$AA$12&lt;&gt;"")*ROUND($Q142:$AA142,15-13*ORÇAMENTO!$AF$7))))</f>
        <v>53</v>
      </c>
      <c r="I142" s="561"/>
      <c r="K142" s="174"/>
      <c r="L142" s="175" t="s">
        <v>255</v>
      </c>
      <c r="M142" s="176">
        <f ca="1">IF($D142&lt;&gt;"Serviço","",IF(AUTOEVENTO="manual",$A142,IF(ISERROR(MATCH($A142,$A$15:OFFSET($A142,-1,0),0)),MAX($M$15:OFFSET(M142,-1,0))+1,INDEX($M$15:OFFSET(M142,-1,0),MATCH($A142,$A$15:OFFSET($A142,-1,0),0)))))</f>
        <v>7</v>
      </c>
      <c r="N142" s="177" t="str">
        <f ca="1">IF($D142&lt;&gt;"Serviço","",IF(AUTOEVENTO="Manual",IF($A142=0,"&lt;-- defina o número do agrupador",OFFSET(EVENTOS!$D$14,$A142,0)),OFFSET($F$15,$A142,0)))</f>
        <v>SANITÁRIO PÚBLICO ACESSÍVEL</v>
      </c>
      <c r="O142" s="178"/>
      <c r="Q142" s="178"/>
      <c r="R142" s="179"/>
      <c r="S142" s="179"/>
      <c r="T142" s="179"/>
      <c r="U142" s="179"/>
      <c r="V142" s="179"/>
      <c r="W142" s="179"/>
      <c r="X142" s="179"/>
      <c r="Y142" s="179"/>
      <c r="Z142" s="180"/>
      <c r="AB142" s="544">
        <f ca="1">IF(AND($D142="Serviço",AB$12&lt;&gt;0,$H142&gt;0,OR(AUTOEVENTO&lt;&gt;"manual",$M142&lt;&gt;1)),
IF(Import.TipoArredondamento&lt;&gt;"TransfereGOV",
ROUND(OFFSET($P142,0,AB$13),15-13*ORÇAMENTO!$AF$7)/$H142*OFFSET(ORÇAMENTO!$X$15,ROW(AB142)-ROW(AB$15),0),
ROUND(ROUND(OFFSET($P142,0,AB$13),15-13*ORÇAMENTO!$AF$7)*OFFSET(ORÇAMENTO!$W$15,ROW(AB142)-ROW(AB$15),0),15-13*ORÇAMENTO!$AF$11)),0)</f>
        <v>0</v>
      </c>
      <c r="AC142" s="545">
        <f ca="1">IF(AND($D142="Serviço",AC$12&lt;&gt;0,$H142&gt;0,OR(AUTOEVENTO&lt;&gt;"manual",$M142&lt;&gt;1)),
IF(Import.TipoArredondamento&lt;&gt;"TransfereGOV",
ROUND(OFFSET($P142,0,AC$13),15-13*ORÇAMENTO!$AF$7)/$H142*OFFSET(ORÇAMENTO!$X$15,ROW(AC142)-ROW(AC$15),0),
ROUND(ROUND(OFFSET($P142,0,AC$13),15-13*ORÇAMENTO!$AF$7)*OFFSET(ORÇAMENTO!$W$15,ROW(AC142)-ROW(AC$15),0),15-13*ORÇAMENTO!$AF$11)),0)</f>
        <v>0</v>
      </c>
      <c r="AD142" s="545">
        <f ca="1">IF(AND($D142="Serviço",AD$12&lt;&gt;0,$H142&gt;0,OR(AUTOEVENTO&lt;&gt;"manual",$M142&lt;&gt;1)),
IF(Import.TipoArredondamento&lt;&gt;"TransfereGOV",
ROUND(OFFSET($P142,0,AD$13),15-13*ORÇAMENTO!$AF$7)/$H142*OFFSET(ORÇAMENTO!$X$15,ROW(AD142)-ROW(AD$15),0),
ROUND(ROUND(OFFSET($P142,0,AD$13),15-13*ORÇAMENTO!$AF$7)*OFFSET(ORÇAMENTO!$W$15,ROW(AD142)-ROW(AD$15),0),15-13*ORÇAMENTO!$AF$11)),0)</f>
        <v>0</v>
      </c>
      <c r="AE142" s="545">
        <f ca="1">IF(AND($D142="Serviço",AE$12&lt;&gt;0,$H142&gt;0,OR(AUTOEVENTO&lt;&gt;"manual",$M142&lt;&gt;1)),
IF(Import.TipoArredondamento&lt;&gt;"TransfereGOV",
ROUND(OFFSET($P142,0,AE$13),15-13*ORÇAMENTO!$AF$7)/$H142*OFFSET(ORÇAMENTO!$X$15,ROW(AE142)-ROW(AE$15),0),
ROUND(ROUND(OFFSET($P142,0,AE$13),15-13*ORÇAMENTO!$AF$7)*OFFSET(ORÇAMENTO!$W$15,ROW(AE142)-ROW(AE$15),0),15-13*ORÇAMENTO!$AF$11)),0)</f>
        <v>0</v>
      </c>
      <c r="AF142" s="545">
        <f ca="1">IF(AND($D142="Serviço",AF$12&lt;&gt;0,$H142&gt;0,OR(AUTOEVENTO&lt;&gt;"manual",$M142&lt;&gt;1)),
IF(Import.TipoArredondamento&lt;&gt;"TransfereGOV",
ROUND(OFFSET($P142,0,AF$13),15-13*ORÇAMENTO!$AF$7)/$H142*OFFSET(ORÇAMENTO!$X$15,ROW(AF142)-ROW(AF$15),0),
ROUND(ROUND(OFFSET($P142,0,AF$13),15-13*ORÇAMENTO!$AF$7)*OFFSET(ORÇAMENTO!$W$15,ROW(AF142)-ROW(AF$15),0),15-13*ORÇAMENTO!$AF$11)),0)</f>
        <v>0</v>
      </c>
      <c r="AG142" s="545">
        <f ca="1">IF(AND($D142="Serviço",AG$12&lt;&gt;0,$H142&gt;0,OR(AUTOEVENTO&lt;&gt;"manual",$M142&lt;&gt;1)),
IF(Import.TipoArredondamento&lt;&gt;"TransfereGOV",
ROUND(OFFSET($P142,0,AG$13),15-13*ORÇAMENTO!$AF$7)/$H142*OFFSET(ORÇAMENTO!$X$15,ROW(AG142)-ROW(AG$15),0),
ROUND(ROUND(OFFSET($P142,0,AG$13),15-13*ORÇAMENTO!$AF$7)*OFFSET(ORÇAMENTO!$W$15,ROW(AG142)-ROW(AG$15),0),15-13*ORÇAMENTO!$AF$11)),0)</f>
        <v>0</v>
      </c>
      <c r="AH142" s="545">
        <f ca="1">IF(AND($D142="Serviço",AH$12&lt;&gt;0,$H142&gt;0,OR(AUTOEVENTO&lt;&gt;"manual",$M142&lt;&gt;1)),
IF(Import.TipoArredondamento&lt;&gt;"TransfereGOV",
ROUND(OFFSET($P142,0,AH$13),15-13*ORÇAMENTO!$AF$7)/$H142*OFFSET(ORÇAMENTO!$X$15,ROW(AH142)-ROW(AH$15),0),
ROUND(ROUND(OFFSET($P142,0,AH$13),15-13*ORÇAMENTO!$AF$7)*OFFSET(ORÇAMENTO!$W$15,ROW(AH142)-ROW(AH$15),0),15-13*ORÇAMENTO!$AF$11)),0)</f>
        <v>0</v>
      </c>
      <c r="AI142" s="545">
        <f ca="1">IF(AND($D142="Serviço",AI$12&lt;&gt;0,$H142&gt;0,OR(AUTOEVENTO&lt;&gt;"manual",$M142&lt;&gt;1)),
IF(Import.TipoArredondamento&lt;&gt;"TransfereGOV",
ROUND(OFFSET($P142,0,AI$13),15-13*ORÇAMENTO!$AF$7)/$H142*OFFSET(ORÇAMENTO!$X$15,ROW(AI142)-ROW(AI$15),0),
ROUND(ROUND(OFFSET($P142,0,AI$13),15-13*ORÇAMENTO!$AF$7)*OFFSET(ORÇAMENTO!$W$15,ROW(AI142)-ROW(AI$15),0),15-13*ORÇAMENTO!$AF$11)),0)</f>
        <v>0</v>
      </c>
      <c r="AJ142" s="545">
        <f ca="1">IF(AND($D142="Serviço",AJ$12&lt;&gt;0,$H142&gt;0,OR(AUTOEVENTO&lt;&gt;"manual",$M142&lt;&gt;1)),
IF(Import.TipoArredondamento&lt;&gt;"TransfereGOV",
ROUND(OFFSET($P142,0,AJ$13),15-13*ORÇAMENTO!$AF$7)/$H142*OFFSET(ORÇAMENTO!$X$15,ROW(AJ142)-ROW(AJ$15),0),
ROUND(ROUND(OFFSET($P142,0,AJ$13),15-13*ORÇAMENTO!$AF$7)*OFFSET(ORÇAMENTO!$W$15,ROW(AJ142)-ROW(AJ$15),0),15-13*ORÇAMENTO!$AF$11)),0)</f>
        <v>0</v>
      </c>
      <c r="AK142" s="546">
        <f ca="1">IF(AND($D142="Serviço",AK$12&lt;&gt;0,$H142&gt;0,OR(AUTOEVENTO&lt;&gt;"manual",$M142&lt;&gt;1)),
IF(Import.TipoArredondamento&lt;&gt;"TransfereGOV",
ROUND(OFFSET($P142,0,AK$13),15-13*ORÇAMENTO!$AF$7)/$H142*OFFSET(ORÇAMENTO!$X$15,ROW(AK142)-ROW(AK$15),0),
ROUND(ROUND(OFFSET($P142,0,AK$13),15-13*ORÇAMENTO!$AF$7)*OFFSET(ORÇAMENTO!$W$15,ROW(AK142)-ROW(AK$15),0),15-13*ORÇAMENTO!$AF$11)),0)</f>
        <v>0</v>
      </c>
      <c r="AM142" s="181">
        <f ca="1">IF($D142&lt;&gt;"Serviço",0,IF(AND(AUTOEVENTO="Manual",$M142=1),0,IF(OFFSET(CRONOPLE!$F$14,$M142,AM$13)="",10^12,OFFSET(CRONOPLE!$F$14,$M142,AM$13))))</f>
        <v>1000000000000</v>
      </c>
      <c r="AN142" s="181">
        <f ca="1">IF($D142&lt;&gt;"Serviço",0,IF(AND(AUTOEVENTO="Manual",$M142=1),0,IF(OFFSET(CRONOPLE!$F$14,$M142,AN$13)="",10^12,OFFSET(CRONOPLE!$F$14,$M142,AN$13))))</f>
        <v>1000000000000</v>
      </c>
      <c r="AO142" s="181">
        <f ca="1">IF($D142&lt;&gt;"Serviço",0,IF(AND(AUTOEVENTO="Manual",$M142=1),0,IF(OFFSET(CRONOPLE!$F$14,$M142,AO$13)="",10^12,OFFSET(CRONOPLE!$F$14,$M142,AO$13))))</f>
        <v>1000000000000</v>
      </c>
      <c r="AP142" s="181">
        <f ca="1">IF($D142&lt;&gt;"Serviço",0,IF(AND(AUTOEVENTO="Manual",$M142=1),0,IF(OFFSET(CRONOPLE!$F$14,$M142,AP$13)="",10^12,OFFSET(CRONOPLE!$F$14,$M142,AP$13))))</f>
        <v>1000000000000</v>
      </c>
      <c r="AQ142" s="181">
        <f ca="1">IF($D142&lt;&gt;"Serviço",0,IF(AND(AUTOEVENTO="Manual",$M142=1),0,IF(OFFSET(CRONOPLE!$F$14,$M142,AQ$13)="",10^12,OFFSET(CRONOPLE!$F$14,$M142,AQ$13))))</f>
        <v>1000000000000</v>
      </c>
      <c r="AR142" s="181">
        <f ca="1">IF($D142&lt;&gt;"Serviço",0,IF(AND(AUTOEVENTO="Manual",$M142=1),0,IF(OFFSET(CRONOPLE!$F$14,$M142,AR$13)="",10^12,OFFSET(CRONOPLE!$F$14,$M142,AR$13))))</f>
        <v>1000000000000</v>
      </c>
      <c r="AS142" s="181">
        <f ca="1">IF($D142&lt;&gt;"Serviço",0,IF(AND(AUTOEVENTO="Manual",$M142=1),0,IF(OFFSET(CRONOPLE!$F$14,$M142,AS$13)="",10^12,OFFSET(CRONOPLE!$F$14,$M142,AS$13))))</f>
        <v>1000000000000</v>
      </c>
      <c r="AT142" s="181">
        <f ca="1">IF($D142&lt;&gt;"Serviço",0,IF(AND(AUTOEVENTO="Manual",$M142=1),0,IF(OFFSET(CRONOPLE!$F$14,$M142,AT$13)="",10^12,OFFSET(CRONOPLE!$F$14,$M142,AT$13))))</f>
        <v>1000000000000</v>
      </c>
      <c r="AU142" s="181">
        <f ca="1">IF($D142&lt;&gt;"Serviço",0,IF(AND(AUTOEVENTO="Manual",$M142=1),0,IF(OFFSET(CRONOPLE!$F$14,$M142,AU$13)="",10^12,OFFSET(CRONOPLE!$F$14,$M142,AU$13))))</f>
        <v>1000000000000</v>
      </c>
      <c r="AV142" s="181">
        <f ca="1">IF($D142&lt;&gt;"Serviço",0,IF(AND(AUTOEVENTO="Manual",$M142=1),0,IF(OFFSET(CRONOPLE!$F$14,$M142,AV$13)="",10^12,OFFSET(CRONOPLE!$F$14,$M142,AV$13))))</f>
        <v>1000000000000</v>
      </c>
      <c r="AX142" s="182">
        <f ca="1">IF($D142&lt;&gt;"Serviço",0,IF(OR(AND(AUTOEVENTO="Manual",$M142=1),$M142&gt;(ROW(PLE.lastrow)-ROW(PLE.firstrow))),0,IF(OFFSET(PLE!$G$14,$M142,AX$13)="",10^12,OFFSET(PLE!$G$14,$M142,AX$13))))</f>
        <v>1000000000000</v>
      </c>
      <c r="AY142" s="182">
        <f ca="1">IF($D142&lt;&gt;"Serviço",0,IF(OR(AND(AUTOEVENTO="Manual",$M142=1),$M142&gt;(ROW(PLE.lastrow)-ROW(PLE.firstrow))),0,IF(OFFSET(PLE!$G$14,$M142,AY$13)="",10^12,OFFSET(PLE!$G$14,$M142,AY$13))))</f>
        <v>1000000000000</v>
      </c>
      <c r="AZ142" s="182">
        <f ca="1">IF($D142&lt;&gt;"Serviço",0,IF(OR(AND(AUTOEVENTO="Manual",$M142=1),$M142&gt;(ROW(PLE.lastrow)-ROW(PLE.firstrow))),0,IF(OFFSET(PLE!$G$14,$M142,AZ$13)="",10^12,OFFSET(PLE!$G$14,$M142,AZ$13))))</f>
        <v>1000000000000</v>
      </c>
      <c r="BA142" s="182">
        <f ca="1">IF($D142&lt;&gt;"Serviço",0,IF(OR(AND(AUTOEVENTO="Manual",$M142=1),$M142&gt;(ROW(PLE.lastrow)-ROW(PLE.firstrow))),0,IF(OFFSET(PLE!$G$14,$M142,BA$13)="",10^12,OFFSET(PLE!$G$14,$M142,BA$13))))</f>
        <v>1000000000000</v>
      </c>
      <c r="BB142" s="182">
        <f ca="1">IF($D142&lt;&gt;"Serviço",0,IF(OR(AND(AUTOEVENTO="Manual",$M142=1),$M142&gt;(ROW(PLE.lastrow)-ROW(PLE.firstrow))),0,IF(OFFSET(PLE!$G$14,$M142,BB$13)="",10^12,OFFSET(PLE!$G$14,$M142,BB$13))))</f>
        <v>1000000000000</v>
      </c>
      <c r="BC142" s="182">
        <f ca="1">IF($D142&lt;&gt;"Serviço",0,IF(OR(AND(AUTOEVENTO="Manual",$M142=1),$M142&gt;(ROW(PLE.lastrow)-ROW(PLE.firstrow))),0,IF(OFFSET(PLE!$G$14,$M142,BC$13)="",10^12,OFFSET(PLE!$G$14,$M142,BC$13))))</f>
        <v>1000000000000</v>
      </c>
      <c r="BD142" s="182">
        <f ca="1">IF($D142&lt;&gt;"Serviço",0,IF(OR(AND(AUTOEVENTO="Manual",$M142=1),$M142&gt;(ROW(PLE.lastrow)-ROW(PLE.firstrow))),0,IF(OFFSET(PLE!$G$14,$M142,BD$13)="",10^12,OFFSET(PLE!$G$14,$M142,BD$13))))</f>
        <v>1000000000000</v>
      </c>
      <c r="BE142" s="182">
        <f ca="1">IF($D142&lt;&gt;"Serviço",0,IF(OR(AND(AUTOEVENTO="Manual",$M142=1),$M142&gt;(ROW(PLE.lastrow)-ROW(PLE.firstrow))),0,IF(OFFSET(PLE!$G$14,$M142,BE$13)="",10^12,OFFSET(PLE!$G$14,$M142,BE$13))))</f>
        <v>1000000000000</v>
      </c>
      <c r="BF142" s="182">
        <f ca="1">IF($D142&lt;&gt;"Serviço",0,IF(OR(AND(AUTOEVENTO="Manual",$M142=1),$M142&gt;(ROW(PLE.lastrow)-ROW(PLE.firstrow))),0,IF(OFFSET(PLE!$G$14,$M142,BF$13)="",10^12,OFFSET(PLE!$G$14,$M142,BF$13))))</f>
        <v>1000000000000</v>
      </c>
      <c r="BG142" s="182">
        <f ca="1">IF($D142&lt;&gt;"Serviço",0,IF(OR(AND(AUTOEVENTO="Manual",$M142=1),$M142&gt;(ROW(PLE.lastrow)-ROW(PLE.firstrow))),0,IF(OFFSET(PLE!$G$14,$M142,BG$13)="",10^12,OFFSET(PLE!$G$14,$M142,BG$13))))</f>
        <v>1000000000000</v>
      </c>
    </row>
    <row r="143" spans="1:59" ht="63.75" x14ac:dyDescent="0.2">
      <c r="A143" s="7" t="str">
        <f t="shared" ca="1" si="9"/>
        <v>71</v>
      </c>
      <c r="B143" s="7" t="str">
        <f ca="1">OFFSET(ORÇAMENTO!C$15,ROW(B143)-ROW(B$15),0)</f>
        <v>S</v>
      </c>
      <c r="C143" s="7" t="str">
        <f ca="1">OFFSET(ORÇAMENTO!L$15,ROW(C143)-ROW(C$15),0)</f>
        <v>F</v>
      </c>
      <c r="D143" s="118" t="str">
        <f ca="1">OFFSET(ORÇAMENTO!N$15,ROW(D143)-ROW(D$15),0)</f>
        <v>Serviço</v>
      </c>
      <c r="E143" s="119" t="str">
        <f ca="1">OFFSET(ORÇAMENTO!O$15,ROW(E143)-ROW(E$15),0)</f>
        <v>1.6.12.3.</v>
      </c>
      <c r="F143" s="172" t="str">
        <f ca="1">OFFSET(ORÇAMENTO!R$15,ROW(F143)-ROW(F$15),0)</f>
        <v>(abra o arquivo 'Referência 03-2024.xlsm)</v>
      </c>
      <c r="G143" s="173" t="str">
        <f ca="1">IF($D143&lt;&gt;"Serviço","",OFFSET(ORÇAMENTO!S$15,ROW(G143)-ROW(G$15),0))</f>
        <v>-</v>
      </c>
      <c r="H143" s="124">
        <f ca="1">IF($D143&lt;&gt;"Serviço",0,IF(ACOMPANHAMENTO="BM",ROUND(OFFSET(ORÇAMENTO!AJ$15,ROW(H143)-ROW(H$15),0),15-13*ORÇAMENTO!$AF$7),SUMPRODUCT(($Q$12:$AA$12&lt;&gt;"")*ROUND($Q143:$AA143,15-13*ORÇAMENTO!$AF$7))))</f>
        <v>53</v>
      </c>
      <c r="I143" s="561"/>
      <c r="K143" s="174"/>
      <c r="L143" s="175" t="s">
        <v>255</v>
      </c>
      <c r="M143" s="176">
        <f ca="1">IF($D143&lt;&gt;"Serviço","",IF(AUTOEVENTO="manual",$A143,IF(ISERROR(MATCH($A143,$A$15:OFFSET($A143,-1,0),0)),MAX($M$15:OFFSET(M143,-1,0))+1,INDEX($M$15:OFFSET(M143,-1,0),MATCH($A143,$A$15:OFFSET($A143,-1,0),0)))))</f>
        <v>7</v>
      </c>
      <c r="N143" s="177" t="str">
        <f ca="1">IF($D143&lt;&gt;"Serviço","",IF(AUTOEVENTO="Manual",IF($A143=0,"&lt;-- defina o número do agrupador",OFFSET(EVENTOS!$D$14,$A143,0)),OFFSET($F$15,$A143,0)))</f>
        <v>SANITÁRIO PÚBLICO ACESSÍVEL</v>
      </c>
      <c r="O143" s="178"/>
      <c r="Q143" s="178"/>
      <c r="R143" s="179"/>
      <c r="S143" s="179"/>
      <c r="T143" s="179"/>
      <c r="U143" s="179"/>
      <c r="V143" s="179"/>
      <c r="W143" s="179"/>
      <c r="X143" s="179"/>
      <c r="Y143" s="179"/>
      <c r="Z143" s="180"/>
      <c r="AB143" s="544">
        <f ca="1">IF(AND($D143="Serviço",AB$12&lt;&gt;0,$H143&gt;0,OR(AUTOEVENTO&lt;&gt;"manual",$M143&lt;&gt;1)),
IF(Import.TipoArredondamento&lt;&gt;"TransfereGOV",
ROUND(OFFSET($P143,0,AB$13),15-13*ORÇAMENTO!$AF$7)/$H143*OFFSET(ORÇAMENTO!$X$15,ROW(AB143)-ROW(AB$15),0),
ROUND(ROUND(OFFSET($P143,0,AB$13),15-13*ORÇAMENTO!$AF$7)*OFFSET(ORÇAMENTO!$W$15,ROW(AB143)-ROW(AB$15),0),15-13*ORÇAMENTO!$AF$11)),0)</f>
        <v>0</v>
      </c>
      <c r="AC143" s="545">
        <f ca="1">IF(AND($D143="Serviço",AC$12&lt;&gt;0,$H143&gt;0,OR(AUTOEVENTO&lt;&gt;"manual",$M143&lt;&gt;1)),
IF(Import.TipoArredondamento&lt;&gt;"TransfereGOV",
ROUND(OFFSET($P143,0,AC$13),15-13*ORÇAMENTO!$AF$7)/$H143*OFFSET(ORÇAMENTO!$X$15,ROW(AC143)-ROW(AC$15),0),
ROUND(ROUND(OFFSET($P143,0,AC$13),15-13*ORÇAMENTO!$AF$7)*OFFSET(ORÇAMENTO!$W$15,ROW(AC143)-ROW(AC$15),0),15-13*ORÇAMENTO!$AF$11)),0)</f>
        <v>0</v>
      </c>
      <c r="AD143" s="545">
        <f ca="1">IF(AND($D143="Serviço",AD$12&lt;&gt;0,$H143&gt;0,OR(AUTOEVENTO&lt;&gt;"manual",$M143&lt;&gt;1)),
IF(Import.TipoArredondamento&lt;&gt;"TransfereGOV",
ROUND(OFFSET($P143,0,AD$13),15-13*ORÇAMENTO!$AF$7)/$H143*OFFSET(ORÇAMENTO!$X$15,ROW(AD143)-ROW(AD$15),0),
ROUND(ROUND(OFFSET($P143,0,AD$13),15-13*ORÇAMENTO!$AF$7)*OFFSET(ORÇAMENTO!$W$15,ROW(AD143)-ROW(AD$15),0),15-13*ORÇAMENTO!$AF$11)),0)</f>
        <v>0</v>
      </c>
      <c r="AE143" s="545">
        <f ca="1">IF(AND($D143="Serviço",AE$12&lt;&gt;0,$H143&gt;0,OR(AUTOEVENTO&lt;&gt;"manual",$M143&lt;&gt;1)),
IF(Import.TipoArredondamento&lt;&gt;"TransfereGOV",
ROUND(OFFSET($P143,0,AE$13),15-13*ORÇAMENTO!$AF$7)/$H143*OFFSET(ORÇAMENTO!$X$15,ROW(AE143)-ROW(AE$15),0),
ROUND(ROUND(OFFSET($P143,0,AE$13),15-13*ORÇAMENTO!$AF$7)*OFFSET(ORÇAMENTO!$W$15,ROW(AE143)-ROW(AE$15),0),15-13*ORÇAMENTO!$AF$11)),0)</f>
        <v>0</v>
      </c>
      <c r="AF143" s="545">
        <f ca="1">IF(AND($D143="Serviço",AF$12&lt;&gt;0,$H143&gt;0,OR(AUTOEVENTO&lt;&gt;"manual",$M143&lt;&gt;1)),
IF(Import.TipoArredondamento&lt;&gt;"TransfereGOV",
ROUND(OFFSET($P143,0,AF$13),15-13*ORÇAMENTO!$AF$7)/$H143*OFFSET(ORÇAMENTO!$X$15,ROW(AF143)-ROW(AF$15),0),
ROUND(ROUND(OFFSET($P143,0,AF$13),15-13*ORÇAMENTO!$AF$7)*OFFSET(ORÇAMENTO!$W$15,ROW(AF143)-ROW(AF$15),0),15-13*ORÇAMENTO!$AF$11)),0)</f>
        <v>0</v>
      </c>
      <c r="AG143" s="545">
        <f ca="1">IF(AND($D143="Serviço",AG$12&lt;&gt;0,$H143&gt;0,OR(AUTOEVENTO&lt;&gt;"manual",$M143&lt;&gt;1)),
IF(Import.TipoArredondamento&lt;&gt;"TransfereGOV",
ROUND(OFFSET($P143,0,AG$13),15-13*ORÇAMENTO!$AF$7)/$H143*OFFSET(ORÇAMENTO!$X$15,ROW(AG143)-ROW(AG$15),0),
ROUND(ROUND(OFFSET($P143,0,AG$13),15-13*ORÇAMENTO!$AF$7)*OFFSET(ORÇAMENTO!$W$15,ROW(AG143)-ROW(AG$15),0),15-13*ORÇAMENTO!$AF$11)),0)</f>
        <v>0</v>
      </c>
      <c r="AH143" s="545">
        <f ca="1">IF(AND($D143="Serviço",AH$12&lt;&gt;0,$H143&gt;0,OR(AUTOEVENTO&lt;&gt;"manual",$M143&lt;&gt;1)),
IF(Import.TipoArredondamento&lt;&gt;"TransfereGOV",
ROUND(OFFSET($P143,0,AH$13),15-13*ORÇAMENTO!$AF$7)/$H143*OFFSET(ORÇAMENTO!$X$15,ROW(AH143)-ROW(AH$15),0),
ROUND(ROUND(OFFSET($P143,0,AH$13),15-13*ORÇAMENTO!$AF$7)*OFFSET(ORÇAMENTO!$W$15,ROW(AH143)-ROW(AH$15),0),15-13*ORÇAMENTO!$AF$11)),0)</f>
        <v>0</v>
      </c>
      <c r="AI143" s="545">
        <f ca="1">IF(AND($D143="Serviço",AI$12&lt;&gt;0,$H143&gt;0,OR(AUTOEVENTO&lt;&gt;"manual",$M143&lt;&gt;1)),
IF(Import.TipoArredondamento&lt;&gt;"TransfereGOV",
ROUND(OFFSET($P143,0,AI$13),15-13*ORÇAMENTO!$AF$7)/$H143*OFFSET(ORÇAMENTO!$X$15,ROW(AI143)-ROW(AI$15),0),
ROUND(ROUND(OFFSET($P143,0,AI$13),15-13*ORÇAMENTO!$AF$7)*OFFSET(ORÇAMENTO!$W$15,ROW(AI143)-ROW(AI$15),0),15-13*ORÇAMENTO!$AF$11)),0)</f>
        <v>0</v>
      </c>
      <c r="AJ143" s="545">
        <f ca="1">IF(AND($D143="Serviço",AJ$12&lt;&gt;0,$H143&gt;0,OR(AUTOEVENTO&lt;&gt;"manual",$M143&lt;&gt;1)),
IF(Import.TipoArredondamento&lt;&gt;"TransfereGOV",
ROUND(OFFSET($P143,0,AJ$13),15-13*ORÇAMENTO!$AF$7)/$H143*OFFSET(ORÇAMENTO!$X$15,ROW(AJ143)-ROW(AJ$15),0),
ROUND(ROUND(OFFSET($P143,0,AJ$13),15-13*ORÇAMENTO!$AF$7)*OFFSET(ORÇAMENTO!$W$15,ROW(AJ143)-ROW(AJ$15),0),15-13*ORÇAMENTO!$AF$11)),0)</f>
        <v>0</v>
      </c>
      <c r="AK143" s="546">
        <f ca="1">IF(AND($D143="Serviço",AK$12&lt;&gt;0,$H143&gt;0,OR(AUTOEVENTO&lt;&gt;"manual",$M143&lt;&gt;1)),
IF(Import.TipoArredondamento&lt;&gt;"TransfereGOV",
ROUND(OFFSET($P143,0,AK$13),15-13*ORÇAMENTO!$AF$7)/$H143*OFFSET(ORÇAMENTO!$X$15,ROW(AK143)-ROW(AK$15),0),
ROUND(ROUND(OFFSET($P143,0,AK$13),15-13*ORÇAMENTO!$AF$7)*OFFSET(ORÇAMENTO!$W$15,ROW(AK143)-ROW(AK$15),0),15-13*ORÇAMENTO!$AF$11)),0)</f>
        <v>0</v>
      </c>
      <c r="AM143" s="181">
        <f ca="1">IF($D143&lt;&gt;"Serviço",0,IF(AND(AUTOEVENTO="Manual",$M143=1),0,IF(OFFSET(CRONOPLE!$F$14,$M143,AM$13)="",10^12,OFFSET(CRONOPLE!$F$14,$M143,AM$13))))</f>
        <v>1000000000000</v>
      </c>
      <c r="AN143" s="181">
        <f ca="1">IF($D143&lt;&gt;"Serviço",0,IF(AND(AUTOEVENTO="Manual",$M143=1),0,IF(OFFSET(CRONOPLE!$F$14,$M143,AN$13)="",10^12,OFFSET(CRONOPLE!$F$14,$M143,AN$13))))</f>
        <v>1000000000000</v>
      </c>
      <c r="AO143" s="181">
        <f ca="1">IF($D143&lt;&gt;"Serviço",0,IF(AND(AUTOEVENTO="Manual",$M143=1),0,IF(OFFSET(CRONOPLE!$F$14,$M143,AO$13)="",10^12,OFFSET(CRONOPLE!$F$14,$M143,AO$13))))</f>
        <v>1000000000000</v>
      </c>
      <c r="AP143" s="181">
        <f ca="1">IF($D143&lt;&gt;"Serviço",0,IF(AND(AUTOEVENTO="Manual",$M143=1),0,IF(OFFSET(CRONOPLE!$F$14,$M143,AP$13)="",10^12,OFFSET(CRONOPLE!$F$14,$M143,AP$13))))</f>
        <v>1000000000000</v>
      </c>
      <c r="AQ143" s="181">
        <f ca="1">IF($D143&lt;&gt;"Serviço",0,IF(AND(AUTOEVENTO="Manual",$M143=1),0,IF(OFFSET(CRONOPLE!$F$14,$M143,AQ$13)="",10^12,OFFSET(CRONOPLE!$F$14,$M143,AQ$13))))</f>
        <v>1000000000000</v>
      </c>
      <c r="AR143" s="181">
        <f ca="1">IF($D143&lt;&gt;"Serviço",0,IF(AND(AUTOEVENTO="Manual",$M143=1),0,IF(OFFSET(CRONOPLE!$F$14,$M143,AR$13)="",10^12,OFFSET(CRONOPLE!$F$14,$M143,AR$13))))</f>
        <v>1000000000000</v>
      </c>
      <c r="AS143" s="181">
        <f ca="1">IF($D143&lt;&gt;"Serviço",0,IF(AND(AUTOEVENTO="Manual",$M143=1),0,IF(OFFSET(CRONOPLE!$F$14,$M143,AS$13)="",10^12,OFFSET(CRONOPLE!$F$14,$M143,AS$13))))</f>
        <v>1000000000000</v>
      </c>
      <c r="AT143" s="181">
        <f ca="1">IF($D143&lt;&gt;"Serviço",0,IF(AND(AUTOEVENTO="Manual",$M143=1),0,IF(OFFSET(CRONOPLE!$F$14,$M143,AT$13)="",10^12,OFFSET(CRONOPLE!$F$14,$M143,AT$13))))</f>
        <v>1000000000000</v>
      </c>
      <c r="AU143" s="181">
        <f ca="1">IF($D143&lt;&gt;"Serviço",0,IF(AND(AUTOEVENTO="Manual",$M143=1),0,IF(OFFSET(CRONOPLE!$F$14,$M143,AU$13)="",10^12,OFFSET(CRONOPLE!$F$14,$M143,AU$13))))</f>
        <v>1000000000000</v>
      </c>
      <c r="AV143" s="181">
        <f ca="1">IF($D143&lt;&gt;"Serviço",0,IF(AND(AUTOEVENTO="Manual",$M143=1),0,IF(OFFSET(CRONOPLE!$F$14,$M143,AV$13)="",10^12,OFFSET(CRONOPLE!$F$14,$M143,AV$13))))</f>
        <v>1000000000000</v>
      </c>
      <c r="AX143" s="182">
        <f ca="1">IF($D143&lt;&gt;"Serviço",0,IF(OR(AND(AUTOEVENTO="Manual",$M143=1),$M143&gt;(ROW(PLE.lastrow)-ROW(PLE.firstrow))),0,IF(OFFSET(PLE!$G$14,$M143,AX$13)="",10^12,OFFSET(PLE!$G$14,$M143,AX$13))))</f>
        <v>1000000000000</v>
      </c>
      <c r="AY143" s="182">
        <f ca="1">IF($D143&lt;&gt;"Serviço",0,IF(OR(AND(AUTOEVENTO="Manual",$M143=1),$M143&gt;(ROW(PLE.lastrow)-ROW(PLE.firstrow))),0,IF(OFFSET(PLE!$G$14,$M143,AY$13)="",10^12,OFFSET(PLE!$G$14,$M143,AY$13))))</f>
        <v>1000000000000</v>
      </c>
      <c r="AZ143" s="182">
        <f ca="1">IF($D143&lt;&gt;"Serviço",0,IF(OR(AND(AUTOEVENTO="Manual",$M143=1),$M143&gt;(ROW(PLE.lastrow)-ROW(PLE.firstrow))),0,IF(OFFSET(PLE!$G$14,$M143,AZ$13)="",10^12,OFFSET(PLE!$G$14,$M143,AZ$13))))</f>
        <v>1000000000000</v>
      </c>
      <c r="BA143" s="182">
        <f ca="1">IF($D143&lt;&gt;"Serviço",0,IF(OR(AND(AUTOEVENTO="Manual",$M143=1),$M143&gt;(ROW(PLE.lastrow)-ROW(PLE.firstrow))),0,IF(OFFSET(PLE!$G$14,$M143,BA$13)="",10^12,OFFSET(PLE!$G$14,$M143,BA$13))))</f>
        <v>1000000000000</v>
      </c>
      <c r="BB143" s="182">
        <f ca="1">IF($D143&lt;&gt;"Serviço",0,IF(OR(AND(AUTOEVENTO="Manual",$M143=1),$M143&gt;(ROW(PLE.lastrow)-ROW(PLE.firstrow))),0,IF(OFFSET(PLE!$G$14,$M143,BB$13)="",10^12,OFFSET(PLE!$G$14,$M143,BB$13))))</f>
        <v>1000000000000</v>
      </c>
      <c r="BC143" s="182">
        <f ca="1">IF($D143&lt;&gt;"Serviço",0,IF(OR(AND(AUTOEVENTO="Manual",$M143=1),$M143&gt;(ROW(PLE.lastrow)-ROW(PLE.firstrow))),0,IF(OFFSET(PLE!$G$14,$M143,BC$13)="",10^12,OFFSET(PLE!$G$14,$M143,BC$13))))</f>
        <v>1000000000000</v>
      </c>
      <c r="BD143" s="182">
        <f ca="1">IF($D143&lt;&gt;"Serviço",0,IF(OR(AND(AUTOEVENTO="Manual",$M143=1),$M143&gt;(ROW(PLE.lastrow)-ROW(PLE.firstrow))),0,IF(OFFSET(PLE!$G$14,$M143,BD$13)="",10^12,OFFSET(PLE!$G$14,$M143,BD$13))))</f>
        <v>1000000000000</v>
      </c>
      <c r="BE143" s="182">
        <f ca="1">IF($D143&lt;&gt;"Serviço",0,IF(OR(AND(AUTOEVENTO="Manual",$M143=1),$M143&gt;(ROW(PLE.lastrow)-ROW(PLE.firstrow))),0,IF(OFFSET(PLE!$G$14,$M143,BE$13)="",10^12,OFFSET(PLE!$G$14,$M143,BE$13))))</f>
        <v>1000000000000</v>
      </c>
      <c r="BF143" s="182">
        <f ca="1">IF($D143&lt;&gt;"Serviço",0,IF(OR(AND(AUTOEVENTO="Manual",$M143=1),$M143&gt;(ROW(PLE.lastrow)-ROW(PLE.firstrow))),0,IF(OFFSET(PLE!$G$14,$M143,BF$13)="",10^12,OFFSET(PLE!$G$14,$M143,BF$13))))</f>
        <v>1000000000000</v>
      </c>
      <c r="BG143" s="182">
        <f ca="1">IF($D143&lt;&gt;"Serviço",0,IF(OR(AND(AUTOEVENTO="Manual",$M143=1),$M143&gt;(ROW(PLE.lastrow)-ROW(PLE.firstrow))),0,IF(OFFSET(PLE!$G$14,$M143,BG$13)="",10^12,OFFSET(PLE!$G$14,$M143,BG$13))))</f>
        <v>1000000000000</v>
      </c>
    </row>
    <row r="144" spans="1:59" ht="12.75" x14ac:dyDescent="0.2">
      <c r="A144" s="7" t="str">
        <f t="shared" ca="1" si="9"/>
        <v>71</v>
      </c>
      <c r="B144" s="7">
        <f ca="1">OFFSET(ORÇAMENTO!C$15,ROW(B144)-ROW(B$15),0)</f>
        <v>3</v>
      </c>
      <c r="C144" s="7" t="str">
        <f ca="1">OFFSET(ORÇAMENTO!L$15,ROW(C144)-ROW(C$15),0)</f>
        <v>F</v>
      </c>
      <c r="D144" s="118" t="str">
        <f ca="1">OFFSET(ORÇAMENTO!N$15,ROW(D144)-ROW(D$15),0)</f>
        <v>Nível 3</v>
      </c>
      <c r="E144" s="119" t="str">
        <f ca="1">OFFSET(ORÇAMENTO!O$15,ROW(E144)-ROW(E$15),0)</f>
        <v>1.6.13.</v>
      </c>
      <c r="F144" s="172" t="str">
        <f ca="1">OFFSET(ORÇAMENTO!R$15,ROW(F144)-ROW(F$15),0)</f>
        <v>PISO E CALÇADAS E RAMPA ACESSÍVEL</v>
      </c>
      <c r="G144" s="173" t="str">
        <f ca="1">IF($D144&lt;&gt;"Serviço","",OFFSET(ORÇAMENTO!S$15,ROW(G144)-ROW(G$15),0))</f>
        <v/>
      </c>
      <c r="H144" s="124">
        <f ca="1">IF($D144&lt;&gt;"Serviço",0,IF(ACOMPANHAMENTO="BM",ROUND(OFFSET(ORÇAMENTO!AJ$15,ROW(H144)-ROW(H$15),0),15-13*ORÇAMENTO!$AF$7),SUMPRODUCT(($Q$12:$AA$12&lt;&gt;"")*ROUND($Q144:$AA144,15-13*ORÇAMENTO!$AF$7))))</f>
        <v>0</v>
      </c>
      <c r="I144" s="561"/>
      <c r="K144" s="174"/>
      <c r="L144" s="175" t="s">
        <v>255</v>
      </c>
      <c r="M144" s="176" t="str">
        <f ca="1">IF($D144&lt;&gt;"Serviço","",IF(AUTOEVENTO="manual",$A144,IF(ISERROR(MATCH($A144,$A$15:OFFSET($A144,-1,0),0)),MAX($M$15:OFFSET(M144,-1,0))+1,INDEX($M$15:OFFSET(M144,-1,0),MATCH($A144,$A$15:OFFSET($A144,-1,0),0)))))</f>
        <v/>
      </c>
      <c r="N144" s="177" t="str">
        <f ca="1">IF($D144&lt;&gt;"Serviço","",IF(AUTOEVENTO="Manual",IF($A144=0,"&lt;-- defina o número do agrupador",OFFSET(EVENTOS!$D$14,$A144,0)),OFFSET($F$15,$A144,0)))</f>
        <v/>
      </c>
      <c r="O144" s="178"/>
      <c r="Q144" s="178"/>
      <c r="R144" s="179"/>
      <c r="S144" s="179"/>
      <c r="T144" s="179"/>
      <c r="U144" s="179"/>
      <c r="V144" s="179"/>
      <c r="W144" s="179"/>
      <c r="X144" s="179"/>
      <c r="Y144" s="179"/>
      <c r="Z144" s="180"/>
      <c r="AB144" s="544">
        <f ca="1">IF(AND($D144="Serviço",AB$12&lt;&gt;0,$H144&gt;0,OR(AUTOEVENTO&lt;&gt;"manual",$M144&lt;&gt;1)),
IF(Import.TipoArredondamento&lt;&gt;"TransfereGOV",
ROUND(OFFSET($P144,0,AB$13),15-13*ORÇAMENTO!$AF$7)/$H144*OFFSET(ORÇAMENTO!$X$15,ROW(AB144)-ROW(AB$15),0),
ROUND(ROUND(OFFSET($P144,0,AB$13),15-13*ORÇAMENTO!$AF$7)*OFFSET(ORÇAMENTO!$W$15,ROW(AB144)-ROW(AB$15),0),15-13*ORÇAMENTO!$AF$11)),0)</f>
        <v>0</v>
      </c>
      <c r="AC144" s="545">
        <f ca="1">IF(AND($D144="Serviço",AC$12&lt;&gt;0,$H144&gt;0,OR(AUTOEVENTO&lt;&gt;"manual",$M144&lt;&gt;1)),
IF(Import.TipoArredondamento&lt;&gt;"TransfereGOV",
ROUND(OFFSET($P144,0,AC$13),15-13*ORÇAMENTO!$AF$7)/$H144*OFFSET(ORÇAMENTO!$X$15,ROW(AC144)-ROW(AC$15),0),
ROUND(ROUND(OFFSET($P144,0,AC$13),15-13*ORÇAMENTO!$AF$7)*OFFSET(ORÇAMENTO!$W$15,ROW(AC144)-ROW(AC$15),0),15-13*ORÇAMENTO!$AF$11)),0)</f>
        <v>0</v>
      </c>
      <c r="AD144" s="545">
        <f ca="1">IF(AND($D144="Serviço",AD$12&lt;&gt;0,$H144&gt;0,OR(AUTOEVENTO&lt;&gt;"manual",$M144&lt;&gt;1)),
IF(Import.TipoArredondamento&lt;&gt;"TransfereGOV",
ROUND(OFFSET($P144,0,AD$13),15-13*ORÇAMENTO!$AF$7)/$H144*OFFSET(ORÇAMENTO!$X$15,ROW(AD144)-ROW(AD$15),0),
ROUND(ROUND(OFFSET($P144,0,AD$13),15-13*ORÇAMENTO!$AF$7)*OFFSET(ORÇAMENTO!$W$15,ROW(AD144)-ROW(AD$15),0),15-13*ORÇAMENTO!$AF$11)),0)</f>
        <v>0</v>
      </c>
      <c r="AE144" s="545">
        <f ca="1">IF(AND($D144="Serviço",AE$12&lt;&gt;0,$H144&gt;0,OR(AUTOEVENTO&lt;&gt;"manual",$M144&lt;&gt;1)),
IF(Import.TipoArredondamento&lt;&gt;"TransfereGOV",
ROUND(OFFSET($P144,0,AE$13),15-13*ORÇAMENTO!$AF$7)/$H144*OFFSET(ORÇAMENTO!$X$15,ROW(AE144)-ROW(AE$15),0),
ROUND(ROUND(OFFSET($P144,0,AE$13),15-13*ORÇAMENTO!$AF$7)*OFFSET(ORÇAMENTO!$W$15,ROW(AE144)-ROW(AE$15),0),15-13*ORÇAMENTO!$AF$11)),0)</f>
        <v>0</v>
      </c>
      <c r="AF144" s="545">
        <f ca="1">IF(AND($D144="Serviço",AF$12&lt;&gt;0,$H144&gt;0,OR(AUTOEVENTO&lt;&gt;"manual",$M144&lt;&gt;1)),
IF(Import.TipoArredondamento&lt;&gt;"TransfereGOV",
ROUND(OFFSET($P144,0,AF$13),15-13*ORÇAMENTO!$AF$7)/$H144*OFFSET(ORÇAMENTO!$X$15,ROW(AF144)-ROW(AF$15),0),
ROUND(ROUND(OFFSET($P144,0,AF$13),15-13*ORÇAMENTO!$AF$7)*OFFSET(ORÇAMENTO!$W$15,ROW(AF144)-ROW(AF$15),0),15-13*ORÇAMENTO!$AF$11)),0)</f>
        <v>0</v>
      </c>
      <c r="AG144" s="545">
        <f ca="1">IF(AND($D144="Serviço",AG$12&lt;&gt;0,$H144&gt;0,OR(AUTOEVENTO&lt;&gt;"manual",$M144&lt;&gt;1)),
IF(Import.TipoArredondamento&lt;&gt;"TransfereGOV",
ROUND(OFFSET($P144,0,AG$13),15-13*ORÇAMENTO!$AF$7)/$H144*OFFSET(ORÇAMENTO!$X$15,ROW(AG144)-ROW(AG$15),0),
ROUND(ROUND(OFFSET($P144,0,AG$13),15-13*ORÇAMENTO!$AF$7)*OFFSET(ORÇAMENTO!$W$15,ROW(AG144)-ROW(AG$15),0),15-13*ORÇAMENTO!$AF$11)),0)</f>
        <v>0</v>
      </c>
      <c r="AH144" s="545">
        <f ca="1">IF(AND($D144="Serviço",AH$12&lt;&gt;0,$H144&gt;0,OR(AUTOEVENTO&lt;&gt;"manual",$M144&lt;&gt;1)),
IF(Import.TipoArredondamento&lt;&gt;"TransfereGOV",
ROUND(OFFSET($P144,0,AH$13),15-13*ORÇAMENTO!$AF$7)/$H144*OFFSET(ORÇAMENTO!$X$15,ROW(AH144)-ROW(AH$15),0),
ROUND(ROUND(OFFSET($P144,0,AH$13),15-13*ORÇAMENTO!$AF$7)*OFFSET(ORÇAMENTO!$W$15,ROW(AH144)-ROW(AH$15),0),15-13*ORÇAMENTO!$AF$11)),0)</f>
        <v>0</v>
      </c>
      <c r="AI144" s="545">
        <f ca="1">IF(AND($D144="Serviço",AI$12&lt;&gt;0,$H144&gt;0,OR(AUTOEVENTO&lt;&gt;"manual",$M144&lt;&gt;1)),
IF(Import.TipoArredondamento&lt;&gt;"TransfereGOV",
ROUND(OFFSET($P144,0,AI$13),15-13*ORÇAMENTO!$AF$7)/$H144*OFFSET(ORÇAMENTO!$X$15,ROW(AI144)-ROW(AI$15),0),
ROUND(ROUND(OFFSET($P144,0,AI$13),15-13*ORÇAMENTO!$AF$7)*OFFSET(ORÇAMENTO!$W$15,ROW(AI144)-ROW(AI$15),0),15-13*ORÇAMENTO!$AF$11)),0)</f>
        <v>0</v>
      </c>
      <c r="AJ144" s="545">
        <f ca="1">IF(AND($D144="Serviço",AJ$12&lt;&gt;0,$H144&gt;0,OR(AUTOEVENTO&lt;&gt;"manual",$M144&lt;&gt;1)),
IF(Import.TipoArredondamento&lt;&gt;"TransfereGOV",
ROUND(OFFSET($P144,0,AJ$13),15-13*ORÇAMENTO!$AF$7)/$H144*OFFSET(ORÇAMENTO!$X$15,ROW(AJ144)-ROW(AJ$15),0),
ROUND(ROUND(OFFSET($P144,0,AJ$13),15-13*ORÇAMENTO!$AF$7)*OFFSET(ORÇAMENTO!$W$15,ROW(AJ144)-ROW(AJ$15),0),15-13*ORÇAMENTO!$AF$11)),0)</f>
        <v>0</v>
      </c>
      <c r="AK144" s="546">
        <f ca="1">IF(AND($D144="Serviço",AK$12&lt;&gt;0,$H144&gt;0,OR(AUTOEVENTO&lt;&gt;"manual",$M144&lt;&gt;1)),
IF(Import.TipoArredondamento&lt;&gt;"TransfereGOV",
ROUND(OFFSET($P144,0,AK$13),15-13*ORÇAMENTO!$AF$7)/$H144*OFFSET(ORÇAMENTO!$X$15,ROW(AK144)-ROW(AK$15),0),
ROUND(ROUND(OFFSET($P144,0,AK$13),15-13*ORÇAMENTO!$AF$7)*OFFSET(ORÇAMENTO!$W$15,ROW(AK144)-ROW(AK$15),0),15-13*ORÇAMENTO!$AF$11)),0)</f>
        <v>0</v>
      </c>
      <c r="AM144" s="181">
        <f ca="1">IF($D144&lt;&gt;"Serviço",0,IF(AND(AUTOEVENTO="Manual",$M144=1),0,IF(OFFSET(CRONOPLE!$F$14,$M144,AM$13)="",10^12,OFFSET(CRONOPLE!$F$14,$M144,AM$13))))</f>
        <v>0</v>
      </c>
      <c r="AN144" s="181">
        <f ca="1">IF($D144&lt;&gt;"Serviço",0,IF(AND(AUTOEVENTO="Manual",$M144=1),0,IF(OFFSET(CRONOPLE!$F$14,$M144,AN$13)="",10^12,OFFSET(CRONOPLE!$F$14,$M144,AN$13))))</f>
        <v>0</v>
      </c>
      <c r="AO144" s="181">
        <f ca="1">IF($D144&lt;&gt;"Serviço",0,IF(AND(AUTOEVENTO="Manual",$M144=1),0,IF(OFFSET(CRONOPLE!$F$14,$M144,AO$13)="",10^12,OFFSET(CRONOPLE!$F$14,$M144,AO$13))))</f>
        <v>0</v>
      </c>
      <c r="AP144" s="181">
        <f ca="1">IF($D144&lt;&gt;"Serviço",0,IF(AND(AUTOEVENTO="Manual",$M144=1),0,IF(OFFSET(CRONOPLE!$F$14,$M144,AP$13)="",10^12,OFFSET(CRONOPLE!$F$14,$M144,AP$13))))</f>
        <v>0</v>
      </c>
      <c r="AQ144" s="181">
        <f ca="1">IF($D144&lt;&gt;"Serviço",0,IF(AND(AUTOEVENTO="Manual",$M144=1),0,IF(OFFSET(CRONOPLE!$F$14,$M144,AQ$13)="",10^12,OFFSET(CRONOPLE!$F$14,$M144,AQ$13))))</f>
        <v>0</v>
      </c>
      <c r="AR144" s="181">
        <f ca="1">IF($D144&lt;&gt;"Serviço",0,IF(AND(AUTOEVENTO="Manual",$M144=1),0,IF(OFFSET(CRONOPLE!$F$14,$M144,AR$13)="",10^12,OFFSET(CRONOPLE!$F$14,$M144,AR$13))))</f>
        <v>0</v>
      </c>
      <c r="AS144" s="181">
        <f ca="1">IF($D144&lt;&gt;"Serviço",0,IF(AND(AUTOEVENTO="Manual",$M144=1),0,IF(OFFSET(CRONOPLE!$F$14,$M144,AS$13)="",10^12,OFFSET(CRONOPLE!$F$14,$M144,AS$13))))</f>
        <v>0</v>
      </c>
      <c r="AT144" s="181">
        <f ca="1">IF($D144&lt;&gt;"Serviço",0,IF(AND(AUTOEVENTO="Manual",$M144=1),0,IF(OFFSET(CRONOPLE!$F$14,$M144,AT$13)="",10^12,OFFSET(CRONOPLE!$F$14,$M144,AT$13))))</f>
        <v>0</v>
      </c>
      <c r="AU144" s="181">
        <f ca="1">IF($D144&lt;&gt;"Serviço",0,IF(AND(AUTOEVENTO="Manual",$M144=1),0,IF(OFFSET(CRONOPLE!$F$14,$M144,AU$13)="",10^12,OFFSET(CRONOPLE!$F$14,$M144,AU$13))))</f>
        <v>0</v>
      </c>
      <c r="AV144" s="181">
        <f ca="1">IF($D144&lt;&gt;"Serviço",0,IF(AND(AUTOEVENTO="Manual",$M144=1),0,IF(OFFSET(CRONOPLE!$F$14,$M144,AV$13)="",10^12,OFFSET(CRONOPLE!$F$14,$M144,AV$13))))</f>
        <v>0</v>
      </c>
      <c r="AX144" s="182">
        <f ca="1">IF($D144&lt;&gt;"Serviço",0,IF(OR(AND(AUTOEVENTO="Manual",$M144=1),$M144&gt;(ROW(PLE.lastrow)-ROW(PLE.firstrow))),0,IF(OFFSET(PLE!$G$14,$M144,AX$13)="",10^12,OFFSET(PLE!$G$14,$M144,AX$13))))</f>
        <v>0</v>
      </c>
      <c r="AY144" s="182">
        <f ca="1">IF($D144&lt;&gt;"Serviço",0,IF(OR(AND(AUTOEVENTO="Manual",$M144=1),$M144&gt;(ROW(PLE.lastrow)-ROW(PLE.firstrow))),0,IF(OFFSET(PLE!$G$14,$M144,AY$13)="",10^12,OFFSET(PLE!$G$14,$M144,AY$13))))</f>
        <v>0</v>
      </c>
      <c r="AZ144" s="182">
        <f ca="1">IF($D144&lt;&gt;"Serviço",0,IF(OR(AND(AUTOEVENTO="Manual",$M144=1),$M144&gt;(ROW(PLE.lastrow)-ROW(PLE.firstrow))),0,IF(OFFSET(PLE!$G$14,$M144,AZ$13)="",10^12,OFFSET(PLE!$G$14,$M144,AZ$13))))</f>
        <v>0</v>
      </c>
      <c r="BA144" s="182">
        <f ca="1">IF($D144&lt;&gt;"Serviço",0,IF(OR(AND(AUTOEVENTO="Manual",$M144=1),$M144&gt;(ROW(PLE.lastrow)-ROW(PLE.firstrow))),0,IF(OFFSET(PLE!$G$14,$M144,BA$13)="",10^12,OFFSET(PLE!$G$14,$M144,BA$13))))</f>
        <v>0</v>
      </c>
      <c r="BB144" s="182">
        <f ca="1">IF($D144&lt;&gt;"Serviço",0,IF(OR(AND(AUTOEVENTO="Manual",$M144=1),$M144&gt;(ROW(PLE.lastrow)-ROW(PLE.firstrow))),0,IF(OFFSET(PLE!$G$14,$M144,BB$13)="",10^12,OFFSET(PLE!$G$14,$M144,BB$13))))</f>
        <v>0</v>
      </c>
      <c r="BC144" s="182">
        <f ca="1">IF($D144&lt;&gt;"Serviço",0,IF(OR(AND(AUTOEVENTO="Manual",$M144=1),$M144&gt;(ROW(PLE.lastrow)-ROW(PLE.firstrow))),0,IF(OFFSET(PLE!$G$14,$M144,BC$13)="",10^12,OFFSET(PLE!$G$14,$M144,BC$13))))</f>
        <v>0</v>
      </c>
      <c r="BD144" s="182">
        <f ca="1">IF($D144&lt;&gt;"Serviço",0,IF(OR(AND(AUTOEVENTO="Manual",$M144=1),$M144&gt;(ROW(PLE.lastrow)-ROW(PLE.firstrow))),0,IF(OFFSET(PLE!$G$14,$M144,BD$13)="",10^12,OFFSET(PLE!$G$14,$M144,BD$13))))</f>
        <v>0</v>
      </c>
      <c r="BE144" s="182">
        <f ca="1">IF($D144&lt;&gt;"Serviço",0,IF(OR(AND(AUTOEVENTO="Manual",$M144=1),$M144&gt;(ROW(PLE.lastrow)-ROW(PLE.firstrow))),0,IF(OFFSET(PLE!$G$14,$M144,BE$13)="",10^12,OFFSET(PLE!$G$14,$M144,BE$13))))</f>
        <v>0</v>
      </c>
      <c r="BF144" s="182">
        <f ca="1">IF($D144&lt;&gt;"Serviço",0,IF(OR(AND(AUTOEVENTO="Manual",$M144=1),$M144&gt;(ROW(PLE.lastrow)-ROW(PLE.firstrow))),0,IF(OFFSET(PLE!$G$14,$M144,BF$13)="",10^12,OFFSET(PLE!$G$14,$M144,BF$13))))</f>
        <v>0</v>
      </c>
      <c r="BG144" s="182">
        <f ca="1">IF($D144&lt;&gt;"Serviço",0,IF(OR(AND(AUTOEVENTO="Manual",$M144=1),$M144&gt;(ROW(PLE.lastrow)-ROW(PLE.firstrow))),0,IF(OFFSET(PLE!$G$14,$M144,BG$13)="",10^12,OFFSET(PLE!$G$14,$M144,BG$13))))</f>
        <v>0</v>
      </c>
    </row>
    <row r="145" spans="1:59" ht="25.5" x14ac:dyDescent="0.2">
      <c r="A145" s="7" t="str">
        <f t="shared" ca="1" si="9"/>
        <v>71</v>
      </c>
      <c r="B145" s="7" t="str">
        <f ca="1">OFFSET(ORÇAMENTO!C$15,ROW(B145)-ROW(B$15),0)</f>
        <v>S</v>
      </c>
      <c r="C145" s="7" t="str">
        <f ca="1">OFFSET(ORÇAMENTO!L$15,ROW(C145)-ROW(C$15),0)</f>
        <v>F</v>
      </c>
      <c r="D145" s="118" t="str">
        <f ca="1">OFFSET(ORÇAMENTO!N$15,ROW(D145)-ROW(D$15),0)</f>
        <v>Serviço</v>
      </c>
      <c r="E145" s="119" t="str">
        <f ca="1">OFFSET(ORÇAMENTO!O$15,ROW(E145)-ROW(E$15),0)</f>
        <v>1.6.13.1.</v>
      </c>
      <c r="F145" s="172" t="str">
        <f ca="1">OFFSET(ORÇAMENTO!R$15,ROW(F145)-ROW(F$15),0)</f>
        <v>(abra o arquivo 'Referência 03-2024.xlsm)</v>
      </c>
      <c r="G145" s="173" t="str">
        <f ca="1">IF($D145&lt;&gt;"Serviço","",OFFSET(ORÇAMENTO!S$15,ROW(G145)-ROW(G$15),0))</f>
        <v>-</v>
      </c>
      <c r="H145" s="124">
        <f ca="1">IF($D145&lt;&gt;"Serviço",0,IF(ACOMPANHAMENTO="BM",ROUND(OFFSET(ORÇAMENTO!AJ$15,ROW(H145)-ROW(H$15),0),15-13*ORÇAMENTO!$AF$7),SUMPRODUCT(($Q$12:$AA$12&lt;&gt;"")*ROUND($Q145:$AA145,15-13*ORÇAMENTO!$AF$7))))</f>
        <v>0.6</v>
      </c>
      <c r="I145" s="561"/>
      <c r="K145" s="174"/>
      <c r="L145" s="175" t="s">
        <v>255</v>
      </c>
      <c r="M145" s="176">
        <f ca="1">IF($D145&lt;&gt;"Serviço","",IF(AUTOEVENTO="manual",$A145,IF(ISERROR(MATCH($A145,$A$15:OFFSET($A145,-1,0),0)),MAX($M$15:OFFSET(M145,-1,0))+1,INDEX($M$15:OFFSET(M145,-1,0),MATCH($A145,$A$15:OFFSET($A145,-1,0),0)))))</f>
        <v>7</v>
      </c>
      <c r="N145" s="177" t="str">
        <f ca="1">IF($D145&lt;&gt;"Serviço","",IF(AUTOEVENTO="Manual",IF($A145=0,"&lt;-- defina o número do agrupador",OFFSET(EVENTOS!$D$14,$A145,0)),OFFSET($F$15,$A145,0)))</f>
        <v>SANITÁRIO PÚBLICO ACESSÍVEL</v>
      </c>
      <c r="O145" s="178"/>
      <c r="Q145" s="178"/>
      <c r="R145" s="179"/>
      <c r="S145" s="179"/>
      <c r="T145" s="179"/>
      <c r="U145" s="179"/>
      <c r="V145" s="179"/>
      <c r="W145" s="179"/>
      <c r="X145" s="179"/>
      <c r="Y145" s="179"/>
      <c r="Z145" s="180"/>
      <c r="AB145" s="544">
        <f ca="1">IF(AND($D145="Serviço",AB$12&lt;&gt;0,$H145&gt;0,OR(AUTOEVENTO&lt;&gt;"manual",$M145&lt;&gt;1)),
IF(Import.TipoArredondamento&lt;&gt;"TransfereGOV",
ROUND(OFFSET($P145,0,AB$13),15-13*ORÇAMENTO!$AF$7)/$H145*OFFSET(ORÇAMENTO!$X$15,ROW(AB145)-ROW(AB$15),0),
ROUND(ROUND(OFFSET($P145,0,AB$13),15-13*ORÇAMENTO!$AF$7)*OFFSET(ORÇAMENTO!$W$15,ROW(AB145)-ROW(AB$15),0),15-13*ORÇAMENTO!$AF$11)),0)</f>
        <v>0</v>
      </c>
      <c r="AC145" s="545">
        <f ca="1">IF(AND($D145="Serviço",AC$12&lt;&gt;0,$H145&gt;0,OR(AUTOEVENTO&lt;&gt;"manual",$M145&lt;&gt;1)),
IF(Import.TipoArredondamento&lt;&gt;"TransfereGOV",
ROUND(OFFSET($P145,0,AC$13),15-13*ORÇAMENTO!$AF$7)/$H145*OFFSET(ORÇAMENTO!$X$15,ROW(AC145)-ROW(AC$15),0),
ROUND(ROUND(OFFSET($P145,0,AC$13),15-13*ORÇAMENTO!$AF$7)*OFFSET(ORÇAMENTO!$W$15,ROW(AC145)-ROW(AC$15),0),15-13*ORÇAMENTO!$AF$11)),0)</f>
        <v>0</v>
      </c>
      <c r="AD145" s="545">
        <f ca="1">IF(AND($D145="Serviço",AD$12&lt;&gt;0,$H145&gt;0,OR(AUTOEVENTO&lt;&gt;"manual",$M145&lt;&gt;1)),
IF(Import.TipoArredondamento&lt;&gt;"TransfereGOV",
ROUND(OFFSET($P145,0,AD$13),15-13*ORÇAMENTO!$AF$7)/$H145*OFFSET(ORÇAMENTO!$X$15,ROW(AD145)-ROW(AD$15),0),
ROUND(ROUND(OFFSET($P145,0,AD$13),15-13*ORÇAMENTO!$AF$7)*OFFSET(ORÇAMENTO!$W$15,ROW(AD145)-ROW(AD$15),0),15-13*ORÇAMENTO!$AF$11)),0)</f>
        <v>0</v>
      </c>
      <c r="AE145" s="545">
        <f ca="1">IF(AND($D145="Serviço",AE$12&lt;&gt;0,$H145&gt;0,OR(AUTOEVENTO&lt;&gt;"manual",$M145&lt;&gt;1)),
IF(Import.TipoArredondamento&lt;&gt;"TransfereGOV",
ROUND(OFFSET($P145,0,AE$13),15-13*ORÇAMENTO!$AF$7)/$H145*OFFSET(ORÇAMENTO!$X$15,ROW(AE145)-ROW(AE$15),0),
ROUND(ROUND(OFFSET($P145,0,AE$13),15-13*ORÇAMENTO!$AF$7)*OFFSET(ORÇAMENTO!$W$15,ROW(AE145)-ROW(AE$15),0),15-13*ORÇAMENTO!$AF$11)),0)</f>
        <v>0</v>
      </c>
      <c r="AF145" s="545">
        <f ca="1">IF(AND($D145="Serviço",AF$12&lt;&gt;0,$H145&gt;0,OR(AUTOEVENTO&lt;&gt;"manual",$M145&lt;&gt;1)),
IF(Import.TipoArredondamento&lt;&gt;"TransfereGOV",
ROUND(OFFSET($P145,0,AF$13),15-13*ORÇAMENTO!$AF$7)/$H145*OFFSET(ORÇAMENTO!$X$15,ROW(AF145)-ROW(AF$15),0),
ROUND(ROUND(OFFSET($P145,0,AF$13),15-13*ORÇAMENTO!$AF$7)*OFFSET(ORÇAMENTO!$W$15,ROW(AF145)-ROW(AF$15),0),15-13*ORÇAMENTO!$AF$11)),0)</f>
        <v>0</v>
      </c>
      <c r="AG145" s="545">
        <f ca="1">IF(AND($D145="Serviço",AG$12&lt;&gt;0,$H145&gt;0,OR(AUTOEVENTO&lt;&gt;"manual",$M145&lt;&gt;1)),
IF(Import.TipoArredondamento&lt;&gt;"TransfereGOV",
ROUND(OFFSET($P145,0,AG$13),15-13*ORÇAMENTO!$AF$7)/$H145*OFFSET(ORÇAMENTO!$X$15,ROW(AG145)-ROW(AG$15),0),
ROUND(ROUND(OFFSET($P145,0,AG$13),15-13*ORÇAMENTO!$AF$7)*OFFSET(ORÇAMENTO!$W$15,ROW(AG145)-ROW(AG$15),0),15-13*ORÇAMENTO!$AF$11)),0)</f>
        <v>0</v>
      </c>
      <c r="AH145" s="545">
        <f ca="1">IF(AND($D145="Serviço",AH$12&lt;&gt;0,$H145&gt;0,OR(AUTOEVENTO&lt;&gt;"manual",$M145&lt;&gt;1)),
IF(Import.TipoArredondamento&lt;&gt;"TransfereGOV",
ROUND(OFFSET($P145,0,AH$13),15-13*ORÇAMENTO!$AF$7)/$H145*OFFSET(ORÇAMENTO!$X$15,ROW(AH145)-ROW(AH$15),0),
ROUND(ROUND(OFFSET($P145,0,AH$13),15-13*ORÇAMENTO!$AF$7)*OFFSET(ORÇAMENTO!$W$15,ROW(AH145)-ROW(AH$15),0),15-13*ORÇAMENTO!$AF$11)),0)</f>
        <v>0</v>
      </c>
      <c r="AI145" s="545">
        <f ca="1">IF(AND($D145="Serviço",AI$12&lt;&gt;0,$H145&gt;0,OR(AUTOEVENTO&lt;&gt;"manual",$M145&lt;&gt;1)),
IF(Import.TipoArredondamento&lt;&gt;"TransfereGOV",
ROUND(OFFSET($P145,0,AI$13),15-13*ORÇAMENTO!$AF$7)/$H145*OFFSET(ORÇAMENTO!$X$15,ROW(AI145)-ROW(AI$15),0),
ROUND(ROUND(OFFSET($P145,0,AI$13),15-13*ORÇAMENTO!$AF$7)*OFFSET(ORÇAMENTO!$W$15,ROW(AI145)-ROW(AI$15),0),15-13*ORÇAMENTO!$AF$11)),0)</f>
        <v>0</v>
      </c>
      <c r="AJ145" s="545">
        <f ca="1">IF(AND($D145="Serviço",AJ$12&lt;&gt;0,$H145&gt;0,OR(AUTOEVENTO&lt;&gt;"manual",$M145&lt;&gt;1)),
IF(Import.TipoArredondamento&lt;&gt;"TransfereGOV",
ROUND(OFFSET($P145,0,AJ$13),15-13*ORÇAMENTO!$AF$7)/$H145*OFFSET(ORÇAMENTO!$X$15,ROW(AJ145)-ROW(AJ$15),0),
ROUND(ROUND(OFFSET($P145,0,AJ$13),15-13*ORÇAMENTO!$AF$7)*OFFSET(ORÇAMENTO!$W$15,ROW(AJ145)-ROW(AJ$15),0),15-13*ORÇAMENTO!$AF$11)),0)</f>
        <v>0</v>
      </c>
      <c r="AK145" s="546">
        <f ca="1">IF(AND($D145="Serviço",AK$12&lt;&gt;0,$H145&gt;0,OR(AUTOEVENTO&lt;&gt;"manual",$M145&lt;&gt;1)),
IF(Import.TipoArredondamento&lt;&gt;"TransfereGOV",
ROUND(OFFSET($P145,0,AK$13),15-13*ORÇAMENTO!$AF$7)/$H145*OFFSET(ORÇAMENTO!$X$15,ROW(AK145)-ROW(AK$15),0),
ROUND(ROUND(OFFSET($P145,0,AK$13),15-13*ORÇAMENTO!$AF$7)*OFFSET(ORÇAMENTO!$W$15,ROW(AK145)-ROW(AK$15),0),15-13*ORÇAMENTO!$AF$11)),0)</f>
        <v>0</v>
      </c>
      <c r="AM145" s="181">
        <f ca="1">IF($D145&lt;&gt;"Serviço",0,IF(AND(AUTOEVENTO="Manual",$M145=1),0,IF(OFFSET(CRONOPLE!$F$14,$M145,AM$13)="",10^12,OFFSET(CRONOPLE!$F$14,$M145,AM$13))))</f>
        <v>1000000000000</v>
      </c>
      <c r="AN145" s="181">
        <f ca="1">IF($D145&lt;&gt;"Serviço",0,IF(AND(AUTOEVENTO="Manual",$M145=1),0,IF(OFFSET(CRONOPLE!$F$14,$M145,AN$13)="",10^12,OFFSET(CRONOPLE!$F$14,$M145,AN$13))))</f>
        <v>1000000000000</v>
      </c>
      <c r="AO145" s="181">
        <f ca="1">IF($D145&lt;&gt;"Serviço",0,IF(AND(AUTOEVENTO="Manual",$M145=1),0,IF(OFFSET(CRONOPLE!$F$14,$M145,AO$13)="",10^12,OFFSET(CRONOPLE!$F$14,$M145,AO$13))))</f>
        <v>1000000000000</v>
      </c>
      <c r="AP145" s="181">
        <f ca="1">IF($D145&lt;&gt;"Serviço",0,IF(AND(AUTOEVENTO="Manual",$M145=1),0,IF(OFFSET(CRONOPLE!$F$14,$M145,AP$13)="",10^12,OFFSET(CRONOPLE!$F$14,$M145,AP$13))))</f>
        <v>1000000000000</v>
      </c>
      <c r="AQ145" s="181">
        <f ca="1">IF($D145&lt;&gt;"Serviço",0,IF(AND(AUTOEVENTO="Manual",$M145=1),0,IF(OFFSET(CRONOPLE!$F$14,$M145,AQ$13)="",10^12,OFFSET(CRONOPLE!$F$14,$M145,AQ$13))))</f>
        <v>1000000000000</v>
      </c>
      <c r="AR145" s="181">
        <f ca="1">IF($D145&lt;&gt;"Serviço",0,IF(AND(AUTOEVENTO="Manual",$M145=1),0,IF(OFFSET(CRONOPLE!$F$14,$M145,AR$13)="",10^12,OFFSET(CRONOPLE!$F$14,$M145,AR$13))))</f>
        <v>1000000000000</v>
      </c>
      <c r="AS145" s="181">
        <f ca="1">IF($D145&lt;&gt;"Serviço",0,IF(AND(AUTOEVENTO="Manual",$M145=1),0,IF(OFFSET(CRONOPLE!$F$14,$M145,AS$13)="",10^12,OFFSET(CRONOPLE!$F$14,$M145,AS$13))))</f>
        <v>1000000000000</v>
      </c>
      <c r="AT145" s="181">
        <f ca="1">IF($D145&lt;&gt;"Serviço",0,IF(AND(AUTOEVENTO="Manual",$M145=1),0,IF(OFFSET(CRONOPLE!$F$14,$M145,AT$13)="",10^12,OFFSET(CRONOPLE!$F$14,$M145,AT$13))))</f>
        <v>1000000000000</v>
      </c>
      <c r="AU145" s="181">
        <f ca="1">IF($D145&lt;&gt;"Serviço",0,IF(AND(AUTOEVENTO="Manual",$M145=1),0,IF(OFFSET(CRONOPLE!$F$14,$M145,AU$13)="",10^12,OFFSET(CRONOPLE!$F$14,$M145,AU$13))))</f>
        <v>1000000000000</v>
      </c>
      <c r="AV145" s="181">
        <f ca="1">IF($D145&lt;&gt;"Serviço",0,IF(AND(AUTOEVENTO="Manual",$M145=1),0,IF(OFFSET(CRONOPLE!$F$14,$M145,AV$13)="",10^12,OFFSET(CRONOPLE!$F$14,$M145,AV$13))))</f>
        <v>1000000000000</v>
      </c>
      <c r="AX145" s="182">
        <f ca="1">IF($D145&lt;&gt;"Serviço",0,IF(OR(AND(AUTOEVENTO="Manual",$M145=1),$M145&gt;(ROW(PLE.lastrow)-ROW(PLE.firstrow))),0,IF(OFFSET(PLE!$G$14,$M145,AX$13)="",10^12,OFFSET(PLE!$G$14,$M145,AX$13))))</f>
        <v>1000000000000</v>
      </c>
      <c r="AY145" s="182">
        <f ca="1">IF($D145&lt;&gt;"Serviço",0,IF(OR(AND(AUTOEVENTO="Manual",$M145=1),$M145&gt;(ROW(PLE.lastrow)-ROW(PLE.firstrow))),0,IF(OFFSET(PLE!$G$14,$M145,AY$13)="",10^12,OFFSET(PLE!$G$14,$M145,AY$13))))</f>
        <v>1000000000000</v>
      </c>
      <c r="AZ145" s="182">
        <f ca="1">IF($D145&lt;&gt;"Serviço",0,IF(OR(AND(AUTOEVENTO="Manual",$M145=1),$M145&gt;(ROW(PLE.lastrow)-ROW(PLE.firstrow))),0,IF(OFFSET(PLE!$G$14,$M145,AZ$13)="",10^12,OFFSET(PLE!$G$14,$M145,AZ$13))))</f>
        <v>1000000000000</v>
      </c>
      <c r="BA145" s="182">
        <f ca="1">IF($D145&lt;&gt;"Serviço",0,IF(OR(AND(AUTOEVENTO="Manual",$M145=1),$M145&gt;(ROW(PLE.lastrow)-ROW(PLE.firstrow))),0,IF(OFFSET(PLE!$G$14,$M145,BA$13)="",10^12,OFFSET(PLE!$G$14,$M145,BA$13))))</f>
        <v>1000000000000</v>
      </c>
      <c r="BB145" s="182">
        <f ca="1">IF($D145&lt;&gt;"Serviço",0,IF(OR(AND(AUTOEVENTO="Manual",$M145=1),$M145&gt;(ROW(PLE.lastrow)-ROW(PLE.firstrow))),0,IF(OFFSET(PLE!$G$14,$M145,BB$13)="",10^12,OFFSET(PLE!$G$14,$M145,BB$13))))</f>
        <v>1000000000000</v>
      </c>
      <c r="BC145" s="182">
        <f ca="1">IF($D145&lt;&gt;"Serviço",0,IF(OR(AND(AUTOEVENTO="Manual",$M145=1),$M145&gt;(ROW(PLE.lastrow)-ROW(PLE.firstrow))),0,IF(OFFSET(PLE!$G$14,$M145,BC$13)="",10^12,OFFSET(PLE!$G$14,$M145,BC$13))))</f>
        <v>1000000000000</v>
      </c>
      <c r="BD145" s="182">
        <f ca="1">IF($D145&lt;&gt;"Serviço",0,IF(OR(AND(AUTOEVENTO="Manual",$M145=1),$M145&gt;(ROW(PLE.lastrow)-ROW(PLE.firstrow))),0,IF(OFFSET(PLE!$G$14,$M145,BD$13)="",10^12,OFFSET(PLE!$G$14,$M145,BD$13))))</f>
        <v>1000000000000</v>
      </c>
      <c r="BE145" s="182">
        <f ca="1">IF($D145&lt;&gt;"Serviço",0,IF(OR(AND(AUTOEVENTO="Manual",$M145=1),$M145&gt;(ROW(PLE.lastrow)-ROW(PLE.firstrow))),0,IF(OFFSET(PLE!$G$14,$M145,BE$13)="",10^12,OFFSET(PLE!$G$14,$M145,BE$13))))</f>
        <v>1000000000000</v>
      </c>
      <c r="BF145" s="182">
        <f ca="1">IF($D145&lt;&gt;"Serviço",0,IF(OR(AND(AUTOEVENTO="Manual",$M145=1),$M145&gt;(ROW(PLE.lastrow)-ROW(PLE.firstrow))),0,IF(OFFSET(PLE!$G$14,$M145,BF$13)="",10^12,OFFSET(PLE!$G$14,$M145,BF$13))))</f>
        <v>1000000000000</v>
      </c>
      <c r="BG145" s="182">
        <f ca="1">IF($D145&lt;&gt;"Serviço",0,IF(OR(AND(AUTOEVENTO="Manual",$M145=1),$M145&gt;(ROW(PLE.lastrow)-ROW(PLE.firstrow))),0,IF(OFFSET(PLE!$G$14,$M145,BG$13)="",10^12,OFFSET(PLE!$G$14,$M145,BG$13))))</f>
        <v>1000000000000</v>
      </c>
    </row>
    <row r="146" spans="1:59" ht="38.25" x14ac:dyDescent="0.2">
      <c r="A146" s="7" t="str">
        <f t="shared" ca="1" si="9"/>
        <v>71</v>
      </c>
      <c r="B146" s="7" t="str">
        <f ca="1">OFFSET(ORÇAMENTO!C$15,ROW(B146)-ROW(B$15),0)</f>
        <v>S</v>
      </c>
      <c r="C146" s="7" t="str">
        <f ca="1">OFFSET(ORÇAMENTO!L$15,ROW(C146)-ROW(C$15),0)</f>
        <v>F</v>
      </c>
      <c r="D146" s="118" t="str">
        <f ca="1">OFFSET(ORÇAMENTO!N$15,ROW(D146)-ROW(D$15),0)</f>
        <v>Serviço</v>
      </c>
      <c r="E146" s="119" t="str">
        <f ca="1">OFFSET(ORÇAMENTO!O$15,ROW(E146)-ROW(E$15),0)</f>
        <v>1.6.13.2.</v>
      </c>
      <c r="F146" s="172" t="str">
        <f ca="1">OFFSET(ORÇAMENTO!R$15,ROW(F146)-ROW(F$15),0)</f>
        <v>(abra o arquivo 'Referência 03-2024.xlsm)</v>
      </c>
      <c r="G146" s="173" t="str">
        <f ca="1">IF($D146&lt;&gt;"Serviço","",OFFSET(ORÇAMENTO!S$15,ROW(G146)-ROW(G$15),0))</f>
        <v>-</v>
      </c>
      <c r="H146" s="124">
        <f ca="1">IF($D146&lt;&gt;"Serviço",0,IF(ACOMPANHAMENTO="BM",ROUND(OFFSET(ORÇAMENTO!AJ$15,ROW(H146)-ROW(H$15),0),15-13*ORÇAMENTO!$AF$7),SUMPRODUCT(($Q$12:$AA$12&lt;&gt;"")*ROUND($Q146:$AA146,15-13*ORÇAMENTO!$AF$7))))</f>
        <v>10.53</v>
      </c>
      <c r="I146" s="561"/>
      <c r="K146" s="174"/>
      <c r="L146" s="175" t="s">
        <v>255</v>
      </c>
      <c r="M146" s="176">
        <f ca="1">IF($D146&lt;&gt;"Serviço","",IF(AUTOEVENTO="manual",$A146,IF(ISERROR(MATCH($A146,$A$15:OFFSET($A146,-1,0),0)),MAX($M$15:OFFSET(M146,-1,0))+1,INDEX($M$15:OFFSET(M146,-1,0),MATCH($A146,$A$15:OFFSET($A146,-1,0),0)))))</f>
        <v>7</v>
      </c>
      <c r="N146" s="177" t="str">
        <f ca="1">IF($D146&lt;&gt;"Serviço","",IF(AUTOEVENTO="Manual",IF($A146=0,"&lt;-- defina o número do agrupador",OFFSET(EVENTOS!$D$14,$A146,0)),OFFSET($F$15,$A146,0)))</f>
        <v>SANITÁRIO PÚBLICO ACESSÍVEL</v>
      </c>
      <c r="O146" s="178"/>
      <c r="Q146" s="178"/>
      <c r="R146" s="179"/>
      <c r="S146" s="179"/>
      <c r="T146" s="179"/>
      <c r="U146" s="179"/>
      <c r="V146" s="179"/>
      <c r="W146" s="179"/>
      <c r="X146" s="179"/>
      <c r="Y146" s="179"/>
      <c r="Z146" s="180"/>
      <c r="AB146" s="544">
        <f ca="1">IF(AND($D146="Serviço",AB$12&lt;&gt;0,$H146&gt;0,OR(AUTOEVENTO&lt;&gt;"manual",$M146&lt;&gt;1)),
IF(Import.TipoArredondamento&lt;&gt;"TransfereGOV",
ROUND(OFFSET($P146,0,AB$13),15-13*ORÇAMENTO!$AF$7)/$H146*OFFSET(ORÇAMENTO!$X$15,ROW(AB146)-ROW(AB$15),0),
ROUND(ROUND(OFFSET($P146,0,AB$13),15-13*ORÇAMENTO!$AF$7)*OFFSET(ORÇAMENTO!$W$15,ROW(AB146)-ROW(AB$15),0),15-13*ORÇAMENTO!$AF$11)),0)</f>
        <v>0</v>
      </c>
      <c r="AC146" s="545">
        <f ca="1">IF(AND($D146="Serviço",AC$12&lt;&gt;0,$H146&gt;0,OR(AUTOEVENTO&lt;&gt;"manual",$M146&lt;&gt;1)),
IF(Import.TipoArredondamento&lt;&gt;"TransfereGOV",
ROUND(OFFSET($P146,0,AC$13),15-13*ORÇAMENTO!$AF$7)/$H146*OFFSET(ORÇAMENTO!$X$15,ROW(AC146)-ROW(AC$15),0),
ROUND(ROUND(OFFSET($P146,0,AC$13),15-13*ORÇAMENTO!$AF$7)*OFFSET(ORÇAMENTO!$W$15,ROW(AC146)-ROW(AC$15),0),15-13*ORÇAMENTO!$AF$11)),0)</f>
        <v>0</v>
      </c>
      <c r="AD146" s="545">
        <f ca="1">IF(AND($D146="Serviço",AD$12&lt;&gt;0,$H146&gt;0,OR(AUTOEVENTO&lt;&gt;"manual",$M146&lt;&gt;1)),
IF(Import.TipoArredondamento&lt;&gt;"TransfereGOV",
ROUND(OFFSET($P146,0,AD$13),15-13*ORÇAMENTO!$AF$7)/$H146*OFFSET(ORÇAMENTO!$X$15,ROW(AD146)-ROW(AD$15),0),
ROUND(ROUND(OFFSET($P146,0,AD$13),15-13*ORÇAMENTO!$AF$7)*OFFSET(ORÇAMENTO!$W$15,ROW(AD146)-ROW(AD$15),0),15-13*ORÇAMENTO!$AF$11)),0)</f>
        <v>0</v>
      </c>
      <c r="AE146" s="545">
        <f ca="1">IF(AND($D146="Serviço",AE$12&lt;&gt;0,$H146&gt;0,OR(AUTOEVENTO&lt;&gt;"manual",$M146&lt;&gt;1)),
IF(Import.TipoArredondamento&lt;&gt;"TransfereGOV",
ROUND(OFFSET($P146,0,AE$13),15-13*ORÇAMENTO!$AF$7)/$H146*OFFSET(ORÇAMENTO!$X$15,ROW(AE146)-ROW(AE$15),0),
ROUND(ROUND(OFFSET($P146,0,AE$13),15-13*ORÇAMENTO!$AF$7)*OFFSET(ORÇAMENTO!$W$15,ROW(AE146)-ROW(AE$15),0),15-13*ORÇAMENTO!$AF$11)),0)</f>
        <v>0</v>
      </c>
      <c r="AF146" s="545">
        <f ca="1">IF(AND($D146="Serviço",AF$12&lt;&gt;0,$H146&gt;0,OR(AUTOEVENTO&lt;&gt;"manual",$M146&lt;&gt;1)),
IF(Import.TipoArredondamento&lt;&gt;"TransfereGOV",
ROUND(OFFSET($P146,0,AF$13),15-13*ORÇAMENTO!$AF$7)/$H146*OFFSET(ORÇAMENTO!$X$15,ROW(AF146)-ROW(AF$15),0),
ROUND(ROUND(OFFSET($P146,0,AF$13),15-13*ORÇAMENTO!$AF$7)*OFFSET(ORÇAMENTO!$W$15,ROW(AF146)-ROW(AF$15),0),15-13*ORÇAMENTO!$AF$11)),0)</f>
        <v>0</v>
      </c>
      <c r="AG146" s="545">
        <f ca="1">IF(AND($D146="Serviço",AG$12&lt;&gt;0,$H146&gt;0,OR(AUTOEVENTO&lt;&gt;"manual",$M146&lt;&gt;1)),
IF(Import.TipoArredondamento&lt;&gt;"TransfereGOV",
ROUND(OFFSET($P146,0,AG$13),15-13*ORÇAMENTO!$AF$7)/$H146*OFFSET(ORÇAMENTO!$X$15,ROW(AG146)-ROW(AG$15),0),
ROUND(ROUND(OFFSET($P146,0,AG$13),15-13*ORÇAMENTO!$AF$7)*OFFSET(ORÇAMENTO!$W$15,ROW(AG146)-ROW(AG$15),0),15-13*ORÇAMENTO!$AF$11)),0)</f>
        <v>0</v>
      </c>
      <c r="AH146" s="545">
        <f ca="1">IF(AND($D146="Serviço",AH$12&lt;&gt;0,$H146&gt;0,OR(AUTOEVENTO&lt;&gt;"manual",$M146&lt;&gt;1)),
IF(Import.TipoArredondamento&lt;&gt;"TransfereGOV",
ROUND(OFFSET($P146,0,AH$13),15-13*ORÇAMENTO!$AF$7)/$H146*OFFSET(ORÇAMENTO!$X$15,ROW(AH146)-ROW(AH$15),0),
ROUND(ROUND(OFFSET($P146,0,AH$13),15-13*ORÇAMENTO!$AF$7)*OFFSET(ORÇAMENTO!$W$15,ROW(AH146)-ROW(AH$15),0),15-13*ORÇAMENTO!$AF$11)),0)</f>
        <v>0</v>
      </c>
      <c r="AI146" s="545">
        <f ca="1">IF(AND($D146="Serviço",AI$12&lt;&gt;0,$H146&gt;0,OR(AUTOEVENTO&lt;&gt;"manual",$M146&lt;&gt;1)),
IF(Import.TipoArredondamento&lt;&gt;"TransfereGOV",
ROUND(OFFSET($P146,0,AI$13),15-13*ORÇAMENTO!$AF$7)/$H146*OFFSET(ORÇAMENTO!$X$15,ROW(AI146)-ROW(AI$15),0),
ROUND(ROUND(OFFSET($P146,0,AI$13),15-13*ORÇAMENTO!$AF$7)*OFFSET(ORÇAMENTO!$W$15,ROW(AI146)-ROW(AI$15),0),15-13*ORÇAMENTO!$AF$11)),0)</f>
        <v>0</v>
      </c>
      <c r="AJ146" s="545">
        <f ca="1">IF(AND($D146="Serviço",AJ$12&lt;&gt;0,$H146&gt;0,OR(AUTOEVENTO&lt;&gt;"manual",$M146&lt;&gt;1)),
IF(Import.TipoArredondamento&lt;&gt;"TransfereGOV",
ROUND(OFFSET($P146,0,AJ$13),15-13*ORÇAMENTO!$AF$7)/$H146*OFFSET(ORÇAMENTO!$X$15,ROW(AJ146)-ROW(AJ$15),0),
ROUND(ROUND(OFFSET($P146,0,AJ$13),15-13*ORÇAMENTO!$AF$7)*OFFSET(ORÇAMENTO!$W$15,ROW(AJ146)-ROW(AJ$15),0),15-13*ORÇAMENTO!$AF$11)),0)</f>
        <v>0</v>
      </c>
      <c r="AK146" s="546">
        <f ca="1">IF(AND($D146="Serviço",AK$12&lt;&gt;0,$H146&gt;0,OR(AUTOEVENTO&lt;&gt;"manual",$M146&lt;&gt;1)),
IF(Import.TipoArredondamento&lt;&gt;"TransfereGOV",
ROUND(OFFSET($P146,0,AK$13),15-13*ORÇAMENTO!$AF$7)/$H146*OFFSET(ORÇAMENTO!$X$15,ROW(AK146)-ROW(AK$15),0),
ROUND(ROUND(OFFSET($P146,0,AK$13),15-13*ORÇAMENTO!$AF$7)*OFFSET(ORÇAMENTO!$W$15,ROW(AK146)-ROW(AK$15),0),15-13*ORÇAMENTO!$AF$11)),0)</f>
        <v>0</v>
      </c>
      <c r="AM146" s="181">
        <f ca="1">IF($D146&lt;&gt;"Serviço",0,IF(AND(AUTOEVENTO="Manual",$M146=1),0,IF(OFFSET(CRONOPLE!$F$14,$M146,AM$13)="",10^12,OFFSET(CRONOPLE!$F$14,$M146,AM$13))))</f>
        <v>1000000000000</v>
      </c>
      <c r="AN146" s="181">
        <f ca="1">IF($D146&lt;&gt;"Serviço",0,IF(AND(AUTOEVENTO="Manual",$M146=1),0,IF(OFFSET(CRONOPLE!$F$14,$M146,AN$13)="",10^12,OFFSET(CRONOPLE!$F$14,$M146,AN$13))))</f>
        <v>1000000000000</v>
      </c>
      <c r="AO146" s="181">
        <f ca="1">IF($D146&lt;&gt;"Serviço",0,IF(AND(AUTOEVENTO="Manual",$M146=1),0,IF(OFFSET(CRONOPLE!$F$14,$M146,AO$13)="",10^12,OFFSET(CRONOPLE!$F$14,$M146,AO$13))))</f>
        <v>1000000000000</v>
      </c>
      <c r="AP146" s="181">
        <f ca="1">IF($D146&lt;&gt;"Serviço",0,IF(AND(AUTOEVENTO="Manual",$M146=1),0,IF(OFFSET(CRONOPLE!$F$14,$M146,AP$13)="",10^12,OFFSET(CRONOPLE!$F$14,$M146,AP$13))))</f>
        <v>1000000000000</v>
      </c>
      <c r="AQ146" s="181">
        <f ca="1">IF($D146&lt;&gt;"Serviço",0,IF(AND(AUTOEVENTO="Manual",$M146=1),0,IF(OFFSET(CRONOPLE!$F$14,$M146,AQ$13)="",10^12,OFFSET(CRONOPLE!$F$14,$M146,AQ$13))))</f>
        <v>1000000000000</v>
      </c>
      <c r="AR146" s="181">
        <f ca="1">IF($D146&lt;&gt;"Serviço",0,IF(AND(AUTOEVENTO="Manual",$M146=1),0,IF(OFFSET(CRONOPLE!$F$14,$M146,AR$13)="",10^12,OFFSET(CRONOPLE!$F$14,$M146,AR$13))))</f>
        <v>1000000000000</v>
      </c>
      <c r="AS146" s="181">
        <f ca="1">IF($D146&lt;&gt;"Serviço",0,IF(AND(AUTOEVENTO="Manual",$M146=1),0,IF(OFFSET(CRONOPLE!$F$14,$M146,AS$13)="",10^12,OFFSET(CRONOPLE!$F$14,$M146,AS$13))))</f>
        <v>1000000000000</v>
      </c>
      <c r="AT146" s="181">
        <f ca="1">IF($D146&lt;&gt;"Serviço",0,IF(AND(AUTOEVENTO="Manual",$M146=1),0,IF(OFFSET(CRONOPLE!$F$14,$M146,AT$13)="",10^12,OFFSET(CRONOPLE!$F$14,$M146,AT$13))))</f>
        <v>1000000000000</v>
      </c>
      <c r="AU146" s="181">
        <f ca="1">IF($D146&lt;&gt;"Serviço",0,IF(AND(AUTOEVENTO="Manual",$M146=1),0,IF(OFFSET(CRONOPLE!$F$14,$M146,AU$13)="",10^12,OFFSET(CRONOPLE!$F$14,$M146,AU$13))))</f>
        <v>1000000000000</v>
      </c>
      <c r="AV146" s="181">
        <f ca="1">IF($D146&lt;&gt;"Serviço",0,IF(AND(AUTOEVENTO="Manual",$M146=1),0,IF(OFFSET(CRONOPLE!$F$14,$M146,AV$13)="",10^12,OFFSET(CRONOPLE!$F$14,$M146,AV$13))))</f>
        <v>1000000000000</v>
      </c>
      <c r="AX146" s="182">
        <f ca="1">IF($D146&lt;&gt;"Serviço",0,IF(OR(AND(AUTOEVENTO="Manual",$M146=1),$M146&gt;(ROW(PLE.lastrow)-ROW(PLE.firstrow))),0,IF(OFFSET(PLE!$G$14,$M146,AX$13)="",10^12,OFFSET(PLE!$G$14,$M146,AX$13))))</f>
        <v>1000000000000</v>
      </c>
      <c r="AY146" s="182">
        <f ca="1">IF($D146&lt;&gt;"Serviço",0,IF(OR(AND(AUTOEVENTO="Manual",$M146=1),$M146&gt;(ROW(PLE.lastrow)-ROW(PLE.firstrow))),0,IF(OFFSET(PLE!$G$14,$M146,AY$13)="",10^12,OFFSET(PLE!$G$14,$M146,AY$13))))</f>
        <v>1000000000000</v>
      </c>
      <c r="AZ146" s="182">
        <f ca="1">IF($D146&lt;&gt;"Serviço",0,IF(OR(AND(AUTOEVENTO="Manual",$M146=1),$M146&gt;(ROW(PLE.lastrow)-ROW(PLE.firstrow))),0,IF(OFFSET(PLE!$G$14,$M146,AZ$13)="",10^12,OFFSET(PLE!$G$14,$M146,AZ$13))))</f>
        <v>1000000000000</v>
      </c>
      <c r="BA146" s="182">
        <f ca="1">IF($D146&lt;&gt;"Serviço",0,IF(OR(AND(AUTOEVENTO="Manual",$M146=1),$M146&gt;(ROW(PLE.lastrow)-ROW(PLE.firstrow))),0,IF(OFFSET(PLE!$G$14,$M146,BA$13)="",10^12,OFFSET(PLE!$G$14,$M146,BA$13))))</f>
        <v>1000000000000</v>
      </c>
      <c r="BB146" s="182">
        <f ca="1">IF($D146&lt;&gt;"Serviço",0,IF(OR(AND(AUTOEVENTO="Manual",$M146=1),$M146&gt;(ROW(PLE.lastrow)-ROW(PLE.firstrow))),0,IF(OFFSET(PLE!$G$14,$M146,BB$13)="",10^12,OFFSET(PLE!$G$14,$M146,BB$13))))</f>
        <v>1000000000000</v>
      </c>
      <c r="BC146" s="182">
        <f ca="1">IF($D146&lt;&gt;"Serviço",0,IF(OR(AND(AUTOEVENTO="Manual",$M146=1),$M146&gt;(ROW(PLE.lastrow)-ROW(PLE.firstrow))),0,IF(OFFSET(PLE!$G$14,$M146,BC$13)="",10^12,OFFSET(PLE!$G$14,$M146,BC$13))))</f>
        <v>1000000000000</v>
      </c>
      <c r="BD146" s="182">
        <f ca="1">IF($D146&lt;&gt;"Serviço",0,IF(OR(AND(AUTOEVENTO="Manual",$M146=1),$M146&gt;(ROW(PLE.lastrow)-ROW(PLE.firstrow))),0,IF(OFFSET(PLE!$G$14,$M146,BD$13)="",10^12,OFFSET(PLE!$G$14,$M146,BD$13))))</f>
        <v>1000000000000</v>
      </c>
      <c r="BE146" s="182">
        <f ca="1">IF($D146&lt;&gt;"Serviço",0,IF(OR(AND(AUTOEVENTO="Manual",$M146=1),$M146&gt;(ROW(PLE.lastrow)-ROW(PLE.firstrow))),0,IF(OFFSET(PLE!$G$14,$M146,BE$13)="",10^12,OFFSET(PLE!$G$14,$M146,BE$13))))</f>
        <v>1000000000000</v>
      </c>
      <c r="BF146" s="182">
        <f ca="1">IF($D146&lt;&gt;"Serviço",0,IF(OR(AND(AUTOEVENTO="Manual",$M146=1),$M146&gt;(ROW(PLE.lastrow)-ROW(PLE.firstrow))),0,IF(OFFSET(PLE!$G$14,$M146,BF$13)="",10^12,OFFSET(PLE!$G$14,$M146,BF$13))))</f>
        <v>1000000000000</v>
      </c>
      <c r="BG146" s="182">
        <f ca="1">IF($D146&lt;&gt;"Serviço",0,IF(OR(AND(AUTOEVENTO="Manual",$M146=1),$M146&gt;(ROW(PLE.lastrow)-ROW(PLE.firstrow))),0,IF(OFFSET(PLE!$G$14,$M146,BG$13)="",10^12,OFFSET(PLE!$G$14,$M146,BG$13))))</f>
        <v>1000000000000</v>
      </c>
    </row>
    <row r="147" spans="1:59" ht="51" x14ac:dyDescent="0.2">
      <c r="A147" s="7" t="str">
        <f t="shared" ca="1" si="9"/>
        <v>71</v>
      </c>
      <c r="B147" s="7" t="str">
        <f ca="1">OFFSET(ORÇAMENTO!C$15,ROW(B147)-ROW(B$15),0)</f>
        <v>S</v>
      </c>
      <c r="C147" s="7" t="str">
        <f ca="1">OFFSET(ORÇAMENTO!L$15,ROW(C147)-ROW(C$15),0)</f>
        <v>F</v>
      </c>
      <c r="D147" s="118" t="str">
        <f ca="1">OFFSET(ORÇAMENTO!N$15,ROW(D147)-ROW(D$15),0)</f>
        <v>Serviço</v>
      </c>
      <c r="E147" s="119" t="str">
        <f ca="1">OFFSET(ORÇAMENTO!O$15,ROW(E147)-ROW(E$15),0)</f>
        <v>1.6.13.3.</v>
      </c>
      <c r="F147" s="172" t="str">
        <f ca="1">OFFSET(ORÇAMENTO!R$15,ROW(F147)-ROW(F$15),0)</f>
        <v>(abra o arquivo 'Referência 03-2024.xlsm)</v>
      </c>
      <c r="G147" s="173" t="str">
        <f ca="1">IF($D147&lt;&gt;"Serviço","",OFFSET(ORÇAMENTO!S$15,ROW(G147)-ROW(G$15),0))</f>
        <v>-</v>
      </c>
      <c r="H147" s="124">
        <f ca="1">IF($D147&lt;&gt;"Serviço",0,IF(ACOMPANHAMENTO="BM",ROUND(OFFSET(ORÇAMENTO!AJ$15,ROW(H147)-ROW(H$15),0),15-13*ORÇAMENTO!$AF$7),SUMPRODUCT(($Q$12:$AA$12&lt;&gt;"")*ROUND($Q147:$AA147,15-13*ORÇAMENTO!$AF$7))))</f>
        <v>10.53</v>
      </c>
      <c r="I147" s="561"/>
      <c r="K147" s="174"/>
      <c r="L147" s="175" t="s">
        <v>255</v>
      </c>
      <c r="M147" s="176">
        <f ca="1">IF($D147&lt;&gt;"Serviço","",IF(AUTOEVENTO="manual",$A147,IF(ISERROR(MATCH($A147,$A$15:OFFSET($A147,-1,0),0)),MAX($M$15:OFFSET(M147,-1,0))+1,INDEX($M$15:OFFSET(M147,-1,0),MATCH($A147,$A$15:OFFSET($A147,-1,0),0)))))</f>
        <v>7</v>
      </c>
      <c r="N147" s="177" t="str">
        <f ca="1">IF($D147&lt;&gt;"Serviço","",IF(AUTOEVENTO="Manual",IF($A147=0,"&lt;-- defina o número do agrupador",OFFSET(EVENTOS!$D$14,$A147,0)),OFFSET($F$15,$A147,0)))</f>
        <v>SANITÁRIO PÚBLICO ACESSÍVEL</v>
      </c>
      <c r="O147" s="178"/>
      <c r="Q147" s="178"/>
      <c r="R147" s="179"/>
      <c r="S147" s="179"/>
      <c r="T147" s="179"/>
      <c r="U147" s="179"/>
      <c r="V147" s="179"/>
      <c r="W147" s="179"/>
      <c r="X147" s="179"/>
      <c r="Y147" s="179"/>
      <c r="Z147" s="180"/>
      <c r="AB147" s="544">
        <f ca="1">IF(AND($D147="Serviço",AB$12&lt;&gt;0,$H147&gt;0,OR(AUTOEVENTO&lt;&gt;"manual",$M147&lt;&gt;1)),
IF(Import.TipoArredondamento&lt;&gt;"TransfereGOV",
ROUND(OFFSET($P147,0,AB$13),15-13*ORÇAMENTO!$AF$7)/$H147*OFFSET(ORÇAMENTO!$X$15,ROW(AB147)-ROW(AB$15),0),
ROUND(ROUND(OFFSET($P147,0,AB$13),15-13*ORÇAMENTO!$AF$7)*OFFSET(ORÇAMENTO!$W$15,ROW(AB147)-ROW(AB$15),0),15-13*ORÇAMENTO!$AF$11)),0)</f>
        <v>0</v>
      </c>
      <c r="AC147" s="545">
        <f ca="1">IF(AND($D147="Serviço",AC$12&lt;&gt;0,$H147&gt;0,OR(AUTOEVENTO&lt;&gt;"manual",$M147&lt;&gt;1)),
IF(Import.TipoArredondamento&lt;&gt;"TransfereGOV",
ROUND(OFFSET($P147,0,AC$13),15-13*ORÇAMENTO!$AF$7)/$H147*OFFSET(ORÇAMENTO!$X$15,ROW(AC147)-ROW(AC$15),0),
ROUND(ROUND(OFFSET($P147,0,AC$13),15-13*ORÇAMENTO!$AF$7)*OFFSET(ORÇAMENTO!$W$15,ROW(AC147)-ROW(AC$15),0),15-13*ORÇAMENTO!$AF$11)),0)</f>
        <v>0</v>
      </c>
      <c r="AD147" s="545">
        <f ca="1">IF(AND($D147="Serviço",AD$12&lt;&gt;0,$H147&gt;0,OR(AUTOEVENTO&lt;&gt;"manual",$M147&lt;&gt;1)),
IF(Import.TipoArredondamento&lt;&gt;"TransfereGOV",
ROUND(OFFSET($P147,0,AD$13),15-13*ORÇAMENTO!$AF$7)/$H147*OFFSET(ORÇAMENTO!$X$15,ROW(AD147)-ROW(AD$15),0),
ROUND(ROUND(OFFSET($P147,0,AD$13),15-13*ORÇAMENTO!$AF$7)*OFFSET(ORÇAMENTO!$W$15,ROW(AD147)-ROW(AD$15),0),15-13*ORÇAMENTO!$AF$11)),0)</f>
        <v>0</v>
      </c>
      <c r="AE147" s="545">
        <f ca="1">IF(AND($D147="Serviço",AE$12&lt;&gt;0,$H147&gt;0,OR(AUTOEVENTO&lt;&gt;"manual",$M147&lt;&gt;1)),
IF(Import.TipoArredondamento&lt;&gt;"TransfereGOV",
ROUND(OFFSET($P147,0,AE$13),15-13*ORÇAMENTO!$AF$7)/$H147*OFFSET(ORÇAMENTO!$X$15,ROW(AE147)-ROW(AE$15),0),
ROUND(ROUND(OFFSET($P147,0,AE$13),15-13*ORÇAMENTO!$AF$7)*OFFSET(ORÇAMENTO!$W$15,ROW(AE147)-ROW(AE$15),0),15-13*ORÇAMENTO!$AF$11)),0)</f>
        <v>0</v>
      </c>
      <c r="AF147" s="545">
        <f ca="1">IF(AND($D147="Serviço",AF$12&lt;&gt;0,$H147&gt;0,OR(AUTOEVENTO&lt;&gt;"manual",$M147&lt;&gt;1)),
IF(Import.TipoArredondamento&lt;&gt;"TransfereGOV",
ROUND(OFFSET($P147,0,AF$13),15-13*ORÇAMENTO!$AF$7)/$H147*OFFSET(ORÇAMENTO!$X$15,ROW(AF147)-ROW(AF$15),0),
ROUND(ROUND(OFFSET($P147,0,AF$13),15-13*ORÇAMENTO!$AF$7)*OFFSET(ORÇAMENTO!$W$15,ROW(AF147)-ROW(AF$15),0),15-13*ORÇAMENTO!$AF$11)),0)</f>
        <v>0</v>
      </c>
      <c r="AG147" s="545">
        <f ca="1">IF(AND($D147="Serviço",AG$12&lt;&gt;0,$H147&gt;0,OR(AUTOEVENTO&lt;&gt;"manual",$M147&lt;&gt;1)),
IF(Import.TipoArredondamento&lt;&gt;"TransfereGOV",
ROUND(OFFSET($P147,0,AG$13),15-13*ORÇAMENTO!$AF$7)/$H147*OFFSET(ORÇAMENTO!$X$15,ROW(AG147)-ROW(AG$15),0),
ROUND(ROUND(OFFSET($P147,0,AG$13),15-13*ORÇAMENTO!$AF$7)*OFFSET(ORÇAMENTO!$W$15,ROW(AG147)-ROW(AG$15),0),15-13*ORÇAMENTO!$AF$11)),0)</f>
        <v>0</v>
      </c>
      <c r="AH147" s="545">
        <f ca="1">IF(AND($D147="Serviço",AH$12&lt;&gt;0,$H147&gt;0,OR(AUTOEVENTO&lt;&gt;"manual",$M147&lt;&gt;1)),
IF(Import.TipoArredondamento&lt;&gt;"TransfereGOV",
ROUND(OFFSET($P147,0,AH$13),15-13*ORÇAMENTO!$AF$7)/$H147*OFFSET(ORÇAMENTO!$X$15,ROW(AH147)-ROW(AH$15),0),
ROUND(ROUND(OFFSET($P147,0,AH$13),15-13*ORÇAMENTO!$AF$7)*OFFSET(ORÇAMENTO!$W$15,ROW(AH147)-ROW(AH$15),0),15-13*ORÇAMENTO!$AF$11)),0)</f>
        <v>0</v>
      </c>
      <c r="AI147" s="545">
        <f ca="1">IF(AND($D147="Serviço",AI$12&lt;&gt;0,$H147&gt;0,OR(AUTOEVENTO&lt;&gt;"manual",$M147&lt;&gt;1)),
IF(Import.TipoArredondamento&lt;&gt;"TransfereGOV",
ROUND(OFFSET($P147,0,AI$13),15-13*ORÇAMENTO!$AF$7)/$H147*OFFSET(ORÇAMENTO!$X$15,ROW(AI147)-ROW(AI$15),0),
ROUND(ROUND(OFFSET($P147,0,AI$13),15-13*ORÇAMENTO!$AF$7)*OFFSET(ORÇAMENTO!$W$15,ROW(AI147)-ROW(AI$15),0),15-13*ORÇAMENTO!$AF$11)),0)</f>
        <v>0</v>
      </c>
      <c r="AJ147" s="545">
        <f ca="1">IF(AND($D147="Serviço",AJ$12&lt;&gt;0,$H147&gt;0,OR(AUTOEVENTO&lt;&gt;"manual",$M147&lt;&gt;1)),
IF(Import.TipoArredondamento&lt;&gt;"TransfereGOV",
ROUND(OFFSET($P147,0,AJ$13),15-13*ORÇAMENTO!$AF$7)/$H147*OFFSET(ORÇAMENTO!$X$15,ROW(AJ147)-ROW(AJ$15),0),
ROUND(ROUND(OFFSET($P147,0,AJ$13),15-13*ORÇAMENTO!$AF$7)*OFFSET(ORÇAMENTO!$W$15,ROW(AJ147)-ROW(AJ$15),0),15-13*ORÇAMENTO!$AF$11)),0)</f>
        <v>0</v>
      </c>
      <c r="AK147" s="546">
        <f ca="1">IF(AND($D147="Serviço",AK$12&lt;&gt;0,$H147&gt;0,OR(AUTOEVENTO&lt;&gt;"manual",$M147&lt;&gt;1)),
IF(Import.TipoArredondamento&lt;&gt;"TransfereGOV",
ROUND(OFFSET($P147,0,AK$13),15-13*ORÇAMENTO!$AF$7)/$H147*OFFSET(ORÇAMENTO!$X$15,ROW(AK147)-ROW(AK$15),0),
ROUND(ROUND(OFFSET($P147,0,AK$13),15-13*ORÇAMENTO!$AF$7)*OFFSET(ORÇAMENTO!$W$15,ROW(AK147)-ROW(AK$15),0),15-13*ORÇAMENTO!$AF$11)),0)</f>
        <v>0</v>
      </c>
      <c r="AM147" s="181">
        <f ca="1">IF($D147&lt;&gt;"Serviço",0,IF(AND(AUTOEVENTO="Manual",$M147=1),0,IF(OFFSET(CRONOPLE!$F$14,$M147,AM$13)="",10^12,OFFSET(CRONOPLE!$F$14,$M147,AM$13))))</f>
        <v>1000000000000</v>
      </c>
      <c r="AN147" s="181">
        <f ca="1">IF($D147&lt;&gt;"Serviço",0,IF(AND(AUTOEVENTO="Manual",$M147=1),0,IF(OFFSET(CRONOPLE!$F$14,$M147,AN$13)="",10^12,OFFSET(CRONOPLE!$F$14,$M147,AN$13))))</f>
        <v>1000000000000</v>
      </c>
      <c r="AO147" s="181">
        <f ca="1">IF($D147&lt;&gt;"Serviço",0,IF(AND(AUTOEVENTO="Manual",$M147=1),0,IF(OFFSET(CRONOPLE!$F$14,$M147,AO$13)="",10^12,OFFSET(CRONOPLE!$F$14,$M147,AO$13))))</f>
        <v>1000000000000</v>
      </c>
      <c r="AP147" s="181">
        <f ca="1">IF($D147&lt;&gt;"Serviço",0,IF(AND(AUTOEVENTO="Manual",$M147=1),0,IF(OFFSET(CRONOPLE!$F$14,$M147,AP$13)="",10^12,OFFSET(CRONOPLE!$F$14,$M147,AP$13))))</f>
        <v>1000000000000</v>
      </c>
      <c r="AQ147" s="181">
        <f ca="1">IF($D147&lt;&gt;"Serviço",0,IF(AND(AUTOEVENTO="Manual",$M147=1),0,IF(OFFSET(CRONOPLE!$F$14,$M147,AQ$13)="",10^12,OFFSET(CRONOPLE!$F$14,$M147,AQ$13))))</f>
        <v>1000000000000</v>
      </c>
      <c r="AR147" s="181">
        <f ca="1">IF($D147&lt;&gt;"Serviço",0,IF(AND(AUTOEVENTO="Manual",$M147=1),0,IF(OFFSET(CRONOPLE!$F$14,$M147,AR$13)="",10^12,OFFSET(CRONOPLE!$F$14,$M147,AR$13))))</f>
        <v>1000000000000</v>
      </c>
      <c r="AS147" s="181">
        <f ca="1">IF($D147&lt;&gt;"Serviço",0,IF(AND(AUTOEVENTO="Manual",$M147=1),0,IF(OFFSET(CRONOPLE!$F$14,$M147,AS$13)="",10^12,OFFSET(CRONOPLE!$F$14,$M147,AS$13))))</f>
        <v>1000000000000</v>
      </c>
      <c r="AT147" s="181">
        <f ca="1">IF($D147&lt;&gt;"Serviço",0,IF(AND(AUTOEVENTO="Manual",$M147=1),0,IF(OFFSET(CRONOPLE!$F$14,$M147,AT$13)="",10^12,OFFSET(CRONOPLE!$F$14,$M147,AT$13))))</f>
        <v>1000000000000</v>
      </c>
      <c r="AU147" s="181">
        <f ca="1">IF($D147&lt;&gt;"Serviço",0,IF(AND(AUTOEVENTO="Manual",$M147=1),0,IF(OFFSET(CRONOPLE!$F$14,$M147,AU$13)="",10^12,OFFSET(CRONOPLE!$F$14,$M147,AU$13))))</f>
        <v>1000000000000</v>
      </c>
      <c r="AV147" s="181">
        <f ca="1">IF($D147&lt;&gt;"Serviço",0,IF(AND(AUTOEVENTO="Manual",$M147=1),0,IF(OFFSET(CRONOPLE!$F$14,$M147,AV$13)="",10^12,OFFSET(CRONOPLE!$F$14,$M147,AV$13))))</f>
        <v>1000000000000</v>
      </c>
      <c r="AX147" s="182">
        <f ca="1">IF($D147&lt;&gt;"Serviço",0,IF(OR(AND(AUTOEVENTO="Manual",$M147=1),$M147&gt;(ROW(PLE.lastrow)-ROW(PLE.firstrow))),0,IF(OFFSET(PLE!$G$14,$M147,AX$13)="",10^12,OFFSET(PLE!$G$14,$M147,AX$13))))</f>
        <v>1000000000000</v>
      </c>
      <c r="AY147" s="182">
        <f ca="1">IF($D147&lt;&gt;"Serviço",0,IF(OR(AND(AUTOEVENTO="Manual",$M147=1),$M147&gt;(ROW(PLE.lastrow)-ROW(PLE.firstrow))),0,IF(OFFSET(PLE!$G$14,$M147,AY$13)="",10^12,OFFSET(PLE!$G$14,$M147,AY$13))))</f>
        <v>1000000000000</v>
      </c>
      <c r="AZ147" s="182">
        <f ca="1">IF($D147&lt;&gt;"Serviço",0,IF(OR(AND(AUTOEVENTO="Manual",$M147=1),$M147&gt;(ROW(PLE.lastrow)-ROW(PLE.firstrow))),0,IF(OFFSET(PLE!$G$14,$M147,AZ$13)="",10^12,OFFSET(PLE!$G$14,$M147,AZ$13))))</f>
        <v>1000000000000</v>
      </c>
      <c r="BA147" s="182">
        <f ca="1">IF($D147&lt;&gt;"Serviço",0,IF(OR(AND(AUTOEVENTO="Manual",$M147=1),$M147&gt;(ROW(PLE.lastrow)-ROW(PLE.firstrow))),0,IF(OFFSET(PLE!$G$14,$M147,BA$13)="",10^12,OFFSET(PLE!$G$14,$M147,BA$13))))</f>
        <v>1000000000000</v>
      </c>
      <c r="BB147" s="182">
        <f ca="1">IF($D147&lt;&gt;"Serviço",0,IF(OR(AND(AUTOEVENTO="Manual",$M147=1),$M147&gt;(ROW(PLE.lastrow)-ROW(PLE.firstrow))),0,IF(OFFSET(PLE!$G$14,$M147,BB$13)="",10^12,OFFSET(PLE!$G$14,$M147,BB$13))))</f>
        <v>1000000000000</v>
      </c>
      <c r="BC147" s="182">
        <f ca="1">IF($D147&lt;&gt;"Serviço",0,IF(OR(AND(AUTOEVENTO="Manual",$M147=1),$M147&gt;(ROW(PLE.lastrow)-ROW(PLE.firstrow))),0,IF(OFFSET(PLE!$G$14,$M147,BC$13)="",10^12,OFFSET(PLE!$G$14,$M147,BC$13))))</f>
        <v>1000000000000</v>
      </c>
      <c r="BD147" s="182">
        <f ca="1">IF($D147&lt;&gt;"Serviço",0,IF(OR(AND(AUTOEVENTO="Manual",$M147=1),$M147&gt;(ROW(PLE.lastrow)-ROW(PLE.firstrow))),0,IF(OFFSET(PLE!$G$14,$M147,BD$13)="",10^12,OFFSET(PLE!$G$14,$M147,BD$13))))</f>
        <v>1000000000000</v>
      </c>
      <c r="BE147" s="182">
        <f ca="1">IF($D147&lt;&gt;"Serviço",0,IF(OR(AND(AUTOEVENTO="Manual",$M147=1),$M147&gt;(ROW(PLE.lastrow)-ROW(PLE.firstrow))),0,IF(OFFSET(PLE!$G$14,$M147,BE$13)="",10^12,OFFSET(PLE!$G$14,$M147,BE$13))))</f>
        <v>1000000000000</v>
      </c>
      <c r="BF147" s="182">
        <f ca="1">IF($D147&lt;&gt;"Serviço",0,IF(OR(AND(AUTOEVENTO="Manual",$M147=1),$M147&gt;(ROW(PLE.lastrow)-ROW(PLE.firstrow))),0,IF(OFFSET(PLE!$G$14,$M147,BF$13)="",10^12,OFFSET(PLE!$G$14,$M147,BF$13))))</f>
        <v>1000000000000</v>
      </c>
      <c r="BG147" s="182">
        <f ca="1">IF($D147&lt;&gt;"Serviço",0,IF(OR(AND(AUTOEVENTO="Manual",$M147=1),$M147&gt;(ROW(PLE.lastrow)-ROW(PLE.firstrow))),0,IF(OFFSET(PLE!$G$14,$M147,BG$13)="",10^12,OFFSET(PLE!$G$14,$M147,BG$13))))</f>
        <v>1000000000000</v>
      </c>
    </row>
    <row r="148" spans="1:59" ht="25.5" x14ac:dyDescent="0.2">
      <c r="A148" s="7" t="str">
        <f ca="1">IF(AUTOEVENTO="Manual",IF(K148&lt;&gt;"",MIN(VALUE(LEFT(K148,FIND(".",K148)-1)),COUNTA(EVENTOS.Lista)),0),IF(OR($B148&gt;AUTOEVENTO,$B148="S",$B148=0),SUBSTITUTE(OFFSET($A148,-1,0),IF($D148="Serviço",".",""),""),ROW(A148)-ROW($A$15)&amp;"."))</f>
        <v>71</v>
      </c>
      <c r="B148" s="7" t="str">
        <f ca="1">OFFSET(ORÇAMENTO!C$15,ROW(B148)-ROW(B$15),0)</f>
        <v>S</v>
      </c>
      <c r="C148" s="7" t="str">
        <f ca="1">OFFSET(ORÇAMENTO!L$15,ROW(C148)-ROW(C$15),0)</f>
        <v>F</v>
      </c>
      <c r="D148" s="118" t="str">
        <f ca="1">OFFSET(ORÇAMENTO!N$15,ROW(D148)-ROW(D$15),0)</f>
        <v>Serviço</v>
      </c>
      <c r="E148" s="119" t="str">
        <f ca="1">OFFSET(ORÇAMENTO!O$15,ROW(E148)-ROW(E$15),0)</f>
        <v>1.6.13.4.</v>
      </c>
      <c r="F148" s="172" t="str">
        <f ca="1">OFFSET(ORÇAMENTO!R$15,ROW(F148)-ROW(F$15),0)</f>
        <v>(abra o arquivo 'Referência 03-2024.xlsm)</v>
      </c>
      <c r="G148" s="173" t="str">
        <f ca="1">IF($D148&lt;&gt;"Serviço","",OFFSET(ORÇAMENTO!S$15,ROW(G148)-ROW(G$15),0))</f>
        <v>-</v>
      </c>
      <c r="H148" s="124">
        <f ca="1">IF($D148&lt;&gt;"Serviço",0,IF(ACOMPANHAMENTO="BM",ROUND(OFFSET(ORÇAMENTO!AJ$15,ROW(H148)-ROW(H$15),0),15-13*ORÇAMENTO!$AF$7),SUMPRODUCT(($Q$12:$AA$12&lt;&gt;"")*ROUND($Q148:$AA148,15-13*ORÇAMENTO!$AF$7))))</f>
        <v>1.8</v>
      </c>
      <c r="I148" s="561"/>
      <c r="K148" s="174"/>
      <c r="L148" s="175" t="s">
        <v>255</v>
      </c>
      <c r="M148" s="176">
        <f ca="1">IF($D148&lt;&gt;"Serviço","",IF(AUTOEVENTO="manual",$A148,IF(ISERROR(MATCH($A148,$A$15:OFFSET($A148,-1,0),0)),MAX($M$15:OFFSET(M148,-1,0))+1,INDEX($M$15:OFFSET(M148,-1,0),MATCH($A148,$A$15:OFFSET($A148,-1,0),0)))))</f>
        <v>7</v>
      </c>
      <c r="N148" s="177" t="str">
        <f ca="1">IF($D148&lt;&gt;"Serviço","",IF(AUTOEVENTO="Manual",IF($A148=0,"&lt;-- defina o número do agrupador",OFFSET(EVENTOS!$D$14,$A148,0)),OFFSET($F$15,$A148,0)))</f>
        <v>SANITÁRIO PÚBLICO ACESSÍVEL</v>
      </c>
      <c r="O148" s="178"/>
      <c r="Q148" s="178"/>
      <c r="R148" s="179"/>
      <c r="S148" s="179"/>
      <c r="T148" s="179"/>
      <c r="U148" s="179"/>
      <c r="V148" s="179"/>
      <c r="W148" s="179"/>
      <c r="X148" s="179"/>
      <c r="Y148" s="179"/>
      <c r="Z148" s="180"/>
      <c r="AB148" s="544">
        <f ca="1">IF(AND($D148="Serviço",AB$12&lt;&gt;0,$H148&gt;0,OR(AUTOEVENTO&lt;&gt;"manual",$M148&lt;&gt;1)),
IF(Import.TipoArredondamento&lt;&gt;"TransfereGOV",
ROUND(OFFSET($P148,0,AB$13),15-13*ORÇAMENTO!$AF$7)/$H148*OFFSET(ORÇAMENTO!$X$15,ROW(AB148)-ROW(AB$15),0),
ROUND(ROUND(OFFSET($P148,0,AB$13),15-13*ORÇAMENTO!$AF$7)*OFFSET(ORÇAMENTO!$W$15,ROW(AB148)-ROW(AB$15),0),15-13*ORÇAMENTO!$AF$11)),0)</f>
        <v>0</v>
      </c>
      <c r="AC148" s="545">
        <f ca="1">IF(AND($D148="Serviço",AC$12&lt;&gt;0,$H148&gt;0,OR(AUTOEVENTO&lt;&gt;"manual",$M148&lt;&gt;1)),
IF(Import.TipoArredondamento&lt;&gt;"TransfereGOV",
ROUND(OFFSET($P148,0,AC$13),15-13*ORÇAMENTO!$AF$7)/$H148*OFFSET(ORÇAMENTO!$X$15,ROW(AC148)-ROW(AC$15),0),
ROUND(ROUND(OFFSET($P148,0,AC$13),15-13*ORÇAMENTO!$AF$7)*OFFSET(ORÇAMENTO!$W$15,ROW(AC148)-ROW(AC$15),0),15-13*ORÇAMENTO!$AF$11)),0)</f>
        <v>0</v>
      </c>
      <c r="AD148" s="545">
        <f ca="1">IF(AND($D148="Serviço",AD$12&lt;&gt;0,$H148&gt;0,OR(AUTOEVENTO&lt;&gt;"manual",$M148&lt;&gt;1)),
IF(Import.TipoArredondamento&lt;&gt;"TransfereGOV",
ROUND(OFFSET($P148,0,AD$13),15-13*ORÇAMENTO!$AF$7)/$H148*OFFSET(ORÇAMENTO!$X$15,ROW(AD148)-ROW(AD$15),0),
ROUND(ROUND(OFFSET($P148,0,AD$13),15-13*ORÇAMENTO!$AF$7)*OFFSET(ORÇAMENTO!$W$15,ROW(AD148)-ROW(AD$15),0),15-13*ORÇAMENTO!$AF$11)),0)</f>
        <v>0</v>
      </c>
      <c r="AE148" s="545">
        <f ca="1">IF(AND($D148="Serviço",AE$12&lt;&gt;0,$H148&gt;0,OR(AUTOEVENTO&lt;&gt;"manual",$M148&lt;&gt;1)),
IF(Import.TipoArredondamento&lt;&gt;"TransfereGOV",
ROUND(OFFSET($P148,0,AE$13),15-13*ORÇAMENTO!$AF$7)/$H148*OFFSET(ORÇAMENTO!$X$15,ROW(AE148)-ROW(AE$15),0),
ROUND(ROUND(OFFSET($P148,0,AE$13),15-13*ORÇAMENTO!$AF$7)*OFFSET(ORÇAMENTO!$W$15,ROW(AE148)-ROW(AE$15),0),15-13*ORÇAMENTO!$AF$11)),0)</f>
        <v>0</v>
      </c>
      <c r="AF148" s="545">
        <f ca="1">IF(AND($D148="Serviço",AF$12&lt;&gt;0,$H148&gt;0,OR(AUTOEVENTO&lt;&gt;"manual",$M148&lt;&gt;1)),
IF(Import.TipoArredondamento&lt;&gt;"TransfereGOV",
ROUND(OFFSET($P148,0,AF$13),15-13*ORÇAMENTO!$AF$7)/$H148*OFFSET(ORÇAMENTO!$X$15,ROW(AF148)-ROW(AF$15),0),
ROUND(ROUND(OFFSET($P148,0,AF$13),15-13*ORÇAMENTO!$AF$7)*OFFSET(ORÇAMENTO!$W$15,ROW(AF148)-ROW(AF$15),0),15-13*ORÇAMENTO!$AF$11)),0)</f>
        <v>0</v>
      </c>
      <c r="AG148" s="545">
        <f ca="1">IF(AND($D148="Serviço",AG$12&lt;&gt;0,$H148&gt;0,OR(AUTOEVENTO&lt;&gt;"manual",$M148&lt;&gt;1)),
IF(Import.TipoArredondamento&lt;&gt;"TransfereGOV",
ROUND(OFFSET($P148,0,AG$13),15-13*ORÇAMENTO!$AF$7)/$H148*OFFSET(ORÇAMENTO!$X$15,ROW(AG148)-ROW(AG$15),0),
ROUND(ROUND(OFFSET($P148,0,AG$13),15-13*ORÇAMENTO!$AF$7)*OFFSET(ORÇAMENTO!$W$15,ROW(AG148)-ROW(AG$15),0),15-13*ORÇAMENTO!$AF$11)),0)</f>
        <v>0</v>
      </c>
      <c r="AH148" s="545">
        <f ca="1">IF(AND($D148="Serviço",AH$12&lt;&gt;0,$H148&gt;0,OR(AUTOEVENTO&lt;&gt;"manual",$M148&lt;&gt;1)),
IF(Import.TipoArredondamento&lt;&gt;"TransfereGOV",
ROUND(OFFSET($P148,0,AH$13),15-13*ORÇAMENTO!$AF$7)/$H148*OFFSET(ORÇAMENTO!$X$15,ROW(AH148)-ROW(AH$15),0),
ROUND(ROUND(OFFSET($P148,0,AH$13),15-13*ORÇAMENTO!$AF$7)*OFFSET(ORÇAMENTO!$W$15,ROW(AH148)-ROW(AH$15),0),15-13*ORÇAMENTO!$AF$11)),0)</f>
        <v>0</v>
      </c>
      <c r="AI148" s="545">
        <f ca="1">IF(AND($D148="Serviço",AI$12&lt;&gt;0,$H148&gt;0,OR(AUTOEVENTO&lt;&gt;"manual",$M148&lt;&gt;1)),
IF(Import.TipoArredondamento&lt;&gt;"TransfereGOV",
ROUND(OFFSET($P148,0,AI$13),15-13*ORÇAMENTO!$AF$7)/$H148*OFFSET(ORÇAMENTO!$X$15,ROW(AI148)-ROW(AI$15),0),
ROUND(ROUND(OFFSET($P148,0,AI$13),15-13*ORÇAMENTO!$AF$7)*OFFSET(ORÇAMENTO!$W$15,ROW(AI148)-ROW(AI$15),0),15-13*ORÇAMENTO!$AF$11)),0)</f>
        <v>0</v>
      </c>
      <c r="AJ148" s="545">
        <f ca="1">IF(AND($D148="Serviço",AJ$12&lt;&gt;0,$H148&gt;0,OR(AUTOEVENTO&lt;&gt;"manual",$M148&lt;&gt;1)),
IF(Import.TipoArredondamento&lt;&gt;"TransfereGOV",
ROUND(OFFSET($P148,0,AJ$13),15-13*ORÇAMENTO!$AF$7)/$H148*OFFSET(ORÇAMENTO!$X$15,ROW(AJ148)-ROW(AJ$15),0),
ROUND(ROUND(OFFSET($P148,0,AJ$13),15-13*ORÇAMENTO!$AF$7)*OFFSET(ORÇAMENTO!$W$15,ROW(AJ148)-ROW(AJ$15),0),15-13*ORÇAMENTO!$AF$11)),0)</f>
        <v>0</v>
      </c>
      <c r="AK148" s="546">
        <f ca="1">IF(AND($D148="Serviço",AK$12&lt;&gt;0,$H148&gt;0,OR(AUTOEVENTO&lt;&gt;"manual",$M148&lt;&gt;1)),
IF(Import.TipoArredondamento&lt;&gt;"TransfereGOV",
ROUND(OFFSET($P148,0,AK$13),15-13*ORÇAMENTO!$AF$7)/$H148*OFFSET(ORÇAMENTO!$X$15,ROW(AK148)-ROW(AK$15),0),
ROUND(ROUND(OFFSET($P148,0,AK$13),15-13*ORÇAMENTO!$AF$7)*OFFSET(ORÇAMENTO!$W$15,ROW(AK148)-ROW(AK$15),0),15-13*ORÇAMENTO!$AF$11)),0)</f>
        <v>0</v>
      </c>
      <c r="AM148" s="181">
        <f ca="1">IF($D148&lt;&gt;"Serviço",0,IF(AND(AUTOEVENTO="Manual",$M148=1),0,IF(OFFSET(CRONOPLE!$F$14,$M148,AM$13)="",10^12,OFFSET(CRONOPLE!$F$14,$M148,AM$13))))</f>
        <v>1000000000000</v>
      </c>
      <c r="AN148" s="181">
        <f ca="1">IF($D148&lt;&gt;"Serviço",0,IF(AND(AUTOEVENTO="Manual",$M148=1),0,IF(OFFSET(CRONOPLE!$F$14,$M148,AN$13)="",10^12,OFFSET(CRONOPLE!$F$14,$M148,AN$13))))</f>
        <v>1000000000000</v>
      </c>
      <c r="AO148" s="181">
        <f ca="1">IF($D148&lt;&gt;"Serviço",0,IF(AND(AUTOEVENTO="Manual",$M148=1),0,IF(OFFSET(CRONOPLE!$F$14,$M148,AO$13)="",10^12,OFFSET(CRONOPLE!$F$14,$M148,AO$13))))</f>
        <v>1000000000000</v>
      </c>
      <c r="AP148" s="181">
        <f ca="1">IF($D148&lt;&gt;"Serviço",0,IF(AND(AUTOEVENTO="Manual",$M148=1),0,IF(OFFSET(CRONOPLE!$F$14,$M148,AP$13)="",10^12,OFFSET(CRONOPLE!$F$14,$M148,AP$13))))</f>
        <v>1000000000000</v>
      </c>
      <c r="AQ148" s="181">
        <f ca="1">IF($D148&lt;&gt;"Serviço",0,IF(AND(AUTOEVENTO="Manual",$M148=1),0,IF(OFFSET(CRONOPLE!$F$14,$M148,AQ$13)="",10^12,OFFSET(CRONOPLE!$F$14,$M148,AQ$13))))</f>
        <v>1000000000000</v>
      </c>
      <c r="AR148" s="181">
        <f ca="1">IF($D148&lt;&gt;"Serviço",0,IF(AND(AUTOEVENTO="Manual",$M148=1),0,IF(OFFSET(CRONOPLE!$F$14,$M148,AR$13)="",10^12,OFFSET(CRONOPLE!$F$14,$M148,AR$13))))</f>
        <v>1000000000000</v>
      </c>
      <c r="AS148" s="181">
        <f ca="1">IF($D148&lt;&gt;"Serviço",0,IF(AND(AUTOEVENTO="Manual",$M148=1),0,IF(OFFSET(CRONOPLE!$F$14,$M148,AS$13)="",10^12,OFFSET(CRONOPLE!$F$14,$M148,AS$13))))</f>
        <v>1000000000000</v>
      </c>
      <c r="AT148" s="181">
        <f ca="1">IF($D148&lt;&gt;"Serviço",0,IF(AND(AUTOEVENTO="Manual",$M148=1),0,IF(OFFSET(CRONOPLE!$F$14,$M148,AT$13)="",10^12,OFFSET(CRONOPLE!$F$14,$M148,AT$13))))</f>
        <v>1000000000000</v>
      </c>
      <c r="AU148" s="181">
        <f ca="1">IF($D148&lt;&gt;"Serviço",0,IF(AND(AUTOEVENTO="Manual",$M148=1),0,IF(OFFSET(CRONOPLE!$F$14,$M148,AU$13)="",10^12,OFFSET(CRONOPLE!$F$14,$M148,AU$13))))</f>
        <v>1000000000000</v>
      </c>
      <c r="AV148" s="181">
        <f ca="1">IF($D148&lt;&gt;"Serviço",0,IF(AND(AUTOEVENTO="Manual",$M148=1),0,IF(OFFSET(CRONOPLE!$F$14,$M148,AV$13)="",10^12,OFFSET(CRONOPLE!$F$14,$M148,AV$13))))</f>
        <v>1000000000000</v>
      </c>
      <c r="AX148" s="182">
        <f ca="1">IF($D148&lt;&gt;"Serviço",0,IF(OR(AND(AUTOEVENTO="Manual",$M148=1),$M148&gt;(ROW(PLE.lastrow)-ROW(PLE.firstrow))),0,IF(OFFSET(PLE!$G$14,$M148,AX$13)="",10^12,OFFSET(PLE!$G$14,$M148,AX$13))))</f>
        <v>1000000000000</v>
      </c>
      <c r="AY148" s="182">
        <f ca="1">IF($D148&lt;&gt;"Serviço",0,IF(OR(AND(AUTOEVENTO="Manual",$M148=1),$M148&gt;(ROW(PLE.lastrow)-ROW(PLE.firstrow))),0,IF(OFFSET(PLE!$G$14,$M148,AY$13)="",10^12,OFFSET(PLE!$G$14,$M148,AY$13))))</f>
        <v>1000000000000</v>
      </c>
      <c r="AZ148" s="182">
        <f ca="1">IF($D148&lt;&gt;"Serviço",0,IF(OR(AND(AUTOEVENTO="Manual",$M148=1),$M148&gt;(ROW(PLE.lastrow)-ROW(PLE.firstrow))),0,IF(OFFSET(PLE!$G$14,$M148,AZ$13)="",10^12,OFFSET(PLE!$G$14,$M148,AZ$13))))</f>
        <v>1000000000000</v>
      </c>
      <c r="BA148" s="182">
        <f ca="1">IF($D148&lt;&gt;"Serviço",0,IF(OR(AND(AUTOEVENTO="Manual",$M148=1),$M148&gt;(ROW(PLE.lastrow)-ROW(PLE.firstrow))),0,IF(OFFSET(PLE!$G$14,$M148,BA$13)="",10^12,OFFSET(PLE!$G$14,$M148,BA$13))))</f>
        <v>1000000000000</v>
      </c>
      <c r="BB148" s="182">
        <f ca="1">IF($D148&lt;&gt;"Serviço",0,IF(OR(AND(AUTOEVENTO="Manual",$M148=1),$M148&gt;(ROW(PLE.lastrow)-ROW(PLE.firstrow))),0,IF(OFFSET(PLE!$G$14,$M148,BB$13)="",10^12,OFFSET(PLE!$G$14,$M148,BB$13))))</f>
        <v>1000000000000</v>
      </c>
      <c r="BC148" s="182">
        <f ca="1">IF($D148&lt;&gt;"Serviço",0,IF(OR(AND(AUTOEVENTO="Manual",$M148=1),$M148&gt;(ROW(PLE.lastrow)-ROW(PLE.firstrow))),0,IF(OFFSET(PLE!$G$14,$M148,BC$13)="",10^12,OFFSET(PLE!$G$14,$M148,BC$13))))</f>
        <v>1000000000000</v>
      </c>
      <c r="BD148" s="182">
        <f ca="1">IF($D148&lt;&gt;"Serviço",0,IF(OR(AND(AUTOEVENTO="Manual",$M148=1),$M148&gt;(ROW(PLE.lastrow)-ROW(PLE.firstrow))),0,IF(OFFSET(PLE!$G$14,$M148,BD$13)="",10^12,OFFSET(PLE!$G$14,$M148,BD$13))))</f>
        <v>1000000000000</v>
      </c>
      <c r="BE148" s="182">
        <f ca="1">IF($D148&lt;&gt;"Serviço",0,IF(OR(AND(AUTOEVENTO="Manual",$M148=1),$M148&gt;(ROW(PLE.lastrow)-ROW(PLE.firstrow))),0,IF(OFFSET(PLE!$G$14,$M148,BE$13)="",10^12,OFFSET(PLE!$G$14,$M148,BE$13))))</f>
        <v>1000000000000</v>
      </c>
      <c r="BF148" s="182">
        <f ca="1">IF($D148&lt;&gt;"Serviço",0,IF(OR(AND(AUTOEVENTO="Manual",$M148=1),$M148&gt;(ROW(PLE.lastrow)-ROW(PLE.firstrow))),0,IF(OFFSET(PLE!$G$14,$M148,BF$13)="",10^12,OFFSET(PLE!$G$14,$M148,BF$13))))</f>
        <v>1000000000000</v>
      </c>
      <c r="BG148" s="182">
        <f ca="1">IF($D148&lt;&gt;"Serviço",0,IF(OR(AND(AUTOEVENTO="Manual",$M148=1),$M148&gt;(ROW(PLE.lastrow)-ROW(PLE.firstrow))),0,IF(OFFSET(PLE!$G$14,$M148,BG$13)="",10^12,OFFSET(PLE!$G$14,$M148,BG$13))))</f>
        <v>1000000000000</v>
      </c>
    </row>
    <row r="149" spans="1:59" ht="38.25" x14ac:dyDescent="0.2">
      <c r="A149" s="7" t="str">
        <f t="shared" ca="1" si="9"/>
        <v>71</v>
      </c>
      <c r="B149" s="7" t="str">
        <f ca="1">OFFSET(ORÇAMENTO!C$15,ROW(B149)-ROW(B$15),0)</f>
        <v>S</v>
      </c>
      <c r="C149" s="7" t="str">
        <f ca="1">OFFSET(ORÇAMENTO!L$15,ROW(C149)-ROW(C$15),0)</f>
        <v>F</v>
      </c>
      <c r="D149" s="118" t="str">
        <f ca="1">OFFSET(ORÇAMENTO!N$15,ROW(D149)-ROW(D$15),0)</f>
        <v>Serviço</v>
      </c>
      <c r="E149" s="119" t="str">
        <f ca="1">OFFSET(ORÇAMENTO!O$15,ROW(E149)-ROW(E$15),0)</f>
        <v>1.6.13.5.</v>
      </c>
      <c r="F149" s="172" t="str">
        <f ca="1">OFFSET(ORÇAMENTO!R$15,ROW(F149)-ROW(F$15),0)</f>
        <v>(abra o arquivo 'Referência 03-2024.xlsm)</v>
      </c>
      <c r="G149" s="173" t="str">
        <f ca="1">IF($D149&lt;&gt;"Serviço","",OFFSET(ORÇAMENTO!S$15,ROW(G149)-ROW(G$15),0))</f>
        <v>-</v>
      </c>
      <c r="H149" s="124">
        <f ca="1">IF($D149&lt;&gt;"Serviço",0,IF(ACOMPANHAMENTO="BM",ROUND(OFFSET(ORÇAMENTO!AJ$15,ROW(H149)-ROW(H$15),0),15-13*ORÇAMENTO!$AF$7),SUMPRODUCT(($Q$12:$AA$12&lt;&gt;"")*ROUND($Q149:$AA149,15-13*ORÇAMENTO!$AF$7))))</f>
        <v>11.7</v>
      </c>
      <c r="I149" s="561"/>
      <c r="K149" s="174"/>
      <c r="L149" s="175" t="s">
        <v>255</v>
      </c>
      <c r="M149" s="176">
        <f ca="1">IF($D149&lt;&gt;"Serviço","",IF(AUTOEVENTO="manual",$A149,IF(ISERROR(MATCH($A149,$A$15:OFFSET($A149,-1,0),0)),MAX($M$15:OFFSET(M149,-1,0))+1,INDEX($M$15:OFFSET(M149,-1,0),MATCH($A149,$A$15:OFFSET($A149,-1,0),0)))))</f>
        <v>7</v>
      </c>
      <c r="N149" s="177" t="str">
        <f ca="1">IF($D149&lt;&gt;"Serviço","",IF(AUTOEVENTO="Manual",IF($A149=0,"&lt;-- defina o número do agrupador",OFFSET(EVENTOS!$D$14,$A149,0)),OFFSET($F$15,$A149,0)))</f>
        <v>SANITÁRIO PÚBLICO ACESSÍVEL</v>
      </c>
      <c r="O149" s="178"/>
      <c r="Q149" s="178"/>
      <c r="R149" s="179"/>
      <c r="S149" s="179"/>
      <c r="T149" s="179"/>
      <c r="U149" s="179"/>
      <c r="V149" s="179"/>
      <c r="W149" s="179"/>
      <c r="X149" s="179"/>
      <c r="Y149" s="179"/>
      <c r="Z149" s="180"/>
      <c r="AB149" s="544">
        <f ca="1">IF(AND($D149="Serviço",AB$12&lt;&gt;0,$H149&gt;0,OR(AUTOEVENTO&lt;&gt;"manual",$M149&lt;&gt;1)),
IF(Import.TipoArredondamento&lt;&gt;"TransfereGOV",
ROUND(OFFSET($P149,0,AB$13),15-13*ORÇAMENTO!$AF$7)/$H149*OFFSET(ORÇAMENTO!$X$15,ROW(AB149)-ROW(AB$15),0),
ROUND(ROUND(OFFSET($P149,0,AB$13),15-13*ORÇAMENTO!$AF$7)*OFFSET(ORÇAMENTO!$W$15,ROW(AB149)-ROW(AB$15),0),15-13*ORÇAMENTO!$AF$11)),0)</f>
        <v>0</v>
      </c>
      <c r="AC149" s="545">
        <f ca="1">IF(AND($D149="Serviço",AC$12&lt;&gt;0,$H149&gt;0,OR(AUTOEVENTO&lt;&gt;"manual",$M149&lt;&gt;1)),
IF(Import.TipoArredondamento&lt;&gt;"TransfereGOV",
ROUND(OFFSET($P149,0,AC$13),15-13*ORÇAMENTO!$AF$7)/$H149*OFFSET(ORÇAMENTO!$X$15,ROW(AC149)-ROW(AC$15),0),
ROUND(ROUND(OFFSET($P149,0,AC$13),15-13*ORÇAMENTO!$AF$7)*OFFSET(ORÇAMENTO!$W$15,ROW(AC149)-ROW(AC$15),0),15-13*ORÇAMENTO!$AF$11)),0)</f>
        <v>0</v>
      </c>
      <c r="AD149" s="545">
        <f ca="1">IF(AND($D149="Serviço",AD$12&lt;&gt;0,$H149&gt;0,OR(AUTOEVENTO&lt;&gt;"manual",$M149&lt;&gt;1)),
IF(Import.TipoArredondamento&lt;&gt;"TransfereGOV",
ROUND(OFFSET($P149,0,AD$13),15-13*ORÇAMENTO!$AF$7)/$H149*OFFSET(ORÇAMENTO!$X$15,ROW(AD149)-ROW(AD$15),0),
ROUND(ROUND(OFFSET($P149,0,AD$13),15-13*ORÇAMENTO!$AF$7)*OFFSET(ORÇAMENTO!$W$15,ROW(AD149)-ROW(AD$15),0),15-13*ORÇAMENTO!$AF$11)),0)</f>
        <v>0</v>
      </c>
      <c r="AE149" s="545">
        <f ca="1">IF(AND($D149="Serviço",AE$12&lt;&gt;0,$H149&gt;0,OR(AUTOEVENTO&lt;&gt;"manual",$M149&lt;&gt;1)),
IF(Import.TipoArredondamento&lt;&gt;"TransfereGOV",
ROUND(OFFSET($P149,0,AE$13),15-13*ORÇAMENTO!$AF$7)/$H149*OFFSET(ORÇAMENTO!$X$15,ROW(AE149)-ROW(AE$15),0),
ROUND(ROUND(OFFSET($P149,0,AE$13),15-13*ORÇAMENTO!$AF$7)*OFFSET(ORÇAMENTO!$W$15,ROW(AE149)-ROW(AE$15),0),15-13*ORÇAMENTO!$AF$11)),0)</f>
        <v>0</v>
      </c>
      <c r="AF149" s="545">
        <f ca="1">IF(AND($D149="Serviço",AF$12&lt;&gt;0,$H149&gt;0,OR(AUTOEVENTO&lt;&gt;"manual",$M149&lt;&gt;1)),
IF(Import.TipoArredondamento&lt;&gt;"TransfereGOV",
ROUND(OFFSET($P149,0,AF$13),15-13*ORÇAMENTO!$AF$7)/$H149*OFFSET(ORÇAMENTO!$X$15,ROW(AF149)-ROW(AF$15),0),
ROUND(ROUND(OFFSET($P149,0,AF$13),15-13*ORÇAMENTO!$AF$7)*OFFSET(ORÇAMENTO!$W$15,ROW(AF149)-ROW(AF$15),0),15-13*ORÇAMENTO!$AF$11)),0)</f>
        <v>0</v>
      </c>
      <c r="AG149" s="545">
        <f ca="1">IF(AND($D149="Serviço",AG$12&lt;&gt;0,$H149&gt;0,OR(AUTOEVENTO&lt;&gt;"manual",$M149&lt;&gt;1)),
IF(Import.TipoArredondamento&lt;&gt;"TransfereGOV",
ROUND(OFFSET($P149,0,AG$13),15-13*ORÇAMENTO!$AF$7)/$H149*OFFSET(ORÇAMENTO!$X$15,ROW(AG149)-ROW(AG$15),0),
ROUND(ROUND(OFFSET($P149,0,AG$13),15-13*ORÇAMENTO!$AF$7)*OFFSET(ORÇAMENTO!$W$15,ROW(AG149)-ROW(AG$15),0),15-13*ORÇAMENTO!$AF$11)),0)</f>
        <v>0</v>
      </c>
      <c r="AH149" s="545">
        <f ca="1">IF(AND($D149="Serviço",AH$12&lt;&gt;0,$H149&gt;0,OR(AUTOEVENTO&lt;&gt;"manual",$M149&lt;&gt;1)),
IF(Import.TipoArredondamento&lt;&gt;"TransfereGOV",
ROUND(OFFSET($P149,0,AH$13),15-13*ORÇAMENTO!$AF$7)/$H149*OFFSET(ORÇAMENTO!$X$15,ROW(AH149)-ROW(AH$15),0),
ROUND(ROUND(OFFSET($P149,0,AH$13),15-13*ORÇAMENTO!$AF$7)*OFFSET(ORÇAMENTO!$W$15,ROW(AH149)-ROW(AH$15),0),15-13*ORÇAMENTO!$AF$11)),0)</f>
        <v>0</v>
      </c>
      <c r="AI149" s="545">
        <f ca="1">IF(AND($D149="Serviço",AI$12&lt;&gt;0,$H149&gt;0,OR(AUTOEVENTO&lt;&gt;"manual",$M149&lt;&gt;1)),
IF(Import.TipoArredondamento&lt;&gt;"TransfereGOV",
ROUND(OFFSET($P149,0,AI$13),15-13*ORÇAMENTO!$AF$7)/$H149*OFFSET(ORÇAMENTO!$X$15,ROW(AI149)-ROW(AI$15),0),
ROUND(ROUND(OFFSET($P149,0,AI$13),15-13*ORÇAMENTO!$AF$7)*OFFSET(ORÇAMENTO!$W$15,ROW(AI149)-ROW(AI$15),0),15-13*ORÇAMENTO!$AF$11)),0)</f>
        <v>0</v>
      </c>
      <c r="AJ149" s="545">
        <f ca="1">IF(AND($D149="Serviço",AJ$12&lt;&gt;0,$H149&gt;0,OR(AUTOEVENTO&lt;&gt;"manual",$M149&lt;&gt;1)),
IF(Import.TipoArredondamento&lt;&gt;"TransfereGOV",
ROUND(OFFSET($P149,0,AJ$13),15-13*ORÇAMENTO!$AF$7)/$H149*OFFSET(ORÇAMENTO!$X$15,ROW(AJ149)-ROW(AJ$15),0),
ROUND(ROUND(OFFSET($P149,0,AJ$13),15-13*ORÇAMENTO!$AF$7)*OFFSET(ORÇAMENTO!$W$15,ROW(AJ149)-ROW(AJ$15),0),15-13*ORÇAMENTO!$AF$11)),0)</f>
        <v>0</v>
      </c>
      <c r="AK149" s="546">
        <f ca="1">IF(AND($D149="Serviço",AK$12&lt;&gt;0,$H149&gt;0,OR(AUTOEVENTO&lt;&gt;"manual",$M149&lt;&gt;1)),
IF(Import.TipoArredondamento&lt;&gt;"TransfereGOV",
ROUND(OFFSET($P149,0,AK$13),15-13*ORÇAMENTO!$AF$7)/$H149*OFFSET(ORÇAMENTO!$X$15,ROW(AK149)-ROW(AK$15),0),
ROUND(ROUND(OFFSET($P149,0,AK$13),15-13*ORÇAMENTO!$AF$7)*OFFSET(ORÇAMENTO!$W$15,ROW(AK149)-ROW(AK$15),0),15-13*ORÇAMENTO!$AF$11)),0)</f>
        <v>0</v>
      </c>
      <c r="AM149" s="181">
        <f ca="1">IF($D149&lt;&gt;"Serviço",0,IF(AND(AUTOEVENTO="Manual",$M149=1),0,IF(OFFSET(CRONOPLE!$F$14,$M149,AM$13)="",10^12,OFFSET(CRONOPLE!$F$14,$M149,AM$13))))</f>
        <v>1000000000000</v>
      </c>
      <c r="AN149" s="181">
        <f ca="1">IF($D149&lt;&gt;"Serviço",0,IF(AND(AUTOEVENTO="Manual",$M149=1),0,IF(OFFSET(CRONOPLE!$F$14,$M149,AN$13)="",10^12,OFFSET(CRONOPLE!$F$14,$M149,AN$13))))</f>
        <v>1000000000000</v>
      </c>
      <c r="AO149" s="181">
        <f ca="1">IF($D149&lt;&gt;"Serviço",0,IF(AND(AUTOEVENTO="Manual",$M149=1),0,IF(OFFSET(CRONOPLE!$F$14,$M149,AO$13)="",10^12,OFFSET(CRONOPLE!$F$14,$M149,AO$13))))</f>
        <v>1000000000000</v>
      </c>
      <c r="AP149" s="181">
        <f ca="1">IF($D149&lt;&gt;"Serviço",0,IF(AND(AUTOEVENTO="Manual",$M149=1),0,IF(OFFSET(CRONOPLE!$F$14,$M149,AP$13)="",10^12,OFFSET(CRONOPLE!$F$14,$M149,AP$13))))</f>
        <v>1000000000000</v>
      </c>
      <c r="AQ149" s="181">
        <f ca="1">IF($D149&lt;&gt;"Serviço",0,IF(AND(AUTOEVENTO="Manual",$M149=1),0,IF(OFFSET(CRONOPLE!$F$14,$M149,AQ$13)="",10^12,OFFSET(CRONOPLE!$F$14,$M149,AQ$13))))</f>
        <v>1000000000000</v>
      </c>
      <c r="AR149" s="181">
        <f ca="1">IF($D149&lt;&gt;"Serviço",0,IF(AND(AUTOEVENTO="Manual",$M149=1),0,IF(OFFSET(CRONOPLE!$F$14,$M149,AR$13)="",10^12,OFFSET(CRONOPLE!$F$14,$M149,AR$13))))</f>
        <v>1000000000000</v>
      </c>
      <c r="AS149" s="181">
        <f ca="1">IF($D149&lt;&gt;"Serviço",0,IF(AND(AUTOEVENTO="Manual",$M149=1),0,IF(OFFSET(CRONOPLE!$F$14,$M149,AS$13)="",10^12,OFFSET(CRONOPLE!$F$14,$M149,AS$13))))</f>
        <v>1000000000000</v>
      </c>
      <c r="AT149" s="181">
        <f ca="1">IF($D149&lt;&gt;"Serviço",0,IF(AND(AUTOEVENTO="Manual",$M149=1),0,IF(OFFSET(CRONOPLE!$F$14,$M149,AT$13)="",10^12,OFFSET(CRONOPLE!$F$14,$M149,AT$13))))</f>
        <v>1000000000000</v>
      </c>
      <c r="AU149" s="181">
        <f ca="1">IF($D149&lt;&gt;"Serviço",0,IF(AND(AUTOEVENTO="Manual",$M149=1),0,IF(OFFSET(CRONOPLE!$F$14,$M149,AU$13)="",10^12,OFFSET(CRONOPLE!$F$14,$M149,AU$13))))</f>
        <v>1000000000000</v>
      </c>
      <c r="AV149" s="181">
        <f ca="1">IF($D149&lt;&gt;"Serviço",0,IF(AND(AUTOEVENTO="Manual",$M149=1),0,IF(OFFSET(CRONOPLE!$F$14,$M149,AV$13)="",10^12,OFFSET(CRONOPLE!$F$14,$M149,AV$13))))</f>
        <v>1000000000000</v>
      </c>
      <c r="AX149" s="182">
        <f ca="1">IF($D149&lt;&gt;"Serviço",0,IF(OR(AND(AUTOEVENTO="Manual",$M149=1),$M149&gt;(ROW(PLE.lastrow)-ROW(PLE.firstrow))),0,IF(OFFSET(PLE!$G$14,$M149,AX$13)="",10^12,OFFSET(PLE!$G$14,$M149,AX$13))))</f>
        <v>1000000000000</v>
      </c>
      <c r="AY149" s="182">
        <f ca="1">IF($D149&lt;&gt;"Serviço",0,IF(OR(AND(AUTOEVENTO="Manual",$M149=1),$M149&gt;(ROW(PLE.lastrow)-ROW(PLE.firstrow))),0,IF(OFFSET(PLE!$G$14,$M149,AY$13)="",10^12,OFFSET(PLE!$G$14,$M149,AY$13))))</f>
        <v>1000000000000</v>
      </c>
      <c r="AZ149" s="182">
        <f ca="1">IF($D149&lt;&gt;"Serviço",0,IF(OR(AND(AUTOEVENTO="Manual",$M149=1),$M149&gt;(ROW(PLE.lastrow)-ROW(PLE.firstrow))),0,IF(OFFSET(PLE!$G$14,$M149,AZ$13)="",10^12,OFFSET(PLE!$G$14,$M149,AZ$13))))</f>
        <v>1000000000000</v>
      </c>
      <c r="BA149" s="182">
        <f ca="1">IF($D149&lt;&gt;"Serviço",0,IF(OR(AND(AUTOEVENTO="Manual",$M149=1),$M149&gt;(ROW(PLE.lastrow)-ROW(PLE.firstrow))),0,IF(OFFSET(PLE!$G$14,$M149,BA$13)="",10^12,OFFSET(PLE!$G$14,$M149,BA$13))))</f>
        <v>1000000000000</v>
      </c>
      <c r="BB149" s="182">
        <f ca="1">IF($D149&lt;&gt;"Serviço",0,IF(OR(AND(AUTOEVENTO="Manual",$M149=1),$M149&gt;(ROW(PLE.lastrow)-ROW(PLE.firstrow))),0,IF(OFFSET(PLE!$G$14,$M149,BB$13)="",10^12,OFFSET(PLE!$G$14,$M149,BB$13))))</f>
        <v>1000000000000</v>
      </c>
      <c r="BC149" s="182">
        <f ca="1">IF($D149&lt;&gt;"Serviço",0,IF(OR(AND(AUTOEVENTO="Manual",$M149=1),$M149&gt;(ROW(PLE.lastrow)-ROW(PLE.firstrow))),0,IF(OFFSET(PLE!$G$14,$M149,BC$13)="",10^12,OFFSET(PLE!$G$14,$M149,BC$13))))</f>
        <v>1000000000000</v>
      </c>
      <c r="BD149" s="182">
        <f ca="1">IF($D149&lt;&gt;"Serviço",0,IF(OR(AND(AUTOEVENTO="Manual",$M149=1),$M149&gt;(ROW(PLE.lastrow)-ROW(PLE.firstrow))),0,IF(OFFSET(PLE!$G$14,$M149,BD$13)="",10^12,OFFSET(PLE!$G$14,$M149,BD$13))))</f>
        <v>1000000000000</v>
      </c>
      <c r="BE149" s="182">
        <f ca="1">IF($D149&lt;&gt;"Serviço",0,IF(OR(AND(AUTOEVENTO="Manual",$M149=1),$M149&gt;(ROW(PLE.lastrow)-ROW(PLE.firstrow))),0,IF(OFFSET(PLE!$G$14,$M149,BE$13)="",10^12,OFFSET(PLE!$G$14,$M149,BE$13))))</f>
        <v>1000000000000</v>
      </c>
      <c r="BF149" s="182">
        <f ca="1">IF($D149&lt;&gt;"Serviço",0,IF(OR(AND(AUTOEVENTO="Manual",$M149=1),$M149&gt;(ROW(PLE.lastrow)-ROW(PLE.firstrow))),0,IF(OFFSET(PLE!$G$14,$M149,BF$13)="",10^12,OFFSET(PLE!$G$14,$M149,BF$13))))</f>
        <v>1000000000000</v>
      </c>
      <c r="BG149" s="182">
        <f ca="1">IF($D149&lt;&gt;"Serviço",0,IF(OR(AND(AUTOEVENTO="Manual",$M149=1),$M149&gt;(ROW(PLE.lastrow)-ROW(PLE.firstrow))),0,IF(OFFSET(PLE!$G$14,$M149,BG$13)="",10^12,OFFSET(PLE!$G$14,$M149,BG$13))))</f>
        <v>1000000000000</v>
      </c>
    </row>
    <row r="150" spans="1:59" ht="12.75" x14ac:dyDescent="0.2">
      <c r="A150" s="7" t="str">
        <f t="shared" ca="1" si="9"/>
        <v>71</v>
      </c>
      <c r="B150" s="7">
        <f ca="1">OFFSET(ORÇAMENTO!C$15,ROW(B150)-ROW(B$15),0)</f>
        <v>3</v>
      </c>
      <c r="C150" s="7" t="str">
        <f ca="1">OFFSET(ORÇAMENTO!L$15,ROW(C150)-ROW(C$15),0)</f>
        <v>F</v>
      </c>
      <c r="D150" s="118" t="str">
        <f ca="1">OFFSET(ORÇAMENTO!N$15,ROW(D150)-ROW(D$15),0)</f>
        <v>Nível 3</v>
      </c>
      <c r="E150" s="119" t="str">
        <f ca="1">OFFSET(ORÇAMENTO!O$15,ROW(E150)-ROW(E$15),0)</f>
        <v>1.6.14.</v>
      </c>
      <c r="F150" s="172" t="str">
        <f ca="1">OFFSET(ORÇAMENTO!R$15,ROW(F150)-ROW(F$15),0)</f>
        <v>PINTURA</v>
      </c>
      <c r="G150" s="173" t="str">
        <f ca="1">IF($D150&lt;&gt;"Serviço","",OFFSET(ORÇAMENTO!S$15,ROW(G150)-ROW(G$15),0))</f>
        <v/>
      </c>
      <c r="H150" s="124">
        <f ca="1">IF($D150&lt;&gt;"Serviço",0,IF(ACOMPANHAMENTO="BM",ROUND(OFFSET(ORÇAMENTO!AJ$15,ROW(H150)-ROW(H$15),0),15-13*ORÇAMENTO!$AF$7),SUMPRODUCT(($Q$12:$AA$12&lt;&gt;"")*ROUND($Q150:$AA150,15-13*ORÇAMENTO!$AF$7))))</f>
        <v>0</v>
      </c>
      <c r="I150" s="561"/>
      <c r="K150" s="174"/>
      <c r="L150" s="175" t="s">
        <v>255</v>
      </c>
      <c r="M150" s="176" t="str">
        <f ca="1">IF($D150&lt;&gt;"Serviço","",IF(AUTOEVENTO="manual",$A150,IF(ISERROR(MATCH($A150,$A$15:OFFSET($A150,-1,0),0)),MAX($M$15:OFFSET(M150,-1,0))+1,INDEX($M$15:OFFSET(M150,-1,0),MATCH($A150,$A$15:OFFSET($A150,-1,0),0)))))</f>
        <v/>
      </c>
      <c r="N150" s="177" t="str">
        <f ca="1">IF($D150&lt;&gt;"Serviço","",IF(AUTOEVENTO="Manual",IF($A150=0,"&lt;-- defina o número do agrupador",OFFSET(EVENTOS!$D$14,$A150,0)),OFFSET($F$15,$A150,0)))</f>
        <v/>
      </c>
      <c r="O150" s="178"/>
      <c r="Q150" s="178"/>
      <c r="R150" s="179"/>
      <c r="S150" s="179"/>
      <c r="T150" s="179"/>
      <c r="U150" s="179"/>
      <c r="V150" s="179"/>
      <c r="W150" s="179"/>
      <c r="X150" s="179"/>
      <c r="Y150" s="179"/>
      <c r="Z150" s="180"/>
      <c r="AB150" s="544">
        <f ca="1">IF(AND($D150="Serviço",AB$12&lt;&gt;0,$H150&gt;0,OR(AUTOEVENTO&lt;&gt;"manual",$M150&lt;&gt;1)),
IF(Import.TipoArredondamento&lt;&gt;"TransfereGOV",
ROUND(OFFSET($P150,0,AB$13),15-13*ORÇAMENTO!$AF$7)/$H150*OFFSET(ORÇAMENTO!$X$15,ROW(AB150)-ROW(AB$15),0),
ROUND(ROUND(OFFSET($P150,0,AB$13),15-13*ORÇAMENTO!$AF$7)*OFFSET(ORÇAMENTO!$W$15,ROW(AB150)-ROW(AB$15),0),15-13*ORÇAMENTO!$AF$11)),0)</f>
        <v>0</v>
      </c>
      <c r="AC150" s="545">
        <f ca="1">IF(AND($D150="Serviço",AC$12&lt;&gt;0,$H150&gt;0,OR(AUTOEVENTO&lt;&gt;"manual",$M150&lt;&gt;1)),
IF(Import.TipoArredondamento&lt;&gt;"TransfereGOV",
ROUND(OFFSET($P150,0,AC$13),15-13*ORÇAMENTO!$AF$7)/$H150*OFFSET(ORÇAMENTO!$X$15,ROW(AC150)-ROW(AC$15),0),
ROUND(ROUND(OFFSET($P150,0,AC$13),15-13*ORÇAMENTO!$AF$7)*OFFSET(ORÇAMENTO!$W$15,ROW(AC150)-ROW(AC$15),0),15-13*ORÇAMENTO!$AF$11)),0)</f>
        <v>0</v>
      </c>
      <c r="AD150" s="545">
        <f ca="1">IF(AND($D150="Serviço",AD$12&lt;&gt;0,$H150&gt;0,OR(AUTOEVENTO&lt;&gt;"manual",$M150&lt;&gt;1)),
IF(Import.TipoArredondamento&lt;&gt;"TransfereGOV",
ROUND(OFFSET($P150,0,AD$13),15-13*ORÇAMENTO!$AF$7)/$H150*OFFSET(ORÇAMENTO!$X$15,ROW(AD150)-ROW(AD$15),0),
ROUND(ROUND(OFFSET($P150,0,AD$13),15-13*ORÇAMENTO!$AF$7)*OFFSET(ORÇAMENTO!$W$15,ROW(AD150)-ROW(AD$15),0),15-13*ORÇAMENTO!$AF$11)),0)</f>
        <v>0</v>
      </c>
      <c r="AE150" s="545">
        <f ca="1">IF(AND($D150="Serviço",AE$12&lt;&gt;0,$H150&gt;0,OR(AUTOEVENTO&lt;&gt;"manual",$M150&lt;&gt;1)),
IF(Import.TipoArredondamento&lt;&gt;"TransfereGOV",
ROUND(OFFSET($P150,0,AE$13),15-13*ORÇAMENTO!$AF$7)/$H150*OFFSET(ORÇAMENTO!$X$15,ROW(AE150)-ROW(AE$15),0),
ROUND(ROUND(OFFSET($P150,0,AE$13),15-13*ORÇAMENTO!$AF$7)*OFFSET(ORÇAMENTO!$W$15,ROW(AE150)-ROW(AE$15),0),15-13*ORÇAMENTO!$AF$11)),0)</f>
        <v>0</v>
      </c>
      <c r="AF150" s="545">
        <f ca="1">IF(AND($D150="Serviço",AF$12&lt;&gt;0,$H150&gt;0,OR(AUTOEVENTO&lt;&gt;"manual",$M150&lt;&gt;1)),
IF(Import.TipoArredondamento&lt;&gt;"TransfereGOV",
ROUND(OFFSET($P150,0,AF$13),15-13*ORÇAMENTO!$AF$7)/$H150*OFFSET(ORÇAMENTO!$X$15,ROW(AF150)-ROW(AF$15),0),
ROUND(ROUND(OFFSET($P150,0,AF$13),15-13*ORÇAMENTO!$AF$7)*OFFSET(ORÇAMENTO!$W$15,ROW(AF150)-ROW(AF$15),0),15-13*ORÇAMENTO!$AF$11)),0)</f>
        <v>0</v>
      </c>
      <c r="AG150" s="545">
        <f ca="1">IF(AND($D150="Serviço",AG$12&lt;&gt;0,$H150&gt;0,OR(AUTOEVENTO&lt;&gt;"manual",$M150&lt;&gt;1)),
IF(Import.TipoArredondamento&lt;&gt;"TransfereGOV",
ROUND(OFFSET($P150,0,AG$13),15-13*ORÇAMENTO!$AF$7)/$H150*OFFSET(ORÇAMENTO!$X$15,ROW(AG150)-ROW(AG$15),0),
ROUND(ROUND(OFFSET($P150,0,AG$13),15-13*ORÇAMENTO!$AF$7)*OFFSET(ORÇAMENTO!$W$15,ROW(AG150)-ROW(AG$15),0),15-13*ORÇAMENTO!$AF$11)),0)</f>
        <v>0</v>
      </c>
      <c r="AH150" s="545">
        <f ca="1">IF(AND($D150="Serviço",AH$12&lt;&gt;0,$H150&gt;0,OR(AUTOEVENTO&lt;&gt;"manual",$M150&lt;&gt;1)),
IF(Import.TipoArredondamento&lt;&gt;"TransfereGOV",
ROUND(OFFSET($P150,0,AH$13),15-13*ORÇAMENTO!$AF$7)/$H150*OFFSET(ORÇAMENTO!$X$15,ROW(AH150)-ROW(AH$15),0),
ROUND(ROUND(OFFSET($P150,0,AH$13),15-13*ORÇAMENTO!$AF$7)*OFFSET(ORÇAMENTO!$W$15,ROW(AH150)-ROW(AH$15),0),15-13*ORÇAMENTO!$AF$11)),0)</f>
        <v>0</v>
      </c>
      <c r="AI150" s="545">
        <f ca="1">IF(AND($D150="Serviço",AI$12&lt;&gt;0,$H150&gt;0,OR(AUTOEVENTO&lt;&gt;"manual",$M150&lt;&gt;1)),
IF(Import.TipoArredondamento&lt;&gt;"TransfereGOV",
ROUND(OFFSET($P150,0,AI$13),15-13*ORÇAMENTO!$AF$7)/$H150*OFFSET(ORÇAMENTO!$X$15,ROW(AI150)-ROW(AI$15),0),
ROUND(ROUND(OFFSET($P150,0,AI$13),15-13*ORÇAMENTO!$AF$7)*OFFSET(ORÇAMENTO!$W$15,ROW(AI150)-ROW(AI$15),0),15-13*ORÇAMENTO!$AF$11)),0)</f>
        <v>0</v>
      </c>
      <c r="AJ150" s="545">
        <f ca="1">IF(AND($D150="Serviço",AJ$12&lt;&gt;0,$H150&gt;0,OR(AUTOEVENTO&lt;&gt;"manual",$M150&lt;&gt;1)),
IF(Import.TipoArredondamento&lt;&gt;"TransfereGOV",
ROUND(OFFSET($P150,0,AJ$13),15-13*ORÇAMENTO!$AF$7)/$H150*OFFSET(ORÇAMENTO!$X$15,ROW(AJ150)-ROW(AJ$15),0),
ROUND(ROUND(OFFSET($P150,0,AJ$13),15-13*ORÇAMENTO!$AF$7)*OFFSET(ORÇAMENTO!$W$15,ROW(AJ150)-ROW(AJ$15),0),15-13*ORÇAMENTO!$AF$11)),0)</f>
        <v>0</v>
      </c>
      <c r="AK150" s="546">
        <f ca="1">IF(AND($D150="Serviço",AK$12&lt;&gt;0,$H150&gt;0,OR(AUTOEVENTO&lt;&gt;"manual",$M150&lt;&gt;1)),
IF(Import.TipoArredondamento&lt;&gt;"TransfereGOV",
ROUND(OFFSET($P150,0,AK$13),15-13*ORÇAMENTO!$AF$7)/$H150*OFFSET(ORÇAMENTO!$X$15,ROW(AK150)-ROW(AK$15),0),
ROUND(ROUND(OFFSET($P150,0,AK$13),15-13*ORÇAMENTO!$AF$7)*OFFSET(ORÇAMENTO!$W$15,ROW(AK150)-ROW(AK$15),0),15-13*ORÇAMENTO!$AF$11)),0)</f>
        <v>0</v>
      </c>
      <c r="AM150" s="181">
        <f ca="1">IF($D150&lt;&gt;"Serviço",0,IF(AND(AUTOEVENTO="Manual",$M150=1),0,IF(OFFSET(CRONOPLE!$F$14,$M150,AM$13)="",10^12,OFFSET(CRONOPLE!$F$14,$M150,AM$13))))</f>
        <v>0</v>
      </c>
      <c r="AN150" s="181">
        <f ca="1">IF($D150&lt;&gt;"Serviço",0,IF(AND(AUTOEVENTO="Manual",$M150=1),0,IF(OFFSET(CRONOPLE!$F$14,$M150,AN$13)="",10^12,OFFSET(CRONOPLE!$F$14,$M150,AN$13))))</f>
        <v>0</v>
      </c>
      <c r="AO150" s="181">
        <f ca="1">IF($D150&lt;&gt;"Serviço",0,IF(AND(AUTOEVENTO="Manual",$M150=1),0,IF(OFFSET(CRONOPLE!$F$14,$M150,AO$13)="",10^12,OFFSET(CRONOPLE!$F$14,$M150,AO$13))))</f>
        <v>0</v>
      </c>
      <c r="AP150" s="181">
        <f ca="1">IF($D150&lt;&gt;"Serviço",0,IF(AND(AUTOEVENTO="Manual",$M150=1),0,IF(OFFSET(CRONOPLE!$F$14,$M150,AP$13)="",10^12,OFFSET(CRONOPLE!$F$14,$M150,AP$13))))</f>
        <v>0</v>
      </c>
      <c r="AQ150" s="181">
        <f ca="1">IF($D150&lt;&gt;"Serviço",0,IF(AND(AUTOEVENTO="Manual",$M150=1),0,IF(OFFSET(CRONOPLE!$F$14,$M150,AQ$13)="",10^12,OFFSET(CRONOPLE!$F$14,$M150,AQ$13))))</f>
        <v>0</v>
      </c>
      <c r="AR150" s="181">
        <f ca="1">IF($D150&lt;&gt;"Serviço",0,IF(AND(AUTOEVENTO="Manual",$M150=1),0,IF(OFFSET(CRONOPLE!$F$14,$M150,AR$13)="",10^12,OFFSET(CRONOPLE!$F$14,$M150,AR$13))))</f>
        <v>0</v>
      </c>
      <c r="AS150" s="181">
        <f ca="1">IF($D150&lt;&gt;"Serviço",0,IF(AND(AUTOEVENTO="Manual",$M150=1),0,IF(OFFSET(CRONOPLE!$F$14,$M150,AS$13)="",10^12,OFFSET(CRONOPLE!$F$14,$M150,AS$13))))</f>
        <v>0</v>
      </c>
      <c r="AT150" s="181">
        <f ca="1">IF($D150&lt;&gt;"Serviço",0,IF(AND(AUTOEVENTO="Manual",$M150=1),0,IF(OFFSET(CRONOPLE!$F$14,$M150,AT$13)="",10^12,OFFSET(CRONOPLE!$F$14,$M150,AT$13))))</f>
        <v>0</v>
      </c>
      <c r="AU150" s="181">
        <f ca="1">IF($D150&lt;&gt;"Serviço",0,IF(AND(AUTOEVENTO="Manual",$M150=1),0,IF(OFFSET(CRONOPLE!$F$14,$M150,AU$13)="",10^12,OFFSET(CRONOPLE!$F$14,$M150,AU$13))))</f>
        <v>0</v>
      </c>
      <c r="AV150" s="181">
        <f ca="1">IF($D150&lt;&gt;"Serviço",0,IF(AND(AUTOEVENTO="Manual",$M150=1),0,IF(OFFSET(CRONOPLE!$F$14,$M150,AV$13)="",10^12,OFFSET(CRONOPLE!$F$14,$M150,AV$13))))</f>
        <v>0</v>
      </c>
      <c r="AX150" s="182">
        <f ca="1">IF($D150&lt;&gt;"Serviço",0,IF(OR(AND(AUTOEVENTO="Manual",$M150=1),$M150&gt;(ROW(PLE.lastrow)-ROW(PLE.firstrow))),0,IF(OFFSET(PLE!$G$14,$M150,AX$13)="",10^12,OFFSET(PLE!$G$14,$M150,AX$13))))</f>
        <v>0</v>
      </c>
      <c r="AY150" s="182">
        <f ca="1">IF($D150&lt;&gt;"Serviço",0,IF(OR(AND(AUTOEVENTO="Manual",$M150=1),$M150&gt;(ROW(PLE.lastrow)-ROW(PLE.firstrow))),0,IF(OFFSET(PLE!$G$14,$M150,AY$13)="",10^12,OFFSET(PLE!$G$14,$M150,AY$13))))</f>
        <v>0</v>
      </c>
      <c r="AZ150" s="182">
        <f ca="1">IF($D150&lt;&gt;"Serviço",0,IF(OR(AND(AUTOEVENTO="Manual",$M150=1),$M150&gt;(ROW(PLE.lastrow)-ROW(PLE.firstrow))),0,IF(OFFSET(PLE!$G$14,$M150,AZ$13)="",10^12,OFFSET(PLE!$G$14,$M150,AZ$13))))</f>
        <v>0</v>
      </c>
      <c r="BA150" s="182">
        <f ca="1">IF($D150&lt;&gt;"Serviço",0,IF(OR(AND(AUTOEVENTO="Manual",$M150=1),$M150&gt;(ROW(PLE.lastrow)-ROW(PLE.firstrow))),0,IF(OFFSET(PLE!$G$14,$M150,BA$13)="",10^12,OFFSET(PLE!$G$14,$M150,BA$13))))</f>
        <v>0</v>
      </c>
      <c r="BB150" s="182">
        <f ca="1">IF($D150&lt;&gt;"Serviço",0,IF(OR(AND(AUTOEVENTO="Manual",$M150=1),$M150&gt;(ROW(PLE.lastrow)-ROW(PLE.firstrow))),0,IF(OFFSET(PLE!$G$14,$M150,BB$13)="",10^12,OFFSET(PLE!$G$14,$M150,BB$13))))</f>
        <v>0</v>
      </c>
      <c r="BC150" s="182">
        <f ca="1">IF($D150&lt;&gt;"Serviço",0,IF(OR(AND(AUTOEVENTO="Manual",$M150=1),$M150&gt;(ROW(PLE.lastrow)-ROW(PLE.firstrow))),0,IF(OFFSET(PLE!$G$14,$M150,BC$13)="",10^12,OFFSET(PLE!$G$14,$M150,BC$13))))</f>
        <v>0</v>
      </c>
      <c r="BD150" s="182">
        <f ca="1">IF($D150&lt;&gt;"Serviço",0,IF(OR(AND(AUTOEVENTO="Manual",$M150=1),$M150&gt;(ROW(PLE.lastrow)-ROW(PLE.firstrow))),0,IF(OFFSET(PLE!$G$14,$M150,BD$13)="",10^12,OFFSET(PLE!$G$14,$M150,BD$13))))</f>
        <v>0</v>
      </c>
      <c r="BE150" s="182">
        <f ca="1">IF($D150&lt;&gt;"Serviço",0,IF(OR(AND(AUTOEVENTO="Manual",$M150=1),$M150&gt;(ROW(PLE.lastrow)-ROW(PLE.firstrow))),0,IF(OFFSET(PLE!$G$14,$M150,BE$13)="",10^12,OFFSET(PLE!$G$14,$M150,BE$13))))</f>
        <v>0</v>
      </c>
      <c r="BF150" s="182">
        <f ca="1">IF($D150&lt;&gt;"Serviço",0,IF(OR(AND(AUTOEVENTO="Manual",$M150=1),$M150&gt;(ROW(PLE.lastrow)-ROW(PLE.firstrow))),0,IF(OFFSET(PLE!$G$14,$M150,BF$13)="",10^12,OFFSET(PLE!$G$14,$M150,BF$13))))</f>
        <v>0</v>
      </c>
      <c r="BG150" s="182">
        <f ca="1">IF($D150&lt;&gt;"Serviço",0,IF(OR(AND(AUTOEVENTO="Manual",$M150=1),$M150&gt;(ROW(PLE.lastrow)-ROW(PLE.firstrow))),0,IF(OFFSET(PLE!$G$14,$M150,BG$13)="",10^12,OFFSET(PLE!$G$14,$M150,BG$13))))</f>
        <v>0</v>
      </c>
    </row>
    <row r="151" spans="1:59" ht="25.5" x14ac:dyDescent="0.2">
      <c r="A151" s="7" t="str">
        <f t="shared" ca="1" si="9"/>
        <v>71</v>
      </c>
      <c r="B151" s="7" t="str">
        <f ca="1">OFFSET(ORÇAMENTO!C$15,ROW(B151)-ROW(B$15),0)</f>
        <v>S</v>
      </c>
      <c r="C151" s="7" t="str">
        <f ca="1">OFFSET(ORÇAMENTO!L$15,ROW(C151)-ROW(C$15),0)</f>
        <v>F</v>
      </c>
      <c r="D151" s="118" t="str">
        <f ca="1">OFFSET(ORÇAMENTO!N$15,ROW(D151)-ROW(D$15),0)</f>
        <v>Serviço</v>
      </c>
      <c r="E151" s="119" t="str">
        <f ca="1">OFFSET(ORÇAMENTO!O$15,ROW(E151)-ROW(E$15),0)</f>
        <v>1.6.14.1.</v>
      </c>
      <c r="F151" s="172" t="str">
        <f ca="1">OFFSET(ORÇAMENTO!R$15,ROW(F151)-ROW(F$15),0)</f>
        <v>(abra o arquivo 'Referência 03-2024.xlsm)</v>
      </c>
      <c r="G151" s="173" t="str">
        <f ca="1">IF($D151&lt;&gt;"Serviço","",OFFSET(ORÇAMENTO!S$15,ROW(G151)-ROW(G$15),0))</f>
        <v>-</v>
      </c>
      <c r="H151" s="124">
        <f ca="1">IF($D151&lt;&gt;"Serviço",0,IF(ACOMPANHAMENTO="BM",ROUND(OFFSET(ORÇAMENTO!AJ$15,ROW(H151)-ROW(H$15),0),15-13*ORÇAMENTO!$AF$7),SUMPRODUCT(($Q$12:$AA$12&lt;&gt;"")*ROUND($Q151:$AA151,15-13*ORÇAMENTO!$AF$7))))</f>
        <v>53</v>
      </c>
      <c r="I151" s="561"/>
      <c r="K151" s="174"/>
      <c r="L151" s="175" t="s">
        <v>255</v>
      </c>
      <c r="M151" s="176">
        <f ca="1">IF($D151&lt;&gt;"Serviço","",IF(AUTOEVENTO="manual",$A151,IF(ISERROR(MATCH($A151,$A$15:OFFSET($A151,-1,0),0)),MAX($M$15:OFFSET(M151,-1,0))+1,INDEX($M$15:OFFSET(M151,-1,0),MATCH($A151,$A$15:OFFSET($A151,-1,0),0)))))</f>
        <v>7</v>
      </c>
      <c r="N151" s="177" t="str">
        <f ca="1">IF($D151&lt;&gt;"Serviço","",IF(AUTOEVENTO="Manual",IF($A151=0,"&lt;-- defina o número do agrupador",OFFSET(EVENTOS!$D$14,$A151,0)),OFFSET($F$15,$A151,0)))</f>
        <v>SANITÁRIO PÚBLICO ACESSÍVEL</v>
      </c>
      <c r="O151" s="178"/>
      <c r="Q151" s="178"/>
      <c r="R151" s="179"/>
      <c r="S151" s="179"/>
      <c r="T151" s="179"/>
      <c r="U151" s="179"/>
      <c r="V151" s="179"/>
      <c r="W151" s="179"/>
      <c r="X151" s="179"/>
      <c r="Y151" s="179"/>
      <c r="Z151" s="180"/>
      <c r="AB151" s="544">
        <f ca="1">IF(AND($D151="Serviço",AB$12&lt;&gt;0,$H151&gt;0,OR(AUTOEVENTO&lt;&gt;"manual",$M151&lt;&gt;1)),
IF(Import.TipoArredondamento&lt;&gt;"TransfereGOV",
ROUND(OFFSET($P151,0,AB$13),15-13*ORÇAMENTO!$AF$7)/$H151*OFFSET(ORÇAMENTO!$X$15,ROW(AB151)-ROW(AB$15),0),
ROUND(ROUND(OFFSET($P151,0,AB$13),15-13*ORÇAMENTO!$AF$7)*OFFSET(ORÇAMENTO!$W$15,ROW(AB151)-ROW(AB$15),0),15-13*ORÇAMENTO!$AF$11)),0)</f>
        <v>0</v>
      </c>
      <c r="AC151" s="545">
        <f ca="1">IF(AND($D151="Serviço",AC$12&lt;&gt;0,$H151&gt;0,OR(AUTOEVENTO&lt;&gt;"manual",$M151&lt;&gt;1)),
IF(Import.TipoArredondamento&lt;&gt;"TransfereGOV",
ROUND(OFFSET($P151,0,AC$13),15-13*ORÇAMENTO!$AF$7)/$H151*OFFSET(ORÇAMENTO!$X$15,ROW(AC151)-ROW(AC$15),0),
ROUND(ROUND(OFFSET($P151,0,AC$13),15-13*ORÇAMENTO!$AF$7)*OFFSET(ORÇAMENTO!$W$15,ROW(AC151)-ROW(AC$15),0),15-13*ORÇAMENTO!$AF$11)),0)</f>
        <v>0</v>
      </c>
      <c r="AD151" s="545">
        <f ca="1">IF(AND($D151="Serviço",AD$12&lt;&gt;0,$H151&gt;0,OR(AUTOEVENTO&lt;&gt;"manual",$M151&lt;&gt;1)),
IF(Import.TipoArredondamento&lt;&gt;"TransfereGOV",
ROUND(OFFSET($P151,0,AD$13),15-13*ORÇAMENTO!$AF$7)/$H151*OFFSET(ORÇAMENTO!$X$15,ROW(AD151)-ROW(AD$15),0),
ROUND(ROUND(OFFSET($P151,0,AD$13),15-13*ORÇAMENTO!$AF$7)*OFFSET(ORÇAMENTO!$W$15,ROW(AD151)-ROW(AD$15),0),15-13*ORÇAMENTO!$AF$11)),0)</f>
        <v>0</v>
      </c>
      <c r="AE151" s="545">
        <f ca="1">IF(AND($D151="Serviço",AE$12&lt;&gt;0,$H151&gt;0,OR(AUTOEVENTO&lt;&gt;"manual",$M151&lt;&gt;1)),
IF(Import.TipoArredondamento&lt;&gt;"TransfereGOV",
ROUND(OFFSET($P151,0,AE$13),15-13*ORÇAMENTO!$AF$7)/$H151*OFFSET(ORÇAMENTO!$X$15,ROW(AE151)-ROW(AE$15),0),
ROUND(ROUND(OFFSET($P151,0,AE$13),15-13*ORÇAMENTO!$AF$7)*OFFSET(ORÇAMENTO!$W$15,ROW(AE151)-ROW(AE$15),0),15-13*ORÇAMENTO!$AF$11)),0)</f>
        <v>0</v>
      </c>
      <c r="AF151" s="545">
        <f ca="1">IF(AND($D151="Serviço",AF$12&lt;&gt;0,$H151&gt;0,OR(AUTOEVENTO&lt;&gt;"manual",$M151&lt;&gt;1)),
IF(Import.TipoArredondamento&lt;&gt;"TransfereGOV",
ROUND(OFFSET($P151,0,AF$13),15-13*ORÇAMENTO!$AF$7)/$H151*OFFSET(ORÇAMENTO!$X$15,ROW(AF151)-ROW(AF$15),0),
ROUND(ROUND(OFFSET($P151,0,AF$13),15-13*ORÇAMENTO!$AF$7)*OFFSET(ORÇAMENTO!$W$15,ROW(AF151)-ROW(AF$15),0),15-13*ORÇAMENTO!$AF$11)),0)</f>
        <v>0</v>
      </c>
      <c r="AG151" s="545">
        <f ca="1">IF(AND($D151="Serviço",AG$12&lt;&gt;0,$H151&gt;0,OR(AUTOEVENTO&lt;&gt;"manual",$M151&lt;&gt;1)),
IF(Import.TipoArredondamento&lt;&gt;"TransfereGOV",
ROUND(OFFSET($P151,0,AG$13),15-13*ORÇAMENTO!$AF$7)/$H151*OFFSET(ORÇAMENTO!$X$15,ROW(AG151)-ROW(AG$15),0),
ROUND(ROUND(OFFSET($P151,0,AG$13),15-13*ORÇAMENTO!$AF$7)*OFFSET(ORÇAMENTO!$W$15,ROW(AG151)-ROW(AG$15),0),15-13*ORÇAMENTO!$AF$11)),0)</f>
        <v>0</v>
      </c>
      <c r="AH151" s="545">
        <f ca="1">IF(AND($D151="Serviço",AH$12&lt;&gt;0,$H151&gt;0,OR(AUTOEVENTO&lt;&gt;"manual",$M151&lt;&gt;1)),
IF(Import.TipoArredondamento&lt;&gt;"TransfereGOV",
ROUND(OFFSET($P151,0,AH$13),15-13*ORÇAMENTO!$AF$7)/$H151*OFFSET(ORÇAMENTO!$X$15,ROW(AH151)-ROW(AH$15),0),
ROUND(ROUND(OFFSET($P151,0,AH$13),15-13*ORÇAMENTO!$AF$7)*OFFSET(ORÇAMENTO!$W$15,ROW(AH151)-ROW(AH$15),0),15-13*ORÇAMENTO!$AF$11)),0)</f>
        <v>0</v>
      </c>
      <c r="AI151" s="545">
        <f ca="1">IF(AND($D151="Serviço",AI$12&lt;&gt;0,$H151&gt;0,OR(AUTOEVENTO&lt;&gt;"manual",$M151&lt;&gt;1)),
IF(Import.TipoArredondamento&lt;&gt;"TransfereGOV",
ROUND(OFFSET($P151,0,AI$13),15-13*ORÇAMENTO!$AF$7)/$H151*OFFSET(ORÇAMENTO!$X$15,ROW(AI151)-ROW(AI$15),0),
ROUND(ROUND(OFFSET($P151,0,AI$13),15-13*ORÇAMENTO!$AF$7)*OFFSET(ORÇAMENTO!$W$15,ROW(AI151)-ROW(AI$15),0),15-13*ORÇAMENTO!$AF$11)),0)</f>
        <v>0</v>
      </c>
      <c r="AJ151" s="545">
        <f ca="1">IF(AND($D151="Serviço",AJ$12&lt;&gt;0,$H151&gt;0,OR(AUTOEVENTO&lt;&gt;"manual",$M151&lt;&gt;1)),
IF(Import.TipoArredondamento&lt;&gt;"TransfereGOV",
ROUND(OFFSET($P151,0,AJ$13),15-13*ORÇAMENTO!$AF$7)/$H151*OFFSET(ORÇAMENTO!$X$15,ROW(AJ151)-ROW(AJ$15),0),
ROUND(ROUND(OFFSET($P151,0,AJ$13),15-13*ORÇAMENTO!$AF$7)*OFFSET(ORÇAMENTO!$W$15,ROW(AJ151)-ROW(AJ$15),0),15-13*ORÇAMENTO!$AF$11)),0)</f>
        <v>0</v>
      </c>
      <c r="AK151" s="546">
        <f ca="1">IF(AND($D151="Serviço",AK$12&lt;&gt;0,$H151&gt;0,OR(AUTOEVENTO&lt;&gt;"manual",$M151&lt;&gt;1)),
IF(Import.TipoArredondamento&lt;&gt;"TransfereGOV",
ROUND(OFFSET($P151,0,AK$13),15-13*ORÇAMENTO!$AF$7)/$H151*OFFSET(ORÇAMENTO!$X$15,ROW(AK151)-ROW(AK$15),0),
ROUND(ROUND(OFFSET($P151,0,AK$13),15-13*ORÇAMENTO!$AF$7)*OFFSET(ORÇAMENTO!$W$15,ROW(AK151)-ROW(AK$15),0),15-13*ORÇAMENTO!$AF$11)),0)</f>
        <v>0</v>
      </c>
      <c r="AM151" s="181">
        <f ca="1">IF($D151&lt;&gt;"Serviço",0,IF(AND(AUTOEVENTO="Manual",$M151=1),0,IF(OFFSET(CRONOPLE!$F$14,$M151,AM$13)="",10^12,OFFSET(CRONOPLE!$F$14,$M151,AM$13))))</f>
        <v>1000000000000</v>
      </c>
      <c r="AN151" s="181">
        <f ca="1">IF($D151&lt;&gt;"Serviço",0,IF(AND(AUTOEVENTO="Manual",$M151=1),0,IF(OFFSET(CRONOPLE!$F$14,$M151,AN$13)="",10^12,OFFSET(CRONOPLE!$F$14,$M151,AN$13))))</f>
        <v>1000000000000</v>
      </c>
      <c r="AO151" s="181">
        <f ca="1">IF($D151&lt;&gt;"Serviço",0,IF(AND(AUTOEVENTO="Manual",$M151=1),0,IF(OFFSET(CRONOPLE!$F$14,$M151,AO$13)="",10^12,OFFSET(CRONOPLE!$F$14,$M151,AO$13))))</f>
        <v>1000000000000</v>
      </c>
      <c r="AP151" s="181">
        <f ca="1">IF($D151&lt;&gt;"Serviço",0,IF(AND(AUTOEVENTO="Manual",$M151=1),0,IF(OFFSET(CRONOPLE!$F$14,$M151,AP$13)="",10^12,OFFSET(CRONOPLE!$F$14,$M151,AP$13))))</f>
        <v>1000000000000</v>
      </c>
      <c r="AQ151" s="181">
        <f ca="1">IF($D151&lt;&gt;"Serviço",0,IF(AND(AUTOEVENTO="Manual",$M151=1),0,IF(OFFSET(CRONOPLE!$F$14,$M151,AQ$13)="",10^12,OFFSET(CRONOPLE!$F$14,$M151,AQ$13))))</f>
        <v>1000000000000</v>
      </c>
      <c r="AR151" s="181">
        <f ca="1">IF($D151&lt;&gt;"Serviço",0,IF(AND(AUTOEVENTO="Manual",$M151=1),0,IF(OFFSET(CRONOPLE!$F$14,$M151,AR$13)="",10^12,OFFSET(CRONOPLE!$F$14,$M151,AR$13))))</f>
        <v>1000000000000</v>
      </c>
      <c r="AS151" s="181">
        <f ca="1">IF($D151&lt;&gt;"Serviço",0,IF(AND(AUTOEVENTO="Manual",$M151=1),0,IF(OFFSET(CRONOPLE!$F$14,$M151,AS$13)="",10^12,OFFSET(CRONOPLE!$F$14,$M151,AS$13))))</f>
        <v>1000000000000</v>
      </c>
      <c r="AT151" s="181">
        <f ca="1">IF($D151&lt;&gt;"Serviço",0,IF(AND(AUTOEVENTO="Manual",$M151=1),0,IF(OFFSET(CRONOPLE!$F$14,$M151,AT$13)="",10^12,OFFSET(CRONOPLE!$F$14,$M151,AT$13))))</f>
        <v>1000000000000</v>
      </c>
      <c r="AU151" s="181">
        <f ca="1">IF($D151&lt;&gt;"Serviço",0,IF(AND(AUTOEVENTO="Manual",$M151=1),0,IF(OFFSET(CRONOPLE!$F$14,$M151,AU$13)="",10^12,OFFSET(CRONOPLE!$F$14,$M151,AU$13))))</f>
        <v>1000000000000</v>
      </c>
      <c r="AV151" s="181">
        <f ca="1">IF($D151&lt;&gt;"Serviço",0,IF(AND(AUTOEVENTO="Manual",$M151=1),0,IF(OFFSET(CRONOPLE!$F$14,$M151,AV$13)="",10^12,OFFSET(CRONOPLE!$F$14,$M151,AV$13))))</f>
        <v>1000000000000</v>
      </c>
      <c r="AX151" s="182">
        <f ca="1">IF($D151&lt;&gt;"Serviço",0,IF(OR(AND(AUTOEVENTO="Manual",$M151=1),$M151&gt;(ROW(PLE.lastrow)-ROW(PLE.firstrow))),0,IF(OFFSET(PLE!$G$14,$M151,AX$13)="",10^12,OFFSET(PLE!$G$14,$M151,AX$13))))</f>
        <v>1000000000000</v>
      </c>
      <c r="AY151" s="182">
        <f ca="1">IF($D151&lt;&gt;"Serviço",0,IF(OR(AND(AUTOEVENTO="Manual",$M151=1),$M151&gt;(ROW(PLE.lastrow)-ROW(PLE.firstrow))),0,IF(OFFSET(PLE!$G$14,$M151,AY$13)="",10^12,OFFSET(PLE!$G$14,$M151,AY$13))))</f>
        <v>1000000000000</v>
      </c>
      <c r="AZ151" s="182">
        <f ca="1">IF($D151&lt;&gt;"Serviço",0,IF(OR(AND(AUTOEVENTO="Manual",$M151=1),$M151&gt;(ROW(PLE.lastrow)-ROW(PLE.firstrow))),0,IF(OFFSET(PLE!$G$14,$M151,AZ$13)="",10^12,OFFSET(PLE!$G$14,$M151,AZ$13))))</f>
        <v>1000000000000</v>
      </c>
      <c r="BA151" s="182">
        <f ca="1">IF($D151&lt;&gt;"Serviço",0,IF(OR(AND(AUTOEVENTO="Manual",$M151=1),$M151&gt;(ROW(PLE.lastrow)-ROW(PLE.firstrow))),0,IF(OFFSET(PLE!$G$14,$M151,BA$13)="",10^12,OFFSET(PLE!$G$14,$M151,BA$13))))</f>
        <v>1000000000000</v>
      </c>
      <c r="BB151" s="182">
        <f ca="1">IF($D151&lt;&gt;"Serviço",0,IF(OR(AND(AUTOEVENTO="Manual",$M151=1),$M151&gt;(ROW(PLE.lastrow)-ROW(PLE.firstrow))),0,IF(OFFSET(PLE!$G$14,$M151,BB$13)="",10^12,OFFSET(PLE!$G$14,$M151,BB$13))))</f>
        <v>1000000000000</v>
      </c>
      <c r="BC151" s="182">
        <f ca="1">IF($D151&lt;&gt;"Serviço",0,IF(OR(AND(AUTOEVENTO="Manual",$M151=1),$M151&gt;(ROW(PLE.lastrow)-ROW(PLE.firstrow))),0,IF(OFFSET(PLE!$G$14,$M151,BC$13)="",10^12,OFFSET(PLE!$G$14,$M151,BC$13))))</f>
        <v>1000000000000</v>
      </c>
      <c r="BD151" s="182">
        <f ca="1">IF($D151&lt;&gt;"Serviço",0,IF(OR(AND(AUTOEVENTO="Manual",$M151=1),$M151&gt;(ROW(PLE.lastrow)-ROW(PLE.firstrow))),0,IF(OFFSET(PLE!$G$14,$M151,BD$13)="",10^12,OFFSET(PLE!$G$14,$M151,BD$13))))</f>
        <v>1000000000000</v>
      </c>
      <c r="BE151" s="182">
        <f ca="1">IF($D151&lt;&gt;"Serviço",0,IF(OR(AND(AUTOEVENTO="Manual",$M151=1),$M151&gt;(ROW(PLE.lastrow)-ROW(PLE.firstrow))),0,IF(OFFSET(PLE!$G$14,$M151,BE$13)="",10^12,OFFSET(PLE!$G$14,$M151,BE$13))))</f>
        <v>1000000000000</v>
      </c>
      <c r="BF151" s="182">
        <f ca="1">IF($D151&lt;&gt;"Serviço",0,IF(OR(AND(AUTOEVENTO="Manual",$M151=1),$M151&gt;(ROW(PLE.lastrow)-ROW(PLE.firstrow))),0,IF(OFFSET(PLE!$G$14,$M151,BF$13)="",10^12,OFFSET(PLE!$G$14,$M151,BF$13))))</f>
        <v>1000000000000</v>
      </c>
      <c r="BG151" s="182">
        <f ca="1">IF($D151&lt;&gt;"Serviço",0,IF(OR(AND(AUTOEVENTO="Manual",$M151=1),$M151&gt;(ROW(PLE.lastrow)-ROW(PLE.firstrow))),0,IF(OFFSET(PLE!$G$14,$M151,BG$13)="",10^12,OFFSET(PLE!$G$14,$M151,BG$13))))</f>
        <v>1000000000000</v>
      </c>
    </row>
    <row r="152" spans="1:59" ht="25.5" x14ac:dyDescent="0.2">
      <c r="A152" s="7" t="str">
        <f t="shared" ca="1" si="9"/>
        <v>71</v>
      </c>
      <c r="B152" s="7" t="str">
        <f ca="1">OFFSET(ORÇAMENTO!C$15,ROW(B152)-ROW(B$15),0)</f>
        <v>S</v>
      </c>
      <c r="C152" s="7" t="str">
        <f ca="1">OFFSET(ORÇAMENTO!L$15,ROW(C152)-ROW(C$15),0)</f>
        <v>F</v>
      </c>
      <c r="D152" s="118" t="str">
        <f ca="1">OFFSET(ORÇAMENTO!N$15,ROW(D152)-ROW(D$15),0)</f>
        <v>Serviço</v>
      </c>
      <c r="E152" s="119" t="str">
        <f ca="1">OFFSET(ORÇAMENTO!O$15,ROW(E152)-ROW(E$15),0)</f>
        <v>1.6.14.2.</v>
      </c>
      <c r="F152" s="172" t="str">
        <f ca="1">OFFSET(ORÇAMENTO!R$15,ROW(F152)-ROW(F$15),0)</f>
        <v>(abra o arquivo 'Referência 03-2024.xlsm)</v>
      </c>
      <c r="G152" s="173" t="str">
        <f ca="1">IF($D152&lt;&gt;"Serviço","",OFFSET(ORÇAMENTO!S$15,ROW(G152)-ROW(G$15),0))</f>
        <v>-</v>
      </c>
      <c r="H152" s="124">
        <f ca="1">IF($D152&lt;&gt;"Serviço",0,IF(ACOMPANHAMENTO="BM",ROUND(OFFSET(ORÇAMENTO!AJ$15,ROW(H152)-ROW(H$15),0),15-13*ORÇAMENTO!$AF$7),SUMPRODUCT(($Q$12:$AA$12&lt;&gt;"")*ROUND($Q152:$AA152,15-13*ORÇAMENTO!$AF$7))))</f>
        <v>53</v>
      </c>
      <c r="I152" s="561"/>
      <c r="K152" s="174"/>
      <c r="L152" s="175" t="s">
        <v>255</v>
      </c>
      <c r="M152" s="176">
        <f ca="1">IF($D152&lt;&gt;"Serviço","",IF(AUTOEVENTO="manual",$A152,IF(ISERROR(MATCH($A152,$A$15:OFFSET($A152,-1,0),0)),MAX($M$15:OFFSET(M152,-1,0))+1,INDEX($M$15:OFFSET(M152,-1,0),MATCH($A152,$A$15:OFFSET($A152,-1,0),0)))))</f>
        <v>7</v>
      </c>
      <c r="N152" s="177" t="str">
        <f ca="1">IF($D152&lt;&gt;"Serviço","",IF(AUTOEVENTO="Manual",IF($A152=0,"&lt;-- defina o número do agrupador",OFFSET(EVENTOS!$D$14,$A152,0)),OFFSET($F$15,$A152,0)))</f>
        <v>SANITÁRIO PÚBLICO ACESSÍVEL</v>
      </c>
      <c r="O152" s="178"/>
      <c r="Q152" s="178"/>
      <c r="R152" s="179"/>
      <c r="S152" s="179"/>
      <c r="T152" s="179"/>
      <c r="U152" s="179"/>
      <c r="V152" s="179"/>
      <c r="W152" s="179"/>
      <c r="X152" s="179"/>
      <c r="Y152" s="179"/>
      <c r="Z152" s="180"/>
      <c r="AB152" s="544">
        <f ca="1">IF(AND($D152="Serviço",AB$12&lt;&gt;0,$H152&gt;0,OR(AUTOEVENTO&lt;&gt;"manual",$M152&lt;&gt;1)),
IF(Import.TipoArredondamento&lt;&gt;"TransfereGOV",
ROUND(OFFSET($P152,0,AB$13),15-13*ORÇAMENTO!$AF$7)/$H152*OFFSET(ORÇAMENTO!$X$15,ROW(AB152)-ROW(AB$15),0),
ROUND(ROUND(OFFSET($P152,0,AB$13),15-13*ORÇAMENTO!$AF$7)*OFFSET(ORÇAMENTO!$W$15,ROW(AB152)-ROW(AB$15),0),15-13*ORÇAMENTO!$AF$11)),0)</f>
        <v>0</v>
      </c>
      <c r="AC152" s="545">
        <f ca="1">IF(AND($D152="Serviço",AC$12&lt;&gt;0,$H152&gt;0,OR(AUTOEVENTO&lt;&gt;"manual",$M152&lt;&gt;1)),
IF(Import.TipoArredondamento&lt;&gt;"TransfereGOV",
ROUND(OFFSET($P152,0,AC$13),15-13*ORÇAMENTO!$AF$7)/$H152*OFFSET(ORÇAMENTO!$X$15,ROW(AC152)-ROW(AC$15),0),
ROUND(ROUND(OFFSET($P152,0,AC$13),15-13*ORÇAMENTO!$AF$7)*OFFSET(ORÇAMENTO!$W$15,ROW(AC152)-ROW(AC$15),0),15-13*ORÇAMENTO!$AF$11)),0)</f>
        <v>0</v>
      </c>
      <c r="AD152" s="545">
        <f ca="1">IF(AND($D152="Serviço",AD$12&lt;&gt;0,$H152&gt;0,OR(AUTOEVENTO&lt;&gt;"manual",$M152&lt;&gt;1)),
IF(Import.TipoArredondamento&lt;&gt;"TransfereGOV",
ROUND(OFFSET($P152,0,AD$13),15-13*ORÇAMENTO!$AF$7)/$H152*OFFSET(ORÇAMENTO!$X$15,ROW(AD152)-ROW(AD$15),0),
ROUND(ROUND(OFFSET($P152,0,AD$13),15-13*ORÇAMENTO!$AF$7)*OFFSET(ORÇAMENTO!$W$15,ROW(AD152)-ROW(AD$15),0),15-13*ORÇAMENTO!$AF$11)),0)</f>
        <v>0</v>
      </c>
      <c r="AE152" s="545">
        <f ca="1">IF(AND($D152="Serviço",AE$12&lt;&gt;0,$H152&gt;0,OR(AUTOEVENTO&lt;&gt;"manual",$M152&lt;&gt;1)),
IF(Import.TipoArredondamento&lt;&gt;"TransfereGOV",
ROUND(OFFSET($P152,0,AE$13),15-13*ORÇAMENTO!$AF$7)/$H152*OFFSET(ORÇAMENTO!$X$15,ROW(AE152)-ROW(AE$15),0),
ROUND(ROUND(OFFSET($P152,0,AE$13),15-13*ORÇAMENTO!$AF$7)*OFFSET(ORÇAMENTO!$W$15,ROW(AE152)-ROW(AE$15),0),15-13*ORÇAMENTO!$AF$11)),0)</f>
        <v>0</v>
      </c>
      <c r="AF152" s="545">
        <f ca="1">IF(AND($D152="Serviço",AF$12&lt;&gt;0,$H152&gt;0,OR(AUTOEVENTO&lt;&gt;"manual",$M152&lt;&gt;1)),
IF(Import.TipoArredondamento&lt;&gt;"TransfereGOV",
ROUND(OFFSET($P152,0,AF$13),15-13*ORÇAMENTO!$AF$7)/$H152*OFFSET(ORÇAMENTO!$X$15,ROW(AF152)-ROW(AF$15),0),
ROUND(ROUND(OFFSET($P152,0,AF$13),15-13*ORÇAMENTO!$AF$7)*OFFSET(ORÇAMENTO!$W$15,ROW(AF152)-ROW(AF$15),0),15-13*ORÇAMENTO!$AF$11)),0)</f>
        <v>0</v>
      </c>
      <c r="AG152" s="545">
        <f ca="1">IF(AND($D152="Serviço",AG$12&lt;&gt;0,$H152&gt;0,OR(AUTOEVENTO&lt;&gt;"manual",$M152&lt;&gt;1)),
IF(Import.TipoArredondamento&lt;&gt;"TransfereGOV",
ROUND(OFFSET($P152,0,AG$13),15-13*ORÇAMENTO!$AF$7)/$H152*OFFSET(ORÇAMENTO!$X$15,ROW(AG152)-ROW(AG$15),0),
ROUND(ROUND(OFFSET($P152,0,AG$13),15-13*ORÇAMENTO!$AF$7)*OFFSET(ORÇAMENTO!$W$15,ROW(AG152)-ROW(AG$15),0),15-13*ORÇAMENTO!$AF$11)),0)</f>
        <v>0</v>
      </c>
      <c r="AH152" s="545">
        <f ca="1">IF(AND($D152="Serviço",AH$12&lt;&gt;0,$H152&gt;0,OR(AUTOEVENTO&lt;&gt;"manual",$M152&lt;&gt;1)),
IF(Import.TipoArredondamento&lt;&gt;"TransfereGOV",
ROUND(OFFSET($P152,0,AH$13),15-13*ORÇAMENTO!$AF$7)/$H152*OFFSET(ORÇAMENTO!$X$15,ROW(AH152)-ROW(AH$15),0),
ROUND(ROUND(OFFSET($P152,0,AH$13),15-13*ORÇAMENTO!$AF$7)*OFFSET(ORÇAMENTO!$W$15,ROW(AH152)-ROW(AH$15),0),15-13*ORÇAMENTO!$AF$11)),0)</f>
        <v>0</v>
      </c>
      <c r="AI152" s="545">
        <f ca="1">IF(AND($D152="Serviço",AI$12&lt;&gt;0,$H152&gt;0,OR(AUTOEVENTO&lt;&gt;"manual",$M152&lt;&gt;1)),
IF(Import.TipoArredondamento&lt;&gt;"TransfereGOV",
ROUND(OFFSET($P152,0,AI$13),15-13*ORÇAMENTO!$AF$7)/$H152*OFFSET(ORÇAMENTO!$X$15,ROW(AI152)-ROW(AI$15),0),
ROUND(ROUND(OFFSET($P152,0,AI$13),15-13*ORÇAMENTO!$AF$7)*OFFSET(ORÇAMENTO!$W$15,ROW(AI152)-ROW(AI$15),0),15-13*ORÇAMENTO!$AF$11)),0)</f>
        <v>0</v>
      </c>
      <c r="AJ152" s="545">
        <f ca="1">IF(AND($D152="Serviço",AJ$12&lt;&gt;0,$H152&gt;0,OR(AUTOEVENTO&lt;&gt;"manual",$M152&lt;&gt;1)),
IF(Import.TipoArredondamento&lt;&gt;"TransfereGOV",
ROUND(OFFSET($P152,0,AJ$13),15-13*ORÇAMENTO!$AF$7)/$H152*OFFSET(ORÇAMENTO!$X$15,ROW(AJ152)-ROW(AJ$15),0),
ROUND(ROUND(OFFSET($P152,0,AJ$13),15-13*ORÇAMENTO!$AF$7)*OFFSET(ORÇAMENTO!$W$15,ROW(AJ152)-ROW(AJ$15),0),15-13*ORÇAMENTO!$AF$11)),0)</f>
        <v>0</v>
      </c>
      <c r="AK152" s="546">
        <f ca="1">IF(AND($D152="Serviço",AK$12&lt;&gt;0,$H152&gt;0,OR(AUTOEVENTO&lt;&gt;"manual",$M152&lt;&gt;1)),
IF(Import.TipoArredondamento&lt;&gt;"TransfereGOV",
ROUND(OFFSET($P152,0,AK$13),15-13*ORÇAMENTO!$AF$7)/$H152*OFFSET(ORÇAMENTO!$X$15,ROW(AK152)-ROW(AK$15),0),
ROUND(ROUND(OFFSET($P152,0,AK$13),15-13*ORÇAMENTO!$AF$7)*OFFSET(ORÇAMENTO!$W$15,ROW(AK152)-ROW(AK$15),0),15-13*ORÇAMENTO!$AF$11)),0)</f>
        <v>0</v>
      </c>
      <c r="AM152" s="181">
        <f ca="1">IF($D152&lt;&gt;"Serviço",0,IF(AND(AUTOEVENTO="Manual",$M152=1),0,IF(OFFSET(CRONOPLE!$F$14,$M152,AM$13)="",10^12,OFFSET(CRONOPLE!$F$14,$M152,AM$13))))</f>
        <v>1000000000000</v>
      </c>
      <c r="AN152" s="181">
        <f ca="1">IF($D152&lt;&gt;"Serviço",0,IF(AND(AUTOEVENTO="Manual",$M152=1),0,IF(OFFSET(CRONOPLE!$F$14,$M152,AN$13)="",10^12,OFFSET(CRONOPLE!$F$14,$M152,AN$13))))</f>
        <v>1000000000000</v>
      </c>
      <c r="AO152" s="181">
        <f ca="1">IF($D152&lt;&gt;"Serviço",0,IF(AND(AUTOEVENTO="Manual",$M152=1),0,IF(OFFSET(CRONOPLE!$F$14,$M152,AO$13)="",10^12,OFFSET(CRONOPLE!$F$14,$M152,AO$13))))</f>
        <v>1000000000000</v>
      </c>
      <c r="AP152" s="181">
        <f ca="1">IF($D152&lt;&gt;"Serviço",0,IF(AND(AUTOEVENTO="Manual",$M152=1),0,IF(OFFSET(CRONOPLE!$F$14,$M152,AP$13)="",10^12,OFFSET(CRONOPLE!$F$14,$M152,AP$13))))</f>
        <v>1000000000000</v>
      </c>
      <c r="AQ152" s="181">
        <f ca="1">IF($D152&lt;&gt;"Serviço",0,IF(AND(AUTOEVENTO="Manual",$M152=1),0,IF(OFFSET(CRONOPLE!$F$14,$M152,AQ$13)="",10^12,OFFSET(CRONOPLE!$F$14,$M152,AQ$13))))</f>
        <v>1000000000000</v>
      </c>
      <c r="AR152" s="181">
        <f ca="1">IF($D152&lt;&gt;"Serviço",0,IF(AND(AUTOEVENTO="Manual",$M152=1),0,IF(OFFSET(CRONOPLE!$F$14,$M152,AR$13)="",10^12,OFFSET(CRONOPLE!$F$14,$M152,AR$13))))</f>
        <v>1000000000000</v>
      </c>
      <c r="AS152" s="181">
        <f ca="1">IF($D152&lt;&gt;"Serviço",0,IF(AND(AUTOEVENTO="Manual",$M152=1),0,IF(OFFSET(CRONOPLE!$F$14,$M152,AS$13)="",10^12,OFFSET(CRONOPLE!$F$14,$M152,AS$13))))</f>
        <v>1000000000000</v>
      </c>
      <c r="AT152" s="181">
        <f ca="1">IF($D152&lt;&gt;"Serviço",0,IF(AND(AUTOEVENTO="Manual",$M152=1),0,IF(OFFSET(CRONOPLE!$F$14,$M152,AT$13)="",10^12,OFFSET(CRONOPLE!$F$14,$M152,AT$13))))</f>
        <v>1000000000000</v>
      </c>
      <c r="AU152" s="181">
        <f ca="1">IF($D152&lt;&gt;"Serviço",0,IF(AND(AUTOEVENTO="Manual",$M152=1),0,IF(OFFSET(CRONOPLE!$F$14,$M152,AU$13)="",10^12,OFFSET(CRONOPLE!$F$14,$M152,AU$13))))</f>
        <v>1000000000000</v>
      </c>
      <c r="AV152" s="181">
        <f ca="1">IF($D152&lt;&gt;"Serviço",0,IF(AND(AUTOEVENTO="Manual",$M152=1),0,IF(OFFSET(CRONOPLE!$F$14,$M152,AV$13)="",10^12,OFFSET(CRONOPLE!$F$14,$M152,AV$13))))</f>
        <v>1000000000000</v>
      </c>
      <c r="AX152" s="182">
        <f ca="1">IF($D152&lt;&gt;"Serviço",0,IF(OR(AND(AUTOEVENTO="Manual",$M152=1),$M152&gt;(ROW(PLE.lastrow)-ROW(PLE.firstrow))),0,IF(OFFSET(PLE!$G$14,$M152,AX$13)="",10^12,OFFSET(PLE!$G$14,$M152,AX$13))))</f>
        <v>1000000000000</v>
      </c>
      <c r="AY152" s="182">
        <f ca="1">IF($D152&lt;&gt;"Serviço",0,IF(OR(AND(AUTOEVENTO="Manual",$M152=1),$M152&gt;(ROW(PLE.lastrow)-ROW(PLE.firstrow))),0,IF(OFFSET(PLE!$G$14,$M152,AY$13)="",10^12,OFFSET(PLE!$G$14,$M152,AY$13))))</f>
        <v>1000000000000</v>
      </c>
      <c r="AZ152" s="182">
        <f ca="1">IF($D152&lt;&gt;"Serviço",0,IF(OR(AND(AUTOEVENTO="Manual",$M152=1),$M152&gt;(ROW(PLE.lastrow)-ROW(PLE.firstrow))),0,IF(OFFSET(PLE!$G$14,$M152,AZ$13)="",10^12,OFFSET(PLE!$G$14,$M152,AZ$13))))</f>
        <v>1000000000000</v>
      </c>
      <c r="BA152" s="182">
        <f ca="1">IF($D152&lt;&gt;"Serviço",0,IF(OR(AND(AUTOEVENTO="Manual",$M152=1),$M152&gt;(ROW(PLE.lastrow)-ROW(PLE.firstrow))),0,IF(OFFSET(PLE!$G$14,$M152,BA$13)="",10^12,OFFSET(PLE!$G$14,$M152,BA$13))))</f>
        <v>1000000000000</v>
      </c>
      <c r="BB152" s="182">
        <f ca="1">IF($D152&lt;&gt;"Serviço",0,IF(OR(AND(AUTOEVENTO="Manual",$M152=1),$M152&gt;(ROW(PLE.lastrow)-ROW(PLE.firstrow))),0,IF(OFFSET(PLE!$G$14,$M152,BB$13)="",10^12,OFFSET(PLE!$G$14,$M152,BB$13))))</f>
        <v>1000000000000</v>
      </c>
      <c r="BC152" s="182">
        <f ca="1">IF($D152&lt;&gt;"Serviço",0,IF(OR(AND(AUTOEVENTO="Manual",$M152=1),$M152&gt;(ROW(PLE.lastrow)-ROW(PLE.firstrow))),0,IF(OFFSET(PLE!$G$14,$M152,BC$13)="",10^12,OFFSET(PLE!$G$14,$M152,BC$13))))</f>
        <v>1000000000000</v>
      </c>
      <c r="BD152" s="182">
        <f ca="1">IF($D152&lt;&gt;"Serviço",0,IF(OR(AND(AUTOEVENTO="Manual",$M152=1),$M152&gt;(ROW(PLE.lastrow)-ROW(PLE.firstrow))),0,IF(OFFSET(PLE!$G$14,$M152,BD$13)="",10^12,OFFSET(PLE!$G$14,$M152,BD$13))))</f>
        <v>1000000000000</v>
      </c>
      <c r="BE152" s="182">
        <f ca="1">IF($D152&lt;&gt;"Serviço",0,IF(OR(AND(AUTOEVENTO="Manual",$M152=1),$M152&gt;(ROW(PLE.lastrow)-ROW(PLE.firstrow))),0,IF(OFFSET(PLE!$G$14,$M152,BE$13)="",10^12,OFFSET(PLE!$G$14,$M152,BE$13))))</f>
        <v>1000000000000</v>
      </c>
      <c r="BF152" s="182">
        <f ca="1">IF($D152&lt;&gt;"Serviço",0,IF(OR(AND(AUTOEVENTO="Manual",$M152=1),$M152&gt;(ROW(PLE.lastrow)-ROW(PLE.firstrow))),0,IF(OFFSET(PLE!$G$14,$M152,BF$13)="",10^12,OFFSET(PLE!$G$14,$M152,BF$13))))</f>
        <v>1000000000000</v>
      </c>
      <c r="BG152" s="182">
        <f ca="1">IF($D152&lt;&gt;"Serviço",0,IF(OR(AND(AUTOEVENTO="Manual",$M152=1),$M152&gt;(ROW(PLE.lastrow)-ROW(PLE.firstrow))),0,IF(OFFSET(PLE!$G$14,$M152,BG$13)="",10^12,OFFSET(PLE!$G$14,$M152,BG$13))))</f>
        <v>1000000000000</v>
      </c>
    </row>
    <row r="153" spans="1:59" ht="38.25" x14ac:dyDescent="0.2">
      <c r="A153" s="7" t="str">
        <f t="shared" ca="1" si="9"/>
        <v>71</v>
      </c>
      <c r="B153" s="7" t="str">
        <f ca="1">OFFSET(ORÇAMENTO!C$15,ROW(B153)-ROW(B$15),0)</f>
        <v>S</v>
      </c>
      <c r="C153" s="7" t="str">
        <f ca="1">OFFSET(ORÇAMENTO!L$15,ROW(C153)-ROW(C$15),0)</f>
        <v>F</v>
      </c>
      <c r="D153" s="118" t="str">
        <f ca="1">OFFSET(ORÇAMENTO!N$15,ROW(D153)-ROW(D$15),0)</f>
        <v>Serviço</v>
      </c>
      <c r="E153" s="119" t="str">
        <f ca="1">OFFSET(ORÇAMENTO!O$15,ROW(E153)-ROW(E$15),0)</f>
        <v>1.6.14.3.</v>
      </c>
      <c r="F153" s="172" t="str">
        <f ca="1">OFFSET(ORÇAMENTO!R$15,ROW(F153)-ROW(F$15),0)</f>
        <v>(abra o arquivo 'Referência 03-2024.xlsm)</v>
      </c>
      <c r="G153" s="173" t="str">
        <f ca="1">IF($D153&lt;&gt;"Serviço","",OFFSET(ORÇAMENTO!S$15,ROW(G153)-ROW(G$15),0))</f>
        <v>-</v>
      </c>
      <c r="H153" s="124">
        <f ca="1">IF($D153&lt;&gt;"Serviço",0,IF(ACOMPANHAMENTO="BM",ROUND(OFFSET(ORÇAMENTO!AJ$15,ROW(H153)-ROW(H$15),0),15-13*ORÇAMENTO!$AF$7),SUMPRODUCT(($Q$12:$AA$12&lt;&gt;"")*ROUND($Q153:$AA153,15-13*ORÇAMENTO!$AF$7))))</f>
        <v>3</v>
      </c>
      <c r="I153" s="561"/>
      <c r="K153" s="174"/>
      <c r="L153" s="175" t="s">
        <v>255</v>
      </c>
      <c r="M153" s="176">
        <f ca="1">IF($D153&lt;&gt;"Serviço","",IF(AUTOEVENTO="manual",$A153,IF(ISERROR(MATCH($A153,$A$15:OFFSET($A153,-1,0),0)),MAX($M$15:OFFSET(M153,-1,0))+1,INDEX($M$15:OFFSET(M153,-1,0),MATCH($A153,$A$15:OFFSET($A153,-1,0),0)))))</f>
        <v>7</v>
      </c>
      <c r="N153" s="177" t="str">
        <f ca="1">IF($D153&lt;&gt;"Serviço","",IF(AUTOEVENTO="Manual",IF($A153=0,"&lt;-- defina o número do agrupador",OFFSET(EVENTOS!$D$14,$A153,0)),OFFSET($F$15,$A153,0)))</f>
        <v>SANITÁRIO PÚBLICO ACESSÍVEL</v>
      </c>
      <c r="O153" s="178"/>
      <c r="Q153" s="178"/>
      <c r="R153" s="179"/>
      <c r="S153" s="179"/>
      <c r="T153" s="179"/>
      <c r="U153" s="179"/>
      <c r="V153" s="179"/>
      <c r="W153" s="179"/>
      <c r="X153" s="179"/>
      <c r="Y153" s="179"/>
      <c r="Z153" s="180"/>
      <c r="AB153" s="544">
        <f ca="1">IF(AND($D153="Serviço",AB$12&lt;&gt;0,$H153&gt;0,OR(AUTOEVENTO&lt;&gt;"manual",$M153&lt;&gt;1)),
IF(Import.TipoArredondamento&lt;&gt;"TransfereGOV",
ROUND(OFFSET($P153,0,AB$13),15-13*ORÇAMENTO!$AF$7)/$H153*OFFSET(ORÇAMENTO!$X$15,ROW(AB153)-ROW(AB$15),0),
ROUND(ROUND(OFFSET($P153,0,AB$13),15-13*ORÇAMENTO!$AF$7)*OFFSET(ORÇAMENTO!$W$15,ROW(AB153)-ROW(AB$15),0),15-13*ORÇAMENTO!$AF$11)),0)</f>
        <v>0</v>
      </c>
      <c r="AC153" s="545">
        <f ca="1">IF(AND($D153="Serviço",AC$12&lt;&gt;0,$H153&gt;0,OR(AUTOEVENTO&lt;&gt;"manual",$M153&lt;&gt;1)),
IF(Import.TipoArredondamento&lt;&gt;"TransfereGOV",
ROUND(OFFSET($P153,0,AC$13),15-13*ORÇAMENTO!$AF$7)/$H153*OFFSET(ORÇAMENTO!$X$15,ROW(AC153)-ROW(AC$15),0),
ROUND(ROUND(OFFSET($P153,0,AC$13),15-13*ORÇAMENTO!$AF$7)*OFFSET(ORÇAMENTO!$W$15,ROW(AC153)-ROW(AC$15),0),15-13*ORÇAMENTO!$AF$11)),0)</f>
        <v>0</v>
      </c>
      <c r="AD153" s="545">
        <f ca="1">IF(AND($D153="Serviço",AD$12&lt;&gt;0,$H153&gt;0,OR(AUTOEVENTO&lt;&gt;"manual",$M153&lt;&gt;1)),
IF(Import.TipoArredondamento&lt;&gt;"TransfereGOV",
ROUND(OFFSET($P153,0,AD$13),15-13*ORÇAMENTO!$AF$7)/$H153*OFFSET(ORÇAMENTO!$X$15,ROW(AD153)-ROW(AD$15),0),
ROUND(ROUND(OFFSET($P153,0,AD$13),15-13*ORÇAMENTO!$AF$7)*OFFSET(ORÇAMENTO!$W$15,ROW(AD153)-ROW(AD$15),0),15-13*ORÇAMENTO!$AF$11)),0)</f>
        <v>0</v>
      </c>
      <c r="AE153" s="545">
        <f ca="1">IF(AND($D153="Serviço",AE$12&lt;&gt;0,$H153&gt;0,OR(AUTOEVENTO&lt;&gt;"manual",$M153&lt;&gt;1)),
IF(Import.TipoArredondamento&lt;&gt;"TransfereGOV",
ROUND(OFFSET($P153,0,AE$13),15-13*ORÇAMENTO!$AF$7)/$H153*OFFSET(ORÇAMENTO!$X$15,ROW(AE153)-ROW(AE$15),0),
ROUND(ROUND(OFFSET($P153,0,AE$13),15-13*ORÇAMENTO!$AF$7)*OFFSET(ORÇAMENTO!$W$15,ROW(AE153)-ROW(AE$15),0),15-13*ORÇAMENTO!$AF$11)),0)</f>
        <v>0</v>
      </c>
      <c r="AF153" s="545">
        <f ca="1">IF(AND($D153="Serviço",AF$12&lt;&gt;0,$H153&gt;0,OR(AUTOEVENTO&lt;&gt;"manual",$M153&lt;&gt;1)),
IF(Import.TipoArredondamento&lt;&gt;"TransfereGOV",
ROUND(OFFSET($P153,0,AF$13),15-13*ORÇAMENTO!$AF$7)/$H153*OFFSET(ORÇAMENTO!$X$15,ROW(AF153)-ROW(AF$15),0),
ROUND(ROUND(OFFSET($P153,0,AF$13),15-13*ORÇAMENTO!$AF$7)*OFFSET(ORÇAMENTO!$W$15,ROW(AF153)-ROW(AF$15),0),15-13*ORÇAMENTO!$AF$11)),0)</f>
        <v>0</v>
      </c>
      <c r="AG153" s="545">
        <f ca="1">IF(AND($D153="Serviço",AG$12&lt;&gt;0,$H153&gt;0,OR(AUTOEVENTO&lt;&gt;"manual",$M153&lt;&gt;1)),
IF(Import.TipoArredondamento&lt;&gt;"TransfereGOV",
ROUND(OFFSET($P153,0,AG$13),15-13*ORÇAMENTO!$AF$7)/$H153*OFFSET(ORÇAMENTO!$X$15,ROW(AG153)-ROW(AG$15),0),
ROUND(ROUND(OFFSET($P153,0,AG$13),15-13*ORÇAMENTO!$AF$7)*OFFSET(ORÇAMENTO!$W$15,ROW(AG153)-ROW(AG$15),0),15-13*ORÇAMENTO!$AF$11)),0)</f>
        <v>0</v>
      </c>
      <c r="AH153" s="545">
        <f ca="1">IF(AND($D153="Serviço",AH$12&lt;&gt;0,$H153&gt;0,OR(AUTOEVENTO&lt;&gt;"manual",$M153&lt;&gt;1)),
IF(Import.TipoArredondamento&lt;&gt;"TransfereGOV",
ROUND(OFFSET($P153,0,AH$13),15-13*ORÇAMENTO!$AF$7)/$H153*OFFSET(ORÇAMENTO!$X$15,ROW(AH153)-ROW(AH$15),0),
ROUND(ROUND(OFFSET($P153,0,AH$13),15-13*ORÇAMENTO!$AF$7)*OFFSET(ORÇAMENTO!$W$15,ROW(AH153)-ROW(AH$15),0),15-13*ORÇAMENTO!$AF$11)),0)</f>
        <v>0</v>
      </c>
      <c r="AI153" s="545">
        <f ca="1">IF(AND($D153="Serviço",AI$12&lt;&gt;0,$H153&gt;0,OR(AUTOEVENTO&lt;&gt;"manual",$M153&lt;&gt;1)),
IF(Import.TipoArredondamento&lt;&gt;"TransfereGOV",
ROUND(OFFSET($P153,0,AI$13),15-13*ORÇAMENTO!$AF$7)/$H153*OFFSET(ORÇAMENTO!$X$15,ROW(AI153)-ROW(AI$15),0),
ROUND(ROUND(OFFSET($P153,0,AI$13),15-13*ORÇAMENTO!$AF$7)*OFFSET(ORÇAMENTO!$W$15,ROW(AI153)-ROW(AI$15),0),15-13*ORÇAMENTO!$AF$11)),0)</f>
        <v>0</v>
      </c>
      <c r="AJ153" s="545">
        <f ca="1">IF(AND($D153="Serviço",AJ$12&lt;&gt;0,$H153&gt;0,OR(AUTOEVENTO&lt;&gt;"manual",$M153&lt;&gt;1)),
IF(Import.TipoArredondamento&lt;&gt;"TransfereGOV",
ROUND(OFFSET($P153,0,AJ$13),15-13*ORÇAMENTO!$AF$7)/$H153*OFFSET(ORÇAMENTO!$X$15,ROW(AJ153)-ROW(AJ$15),0),
ROUND(ROUND(OFFSET($P153,0,AJ$13),15-13*ORÇAMENTO!$AF$7)*OFFSET(ORÇAMENTO!$W$15,ROW(AJ153)-ROW(AJ$15),0),15-13*ORÇAMENTO!$AF$11)),0)</f>
        <v>0</v>
      </c>
      <c r="AK153" s="546">
        <f ca="1">IF(AND($D153="Serviço",AK$12&lt;&gt;0,$H153&gt;0,OR(AUTOEVENTO&lt;&gt;"manual",$M153&lt;&gt;1)),
IF(Import.TipoArredondamento&lt;&gt;"TransfereGOV",
ROUND(OFFSET($P153,0,AK$13),15-13*ORÇAMENTO!$AF$7)/$H153*OFFSET(ORÇAMENTO!$X$15,ROW(AK153)-ROW(AK$15),0),
ROUND(ROUND(OFFSET($P153,0,AK$13),15-13*ORÇAMENTO!$AF$7)*OFFSET(ORÇAMENTO!$W$15,ROW(AK153)-ROW(AK$15),0),15-13*ORÇAMENTO!$AF$11)),0)</f>
        <v>0</v>
      </c>
      <c r="AM153" s="181">
        <f ca="1">IF($D153&lt;&gt;"Serviço",0,IF(AND(AUTOEVENTO="Manual",$M153=1),0,IF(OFFSET(CRONOPLE!$F$14,$M153,AM$13)="",10^12,OFFSET(CRONOPLE!$F$14,$M153,AM$13))))</f>
        <v>1000000000000</v>
      </c>
      <c r="AN153" s="181">
        <f ca="1">IF($D153&lt;&gt;"Serviço",0,IF(AND(AUTOEVENTO="Manual",$M153=1),0,IF(OFFSET(CRONOPLE!$F$14,$M153,AN$13)="",10^12,OFFSET(CRONOPLE!$F$14,$M153,AN$13))))</f>
        <v>1000000000000</v>
      </c>
      <c r="AO153" s="181">
        <f ca="1">IF($D153&lt;&gt;"Serviço",0,IF(AND(AUTOEVENTO="Manual",$M153=1),0,IF(OFFSET(CRONOPLE!$F$14,$M153,AO$13)="",10^12,OFFSET(CRONOPLE!$F$14,$M153,AO$13))))</f>
        <v>1000000000000</v>
      </c>
      <c r="AP153" s="181">
        <f ca="1">IF($D153&lt;&gt;"Serviço",0,IF(AND(AUTOEVENTO="Manual",$M153=1),0,IF(OFFSET(CRONOPLE!$F$14,$M153,AP$13)="",10^12,OFFSET(CRONOPLE!$F$14,$M153,AP$13))))</f>
        <v>1000000000000</v>
      </c>
      <c r="AQ153" s="181">
        <f ca="1">IF($D153&lt;&gt;"Serviço",0,IF(AND(AUTOEVENTO="Manual",$M153=1),0,IF(OFFSET(CRONOPLE!$F$14,$M153,AQ$13)="",10^12,OFFSET(CRONOPLE!$F$14,$M153,AQ$13))))</f>
        <v>1000000000000</v>
      </c>
      <c r="AR153" s="181">
        <f ca="1">IF($D153&lt;&gt;"Serviço",0,IF(AND(AUTOEVENTO="Manual",$M153=1),0,IF(OFFSET(CRONOPLE!$F$14,$M153,AR$13)="",10^12,OFFSET(CRONOPLE!$F$14,$M153,AR$13))))</f>
        <v>1000000000000</v>
      </c>
      <c r="AS153" s="181">
        <f ca="1">IF($D153&lt;&gt;"Serviço",0,IF(AND(AUTOEVENTO="Manual",$M153=1),0,IF(OFFSET(CRONOPLE!$F$14,$M153,AS$13)="",10^12,OFFSET(CRONOPLE!$F$14,$M153,AS$13))))</f>
        <v>1000000000000</v>
      </c>
      <c r="AT153" s="181">
        <f ca="1">IF($D153&lt;&gt;"Serviço",0,IF(AND(AUTOEVENTO="Manual",$M153=1),0,IF(OFFSET(CRONOPLE!$F$14,$M153,AT$13)="",10^12,OFFSET(CRONOPLE!$F$14,$M153,AT$13))))</f>
        <v>1000000000000</v>
      </c>
      <c r="AU153" s="181">
        <f ca="1">IF($D153&lt;&gt;"Serviço",0,IF(AND(AUTOEVENTO="Manual",$M153=1),0,IF(OFFSET(CRONOPLE!$F$14,$M153,AU$13)="",10^12,OFFSET(CRONOPLE!$F$14,$M153,AU$13))))</f>
        <v>1000000000000</v>
      </c>
      <c r="AV153" s="181">
        <f ca="1">IF($D153&lt;&gt;"Serviço",0,IF(AND(AUTOEVENTO="Manual",$M153=1),0,IF(OFFSET(CRONOPLE!$F$14,$M153,AV$13)="",10^12,OFFSET(CRONOPLE!$F$14,$M153,AV$13))))</f>
        <v>1000000000000</v>
      </c>
      <c r="AX153" s="182">
        <f ca="1">IF($D153&lt;&gt;"Serviço",0,IF(OR(AND(AUTOEVENTO="Manual",$M153=1),$M153&gt;(ROW(PLE.lastrow)-ROW(PLE.firstrow))),0,IF(OFFSET(PLE!$G$14,$M153,AX$13)="",10^12,OFFSET(PLE!$G$14,$M153,AX$13))))</f>
        <v>1000000000000</v>
      </c>
      <c r="AY153" s="182">
        <f ca="1">IF($D153&lt;&gt;"Serviço",0,IF(OR(AND(AUTOEVENTO="Manual",$M153=1),$M153&gt;(ROW(PLE.lastrow)-ROW(PLE.firstrow))),0,IF(OFFSET(PLE!$G$14,$M153,AY$13)="",10^12,OFFSET(PLE!$G$14,$M153,AY$13))))</f>
        <v>1000000000000</v>
      </c>
      <c r="AZ153" s="182">
        <f ca="1">IF($D153&lt;&gt;"Serviço",0,IF(OR(AND(AUTOEVENTO="Manual",$M153=1),$M153&gt;(ROW(PLE.lastrow)-ROW(PLE.firstrow))),0,IF(OFFSET(PLE!$G$14,$M153,AZ$13)="",10^12,OFFSET(PLE!$G$14,$M153,AZ$13))))</f>
        <v>1000000000000</v>
      </c>
      <c r="BA153" s="182">
        <f ca="1">IF($D153&lt;&gt;"Serviço",0,IF(OR(AND(AUTOEVENTO="Manual",$M153=1),$M153&gt;(ROW(PLE.lastrow)-ROW(PLE.firstrow))),0,IF(OFFSET(PLE!$G$14,$M153,BA$13)="",10^12,OFFSET(PLE!$G$14,$M153,BA$13))))</f>
        <v>1000000000000</v>
      </c>
      <c r="BB153" s="182">
        <f ca="1">IF($D153&lt;&gt;"Serviço",0,IF(OR(AND(AUTOEVENTO="Manual",$M153=1),$M153&gt;(ROW(PLE.lastrow)-ROW(PLE.firstrow))),0,IF(OFFSET(PLE!$G$14,$M153,BB$13)="",10^12,OFFSET(PLE!$G$14,$M153,BB$13))))</f>
        <v>1000000000000</v>
      </c>
      <c r="BC153" s="182">
        <f ca="1">IF($D153&lt;&gt;"Serviço",0,IF(OR(AND(AUTOEVENTO="Manual",$M153=1),$M153&gt;(ROW(PLE.lastrow)-ROW(PLE.firstrow))),0,IF(OFFSET(PLE!$G$14,$M153,BC$13)="",10^12,OFFSET(PLE!$G$14,$M153,BC$13))))</f>
        <v>1000000000000</v>
      </c>
      <c r="BD153" s="182">
        <f ca="1">IF($D153&lt;&gt;"Serviço",0,IF(OR(AND(AUTOEVENTO="Manual",$M153=1),$M153&gt;(ROW(PLE.lastrow)-ROW(PLE.firstrow))),0,IF(OFFSET(PLE!$G$14,$M153,BD$13)="",10^12,OFFSET(PLE!$G$14,$M153,BD$13))))</f>
        <v>1000000000000</v>
      </c>
      <c r="BE153" s="182">
        <f ca="1">IF($D153&lt;&gt;"Serviço",0,IF(OR(AND(AUTOEVENTO="Manual",$M153=1),$M153&gt;(ROW(PLE.lastrow)-ROW(PLE.firstrow))),0,IF(OFFSET(PLE!$G$14,$M153,BE$13)="",10^12,OFFSET(PLE!$G$14,$M153,BE$13))))</f>
        <v>1000000000000</v>
      </c>
      <c r="BF153" s="182">
        <f ca="1">IF($D153&lt;&gt;"Serviço",0,IF(OR(AND(AUTOEVENTO="Manual",$M153=1),$M153&gt;(ROW(PLE.lastrow)-ROW(PLE.firstrow))),0,IF(OFFSET(PLE!$G$14,$M153,BF$13)="",10^12,OFFSET(PLE!$G$14,$M153,BF$13))))</f>
        <v>1000000000000</v>
      </c>
      <c r="BG153" s="182">
        <f ca="1">IF($D153&lt;&gt;"Serviço",0,IF(OR(AND(AUTOEVENTO="Manual",$M153=1),$M153&gt;(ROW(PLE.lastrow)-ROW(PLE.firstrow))),0,IF(OFFSET(PLE!$G$14,$M153,BG$13)="",10^12,OFFSET(PLE!$G$14,$M153,BG$13))))</f>
        <v>1000000000000</v>
      </c>
    </row>
    <row r="154" spans="1:59" ht="12.75" x14ac:dyDescent="0.2">
      <c r="A154" s="7" t="str">
        <f t="shared" ca="1" si="9"/>
        <v>71</v>
      </c>
      <c r="B154" s="7">
        <f ca="1">OFFSET(ORÇAMENTO!C$15,ROW(B154)-ROW(B$15),0)</f>
        <v>3</v>
      </c>
      <c r="C154" s="7" t="str">
        <f ca="1">OFFSET(ORÇAMENTO!L$15,ROW(C154)-ROW(C$15),0)</f>
        <v>F</v>
      </c>
      <c r="D154" s="118" t="str">
        <f ca="1">OFFSET(ORÇAMENTO!N$15,ROW(D154)-ROW(D$15),0)</f>
        <v>Nível 3</v>
      </c>
      <c r="E154" s="119" t="str">
        <f ca="1">OFFSET(ORÇAMENTO!O$15,ROW(E154)-ROW(E$15),0)</f>
        <v>1.6.15.</v>
      </c>
      <c r="F154" s="172" t="str">
        <f ca="1">OFFSET(ORÇAMENTO!R$15,ROW(F154)-ROW(F$15),0)</f>
        <v>COMUNICAÇÃO VISUAL</v>
      </c>
      <c r="G154" s="173" t="str">
        <f ca="1">IF($D154&lt;&gt;"Serviço","",OFFSET(ORÇAMENTO!S$15,ROW(G154)-ROW(G$15),0))</f>
        <v/>
      </c>
      <c r="H154" s="124">
        <f ca="1">IF($D154&lt;&gt;"Serviço",0,IF(ACOMPANHAMENTO="BM",ROUND(OFFSET(ORÇAMENTO!AJ$15,ROW(H154)-ROW(H$15),0),15-13*ORÇAMENTO!$AF$7),SUMPRODUCT(($Q$12:$AA$12&lt;&gt;"")*ROUND($Q154:$AA154,15-13*ORÇAMENTO!$AF$7))))</f>
        <v>0</v>
      </c>
      <c r="I154" s="561"/>
      <c r="K154" s="174"/>
      <c r="L154" s="175" t="s">
        <v>255</v>
      </c>
      <c r="M154" s="176" t="str">
        <f ca="1">IF($D154&lt;&gt;"Serviço","",IF(AUTOEVENTO="manual",$A154,IF(ISERROR(MATCH($A154,$A$15:OFFSET($A154,-1,0),0)),MAX($M$15:OFFSET(M154,-1,0))+1,INDEX($M$15:OFFSET(M154,-1,0),MATCH($A154,$A$15:OFFSET($A154,-1,0),0)))))</f>
        <v/>
      </c>
      <c r="N154" s="177" t="str">
        <f ca="1">IF($D154&lt;&gt;"Serviço","",IF(AUTOEVENTO="Manual",IF($A154=0,"&lt;-- defina o número do agrupador",OFFSET(EVENTOS!$D$14,$A154,0)),OFFSET($F$15,$A154,0)))</f>
        <v/>
      </c>
      <c r="O154" s="178"/>
      <c r="Q154" s="178"/>
      <c r="R154" s="179"/>
      <c r="S154" s="179"/>
      <c r="T154" s="179"/>
      <c r="U154" s="179"/>
      <c r="V154" s="179"/>
      <c r="W154" s="179"/>
      <c r="X154" s="179"/>
      <c r="Y154" s="179"/>
      <c r="Z154" s="180"/>
      <c r="AB154" s="544">
        <f ca="1">IF(AND($D154="Serviço",AB$12&lt;&gt;0,$H154&gt;0,OR(AUTOEVENTO&lt;&gt;"manual",$M154&lt;&gt;1)),
IF(Import.TipoArredondamento&lt;&gt;"TransfereGOV",
ROUND(OFFSET($P154,0,AB$13),15-13*ORÇAMENTO!$AF$7)/$H154*OFFSET(ORÇAMENTO!$X$15,ROW(AB154)-ROW(AB$15),0),
ROUND(ROUND(OFFSET($P154,0,AB$13),15-13*ORÇAMENTO!$AF$7)*OFFSET(ORÇAMENTO!$W$15,ROW(AB154)-ROW(AB$15),0),15-13*ORÇAMENTO!$AF$11)),0)</f>
        <v>0</v>
      </c>
      <c r="AC154" s="545">
        <f ca="1">IF(AND($D154="Serviço",AC$12&lt;&gt;0,$H154&gt;0,OR(AUTOEVENTO&lt;&gt;"manual",$M154&lt;&gt;1)),
IF(Import.TipoArredondamento&lt;&gt;"TransfereGOV",
ROUND(OFFSET($P154,0,AC$13),15-13*ORÇAMENTO!$AF$7)/$H154*OFFSET(ORÇAMENTO!$X$15,ROW(AC154)-ROW(AC$15),0),
ROUND(ROUND(OFFSET($P154,0,AC$13),15-13*ORÇAMENTO!$AF$7)*OFFSET(ORÇAMENTO!$W$15,ROW(AC154)-ROW(AC$15),0),15-13*ORÇAMENTO!$AF$11)),0)</f>
        <v>0</v>
      </c>
      <c r="AD154" s="545">
        <f ca="1">IF(AND($D154="Serviço",AD$12&lt;&gt;0,$H154&gt;0,OR(AUTOEVENTO&lt;&gt;"manual",$M154&lt;&gt;1)),
IF(Import.TipoArredondamento&lt;&gt;"TransfereGOV",
ROUND(OFFSET($P154,0,AD$13),15-13*ORÇAMENTO!$AF$7)/$H154*OFFSET(ORÇAMENTO!$X$15,ROW(AD154)-ROW(AD$15),0),
ROUND(ROUND(OFFSET($P154,0,AD$13),15-13*ORÇAMENTO!$AF$7)*OFFSET(ORÇAMENTO!$W$15,ROW(AD154)-ROW(AD$15),0),15-13*ORÇAMENTO!$AF$11)),0)</f>
        <v>0</v>
      </c>
      <c r="AE154" s="545">
        <f ca="1">IF(AND($D154="Serviço",AE$12&lt;&gt;0,$H154&gt;0,OR(AUTOEVENTO&lt;&gt;"manual",$M154&lt;&gt;1)),
IF(Import.TipoArredondamento&lt;&gt;"TransfereGOV",
ROUND(OFFSET($P154,0,AE$13),15-13*ORÇAMENTO!$AF$7)/$H154*OFFSET(ORÇAMENTO!$X$15,ROW(AE154)-ROW(AE$15),0),
ROUND(ROUND(OFFSET($P154,0,AE$13),15-13*ORÇAMENTO!$AF$7)*OFFSET(ORÇAMENTO!$W$15,ROW(AE154)-ROW(AE$15),0),15-13*ORÇAMENTO!$AF$11)),0)</f>
        <v>0</v>
      </c>
      <c r="AF154" s="545">
        <f ca="1">IF(AND($D154="Serviço",AF$12&lt;&gt;0,$H154&gt;0,OR(AUTOEVENTO&lt;&gt;"manual",$M154&lt;&gt;1)),
IF(Import.TipoArredondamento&lt;&gt;"TransfereGOV",
ROUND(OFFSET($P154,0,AF$13),15-13*ORÇAMENTO!$AF$7)/$H154*OFFSET(ORÇAMENTO!$X$15,ROW(AF154)-ROW(AF$15),0),
ROUND(ROUND(OFFSET($P154,0,AF$13),15-13*ORÇAMENTO!$AF$7)*OFFSET(ORÇAMENTO!$W$15,ROW(AF154)-ROW(AF$15),0),15-13*ORÇAMENTO!$AF$11)),0)</f>
        <v>0</v>
      </c>
      <c r="AG154" s="545">
        <f ca="1">IF(AND($D154="Serviço",AG$12&lt;&gt;0,$H154&gt;0,OR(AUTOEVENTO&lt;&gt;"manual",$M154&lt;&gt;1)),
IF(Import.TipoArredondamento&lt;&gt;"TransfereGOV",
ROUND(OFFSET($P154,0,AG$13),15-13*ORÇAMENTO!$AF$7)/$H154*OFFSET(ORÇAMENTO!$X$15,ROW(AG154)-ROW(AG$15),0),
ROUND(ROUND(OFFSET($P154,0,AG$13),15-13*ORÇAMENTO!$AF$7)*OFFSET(ORÇAMENTO!$W$15,ROW(AG154)-ROW(AG$15),0),15-13*ORÇAMENTO!$AF$11)),0)</f>
        <v>0</v>
      </c>
      <c r="AH154" s="545">
        <f ca="1">IF(AND($D154="Serviço",AH$12&lt;&gt;0,$H154&gt;0,OR(AUTOEVENTO&lt;&gt;"manual",$M154&lt;&gt;1)),
IF(Import.TipoArredondamento&lt;&gt;"TransfereGOV",
ROUND(OFFSET($P154,0,AH$13),15-13*ORÇAMENTO!$AF$7)/$H154*OFFSET(ORÇAMENTO!$X$15,ROW(AH154)-ROW(AH$15),0),
ROUND(ROUND(OFFSET($P154,0,AH$13),15-13*ORÇAMENTO!$AF$7)*OFFSET(ORÇAMENTO!$W$15,ROW(AH154)-ROW(AH$15),0),15-13*ORÇAMENTO!$AF$11)),0)</f>
        <v>0</v>
      </c>
      <c r="AI154" s="545">
        <f ca="1">IF(AND($D154="Serviço",AI$12&lt;&gt;0,$H154&gt;0,OR(AUTOEVENTO&lt;&gt;"manual",$M154&lt;&gt;1)),
IF(Import.TipoArredondamento&lt;&gt;"TransfereGOV",
ROUND(OFFSET($P154,0,AI$13),15-13*ORÇAMENTO!$AF$7)/$H154*OFFSET(ORÇAMENTO!$X$15,ROW(AI154)-ROW(AI$15),0),
ROUND(ROUND(OFFSET($P154,0,AI$13),15-13*ORÇAMENTO!$AF$7)*OFFSET(ORÇAMENTO!$W$15,ROW(AI154)-ROW(AI$15),0),15-13*ORÇAMENTO!$AF$11)),0)</f>
        <v>0</v>
      </c>
      <c r="AJ154" s="545">
        <f ca="1">IF(AND($D154="Serviço",AJ$12&lt;&gt;0,$H154&gt;0,OR(AUTOEVENTO&lt;&gt;"manual",$M154&lt;&gt;1)),
IF(Import.TipoArredondamento&lt;&gt;"TransfereGOV",
ROUND(OFFSET($P154,0,AJ$13),15-13*ORÇAMENTO!$AF$7)/$H154*OFFSET(ORÇAMENTO!$X$15,ROW(AJ154)-ROW(AJ$15),0),
ROUND(ROUND(OFFSET($P154,0,AJ$13),15-13*ORÇAMENTO!$AF$7)*OFFSET(ORÇAMENTO!$W$15,ROW(AJ154)-ROW(AJ$15),0),15-13*ORÇAMENTO!$AF$11)),0)</f>
        <v>0</v>
      </c>
      <c r="AK154" s="546">
        <f ca="1">IF(AND($D154="Serviço",AK$12&lt;&gt;0,$H154&gt;0,OR(AUTOEVENTO&lt;&gt;"manual",$M154&lt;&gt;1)),
IF(Import.TipoArredondamento&lt;&gt;"TransfereGOV",
ROUND(OFFSET($P154,0,AK$13),15-13*ORÇAMENTO!$AF$7)/$H154*OFFSET(ORÇAMENTO!$X$15,ROW(AK154)-ROW(AK$15),0),
ROUND(ROUND(OFFSET($P154,0,AK$13),15-13*ORÇAMENTO!$AF$7)*OFFSET(ORÇAMENTO!$W$15,ROW(AK154)-ROW(AK$15),0),15-13*ORÇAMENTO!$AF$11)),0)</f>
        <v>0</v>
      </c>
      <c r="AM154" s="181">
        <f ca="1">IF($D154&lt;&gt;"Serviço",0,IF(AND(AUTOEVENTO="Manual",$M154=1),0,IF(OFFSET(CRONOPLE!$F$14,$M154,AM$13)="",10^12,OFFSET(CRONOPLE!$F$14,$M154,AM$13))))</f>
        <v>0</v>
      </c>
      <c r="AN154" s="181">
        <f ca="1">IF($D154&lt;&gt;"Serviço",0,IF(AND(AUTOEVENTO="Manual",$M154=1),0,IF(OFFSET(CRONOPLE!$F$14,$M154,AN$13)="",10^12,OFFSET(CRONOPLE!$F$14,$M154,AN$13))))</f>
        <v>0</v>
      </c>
      <c r="AO154" s="181">
        <f ca="1">IF($D154&lt;&gt;"Serviço",0,IF(AND(AUTOEVENTO="Manual",$M154=1),0,IF(OFFSET(CRONOPLE!$F$14,$M154,AO$13)="",10^12,OFFSET(CRONOPLE!$F$14,$M154,AO$13))))</f>
        <v>0</v>
      </c>
      <c r="AP154" s="181">
        <f ca="1">IF($D154&lt;&gt;"Serviço",0,IF(AND(AUTOEVENTO="Manual",$M154=1),0,IF(OFFSET(CRONOPLE!$F$14,$M154,AP$13)="",10^12,OFFSET(CRONOPLE!$F$14,$M154,AP$13))))</f>
        <v>0</v>
      </c>
      <c r="AQ154" s="181">
        <f ca="1">IF($D154&lt;&gt;"Serviço",0,IF(AND(AUTOEVENTO="Manual",$M154=1),0,IF(OFFSET(CRONOPLE!$F$14,$M154,AQ$13)="",10^12,OFFSET(CRONOPLE!$F$14,$M154,AQ$13))))</f>
        <v>0</v>
      </c>
      <c r="AR154" s="181">
        <f ca="1">IF($D154&lt;&gt;"Serviço",0,IF(AND(AUTOEVENTO="Manual",$M154=1),0,IF(OFFSET(CRONOPLE!$F$14,$M154,AR$13)="",10^12,OFFSET(CRONOPLE!$F$14,$M154,AR$13))))</f>
        <v>0</v>
      </c>
      <c r="AS154" s="181">
        <f ca="1">IF($D154&lt;&gt;"Serviço",0,IF(AND(AUTOEVENTO="Manual",$M154=1),0,IF(OFFSET(CRONOPLE!$F$14,$M154,AS$13)="",10^12,OFFSET(CRONOPLE!$F$14,$M154,AS$13))))</f>
        <v>0</v>
      </c>
      <c r="AT154" s="181">
        <f ca="1">IF($D154&lt;&gt;"Serviço",0,IF(AND(AUTOEVENTO="Manual",$M154=1),0,IF(OFFSET(CRONOPLE!$F$14,$M154,AT$13)="",10^12,OFFSET(CRONOPLE!$F$14,$M154,AT$13))))</f>
        <v>0</v>
      </c>
      <c r="AU154" s="181">
        <f ca="1">IF($D154&lt;&gt;"Serviço",0,IF(AND(AUTOEVENTO="Manual",$M154=1),0,IF(OFFSET(CRONOPLE!$F$14,$M154,AU$13)="",10^12,OFFSET(CRONOPLE!$F$14,$M154,AU$13))))</f>
        <v>0</v>
      </c>
      <c r="AV154" s="181">
        <f ca="1">IF($D154&lt;&gt;"Serviço",0,IF(AND(AUTOEVENTO="Manual",$M154=1),0,IF(OFFSET(CRONOPLE!$F$14,$M154,AV$13)="",10^12,OFFSET(CRONOPLE!$F$14,$M154,AV$13))))</f>
        <v>0</v>
      </c>
      <c r="AX154" s="182">
        <f ca="1">IF($D154&lt;&gt;"Serviço",0,IF(OR(AND(AUTOEVENTO="Manual",$M154=1),$M154&gt;(ROW(PLE.lastrow)-ROW(PLE.firstrow))),0,IF(OFFSET(PLE!$G$14,$M154,AX$13)="",10^12,OFFSET(PLE!$G$14,$M154,AX$13))))</f>
        <v>0</v>
      </c>
      <c r="AY154" s="182">
        <f ca="1">IF($D154&lt;&gt;"Serviço",0,IF(OR(AND(AUTOEVENTO="Manual",$M154=1),$M154&gt;(ROW(PLE.lastrow)-ROW(PLE.firstrow))),0,IF(OFFSET(PLE!$G$14,$M154,AY$13)="",10^12,OFFSET(PLE!$G$14,$M154,AY$13))))</f>
        <v>0</v>
      </c>
      <c r="AZ154" s="182">
        <f ca="1">IF($D154&lt;&gt;"Serviço",0,IF(OR(AND(AUTOEVENTO="Manual",$M154=1),$M154&gt;(ROW(PLE.lastrow)-ROW(PLE.firstrow))),0,IF(OFFSET(PLE!$G$14,$M154,AZ$13)="",10^12,OFFSET(PLE!$G$14,$M154,AZ$13))))</f>
        <v>0</v>
      </c>
      <c r="BA154" s="182">
        <f ca="1">IF($D154&lt;&gt;"Serviço",0,IF(OR(AND(AUTOEVENTO="Manual",$M154=1),$M154&gt;(ROW(PLE.lastrow)-ROW(PLE.firstrow))),0,IF(OFFSET(PLE!$G$14,$M154,BA$13)="",10^12,OFFSET(PLE!$G$14,$M154,BA$13))))</f>
        <v>0</v>
      </c>
      <c r="BB154" s="182">
        <f ca="1">IF($D154&lt;&gt;"Serviço",0,IF(OR(AND(AUTOEVENTO="Manual",$M154=1),$M154&gt;(ROW(PLE.lastrow)-ROW(PLE.firstrow))),0,IF(OFFSET(PLE!$G$14,$M154,BB$13)="",10^12,OFFSET(PLE!$G$14,$M154,BB$13))))</f>
        <v>0</v>
      </c>
      <c r="BC154" s="182">
        <f ca="1">IF($D154&lt;&gt;"Serviço",0,IF(OR(AND(AUTOEVENTO="Manual",$M154=1),$M154&gt;(ROW(PLE.lastrow)-ROW(PLE.firstrow))),0,IF(OFFSET(PLE!$G$14,$M154,BC$13)="",10^12,OFFSET(PLE!$G$14,$M154,BC$13))))</f>
        <v>0</v>
      </c>
      <c r="BD154" s="182">
        <f ca="1">IF($D154&lt;&gt;"Serviço",0,IF(OR(AND(AUTOEVENTO="Manual",$M154=1),$M154&gt;(ROW(PLE.lastrow)-ROW(PLE.firstrow))),0,IF(OFFSET(PLE!$G$14,$M154,BD$13)="",10^12,OFFSET(PLE!$G$14,$M154,BD$13))))</f>
        <v>0</v>
      </c>
      <c r="BE154" s="182">
        <f ca="1">IF($D154&lt;&gt;"Serviço",0,IF(OR(AND(AUTOEVENTO="Manual",$M154=1),$M154&gt;(ROW(PLE.lastrow)-ROW(PLE.firstrow))),0,IF(OFFSET(PLE!$G$14,$M154,BE$13)="",10^12,OFFSET(PLE!$G$14,$M154,BE$13))))</f>
        <v>0</v>
      </c>
      <c r="BF154" s="182">
        <f ca="1">IF($D154&lt;&gt;"Serviço",0,IF(OR(AND(AUTOEVENTO="Manual",$M154=1),$M154&gt;(ROW(PLE.lastrow)-ROW(PLE.firstrow))),0,IF(OFFSET(PLE!$G$14,$M154,BF$13)="",10^12,OFFSET(PLE!$G$14,$M154,BF$13))))</f>
        <v>0</v>
      </c>
      <c r="BG154" s="182">
        <f ca="1">IF($D154&lt;&gt;"Serviço",0,IF(OR(AND(AUTOEVENTO="Manual",$M154=1),$M154&gt;(ROW(PLE.lastrow)-ROW(PLE.firstrow))),0,IF(OFFSET(PLE!$G$14,$M154,BG$13)="",10^12,OFFSET(PLE!$G$14,$M154,BG$13))))</f>
        <v>0</v>
      </c>
    </row>
    <row r="155" spans="1:59" ht="25.5" x14ac:dyDescent="0.2">
      <c r="A155" s="7" t="str">
        <f t="shared" ca="1" si="9"/>
        <v>71</v>
      </c>
      <c r="B155" s="7" t="str">
        <f ca="1">OFFSET(ORÇAMENTO!C$15,ROW(B155)-ROW(B$15),0)</f>
        <v>S</v>
      </c>
      <c r="C155" s="7" t="str">
        <f ca="1">OFFSET(ORÇAMENTO!L$15,ROW(C155)-ROW(C$15),0)</f>
        <v>F</v>
      </c>
      <c r="D155" s="118" t="str">
        <f ca="1">OFFSET(ORÇAMENTO!N$15,ROW(D155)-ROW(D$15),0)</f>
        <v>Serviço</v>
      </c>
      <c r="E155" s="119" t="str">
        <f ca="1">OFFSET(ORÇAMENTO!O$15,ROW(E155)-ROW(E$15),0)</f>
        <v>1.6.15.1.</v>
      </c>
      <c r="F155" s="172" t="str">
        <f ca="1">OFFSET(ORÇAMENTO!R$15,ROW(F155)-ROW(F$15),0)</f>
        <v>(abra o arquivo 'Referência 03-2024.xlsm)</v>
      </c>
      <c r="G155" s="173" t="str">
        <f ca="1">IF($D155&lt;&gt;"Serviço","",OFFSET(ORÇAMENTO!S$15,ROW(G155)-ROW(G$15),0))</f>
        <v>-</v>
      </c>
      <c r="H155" s="124">
        <f ca="1">IF($D155&lt;&gt;"Serviço",0,IF(ACOMPANHAMENTO="BM",ROUND(OFFSET(ORÇAMENTO!AJ$15,ROW(H155)-ROW(H$15),0),15-13*ORÇAMENTO!$AF$7),SUMPRODUCT(($Q$12:$AA$12&lt;&gt;"")*ROUND($Q155:$AA155,15-13*ORÇAMENTO!$AF$7))))</f>
        <v>2</v>
      </c>
      <c r="I155" s="561"/>
      <c r="K155" s="174"/>
      <c r="L155" s="175" t="s">
        <v>255</v>
      </c>
      <c r="M155" s="176">
        <f ca="1">IF($D155&lt;&gt;"Serviço","",IF(AUTOEVENTO="manual",$A155,IF(ISERROR(MATCH($A155,$A$15:OFFSET($A155,-1,0),0)),MAX($M$15:OFFSET(M155,-1,0))+1,INDEX($M$15:OFFSET(M155,-1,0),MATCH($A155,$A$15:OFFSET($A155,-1,0),0)))))</f>
        <v>7</v>
      </c>
      <c r="N155" s="177" t="str">
        <f ca="1">IF($D155&lt;&gt;"Serviço","",IF(AUTOEVENTO="Manual",IF($A155=0,"&lt;-- defina o número do agrupador",OFFSET(EVENTOS!$D$14,$A155,0)),OFFSET($F$15,$A155,0)))</f>
        <v>SANITÁRIO PÚBLICO ACESSÍVEL</v>
      </c>
      <c r="O155" s="178"/>
      <c r="Q155" s="178"/>
      <c r="R155" s="179"/>
      <c r="S155" s="179"/>
      <c r="T155" s="179"/>
      <c r="U155" s="179"/>
      <c r="V155" s="179"/>
      <c r="W155" s="179"/>
      <c r="X155" s="179"/>
      <c r="Y155" s="179"/>
      <c r="Z155" s="180"/>
      <c r="AB155" s="544">
        <f ca="1">IF(AND($D155="Serviço",AB$12&lt;&gt;0,$H155&gt;0,OR(AUTOEVENTO&lt;&gt;"manual",$M155&lt;&gt;1)),
IF(Import.TipoArredondamento&lt;&gt;"TransfereGOV",
ROUND(OFFSET($P155,0,AB$13),15-13*ORÇAMENTO!$AF$7)/$H155*OFFSET(ORÇAMENTO!$X$15,ROW(AB155)-ROW(AB$15),0),
ROUND(ROUND(OFFSET($P155,0,AB$13),15-13*ORÇAMENTO!$AF$7)*OFFSET(ORÇAMENTO!$W$15,ROW(AB155)-ROW(AB$15),0),15-13*ORÇAMENTO!$AF$11)),0)</f>
        <v>0</v>
      </c>
      <c r="AC155" s="545">
        <f ca="1">IF(AND($D155="Serviço",AC$12&lt;&gt;0,$H155&gt;0,OR(AUTOEVENTO&lt;&gt;"manual",$M155&lt;&gt;1)),
IF(Import.TipoArredondamento&lt;&gt;"TransfereGOV",
ROUND(OFFSET($P155,0,AC$13),15-13*ORÇAMENTO!$AF$7)/$H155*OFFSET(ORÇAMENTO!$X$15,ROW(AC155)-ROW(AC$15),0),
ROUND(ROUND(OFFSET($P155,0,AC$13),15-13*ORÇAMENTO!$AF$7)*OFFSET(ORÇAMENTO!$W$15,ROW(AC155)-ROW(AC$15),0),15-13*ORÇAMENTO!$AF$11)),0)</f>
        <v>0</v>
      </c>
      <c r="AD155" s="545">
        <f ca="1">IF(AND($D155="Serviço",AD$12&lt;&gt;0,$H155&gt;0,OR(AUTOEVENTO&lt;&gt;"manual",$M155&lt;&gt;1)),
IF(Import.TipoArredondamento&lt;&gt;"TransfereGOV",
ROUND(OFFSET($P155,0,AD$13),15-13*ORÇAMENTO!$AF$7)/$H155*OFFSET(ORÇAMENTO!$X$15,ROW(AD155)-ROW(AD$15),0),
ROUND(ROUND(OFFSET($P155,0,AD$13),15-13*ORÇAMENTO!$AF$7)*OFFSET(ORÇAMENTO!$W$15,ROW(AD155)-ROW(AD$15),0),15-13*ORÇAMENTO!$AF$11)),0)</f>
        <v>0</v>
      </c>
      <c r="AE155" s="545">
        <f ca="1">IF(AND($D155="Serviço",AE$12&lt;&gt;0,$H155&gt;0,OR(AUTOEVENTO&lt;&gt;"manual",$M155&lt;&gt;1)),
IF(Import.TipoArredondamento&lt;&gt;"TransfereGOV",
ROUND(OFFSET($P155,0,AE$13),15-13*ORÇAMENTO!$AF$7)/$H155*OFFSET(ORÇAMENTO!$X$15,ROW(AE155)-ROW(AE$15),0),
ROUND(ROUND(OFFSET($P155,0,AE$13),15-13*ORÇAMENTO!$AF$7)*OFFSET(ORÇAMENTO!$W$15,ROW(AE155)-ROW(AE$15),0),15-13*ORÇAMENTO!$AF$11)),0)</f>
        <v>0</v>
      </c>
      <c r="AF155" s="545">
        <f ca="1">IF(AND($D155="Serviço",AF$12&lt;&gt;0,$H155&gt;0,OR(AUTOEVENTO&lt;&gt;"manual",$M155&lt;&gt;1)),
IF(Import.TipoArredondamento&lt;&gt;"TransfereGOV",
ROUND(OFFSET($P155,0,AF$13),15-13*ORÇAMENTO!$AF$7)/$H155*OFFSET(ORÇAMENTO!$X$15,ROW(AF155)-ROW(AF$15),0),
ROUND(ROUND(OFFSET($P155,0,AF$13),15-13*ORÇAMENTO!$AF$7)*OFFSET(ORÇAMENTO!$W$15,ROW(AF155)-ROW(AF$15),0),15-13*ORÇAMENTO!$AF$11)),0)</f>
        <v>0</v>
      </c>
      <c r="AG155" s="545">
        <f ca="1">IF(AND($D155="Serviço",AG$12&lt;&gt;0,$H155&gt;0,OR(AUTOEVENTO&lt;&gt;"manual",$M155&lt;&gt;1)),
IF(Import.TipoArredondamento&lt;&gt;"TransfereGOV",
ROUND(OFFSET($P155,0,AG$13),15-13*ORÇAMENTO!$AF$7)/$H155*OFFSET(ORÇAMENTO!$X$15,ROW(AG155)-ROW(AG$15),0),
ROUND(ROUND(OFFSET($P155,0,AG$13),15-13*ORÇAMENTO!$AF$7)*OFFSET(ORÇAMENTO!$W$15,ROW(AG155)-ROW(AG$15),0),15-13*ORÇAMENTO!$AF$11)),0)</f>
        <v>0</v>
      </c>
      <c r="AH155" s="545">
        <f ca="1">IF(AND($D155="Serviço",AH$12&lt;&gt;0,$H155&gt;0,OR(AUTOEVENTO&lt;&gt;"manual",$M155&lt;&gt;1)),
IF(Import.TipoArredondamento&lt;&gt;"TransfereGOV",
ROUND(OFFSET($P155,0,AH$13),15-13*ORÇAMENTO!$AF$7)/$H155*OFFSET(ORÇAMENTO!$X$15,ROW(AH155)-ROW(AH$15),0),
ROUND(ROUND(OFFSET($P155,0,AH$13),15-13*ORÇAMENTO!$AF$7)*OFFSET(ORÇAMENTO!$W$15,ROW(AH155)-ROW(AH$15),0),15-13*ORÇAMENTO!$AF$11)),0)</f>
        <v>0</v>
      </c>
      <c r="AI155" s="545">
        <f ca="1">IF(AND($D155="Serviço",AI$12&lt;&gt;0,$H155&gt;0,OR(AUTOEVENTO&lt;&gt;"manual",$M155&lt;&gt;1)),
IF(Import.TipoArredondamento&lt;&gt;"TransfereGOV",
ROUND(OFFSET($P155,0,AI$13),15-13*ORÇAMENTO!$AF$7)/$H155*OFFSET(ORÇAMENTO!$X$15,ROW(AI155)-ROW(AI$15),0),
ROUND(ROUND(OFFSET($P155,0,AI$13),15-13*ORÇAMENTO!$AF$7)*OFFSET(ORÇAMENTO!$W$15,ROW(AI155)-ROW(AI$15),0),15-13*ORÇAMENTO!$AF$11)),0)</f>
        <v>0</v>
      </c>
      <c r="AJ155" s="545">
        <f ca="1">IF(AND($D155="Serviço",AJ$12&lt;&gt;0,$H155&gt;0,OR(AUTOEVENTO&lt;&gt;"manual",$M155&lt;&gt;1)),
IF(Import.TipoArredondamento&lt;&gt;"TransfereGOV",
ROUND(OFFSET($P155,0,AJ$13),15-13*ORÇAMENTO!$AF$7)/$H155*OFFSET(ORÇAMENTO!$X$15,ROW(AJ155)-ROW(AJ$15),0),
ROUND(ROUND(OFFSET($P155,0,AJ$13),15-13*ORÇAMENTO!$AF$7)*OFFSET(ORÇAMENTO!$W$15,ROW(AJ155)-ROW(AJ$15),0),15-13*ORÇAMENTO!$AF$11)),0)</f>
        <v>0</v>
      </c>
      <c r="AK155" s="546">
        <f ca="1">IF(AND($D155="Serviço",AK$12&lt;&gt;0,$H155&gt;0,OR(AUTOEVENTO&lt;&gt;"manual",$M155&lt;&gt;1)),
IF(Import.TipoArredondamento&lt;&gt;"TransfereGOV",
ROUND(OFFSET($P155,0,AK$13),15-13*ORÇAMENTO!$AF$7)/$H155*OFFSET(ORÇAMENTO!$X$15,ROW(AK155)-ROW(AK$15),0),
ROUND(ROUND(OFFSET($P155,0,AK$13),15-13*ORÇAMENTO!$AF$7)*OFFSET(ORÇAMENTO!$W$15,ROW(AK155)-ROW(AK$15),0),15-13*ORÇAMENTO!$AF$11)),0)</f>
        <v>0</v>
      </c>
      <c r="AM155" s="181">
        <f ca="1">IF($D155&lt;&gt;"Serviço",0,IF(AND(AUTOEVENTO="Manual",$M155=1),0,IF(OFFSET(CRONOPLE!$F$14,$M155,AM$13)="",10^12,OFFSET(CRONOPLE!$F$14,$M155,AM$13))))</f>
        <v>1000000000000</v>
      </c>
      <c r="AN155" s="181">
        <f ca="1">IF($D155&lt;&gt;"Serviço",0,IF(AND(AUTOEVENTO="Manual",$M155=1),0,IF(OFFSET(CRONOPLE!$F$14,$M155,AN$13)="",10^12,OFFSET(CRONOPLE!$F$14,$M155,AN$13))))</f>
        <v>1000000000000</v>
      </c>
      <c r="AO155" s="181">
        <f ca="1">IF($D155&lt;&gt;"Serviço",0,IF(AND(AUTOEVENTO="Manual",$M155=1),0,IF(OFFSET(CRONOPLE!$F$14,$M155,AO$13)="",10^12,OFFSET(CRONOPLE!$F$14,$M155,AO$13))))</f>
        <v>1000000000000</v>
      </c>
      <c r="AP155" s="181">
        <f ca="1">IF($D155&lt;&gt;"Serviço",0,IF(AND(AUTOEVENTO="Manual",$M155=1),0,IF(OFFSET(CRONOPLE!$F$14,$M155,AP$13)="",10^12,OFFSET(CRONOPLE!$F$14,$M155,AP$13))))</f>
        <v>1000000000000</v>
      </c>
      <c r="AQ155" s="181">
        <f ca="1">IF($D155&lt;&gt;"Serviço",0,IF(AND(AUTOEVENTO="Manual",$M155=1),0,IF(OFFSET(CRONOPLE!$F$14,$M155,AQ$13)="",10^12,OFFSET(CRONOPLE!$F$14,$M155,AQ$13))))</f>
        <v>1000000000000</v>
      </c>
      <c r="AR155" s="181">
        <f ca="1">IF($D155&lt;&gt;"Serviço",0,IF(AND(AUTOEVENTO="Manual",$M155=1),0,IF(OFFSET(CRONOPLE!$F$14,$M155,AR$13)="",10^12,OFFSET(CRONOPLE!$F$14,$M155,AR$13))))</f>
        <v>1000000000000</v>
      </c>
      <c r="AS155" s="181">
        <f ca="1">IF($D155&lt;&gt;"Serviço",0,IF(AND(AUTOEVENTO="Manual",$M155=1),0,IF(OFFSET(CRONOPLE!$F$14,$M155,AS$13)="",10^12,OFFSET(CRONOPLE!$F$14,$M155,AS$13))))</f>
        <v>1000000000000</v>
      </c>
      <c r="AT155" s="181">
        <f ca="1">IF($D155&lt;&gt;"Serviço",0,IF(AND(AUTOEVENTO="Manual",$M155=1),0,IF(OFFSET(CRONOPLE!$F$14,$M155,AT$13)="",10^12,OFFSET(CRONOPLE!$F$14,$M155,AT$13))))</f>
        <v>1000000000000</v>
      </c>
      <c r="AU155" s="181">
        <f ca="1">IF($D155&lt;&gt;"Serviço",0,IF(AND(AUTOEVENTO="Manual",$M155=1),0,IF(OFFSET(CRONOPLE!$F$14,$M155,AU$13)="",10^12,OFFSET(CRONOPLE!$F$14,$M155,AU$13))))</f>
        <v>1000000000000</v>
      </c>
      <c r="AV155" s="181">
        <f ca="1">IF($D155&lt;&gt;"Serviço",0,IF(AND(AUTOEVENTO="Manual",$M155=1),0,IF(OFFSET(CRONOPLE!$F$14,$M155,AV$13)="",10^12,OFFSET(CRONOPLE!$F$14,$M155,AV$13))))</f>
        <v>1000000000000</v>
      </c>
      <c r="AX155" s="182">
        <f ca="1">IF($D155&lt;&gt;"Serviço",0,IF(OR(AND(AUTOEVENTO="Manual",$M155=1),$M155&gt;(ROW(PLE.lastrow)-ROW(PLE.firstrow))),0,IF(OFFSET(PLE!$G$14,$M155,AX$13)="",10^12,OFFSET(PLE!$G$14,$M155,AX$13))))</f>
        <v>1000000000000</v>
      </c>
      <c r="AY155" s="182">
        <f ca="1">IF($D155&lt;&gt;"Serviço",0,IF(OR(AND(AUTOEVENTO="Manual",$M155=1),$M155&gt;(ROW(PLE.lastrow)-ROW(PLE.firstrow))),0,IF(OFFSET(PLE!$G$14,$M155,AY$13)="",10^12,OFFSET(PLE!$G$14,$M155,AY$13))))</f>
        <v>1000000000000</v>
      </c>
      <c r="AZ155" s="182">
        <f ca="1">IF($D155&lt;&gt;"Serviço",0,IF(OR(AND(AUTOEVENTO="Manual",$M155=1),$M155&gt;(ROW(PLE.lastrow)-ROW(PLE.firstrow))),0,IF(OFFSET(PLE!$G$14,$M155,AZ$13)="",10^12,OFFSET(PLE!$G$14,$M155,AZ$13))))</f>
        <v>1000000000000</v>
      </c>
      <c r="BA155" s="182">
        <f ca="1">IF($D155&lt;&gt;"Serviço",0,IF(OR(AND(AUTOEVENTO="Manual",$M155=1),$M155&gt;(ROW(PLE.lastrow)-ROW(PLE.firstrow))),0,IF(OFFSET(PLE!$G$14,$M155,BA$13)="",10^12,OFFSET(PLE!$G$14,$M155,BA$13))))</f>
        <v>1000000000000</v>
      </c>
      <c r="BB155" s="182">
        <f ca="1">IF($D155&lt;&gt;"Serviço",0,IF(OR(AND(AUTOEVENTO="Manual",$M155=1),$M155&gt;(ROW(PLE.lastrow)-ROW(PLE.firstrow))),0,IF(OFFSET(PLE!$G$14,$M155,BB$13)="",10^12,OFFSET(PLE!$G$14,$M155,BB$13))))</f>
        <v>1000000000000</v>
      </c>
      <c r="BC155" s="182">
        <f ca="1">IF($D155&lt;&gt;"Serviço",0,IF(OR(AND(AUTOEVENTO="Manual",$M155=1),$M155&gt;(ROW(PLE.lastrow)-ROW(PLE.firstrow))),0,IF(OFFSET(PLE!$G$14,$M155,BC$13)="",10^12,OFFSET(PLE!$G$14,$M155,BC$13))))</f>
        <v>1000000000000</v>
      </c>
      <c r="BD155" s="182">
        <f ca="1">IF($D155&lt;&gt;"Serviço",0,IF(OR(AND(AUTOEVENTO="Manual",$M155=1),$M155&gt;(ROW(PLE.lastrow)-ROW(PLE.firstrow))),0,IF(OFFSET(PLE!$G$14,$M155,BD$13)="",10^12,OFFSET(PLE!$G$14,$M155,BD$13))))</f>
        <v>1000000000000</v>
      </c>
      <c r="BE155" s="182">
        <f ca="1">IF($D155&lt;&gt;"Serviço",0,IF(OR(AND(AUTOEVENTO="Manual",$M155=1),$M155&gt;(ROW(PLE.lastrow)-ROW(PLE.firstrow))),0,IF(OFFSET(PLE!$G$14,$M155,BE$13)="",10^12,OFFSET(PLE!$G$14,$M155,BE$13))))</f>
        <v>1000000000000</v>
      </c>
      <c r="BF155" s="182">
        <f ca="1">IF($D155&lt;&gt;"Serviço",0,IF(OR(AND(AUTOEVENTO="Manual",$M155=1),$M155&gt;(ROW(PLE.lastrow)-ROW(PLE.firstrow))),0,IF(OFFSET(PLE!$G$14,$M155,BF$13)="",10^12,OFFSET(PLE!$G$14,$M155,BF$13))))</f>
        <v>1000000000000</v>
      </c>
      <c r="BG155" s="182">
        <f ca="1">IF($D155&lt;&gt;"Serviço",0,IF(OR(AND(AUTOEVENTO="Manual",$M155=1),$M155&gt;(ROW(PLE.lastrow)-ROW(PLE.firstrow))),0,IF(OFFSET(PLE!$G$14,$M155,BG$13)="",10^12,OFFSET(PLE!$G$14,$M155,BG$13))))</f>
        <v>1000000000000</v>
      </c>
    </row>
    <row r="156" spans="1:59" ht="12.75" x14ac:dyDescent="0.2">
      <c r="A156" s="7" t="str">
        <f t="shared" ref="A156:A228" ca="1" si="10">IF(AUTOEVENTO="Manual",IF(K156&lt;&gt;"",MIN(VALUE(LEFT(K156,FIND(".",K156)-1)),COUNTA(EVENTOS.Lista)),0),IF(OR($B156&gt;AUTOEVENTO,$B156="S",$B156=0),SUBSTITUTE(OFFSET($A156,-1,0),IF($D156="Serviço",".",""),""),ROW(A156)-ROW($A$15)&amp;"."))</f>
        <v>71</v>
      </c>
      <c r="B156" s="7">
        <f ca="1">OFFSET(ORÇAMENTO!C$15,ROW(B156)-ROW(B$15),0)</f>
        <v>3</v>
      </c>
      <c r="C156" s="7" t="str">
        <f ca="1">OFFSET(ORÇAMENTO!L$15,ROW(C156)-ROW(C$15),0)</f>
        <v>F</v>
      </c>
      <c r="D156" s="118" t="str">
        <f ca="1">OFFSET(ORÇAMENTO!N$15,ROW(D156)-ROW(D$15),0)</f>
        <v>Nível 3</v>
      </c>
      <c r="E156" s="119" t="str">
        <f ca="1">OFFSET(ORÇAMENTO!O$15,ROW(E156)-ROW(E$15),0)</f>
        <v>1.6.16.</v>
      </c>
      <c r="F156" s="172" t="str">
        <f ca="1">OFFSET(ORÇAMENTO!R$15,ROW(F156)-ROW(F$15),0)</f>
        <v>INSTALAÇÕES HIDROSSANITÁRIAS</v>
      </c>
      <c r="G156" s="173" t="str">
        <f ca="1">IF($D156&lt;&gt;"Serviço","",OFFSET(ORÇAMENTO!S$15,ROW(G156)-ROW(G$15),0))</f>
        <v/>
      </c>
      <c r="H156" s="124">
        <f ca="1">IF($D156&lt;&gt;"Serviço",0,IF(ACOMPANHAMENTO="BM",ROUND(OFFSET(ORÇAMENTO!AJ$15,ROW(H156)-ROW(H$15),0),15-13*ORÇAMENTO!$AF$7),SUMPRODUCT(($Q$12:$AA$12&lt;&gt;"")*ROUND($Q156:$AA156,15-13*ORÇAMENTO!$AF$7))))</f>
        <v>0</v>
      </c>
      <c r="I156" s="561"/>
      <c r="K156" s="174"/>
      <c r="L156" s="175" t="s">
        <v>255</v>
      </c>
      <c r="M156" s="176" t="str">
        <f ca="1">IF($D156&lt;&gt;"Serviço","",IF(AUTOEVENTO="manual",$A156,IF(ISERROR(MATCH($A156,$A$15:OFFSET($A156,-1,0),0)),MAX($M$15:OFFSET(M156,-1,0))+1,INDEX($M$15:OFFSET(M156,-1,0),MATCH($A156,$A$15:OFFSET($A156,-1,0),0)))))</f>
        <v/>
      </c>
      <c r="N156" s="177" t="str">
        <f ca="1">IF($D156&lt;&gt;"Serviço","",IF(AUTOEVENTO="Manual",IF($A156=0,"&lt;-- defina o número do agrupador",OFFSET(EVENTOS!$D$14,$A156,0)),OFFSET($F$15,$A156,0)))</f>
        <v/>
      </c>
      <c r="O156" s="178"/>
      <c r="Q156" s="178"/>
      <c r="R156" s="179"/>
      <c r="S156" s="179"/>
      <c r="T156" s="179"/>
      <c r="U156" s="179"/>
      <c r="V156" s="179"/>
      <c r="W156" s="179"/>
      <c r="X156" s="179"/>
      <c r="Y156" s="179"/>
      <c r="Z156" s="180"/>
      <c r="AB156" s="544">
        <f ca="1">IF(AND($D156="Serviço",AB$12&lt;&gt;0,$H156&gt;0,OR(AUTOEVENTO&lt;&gt;"manual",$M156&lt;&gt;1)),
IF(Import.TipoArredondamento&lt;&gt;"TransfereGOV",
ROUND(OFFSET($P156,0,AB$13),15-13*ORÇAMENTO!$AF$7)/$H156*OFFSET(ORÇAMENTO!$X$15,ROW(AB156)-ROW(AB$15),0),
ROUND(ROUND(OFFSET($P156,0,AB$13),15-13*ORÇAMENTO!$AF$7)*OFFSET(ORÇAMENTO!$W$15,ROW(AB156)-ROW(AB$15),0),15-13*ORÇAMENTO!$AF$11)),0)</f>
        <v>0</v>
      </c>
      <c r="AC156" s="545">
        <f ca="1">IF(AND($D156="Serviço",AC$12&lt;&gt;0,$H156&gt;0,OR(AUTOEVENTO&lt;&gt;"manual",$M156&lt;&gt;1)),
IF(Import.TipoArredondamento&lt;&gt;"TransfereGOV",
ROUND(OFFSET($P156,0,AC$13),15-13*ORÇAMENTO!$AF$7)/$H156*OFFSET(ORÇAMENTO!$X$15,ROW(AC156)-ROW(AC$15),0),
ROUND(ROUND(OFFSET($P156,0,AC$13),15-13*ORÇAMENTO!$AF$7)*OFFSET(ORÇAMENTO!$W$15,ROW(AC156)-ROW(AC$15),0),15-13*ORÇAMENTO!$AF$11)),0)</f>
        <v>0</v>
      </c>
      <c r="AD156" s="545">
        <f ca="1">IF(AND($D156="Serviço",AD$12&lt;&gt;0,$H156&gt;0,OR(AUTOEVENTO&lt;&gt;"manual",$M156&lt;&gt;1)),
IF(Import.TipoArredondamento&lt;&gt;"TransfereGOV",
ROUND(OFFSET($P156,0,AD$13),15-13*ORÇAMENTO!$AF$7)/$H156*OFFSET(ORÇAMENTO!$X$15,ROW(AD156)-ROW(AD$15),0),
ROUND(ROUND(OFFSET($P156,0,AD$13),15-13*ORÇAMENTO!$AF$7)*OFFSET(ORÇAMENTO!$W$15,ROW(AD156)-ROW(AD$15),0),15-13*ORÇAMENTO!$AF$11)),0)</f>
        <v>0</v>
      </c>
      <c r="AE156" s="545">
        <f ca="1">IF(AND($D156="Serviço",AE$12&lt;&gt;0,$H156&gt;0,OR(AUTOEVENTO&lt;&gt;"manual",$M156&lt;&gt;1)),
IF(Import.TipoArredondamento&lt;&gt;"TransfereGOV",
ROUND(OFFSET($P156,0,AE$13),15-13*ORÇAMENTO!$AF$7)/$H156*OFFSET(ORÇAMENTO!$X$15,ROW(AE156)-ROW(AE$15),0),
ROUND(ROUND(OFFSET($P156,0,AE$13),15-13*ORÇAMENTO!$AF$7)*OFFSET(ORÇAMENTO!$W$15,ROW(AE156)-ROW(AE$15),0),15-13*ORÇAMENTO!$AF$11)),0)</f>
        <v>0</v>
      </c>
      <c r="AF156" s="545">
        <f ca="1">IF(AND($D156="Serviço",AF$12&lt;&gt;0,$H156&gt;0,OR(AUTOEVENTO&lt;&gt;"manual",$M156&lt;&gt;1)),
IF(Import.TipoArredondamento&lt;&gt;"TransfereGOV",
ROUND(OFFSET($P156,0,AF$13),15-13*ORÇAMENTO!$AF$7)/$H156*OFFSET(ORÇAMENTO!$X$15,ROW(AF156)-ROW(AF$15),0),
ROUND(ROUND(OFFSET($P156,0,AF$13),15-13*ORÇAMENTO!$AF$7)*OFFSET(ORÇAMENTO!$W$15,ROW(AF156)-ROW(AF$15),0),15-13*ORÇAMENTO!$AF$11)),0)</f>
        <v>0</v>
      </c>
      <c r="AG156" s="545">
        <f ca="1">IF(AND($D156="Serviço",AG$12&lt;&gt;0,$H156&gt;0,OR(AUTOEVENTO&lt;&gt;"manual",$M156&lt;&gt;1)),
IF(Import.TipoArredondamento&lt;&gt;"TransfereGOV",
ROUND(OFFSET($P156,0,AG$13),15-13*ORÇAMENTO!$AF$7)/$H156*OFFSET(ORÇAMENTO!$X$15,ROW(AG156)-ROW(AG$15),0),
ROUND(ROUND(OFFSET($P156,0,AG$13),15-13*ORÇAMENTO!$AF$7)*OFFSET(ORÇAMENTO!$W$15,ROW(AG156)-ROW(AG$15),0),15-13*ORÇAMENTO!$AF$11)),0)</f>
        <v>0</v>
      </c>
      <c r="AH156" s="545">
        <f ca="1">IF(AND($D156="Serviço",AH$12&lt;&gt;0,$H156&gt;0,OR(AUTOEVENTO&lt;&gt;"manual",$M156&lt;&gt;1)),
IF(Import.TipoArredondamento&lt;&gt;"TransfereGOV",
ROUND(OFFSET($P156,0,AH$13),15-13*ORÇAMENTO!$AF$7)/$H156*OFFSET(ORÇAMENTO!$X$15,ROW(AH156)-ROW(AH$15),0),
ROUND(ROUND(OFFSET($P156,0,AH$13),15-13*ORÇAMENTO!$AF$7)*OFFSET(ORÇAMENTO!$W$15,ROW(AH156)-ROW(AH$15),0),15-13*ORÇAMENTO!$AF$11)),0)</f>
        <v>0</v>
      </c>
      <c r="AI156" s="545">
        <f ca="1">IF(AND($D156="Serviço",AI$12&lt;&gt;0,$H156&gt;0,OR(AUTOEVENTO&lt;&gt;"manual",$M156&lt;&gt;1)),
IF(Import.TipoArredondamento&lt;&gt;"TransfereGOV",
ROUND(OFFSET($P156,0,AI$13),15-13*ORÇAMENTO!$AF$7)/$H156*OFFSET(ORÇAMENTO!$X$15,ROW(AI156)-ROW(AI$15),0),
ROUND(ROUND(OFFSET($P156,0,AI$13),15-13*ORÇAMENTO!$AF$7)*OFFSET(ORÇAMENTO!$W$15,ROW(AI156)-ROW(AI$15),0),15-13*ORÇAMENTO!$AF$11)),0)</f>
        <v>0</v>
      </c>
      <c r="AJ156" s="545">
        <f ca="1">IF(AND($D156="Serviço",AJ$12&lt;&gt;0,$H156&gt;0,OR(AUTOEVENTO&lt;&gt;"manual",$M156&lt;&gt;1)),
IF(Import.TipoArredondamento&lt;&gt;"TransfereGOV",
ROUND(OFFSET($P156,0,AJ$13),15-13*ORÇAMENTO!$AF$7)/$H156*OFFSET(ORÇAMENTO!$X$15,ROW(AJ156)-ROW(AJ$15),0),
ROUND(ROUND(OFFSET($P156,0,AJ$13),15-13*ORÇAMENTO!$AF$7)*OFFSET(ORÇAMENTO!$W$15,ROW(AJ156)-ROW(AJ$15),0),15-13*ORÇAMENTO!$AF$11)),0)</f>
        <v>0</v>
      </c>
      <c r="AK156" s="546">
        <f ca="1">IF(AND($D156="Serviço",AK$12&lt;&gt;0,$H156&gt;0,OR(AUTOEVENTO&lt;&gt;"manual",$M156&lt;&gt;1)),
IF(Import.TipoArredondamento&lt;&gt;"TransfereGOV",
ROUND(OFFSET($P156,0,AK$13),15-13*ORÇAMENTO!$AF$7)/$H156*OFFSET(ORÇAMENTO!$X$15,ROW(AK156)-ROW(AK$15),0),
ROUND(ROUND(OFFSET($P156,0,AK$13),15-13*ORÇAMENTO!$AF$7)*OFFSET(ORÇAMENTO!$W$15,ROW(AK156)-ROW(AK$15),0),15-13*ORÇAMENTO!$AF$11)),0)</f>
        <v>0</v>
      </c>
      <c r="AM156" s="181">
        <f ca="1">IF($D156&lt;&gt;"Serviço",0,IF(AND(AUTOEVENTO="Manual",$M156=1),0,IF(OFFSET(CRONOPLE!$F$14,$M156,AM$13)="",10^12,OFFSET(CRONOPLE!$F$14,$M156,AM$13))))</f>
        <v>0</v>
      </c>
      <c r="AN156" s="181">
        <f ca="1">IF($D156&lt;&gt;"Serviço",0,IF(AND(AUTOEVENTO="Manual",$M156=1),0,IF(OFFSET(CRONOPLE!$F$14,$M156,AN$13)="",10^12,OFFSET(CRONOPLE!$F$14,$M156,AN$13))))</f>
        <v>0</v>
      </c>
      <c r="AO156" s="181">
        <f ca="1">IF($D156&lt;&gt;"Serviço",0,IF(AND(AUTOEVENTO="Manual",$M156=1),0,IF(OFFSET(CRONOPLE!$F$14,$M156,AO$13)="",10^12,OFFSET(CRONOPLE!$F$14,$M156,AO$13))))</f>
        <v>0</v>
      </c>
      <c r="AP156" s="181">
        <f ca="1">IF($D156&lt;&gt;"Serviço",0,IF(AND(AUTOEVENTO="Manual",$M156=1),0,IF(OFFSET(CRONOPLE!$F$14,$M156,AP$13)="",10^12,OFFSET(CRONOPLE!$F$14,$M156,AP$13))))</f>
        <v>0</v>
      </c>
      <c r="AQ156" s="181">
        <f ca="1">IF($D156&lt;&gt;"Serviço",0,IF(AND(AUTOEVENTO="Manual",$M156=1),0,IF(OFFSET(CRONOPLE!$F$14,$M156,AQ$13)="",10^12,OFFSET(CRONOPLE!$F$14,$M156,AQ$13))))</f>
        <v>0</v>
      </c>
      <c r="AR156" s="181">
        <f ca="1">IF($D156&lt;&gt;"Serviço",0,IF(AND(AUTOEVENTO="Manual",$M156=1),0,IF(OFFSET(CRONOPLE!$F$14,$M156,AR$13)="",10^12,OFFSET(CRONOPLE!$F$14,$M156,AR$13))))</f>
        <v>0</v>
      </c>
      <c r="AS156" s="181">
        <f ca="1">IF($D156&lt;&gt;"Serviço",0,IF(AND(AUTOEVENTO="Manual",$M156=1),0,IF(OFFSET(CRONOPLE!$F$14,$M156,AS$13)="",10^12,OFFSET(CRONOPLE!$F$14,$M156,AS$13))))</f>
        <v>0</v>
      </c>
      <c r="AT156" s="181">
        <f ca="1">IF($D156&lt;&gt;"Serviço",0,IF(AND(AUTOEVENTO="Manual",$M156=1),0,IF(OFFSET(CRONOPLE!$F$14,$M156,AT$13)="",10^12,OFFSET(CRONOPLE!$F$14,$M156,AT$13))))</f>
        <v>0</v>
      </c>
      <c r="AU156" s="181">
        <f ca="1">IF($D156&lt;&gt;"Serviço",0,IF(AND(AUTOEVENTO="Manual",$M156=1),0,IF(OFFSET(CRONOPLE!$F$14,$M156,AU$13)="",10^12,OFFSET(CRONOPLE!$F$14,$M156,AU$13))))</f>
        <v>0</v>
      </c>
      <c r="AV156" s="181">
        <f ca="1">IF($D156&lt;&gt;"Serviço",0,IF(AND(AUTOEVENTO="Manual",$M156=1),0,IF(OFFSET(CRONOPLE!$F$14,$M156,AV$13)="",10^12,OFFSET(CRONOPLE!$F$14,$M156,AV$13))))</f>
        <v>0</v>
      </c>
      <c r="AX156" s="182">
        <f ca="1">IF($D156&lt;&gt;"Serviço",0,IF(OR(AND(AUTOEVENTO="Manual",$M156=1),$M156&gt;(ROW(PLE.lastrow)-ROW(PLE.firstrow))),0,IF(OFFSET(PLE!$G$14,$M156,AX$13)="",10^12,OFFSET(PLE!$G$14,$M156,AX$13))))</f>
        <v>0</v>
      </c>
      <c r="AY156" s="182">
        <f ca="1">IF($D156&lt;&gt;"Serviço",0,IF(OR(AND(AUTOEVENTO="Manual",$M156=1),$M156&gt;(ROW(PLE.lastrow)-ROW(PLE.firstrow))),0,IF(OFFSET(PLE!$G$14,$M156,AY$13)="",10^12,OFFSET(PLE!$G$14,$M156,AY$13))))</f>
        <v>0</v>
      </c>
      <c r="AZ156" s="182">
        <f ca="1">IF($D156&lt;&gt;"Serviço",0,IF(OR(AND(AUTOEVENTO="Manual",$M156=1),$M156&gt;(ROW(PLE.lastrow)-ROW(PLE.firstrow))),0,IF(OFFSET(PLE!$G$14,$M156,AZ$13)="",10^12,OFFSET(PLE!$G$14,$M156,AZ$13))))</f>
        <v>0</v>
      </c>
      <c r="BA156" s="182">
        <f ca="1">IF($D156&lt;&gt;"Serviço",0,IF(OR(AND(AUTOEVENTO="Manual",$M156=1),$M156&gt;(ROW(PLE.lastrow)-ROW(PLE.firstrow))),0,IF(OFFSET(PLE!$G$14,$M156,BA$13)="",10^12,OFFSET(PLE!$G$14,$M156,BA$13))))</f>
        <v>0</v>
      </c>
      <c r="BB156" s="182">
        <f ca="1">IF($D156&lt;&gt;"Serviço",0,IF(OR(AND(AUTOEVENTO="Manual",$M156=1),$M156&gt;(ROW(PLE.lastrow)-ROW(PLE.firstrow))),0,IF(OFFSET(PLE!$G$14,$M156,BB$13)="",10^12,OFFSET(PLE!$G$14,$M156,BB$13))))</f>
        <v>0</v>
      </c>
      <c r="BC156" s="182">
        <f ca="1">IF($D156&lt;&gt;"Serviço",0,IF(OR(AND(AUTOEVENTO="Manual",$M156=1),$M156&gt;(ROW(PLE.lastrow)-ROW(PLE.firstrow))),0,IF(OFFSET(PLE!$G$14,$M156,BC$13)="",10^12,OFFSET(PLE!$G$14,$M156,BC$13))))</f>
        <v>0</v>
      </c>
      <c r="BD156" s="182">
        <f ca="1">IF($D156&lt;&gt;"Serviço",0,IF(OR(AND(AUTOEVENTO="Manual",$M156=1),$M156&gt;(ROW(PLE.lastrow)-ROW(PLE.firstrow))),0,IF(OFFSET(PLE!$G$14,$M156,BD$13)="",10^12,OFFSET(PLE!$G$14,$M156,BD$13))))</f>
        <v>0</v>
      </c>
      <c r="BE156" s="182">
        <f ca="1">IF($D156&lt;&gt;"Serviço",0,IF(OR(AND(AUTOEVENTO="Manual",$M156=1),$M156&gt;(ROW(PLE.lastrow)-ROW(PLE.firstrow))),0,IF(OFFSET(PLE!$G$14,$M156,BE$13)="",10^12,OFFSET(PLE!$G$14,$M156,BE$13))))</f>
        <v>0</v>
      </c>
      <c r="BF156" s="182">
        <f ca="1">IF($D156&lt;&gt;"Serviço",0,IF(OR(AND(AUTOEVENTO="Manual",$M156=1),$M156&gt;(ROW(PLE.lastrow)-ROW(PLE.firstrow))),0,IF(OFFSET(PLE!$G$14,$M156,BF$13)="",10^12,OFFSET(PLE!$G$14,$M156,BF$13))))</f>
        <v>0</v>
      </c>
      <c r="BG156" s="182">
        <f ca="1">IF($D156&lt;&gt;"Serviço",0,IF(OR(AND(AUTOEVENTO="Manual",$M156=1),$M156&gt;(ROW(PLE.lastrow)-ROW(PLE.firstrow))),0,IF(OFFSET(PLE!$G$14,$M156,BG$13)="",10^12,OFFSET(PLE!$G$14,$M156,BG$13))))</f>
        <v>0</v>
      </c>
    </row>
    <row r="157" spans="1:59" ht="38.25" x14ac:dyDescent="0.2">
      <c r="A157" s="7" t="str">
        <f t="shared" ca="1" si="10"/>
        <v>71</v>
      </c>
      <c r="B157" s="7" t="str">
        <f ca="1">OFFSET(ORÇAMENTO!C$15,ROW(B157)-ROW(B$15),0)</f>
        <v>S</v>
      </c>
      <c r="C157" s="7" t="str">
        <f ca="1">OFFSET(ORÇAMENTO!L$15,ROW(C157)-ROW(C$15),0)</f>
        <v>F</v>
      </c>
      <c r="D157" s="118" t="str">
        <f ca="1">OFFSET(ORÇAMENTO!N$15,ROW(D157)-ROW(D$15),0)</f>
        <v>Serviço</v>
      </c>
      <c r="E157" s="119" t="str">
        <f ca="1">OFFSET(ORÇAMENTO!O$15,ROW(E157)-ROW(E$15),0)</f>
        <v>1.6.16.1.</v>
      </c>
      <c r="F157" s="172" t="str">
        <f ca="1">OFFSET(ORÇAMENTO!R$15,ROW(F157)-ROW(F$15),0)</f>
        <v>(abra o arquivo 'Referência 03-2024.xlsm)</v>
      </c>
      <c r="G157" s="173" t="str">
        <f ca="1">IF($D157&lt;&gt;"Serviço","",OFFSET(ORÇAMENTO!S$15,ROW(G157)-ROW(G$15),0))</f>
        <v>-</v>
      </c>
      <c r="H157" s="124">
        <f ca="1">IF($D157&lt;&gt;"Serviço",0,IF(ACOMPANHAMENTO="BM",ROUND(OFFSET(ORÇAMENTO!AJ$15,ROW(H157)-ROW(H$15),0),15-13*ORÇAMENTO!$AF$7),SUMPRODUCT(($Q$12:$AA$12&lt;&gt;"")*ROUND($Q157:$AA157,15-13*ORÇAMENTO!$AF$7))))</f>
        <v>2</v>
      </c>
      <c r="I157" s="561"/>
      <c r="K157" s="174"/>
      <c r="L157" s="175" t="s">
        <v>255</v>
      </c>
      <c r="M157" s="176">
        <f ca="1">IF($D157&lt;&gt;"Serviço","",IF(AUTOEVENTO="manual",$A157,IF(ISERROR(MATCH($A157,$A$15:OFFSET($A157,-1,0),0)),MAX($M$15:OFFSET(M157,-1,0))+1,INDEX($M$15:OFFSET(M157,-1,0),MATCH($A157,$A$15:OFFSET($A157,-1,0),0)))))</f>
        <v>7</v>
      </c>
      <c r="N157" s="177" t="str">
        <f ca="1">IF($D157&lt;&gt;"Serviço","",IF(AUTOEVENTO="Manual",IF($A157=0,"&lt;-- defina o número do agrupador",OFFSET(EVENTOS!$D$14,$A157,0)),OFFSET($F$15,$A157,0)))</f>
        <v>SANITÁRIO PÚBLICO ACESSÍVEL</v>
      </c>
      <c r="O157" s="178"/>
      <c r="Q157" s="178"/>
      <c r="R157" s="179"/>
      <c r="S157" s="179"/>
      <c r="T157" s="179"/>
      <c r="U157" s="179"/>
      <c r="V157" s="179"/>
      <c r="W157" s="179"/>
      <c r="X157" s="179"/>
      <c r="Y157" s="179"/>
      <c r="Z157" s="180"/>
      <c r="AB157" s="544">
        <f ca="1">IF(AND($D157="Serviço",AB$12&lt;&gt;0,$H157&gt;0,OR(AUTOEVENTO&lt;&gt;"manual",$M157&lt;&gt;1)),
IF(Import.TipoArredondamento&lt;&gt;"TransfereGOV",
ROUND(OFFSET($P157,0,AB$13),15-13*ORÇAMENTO!$AF$7)/$H157*OFFSET(ORÇAMENTO!$X$15,ROW(AB157)-ROW(AB$15),0),
ROUND(ROUND(OFFSET($P157,0,AB$13),15-13*ORÇAMENTO!$AF$7)*OFFSET(ORÇAMENTO!$W$15,ROW(AB157)-ROW(AB$15),0),15-13*ORÇAMENTO!$AF$11)),0)</f>
        <v>0</v>
      </c>
      <c r="AC157" s="545">
        <f ca="1">IF(AND($D157="Serviço",AC$12&lt;&gt;0,$H157&gt;0,OR(AUTOEVENTO&lt;&gt;"manual",$M157&lt;&gt;1)),
IF(Import.TipoArredondamento&lt;&gt;"TransfereGOV",
ROUND(OFFSET($P157,0,AC$13),15-13*ORÇAMENTO!$AF$7)/$H157*OFFSET(ORÇAMENTO!$X$15,ROW(AC157)-ROW(AC$15),0),
ROUND(ROUND(OFFSET($P157,0,AC$13),15-13*ORÇAMENTO!$AF$7)*OFFSET(ORÇAMENTO!$W$15,ROW(AC157)-ROW(AC$15),0),15-13*ORÇAMENTO!$AF$11)),0)</f>
        <v>0</v>
      </c>
      <c r="AD157" s="545">
        <f ca="1">IF(AND($D157="Serviço",AD$12&lt;&gt;0,$H157&gt;0,OR(AUTOEVENTO&lt;&gt;"manual",$M157&lt;&gt;1)),
IF(Import.TipoArredondamento&lt;&gt;"TransfereGOV",
ROUND(OFFSET($P157,0,AD$13),15-13*ORÇAMENTO!$AF$7)/$H157*OFFSET(ORÇAMENTO!$X$15,ROW(AD157)-ROW(AD$15),0),
ROUND(ROUND(OFFSET($P157,0,AD$13),15-13*ORÇAMENTO!$AF$7)*OFFSET(ORÇAMENTO!$W$15,ROW(AD157)-ROW(AD$15),0),15-13*ORÇAMENTO!$AF$11)),0)</f>
        <v>0</v>
      </c>
      <c r="AE157" s="545">
        <f ca="1">IF(AND($D157="Serviço",AE$12&lt;&gt;0,$H157&gt;0,OR(AUTOEVENTO&lt;&gt;"manual",$M157&lt;&gt;1)),
IF(Import.TipoArredondamento&lt;&gt;"TransfereGOV",
ROUND(OFFSET($P157,0,AE$13),15-13*ORÇAMENTO!$AF$7)/$H157*OFFSET(ORÇAMENTO!$X$15,ROW(AE157)-ROW(AE$15),0),
ROUND(ROUND(OFFSET($P157,0,AE$13),15-13*ORÇAMENTO!$AF$7)*OFFSET(ORÇAMENTO!$W$15,ROW(AE157)-ROW(AE$15),0),15-13*ORÇAMENTO!$AF$11)),0)</f>
        <v>0</v>
      </c>
      <c r="AF157" s="545">
        <f ca="1">IF(AND($D157="Serviço",AF$12&lt;&gt;0,$H157&gt;0,OR(AUTOEVENTO&lt;&gt;"manual",$M157&lt;&gt;1)),
IF(Import.TipoArredondamento&lt;&gt;"TransfereGOV",
ROUND(OFFSET($P157,0,AF$13),15-13*ORÇAMENTO!$AF$7)/$H157*OFFSET(ORÇAMENTO!$X$15,ROW(AF157)-ROW(AF$15),0),
ROUND(ROUND(OFFSET($P157,0,AF$13),15-13*ORÇAMENTO!$AF$7)*OFFSET(ORÇAMENTO!$W$15,ROW(AF157)-ROW(AF$15),0),15-13*ORÇAMENTO!$AF$11)),0)</f>
        <v>0</v>
      </c>
      <c r="AG157" s="545">
        <f ca="1">IF(AND($D157="Serviço",AG$12&lt;&gt;0,$H157&gt;0,OR(AUTOEVENTO&lt;&gt;"manual",$M157&lt;&gt;1)),
IF(Import.TipoArredondamento&lt;&gt;"TransfereGOV",
ROUND(OFFSET($P157,0,AG$13),15-13*ORÇAMENTO!$AF$7)/$H157*OFFSET(ORÇAMENTO!$X$15,ROW(AG157)-ROW(AG$15),0),
ROUND(ROUND(OFFSET($P157,0,AG$13),15-13*ORÇAMENTO!$AF$7)*OFFSET(ORÇAMENTO!$W$15,ROW(AG157)-ROW(AG$15),0),15-13*ORÇAMENTO!$AF$11)),0)</f>
        <v>0</v>
      </c>
      <c r="AH157" s="545">
        <f ca="1">IF(AND($D157="Serviço",AH$12&lt;&gt;0,$H157&gt;0,OR(AUTOEVENTO&lt;&gt;"manual",$M157&lt;&gt;1)),
IF(Import.TipoArredondamento&lt;&gt;"TransfereGOV",
ROUND(OFFSET($P157,0,AH$13),15-13*ORÇAMENTO!$AF$7)/$H157*OFFSET(ORÇAMENTO!$X$15,ROW(AH157)-ROW(AH$15),0),
ROUND(ROUND(OFFSET($P157,0,AH$13),15-13*ORÇAMENTO!$AF$7)*OFFSET(ORÇAMENTO!$W$15,ROW(AH157)-ROW(AH$15),0),15-13*ORÇAMENTO!$AF$11)),0)</f>
        <v>0</v>
      </c>
      <c r="AI157" s="545">
        <f ca="1">IF(AND($D157="Serviço",AI$12&lt;&gt;0,$H157&gt;0,OR(AUTOEVENTO&lt;&gt;"manual",$M157&lt;&gt;1)),
IF(Import.TipoArredondamento&lt;&gt;"TransfereGOV",
ROUND(OFFSET($P157,0,AI$13),15-13*ORÇAMENTO!$AF$7)/$H157*OFFSET(ORÇAMENTO!$X$15,ROW(AI157)-ROW(AI$15),0),
ROUND(ROUND(OFFSET($P157,0,AI$13),15-13*ORÇAMENTO!$AF$7)*OFFSET(ORÇAMENTO!$W$15,ROW(AI157)-ROW(AI$15),0),15-13*ORÇAMENTO!$AF$11)),0)</f>
        <v>0</v>
      </c>
      <c r="AJ157" s="545">
        <f ca="1">IF(AND($D157="Serviço",AJ$12&lt;&gt;0,$H157&gt;0,OR(AUTOEVENTO&lt;&gt;"manual",$M157&lt;&gt;1)),
IF(Import.TipoArredondamento&lt;&gt;"TransfereGOV",
ROUND(OFFSET($P157,0,AJ$13),15-13*ORÇAMENTO!$AF$7)/$H157*OFFSET(ORÇAMENTO!$X$15,ROW(AJ157)-ROW(AJ$15),0),
ROUND(ROUND(OFFSET($P157,0,AJ$13),15-13*ORÇAMENTO!$AF$7)*OFFSET(ORÇAMENTO!$W$15,ROW(AJ157)-ROW(AJ$15),0),15-13*ORÇAMENTO!$AF$11)),0)</f>
        <v>0</v>
      </c>
      <c r="AK157" s="546">
        <f ca="1">IF(AND($D157="Serviço",AK$12&lt;&gt;0,$H157&gt;0,OR(AUTOEVENTO&lt;&gt;"manual",$M157&lt;&gt;1)),
IF(Import.TipoArredondamento&lt;&gt;"TransfereGOV",
ROUND(OFFSET($P157,0,AK$13),15-13*ORÇAMENTO!$AF$7)/$H157*OFFSET(ORÇAMENTO!$X$15,ROW(AK157)-ROW(AK$15),0),
ROUND(ROUND(OFFSET($P157,0,AK$13),15-13*ORÇAMENTO!$AF$7)*OFFSET(ORÇAMENTO!$W$15,ROW(AK157)-ROW(AK$15),0),15-13*ORÇAMENTO!$AF$11)),0)</f>
        <v>0</v>
      </c>
      <c r="AM157" s="181">
        <f ca="1">IF($D157&lt;&gt;"Serviço",0,IF(AND(AUTOEVENTO="Manual",$M157=1),0,IF(OFFSET(CRONOPLE!$F$14,$M157,AM$13)="",10^12,OFFSET(CRONOPLE!$F$14,$M157,AM$13))))</f>
        <v>1000000000000</v>
      </c>
      <c r="AN157" s="181">
        <f ca="1">IF($D157&lt;&gt;"Serviço",0,IF(AND(AUTOEVENTO="Manual",$M157=1),0,IF(OFFSET(CRONOPLE!$F$14,$M157,AN$13)="",10^12,OFFSET(CRONOPLE!$F$14,$M157,AN$13))))</f>
        <v>1000000000000</v>
      </c>
      <c r="AO157" s="181">
        <f ca="1">IF($D157&lt;&gt;"Serviço",0,IF(AND(AUTOEVENTO="Manual",$M157=1),0,IF(OFFSET(CRONOPLE!$F$14,$M157,AO$13)="",10^12,OFFSET(CRONOPLE!$F$14,$M157,AO$13))))</f>
        <v>1000000000000</v>
      </c>
      <c r="AP157" s="181">
        <f ca="1">IF($D157&lt;&gt;"Serviço",0,IF(AND(AUTOEVENTO="Manual",$M157=1),0,IF(OFFSET(CRONOPLE!$F$14,$M157,AP$13)="",10^12,OFFSET(CRONOPLE!$F$14,$M157,AP$13))))</f>
        <v>1000000000000</v>
      </c>
      <c r="AQ157" s="181">
        <f ca="1">IF($D157&lt;&gt;"Serviço",0,IF(AND(AUTOEVENTO="Manual",$M157=1),0,IF(OFFSET(CRONOPLE!$F$14,$M157,AQ$13)="",10^12,OFFSET(CRONOPLE!$F$14,$M157,AQ$13))))</f>
        <v>1000000000000</v>
      </c>
      <c r="AR157" s="181">
        <f ca="1">IF($D157&lt;&gt;"Serviço",0,IF(AND(AUTOEVENTO="Manual",$M157=1),0,IF(OFFSET(CRONOPLE!$F$14,$M157,AR$13)="",10^12,OFFSET(CRONOPLE!$F$14,$M157,AR$13))))</f>
        <v>1000000000000</v>
      </c>
      <c r="AS157" s="181">
        <f ca="1">IF($D157&lt;&gt;"Serviço",0,IF(AND(AUTOEVENTO="Manual",$M157=1),0,IF(OFFSET(CRONOPLE!$F$14,$M157,AS$13)="",10^12,OFFSET(CRONOPLE!$F$14,$M157,AS$13))))</f>
        <v>1000000000000</v>
      </c>
      <c r="AT157" s="181">
        <f ca="1">IF($D157&lt;&gt;"Serviço",0,IF(AND(AUTOEVENTO="Manual",$M157=1),0,IF(OFFSET(CRONOPLE!$F$14,$M157,AT$13)="",10^12,OFFSET(CRONOPLE!$F$14,$M157,AT$13))))</f>
        <v>1000000000000</v>
      </c>
      <c r="AU157" s="181">
        <f ca="1">IF($D157&lt;&gt;"Serviço",0,IF(AND(AUTOEVENTO="Manual",$M157=1),0,IF(OFFSET(CRONOPLE!$F$14,$M157,AU$13)="",10^12,OFFSET(CRONOPLE!$F$14,$M157,AU$13))))</f>
        <v>1000000000000</v>
      </c>
      <c r="AV157" s="181">
        <f ca="1">IF($D157&lt;&gt;"Serviço",0,IF(AND(AUTOEVENTO="Manual",$M157=1),0,IF(OFFSET(CRONOPLE!$F$14,$M157,AV$13)="",10^12,OFFSET(CRONOPLE!$F$14,$M157,AV$13))))</f>
        <v>1000000000000</v>
      </c>
      <c r="AX157" s="182">
        <f ca="1">IF($D157&lt;&gt;"Serviço",0,IF(OR(AND(AUTOEVENTO="Manual",$M157=1),$M157&gt;(ROW(PLE.lastrow)-ROW(PLE.firstrow))),0,IF(OFFSET(PLE!$G$14,$M157,AX$13)="",10^12,OFFSET(PLE!$G$14,$M157,AX$13))))</f>
        <v>1000000000000</v>
      </c>
      <c r="AY157" s="182">
        <f ca="1">IF($D157&lt;&gt;"Serviço",0,IF(OR(AND(AUTOEVENTO="Manual",$M157=1),$M157&gt;(ROW(PLE.lastrow)-ROW(PLE.firstrow))),0,IF(OFFSET(PLE!$G$14,$M157,AY$13)="",10^12,OFFSET(PLE!$G$14,$M157,AY$13))))</f>
        <v>1000000000000</v>
      </c>
      <c r="AZ157" s="182">
        <f ca="1">IF($D157&lt;&gt;"Serviço",0,IF(OR(AND(AUTOEVENTO="Manual",$M157=1),$M157&gt;(ROW(PLE.lastrow)-ROW(PLE.firstrow))),0,IF(OFFSET(PLE!$G$14,$M157,AZ$13)="",10^12,OFFSET(PLE!$G$14,$M157,AZ$13))))</f>
        <v>1000000000000</v>
      </c>
      <c r="BA157" s="182">
        <f ca="1">IF($D157&lt;&gt;"Serviço",0,IF(OR(AND(AUTOEVENTO="Manual",$M157=1),$M157&gt;(ROW(PLE.lastrow)-ROW(PLE.firstrow))),0,IF(OFFSET(PLE!$G$14,$M157,BA$13)="",10^12,OFFSET(PLE!$G$14,$M157,BA$13))))</f>
        <v>1000000000000</v>
      </c>
      <c r="BB157" s="182">
        <f ca="1">IF($D157&lt;&gt;"Serviço",0,IF(OR(AND(AUTOEVENTO="Manual",$M157=1),$M157&gt;(ROW(PLE.lastrow)-ROW(PLE.firstrow))),0,IF(OFFSET(PLE!$G$14,$M157,BB$13)="",10^12,OFFSET(PLE!$G$14,$M157,BB$13))))</f>
        <v>1000000000000</v>
      </c>
      <c r="BC157" s="182">
        <f ca="1">IF($D157&lt;&gt;"Serviço",0,IF(OR(AND(AUTOEVENTO="Manual",$M157=1),$M157&gt;(ROW(PLE.lastrow)-ROW(PLE.firstrow))),0,IF(OFFSET(PLE!$G$14,$M157,BC$13)="",10^12,OFFSET(PLE!$G$14,$M157,BC$13))))</f>
        <v>1000000000000</v>
      </c>
      <c r="BD157" s="182">
        <f ca="1">IF($D157&lt;&gt;"Serviço",0,IF(OR(AND(AUTOEVENTO="Manual",$M157=1),$M157&gt;(ROW(PLE.lastrow)-ROW(PLE.firstrow))),0,IF(OFFSET(PLE!$G$14,$M157,BD$13)="",10^12,OFFSET(PLE!$G$14,$M157,BD$13))))</f>
        <v>1000000000000</v>
      </c>
      <c r="BE157" s="182">
        <f ca="1">IF($D157&lt;&gt;"Serviço",0,IF(OR(AND(AUTOEVENTO="Manual",$M157=1),$M157&gt;(ROW(PLE.lastrow)-ROW(PLE.firstrow))),0,IF(OFFSET(PLE!$G$14,$M157,BE$13)="",10^12,OFFSET(PLE!$G$14,$M157,BE$13))))</f>
        <v>1000000000000</v>
      </c>
      <c r="BF157" s="182">
        <f ca="1">IF($D157&lt;&gt;"Serviço",0,IF(OR(AND(AUTOEVENTO="Manual",$M157=1),$M157&gt;(ROW(PLE.lastrow)-ROW(PLE.firstrow))),0,IF(OFFSET(PLE!$G$14,$M157,BF$13)="",10^12,OFFSET(PLE!$G$14,$M157,BF$13))))</f>
        <v>1000000000000</v>
      </c>
      <c r="BG157" s="182">
        <f ca="1">IF($D157&lt;&gt;"Serviço",0,IF(OR(AND(AUTOEVENTO="Manual",$M157=1),$M157&gt;(ROW(PLE.lastrow)-ROW(PLE.firstrow))),0,IF(OFFSET(PLE!$G$14,$M157,BG$13)="",10^12,OFFSET(PLE!$G$14,$M157,BG$13))))</f>
        <v>1000000000000</v>
      </c>
    </row>
    <row r="158" spans="1:59" ht="25.5" x14ac:dyDescent="0.2">
      <c r="A158" s="7" t="str">
        <f ca="1">IF(AUTOEVENTO="Manual",IF(K158&lt;&gt;"",MIN(VALUE(LEFT(K158,FIND(".",K158)-1)),COUNTA(EVENTOS.Lista)),0),IF(OR($B158&gt;AUTOEVENTO,$B158="S",$B158=0),SUBSTITUTE(OFFSET($A158,-1,0),IF($D158="Serviço",".",""),""),ROW(A158)-ROW($A$15)&amp;"."))</f>
        <v>71</v>
      </c>
      <c r="B158" s="7" t="str">
        <f ca="1">OFFSET(ORÇAMENTO!C$15,ROW(B158)-ROW(B$15),0)</f>
        <v>S</v>
      </c>
      <c r="C158" s="7" t="str">
        <f ca="1">OFFSET(ORÇAMENTO!L$15,ROW(C158)-ROW(C$15),0)</f>
        <v>F</v>
      </c>
      <c r="D158" s="118" t="str">
        <f ca="1">OFFSET(ORÇAMENTO!N$15,ROW(D158)-ROW(D$15),0)</f>
        <v>Serviço</v>
      </c>
      <c r="E158" s="119" t="str">
        <f ca="1">OFFSET(ORÇAMENTO!O$15,ROW(E158)-ROW(E$15),0)</f>
        <v>1.6.16.2.</v>
      </c>
      <c r="F158" s="172" t="str">
        <f ca="1">OFFSET(ORÇAMENTO!R$15,ROW(F158)-ROW(F$15),0)</f>
        <v>(abra o arquivo 'Referência 03-2024.xlsm)</v>
      </c>
      <c r="G158" s="173" t="str">
        <f ca="1">IF($D158&lt;&gt;"Serviço","",OFFSET(ORÇAMENTO!S$15,ROW(G158)-ROW(G$15),0))</f>
        <v>-</v>
      </c>
      <c r="H158" s="124">
        <f ca="1">IF($D158&lt;&gt;"Serviço",0,IF(ACOMPANHAMENTO="BM",ROUND(OFFSET(ORÇAMENTO!AJ$15,ROW(H158)-ROW(H$15),0),15-13*ORÇAMENTO!$AF$7),SUMPRODUCT(($Q$12:$AA$12&lt;&gt;"")*ROUND($Q158:$AA158,15-13*ORÇAMENTO!$AF$7))))</f>
        <v>2</v>
      </c>
      <c r="I158" s="561"/>
      <c r="K158" s="174"/>
      <c r="L158" s="175" t="s">
        <v>255</v>
      </c>
      <c r="M158" s="176">
        <f ca="1">IF($D158&lt;&gt;"Serviço","",IF(AUTOEVENTO="manual",$A158,IF(ISERROR(MATCH($A158,$A$15:OFFSET($A158,-1,0),0)),MAX($M$15:OFFSET(M158,-1,0))+1,INDEX($M$15:OFFSET(M158,-1,0),MATCH($A158,$A$15:OFFSET($A158,-1,0),0)))))</f>
        <v>7</v>
      </c>
      <c r="N158" s="177" t="str">
        <f ca="1">IF($D158&lt;&gt;"Serviço","",IF(AUTOEVENTO="Manual",IF($A158=0,"&lt;-- defina o número do agrupador",OFFSET(EVENTOS!$D$14,$A158,0)),OFFSET($F$15,$A158,0)))</f>
        <v>SANITÁRIO PÚBLICO ACESSÍVEL</v>
      </c>
      <c r="O158" s="178"/>
      <c r="Q158" s="178"/>
      <c r="R158" s="179"/>
      <c r="S158" s="179"/>
      <c r="T158" s="179"/>
      <c r="U158" s="179"/>
      <c r="V158" s="179"/>
      <c r="W158" s="179"/>
      <c r="X158" s="179"/>
      <c r="Y158" s="179"/>
      <c r="Z158" s="180"/>
      <c r="AB158" s="544">
        <f ca="1">IF(AND($D158="Serviço",AB$12&lt;&gt;0,$H158&gt;0,OR(AUTOEVENTO&lt;&gt;"manual",$M158&lt;&gt;1)),
IF(Import.TipoArredondamento&lt;&gt;"TransfereGOV",
ROUND(OFFSET($P158,0,AB$13),15-13*ORÇAMENTO!$AF$7)/$H158*OFFSET(ORÇAMENTO!$X$15,ROW(AB158)-ROW(AB$15),0),
ROUND(ROUND(OFFSET($P158,0,AB$13),15-13*ORÇAMENTO!$AF$7)*OFFSET(ORÇAMENTO!$W$15,ROW(AB158)-ROW(AB$15),0),15-13*ORÇAMENTO!$AF$11)),0)</f>
        <v>0</v>
      </c>
      <c r="AC158" s="545">
        <f ca="1">IF(AND($D158="Serviço",AC$12&lt;&gt;0,$H158&gt;0,OR(AUTOEVENTO&lt;&gt;"manual",$M158&lt;&gt;1)),
IF(Import.TipoArredondamento&lt;&gt;"TransfereGOV",
ROUND(OFFSET($P158,0,AC$13),15-13*ORÇAMENTO!$AF$7)/$H158*OFFSET(ORÇAMENTO!$X$15,ROW(AC158)-ROW(AC$15),0),
ROUND(ROUND(OFFSET($P158,0,AC$13),15-13*ORÇAMENTO!$AF$7)*OFFSET(ORÇAMENTO!$W$15,ROW(AC158)-ROW(AC$15),0),15-13*ORÇAMENTO!$AF$11)),0)</f>
        <v>0</v>
      </c>
      <c r="AD158" s="545">
        <f ca="1">IF(AND($D158="Serviço",AD$12&lt;&gt;0,$H158&gt;0,OR(AUTOEVENTO&lt;&gt;"manual",$M158&lt;&gt;1)),
IF(Import.TipoArredondamento&lt;&gt;"TransfereGOV",
ROUND(OFFSET($P158,0,AD$13),15-13*ORÇAMENTO!$AF$7)/$H158*OFFSET(ORÇAMENTO!$X$15,ROW(AD158)-ROW(AD$15),0),
ROUND(ROUND(OFFSET($P158,0,AD$13),15-13*ORÇAMENTO!$AF$7)*OFFSET(ORÇAMENTO!$W$15,ROW(AD158)-ROW(AD$15),0),15-13*ORÇAMENTO!$AF$11)),0)</f>
        <v>0</v>
      </c>
      <c r="AE158" s="545">
        <f ca="1">IF(AND($D158="Serviço",AE$12&lt;&gt;0,$H158&gt;0,OR(AUTOEVENTO&lt;&gt;"manual",$M158&lt;&gt;1)),
IF(Import.TipoArredondamento&lt;&gt;"TransfereGOV",
ROUND(OFFSET($P158,0,AE$13),15-13*ORÇAMENTO!$AF$7)/$H158*OFFSET(ORÇAMENTO!$X$15,ROW(AE158)-ROW(AE$15),0),
ROUND(ROUND(OFFSET($P158,0,AE$13),15-13*ORÇAMENTO!$AF$7)*OFFSET(ORÇAMENTO!$W$15,ROW(AE158)-ROW(AE$15),0),15-13*ORÇAMENTO!$AF$11)),0)</f>
        <v>0</v>
      </c>
      <c r="AF158" s="545">
        <f ca="1">IF(AND($D158="Serviço",AF$12&lt;&gt;0,$H158&gt;0,OR(AUTOEVENTO&lt;&gt;"manual",$M158&lt;&gt;1)),
IF(Import.TipoArredondamento&lt;&gt;"TransfereGOV",
ROUND(OFFSET($P158,0,AF$13),15-13*ORÇAMENTO!$AF$7)/$H158*OFFSET(ORÇAMENTO!$X$15,ROW(AF158)-ROW(AF$15),0),
ROUND(ROUND(OFFSET($P158,0,AF$13),15-13*ORÇAMENTO!$AF$7)*OFFSET(ORÇAMENTO!$W$15,ROW(AF158)-ROW(AF$15),0),15-13*ORÇAMENTO!$AF$11)),0)</f>
        <v>0</v>
      </c>
      <c r="AG158" s="545">
        <f ca="1">IF(AND($D158="Serviço",AG$12&lt;&gt;0,$H158&gt;0,OR(AUTOEVENTO&lt;&gt;"manual",$M158&lt;&gt;1)),
IF(Import.TipoArredondamento&lt;&gt;"TransfereGOV",
ROUND(OFFSET($P158,0,AG$13),15-13*ORÇAMENTO!$AF$7)/$H158*OFFSET(ORÇAMENTO!$X$15,ROW(AG158)-ROW(AG$15),0),
ROUND(ROUND(OFFSET($P158,0,AG$13),15-13*ORÇAMENTO!$AF$7)*OFFSET(ORÇAMENTO!$W$15,ROW(AG158)-ROW(AG$15),0),15-13*ORÇAMENTO!$AF$11)),0)</f>
        <v>0</v>
      </c>
      <c r="AH158" s="545">
        <f ca="1">IF(AND($D158="Serviço",AH$12&lt;&gt;0,$H158&gt;0,OR(AUTOEVENTO&lt;&gt;"manual",$M158&lt;&gt;1)),
IF(Import.TipoArredondamento&lt;&gt;"TransfereGOV",
ROUND(OFFSET($P158,0,AH$13),15-13*ORÇAMENTO!$AF$7)/$H158*OFFSET(ORÇAMENTO!$X$15,ROW(AH158)-ROW(AH$15),0),
ROUND(ROUND(OFFSET($P158,0,AH$13),15-13*ORÇAMENTO!$AF$7)*OFFSET(ORÇAMENTO!$W$15,ROW(AH158)-ROW(AH$15),0),15-13*ORÇAMENTO!$AF$11)),0)</f>
        <v>0</v>
      </c>
      <c r="AI158" s="545">
        <f ca="1">IF(AND($D158="Serviço",AI$12&lt;&gt;0,$H158&gt;0,OR(AUTOEVENTO&lt;&gt;"manual",$M158&lt;&gt;1)),
IF(Import.TipoArredondamento&lt;&gt;"TransfereGOV",
ROUND(OFFSET($P158,0,AI$13),15-13*ORÇAMENTO!$AF$7)/$H158*OFFSET(ORÇAMENTO!$X$15,ROW(AI158)-ROW(AI$15),0),
ROUND(ROUND(OFFSET($P158,0,AI$13),15-13*ORÇAMENTO!$AF$7)*OFFSET(ORÇAMENTO!$W$15,ROW(AI158)-ROW(AI$15),0),15-13*ORÇAMENTO!$AF$11)),0)</f>
        <v>0</v>
      </c>
      <c r="AJ158" s="545">
        <f ca="1">IF(AND($D158="Serviço",AJ$12&lt;&gt;0,$H158&gt;0,OR(AUTOEVENTO&lt;&gt;"manual",$M158&lt;&gt;1)),
IF(Import.TipoArredondamento&lt;&gt;"TransfereGOV",
ROUND(OFFSET($P158,0,AJ$13),15-13*ORÇAMENTO!$AF$7)/$H158*OFFSET(ORÇAMENTO!$X$15,ROW(AJ158)-ROW(AJ$15),0),
ROUND(ROUND(OFFSET($P158,0,AJ$13),15-13*ORÇAMENTO!$AF$7)*OFFSET(ORÇAMENTO!$W$15,ROW(AJ158)-ROW(AJ$15),0),15-13*ORÇAMENTO!$AF$11)),0)</f>
        <v>0</v>
      </c>
      <c r="AK158" s="546">
        <f ca="1">IF(AND($D158="Serviço",AK$12&lt;&gt;0,$H158&gt;0,OR(AUTOEVENTO&lt;&gt;"manual",$M158&lt;&gt;1)),
IF(Import.TipoArredondamento&lt;&gt;"TransfereGOV",
ROUND(OFFSET($P158,0,AK$13),15-13*ORÇAMENTO!$AF$7)/$H158*OFFSET(ORÇAMENTO!$X$15,ROW(AK158)-ROW(AK$15),0),
ROUND(ROUND(OFFSET($P158,0,AK$13),15-13*ORÇAMENTO!$AF$7)*OFFSET(ORÇAMENTO!$W$15,ROW(AK158)-ROW(AK$15),0),15-13*ORÇAMENTO!$AF$11)),0)</f>
        <v>0</v>
      </c>
      <c r="AM158" s="181">
        <f ca="1">IF($D158&lt;&gt;"Serviço",0,IF(AND(AUTOEVENTO="Manual",$M158=1),0,IF(OFFSET(CRONOPLE!$F$14,$M158,AM$13)="",10^12,OFFSET(CRONOPLE!$F$14,$M158,AM$13))))</f>
        <v>1000000000000</v>
      </c>
      <c r="AN158" s="181">
        <f ca="1">IF($D158&lt;&gt;"Serviço",0,IF(AND(AUTOEVENTO="Manual",$M158=1),0,IF(OFFSET(CRONOPLE!$F$14,$M158,AN$13)="",10^12,OFFSET(CRONOPLE!$F$14,$M158,AN$13))))</f>
        <v>1000000000000</v>
      </c>
      <c r="AO158" s="181">
        <f ca="1">IF($D158&lt;&gt;"Serviço",0,IF(AND(AUTOEVENTO="Manual",$M158=1),0,IF(OFFSET(CRONOPLE!$F$14,$M158,AO$13)="",10^12,OFFSET(CRONOPLE!$F$14,$M158,AO$13))))</f>
        <v>1000000000000</v>
      </c>
      <c r="AP158" s="181">
        <f ca="1">IF($D158&lt;&gt;"Serviço",0,IF(AND(AUTOEVENTO="Manual",$M158=1),0,IF(OFFSET(CRONOPLE!$F$14,$M158,AP$13)="",10^12,OFFSET(CRONOPLE!$F$14,$M158,AP$13))))</f>
        <v>1000000000000</v>
      </c>
      <c r="AQ158" s="181">
        <f ca="1">IF($D158&lt;&gt;"Serviço",0,IF(AND(AUTOEVENTO="Manual",$M158=1),0,IF(OFFSET(CRONOPLE!$F$14,$M158,AQ$13)="",10^12,OFFSET(CRONOPLE!$F$14,$M158,AQ$13))))</f>
        <v>1000000000000</v>
      </c>
      <c r="AR158" s="181">
        <f ca="1">IF($D158&lt;&gt;"Serviço",0,IF(AND(AUTOEVENTO="Manual",$M158=1),0,IF(OFFSET(CRONOPLE!$F$14,$M158,AR$13)="",10^12,OFFSET(CRONOPLE!$F$14,$M158,AR$13))))</f>
        <v>1000000000000</v>
      </c>
      <c r="AS158" s="181">
        <f ca="1">IF($D158&lt;&gt;"Serviço",0,IF(AND(AUTOEVENTO="Manual",$M158=1),0,IF(OFFSET(CRONOPLE!$F$14,$M158,AS$13)="",10^12,OFFSET(CRONOPLE!$F$14,$M158,AS$13))))</f>
        <v>1000000000000</v>
      </c>
      <c r="AT158" s="181">
        <f ca="1">IF($D158&lt;&gt;"Serviço",0,IF(AND(AUTOEVENTO="Manual",$M158=1),0,IF(OFFSET(CRONOPLE!$F$14,$M158,AT$13)="",10^12,OFFSET(CRONOPLE!$F$14,$M158,AT$13))))</f>
        <v>1000000000000</v>
      </c>
      <c r="AU158" s="181">
        <f ca="1">IF($D158&lt;&gt;"Serviço",0,IF(AND(AUTOEVENTO="Manual",$M158=1),0,IF(OFFSET(CRONOPLE!$F$14,$M158,AU$13)="",10^12,OFFSET(CRONOPLE!$F$14,$M158,AU$13))))</f>
        <v>1000000000000</v>
      </c>
      <c r="AV158" s="181">
        <f ca="1">IF($D158&lt;&gt;"Serviço",0,IF(AND(AUTOEVENTO="Manual",$M158=1),0,IF(OFFSET(CRONOPLE!$F$14,$M158,AV$13)="",10^12,OFFSET(CRONOPLE!$F$14,$M158,AV$13))))</f>
        <v>1000000000000</v>
      </c>
      <c r="AX158" s="182">
        <f ca="1">IF($D158&lt;&gt;"Serviço",0,IF(OR(AND(AUTOEVENTO="Manual",$M158=1),$M158&gt;(ROW(PLE.lastrow)-ROW(PLE.firstrow))),0,IF(OFFSET(PLE!$G$14,$M158,AX$13)="",10^12,OFFSET(PLE!$G$14,$M158,AX$13))))</f>
        <v>1000000000000</v>
      </c>
      <c r="AY158" s="182">
        <f ca="1">IF($D158&lt;&gt;"Serviço",0,IF(OR(AND(AUTOEVENTO="Manual",$M158=1),$M158&gt;(ROW(PLE.lastrow)-ROW(PLE.firstrow))),0,IF(OFFSET(PLE!$G$14,$M158,AY$13)="",10^12,OFFSET(PLE!$G$14,$M158,AY$13))))</f>
        <v>1000000000000</v>
      </c>
      <c r="AZ158" s="182">
        <f ca="1">IF($D158&lt;&gt;"Serviço",0,IF(OR(AND(AUTOEVENTO="Manual",$M158=1),$M158&gt;(ROW(PLE.lastrow)-ROW(PLE.firstrow))),0,IF(OFFSET(PLE!$G$14,$M158,AZ$13)="",10^12,OFFSET(PLE!$G$14,$M158,AZ$13))))</f>
        <v>1000000000000</v>
      </c>
      <c r="BA158" s="182">
        <f ca="1">IF($D158&lt;&gt;"Serviço",0,IF(OR(AND(AUTOEVENTO="Manual",$M158=1),$M158&gt;(ROW(PLE.lastrow)-ROW(PLE.firstrow))),0,IF(OFFSET(PLE!$G$14,$M158,BA$13)="",10^12,OFFSET(PLE!$G$14,$M158,BA$13))))</f>
        <v>1000000000000</v>
      </c>
      <c r="BB158" s="182">
        <f ca="1">IF($D158&lt;&gt;"Serviço",0,IF(OR(AND(AUTOEVENTO="Manual",$M158=1),$M158&gt;(ROW(PLE.lastrow)-ROW(PLE.firstrow))),0,IF(OFFSET(PLE!$G$14,$M158,BB$13)="",10^12,OFFSET(PLE!$G$14,$M158,BB$13))))</f>
        <v>1000000000000</v>
      </c>
      <c r="BC158" s="182">
        <f ca="1">IF($D158&lt;&gt;"Serviço",0,IF(OR(AND(AUTOEVENTO="Manual",$M158=1),$M158&gt;(ROW(PLE.lastrow)-ROW(PLE.firstrow))),0,IF(OFFSET(PLE!$G$14,$M158,BC$13)="",10^12,OFFSET(PLE!$G$14,$M158,BC$13))))</f>
        <v>1000000000000</v>
      </c>
      <c r="BD158" s="182">
        <f ca="1">IF($D158&lt;&gt;"Serviço",0,IF(OR(AND(AUTOEVENTO="Manual",$M158=1),$M158&gt;(ROW(PLE.lastrow)-ROW(PLE.firstrow))),0,IF(OFFSET(PLE!$G$14,$M158,BD$13)="",10^12,OFFSET(PLE!$G$14,$M158,BD$13))))</f>
        <v>1000000000000</v>
      </c>
      <c r="BE158" s="182">
        <f ca="1">IF($D158&lt;&gt;"Serviço",0,IF(OR(AND(AUTOEVENTO="Manual",$M158=1),$M158&gt;(ROW(PLE.lastrow)-ROW(PLE.firstrow))),0,IF(OFFSET(PLE!$G$14,$M158,BE$13)="",10^12,OFFSET(PLE!$G$14,$M158,BE$13))))</f>
        <v>1000000000000</v>
      </c>
      <c r="BF158" s="182">
        <f ca="1">IF($D158&lt;&gt;"Serviço",0,IF(OR(AND(AUTOEVENTO="Manual",$M158=1),$M158&gt;(ROW(PLE.lastrow)-ROW(PLE.firstrow))),0,IF(OFFSET(PLE!$G$14,$M158,BF$13)="",10^12,OFFSET(PLE!$G$14,$M158,BF$13))))</f>
        <v>1000000000000</v>
      </c>
      <c r="BG158" s="182">
        <f ca="1">IF($D158&lt;&gt;"Serviço",0,IF(OR(AND(AUTOEVENTO="Manual",$M158=1),$M158&gt;(ROW(PLE.lastrow)-ROW(PLE.firstrow))),0,IF(OFFSET(PLE!$G$14,$M158,BG$13)="",10^12,OFFSET(PLE!$G$14,$M158,BG$13))))</f>
        <v>1000000000000</v>
      </c>
    </row>
    <row r="159" spans="1:59" ht="51" x14ac:dyDescent="0.2">
      <c r="A159" s="7" t="str">
        <f t="shared" ca="1" si="10"/>
        <v>71</v>
      </c>
      <c r="B159" s="7" t="str">
        <f ca="1">OFFSET(ORÇAMENTO!C$15,ROW(B159)-ROW(B$15),0)</f>
        <v>S</v>
      </c>
      <c r="C159" s="7" t="str">
        <f ca="1">OFFSET(ORÇAMENTO!L$15,ROW(C159)-ROW(C$15),0)</f>
        <v>F</v>
      </c>
      <c r="D159" s="118" t="str">
        <f ca="1">OFFSET(ORÇAMENTO!N$15,ROW(D159)-ROW(D$15),0)</f>
        <v>Serviço</v>
      </c>
      <c r="E159" s="119" t="str">
        <f ca="1">OFFSET(ORÇAMENTO!O$15,ROW(E159)-ROW(E$15),0)</f>
        <v>1.6.16.3.</v>
      </c>
      <c r="F159" s="172" t="str">
        <f ca="1">OFFSET(ORÇAMENTO!R$15,ROW(F159)-ROW(F$15),0)</f>
        <v>(abra o arquivo 'Referência 03-2024.xlsm)</v>
      </c>
      <c r="G159" s="173" t="str">
        <f ca="1">IF($D159&lt;&gt;"Serviço","",OFFSET(ORÇAMENTO!S$15,ROW(G159)-ROW(G$15),0))</f>
        <v>-</v>
      </c>
      <c r="H159" s="124">
        <f ca="1">IF($D159&lt;&gt;"Serviço",0,IF(ACOMPANHAMENTO="BM",ROUND(OFFSET(ORÇAMENTO!AJ$15,ROW(H159)-ROW(H$15),0),15-13*ORÇAMENTO!$AF$7),SUMPRODUCT(($Q$12:$AA$12&lt;&gt;"")*ROUND($Q159:$AA159,15-13*ORÇAMENTO!$AF$7))))</f>
        <v>2</v>
      </c>
      <c r="I159" s="561"/>
      <c r="K159" s="174"/>
      <c r="L159" s="175" t="s">
        <v>255</v>
      </c>
      <c r="M159" s="176">
        <f ca="1">IF($D159&lt;&gt;"Serviço","",IF(AUTOEVENTO="manual",$A159,IF(ISERROR(MATCH($A159,$A$15:OFFSET($A159,-1,0),0)),MAX($M$15:OFFSET(M159,-1,0))+1,INDEX($M$15:OFFSET(M159,-1,0),MATCH($A159,$A$15:OFFSET($A159,-1,0),0)))))</f>
        <v>7</v>
      </c>
      <c r="N159" s="177" t="str">
        <f ca="1">IF($D159&lt;&gt;"Serviço","",IF(AUTOEVENTO="Manual",IF($A159=0,"&lt;-- defina o número do agrupador",OFFSET(EVENTOS!$D$14,$A159,0)),OFFSET($F$15,$A159,0)))</f>
        <v>SANITÁRIO PÚBLICO ACESSÍVEL</v>
      </c>
      <c r="O159" s="178"/>
      <c r="Q159" s="178"/>
      <c r="R159" s="179"/>
      <c r="S159" s="179"/>
      <c r="T159" s="179"/>
      <c r="U159" s="179"/>
      <c r="V159" s="179"/>
      <c r="W159" s="179"/>
      <c r="X159" s="179"/>
      <c r="Y159" s="179"/>
      <c r="Z159" s="180"/>
      <c r="AB159" s="544">
        <f ca="1">IF(AND($D159="Serviço",AB$12&lt;&gt;0,$H159&gt;0,OR(AUTOEVENTO&lt;&gt;"manual",$M159&lt;&gt;1)),
IF(Import.TipoArredondamento&lt;&gt;"TransfereGOV",
ROUND(OFFSET($P159,0,AB$13),15-13*ORÇAMENTO!$AF$7)/$H159*OFFSET(ORÇAMENTO!$X$15,ROW(AB159)-ROW(AB$15),0),
ROUND(ROUND(OFFSET($P159,0,AB$13),15-13*ORÇAMENTO!$AF$7)*OFFSET(ORÇAMENTO!$W$15,ROW(AB159)-ROW(AB$15),0),15-13*ORÇAMENTO!$AF$11)),0)</f>
        <v>0</v>
      </c>
      <c r="AC159" s="545">
        <f ca="1">IF(AND($D159="Serviço",AC$12&lt;&gt;0,$H159&gt;0,OR(AUTOEVENTO&lt;&gt;"manual",$M159&lt;&gt;1)),
IF(Import.TipoArredondamento&lt;&gt;"TransfereGOV",
ROUND(OFFSET($P159,0,AC$13),15-13*ORÇAMENTO!$AF$7)/$H159*OFFSET(ORÇAMENTO!$X$15,ROW(AC159)-ROW(AC$15),0),
ROUND(ROUND(OFFSET($P159,0,AC$13),15-13*ORÇAMENTO!$AF$7)*OFFSET(ORÇAMENTO!$W$15,ROW(AC159)-ROW(AC$15),0),15-13*ORÇAMENTO!$AF$11)),0)</f>
        <v>0</v>
      </c>
      <c r="AD159" s="545">
        <f ca="1">IF(AND($D159="Serviço",AD$12&lt;&gt;0,$H159&gt;0,OR(AUTOEVENTO&lt;&gt;"manual",$M159&lt;&gt;1)),
IF(Import.TipoArredondamento&lt;&gt;"TransfereGOV",
ROUND(OFFSET($P159,0,AD$13),15-13*ORÇAMENTO!$AF$7)/$H159*OFFSET(ORÇAMENTO!$X$15,ROW(AD159)-ROW(AD$15),0),
ROUND(ROUND(OFFSET($P159,0,AD$13),15-13*ORÇAMENTO!$AF$7)*OFFSET(ORÇAMENTO!$W$15,ROW(AD159)-ROW(AD$15),0),15-13*ORÇAMENTO!$AF$11)),0)</f>
        <v>0</v>
      </c>
      <c r="AE159" s="545">
        <f ca="1">IF(AND($D159="Serviço",AE$12&lt;&gt;0,$H159&gt;0,OR(AUTOEVENTO&lt;&gt;"manual",$M159&lt;&gt;1)),
IF(Import.TipoArredondamento&lt;&gt;"TransfereGOV",
ROUND(OFFSET($P159,0,AE$13),15-13*ORÇAMENTO!$AF$7)/$H159*OFFSET(ORÇAMENTO!$X$15,ROW(AE159)-ROW(AE$15),0),
ROUND(ROUND(OFFSET($P159,0,AE$13),15-13*ORÇAMENTO!$AF$7)*OFFSET(ORÇAMENTO!$W$15,ROW(AE159)-ROW(AE$15),0),15-13*ORÇAMENTO!$AF$11)),0)</f>
        <v>0</v>
      </c>
      <c r="AF159" s="545">
        <f ca="1">IF(AND($D159="Serviço",AF$12&lt;&gt;0,$H159&gt;0,OR(AUTOEVENTO&lt;&gt;"manual",$M159&lt;&gt;1)),
IF(Import.TipoArredondamento&lt;&gt;"TransfereGOV",
ROUND(OFFSET($P159,0,AF$13),15-13*ORÇAMENTO!$AF$7)/$H159*OFFSET(ORÇAMENTO!$X$15,ROW(AF159)-ROW(AF$15),0),
ROUND(ROUND(OFFSET($P159,0,AF$13),15-13*ORÇAMENTO!$AF$7)*OFFSET(ORÇAMENTO!$W$15,ROW(AF159)-ROW(AF$15),0),15-13*ORÇAMENTO!$AF$11)),0)</f>
        <v>0</v>
      </c>
      <c r="AG159" s="545">
        <f ca="1">IF(AND($D159="Serviço",AG$12&lt;&gt;0,$H159&gt;0,OR(AUTOEVENTO&lt;&gt;"manual",$M159&lt;&gt;1)),
IF(Import.TipoArredondamento&lt;&gt;"TransfereGOV",
ROUND(OFFSET($P159,0,AG$13),15-13*ORÇAMENTO!$AF$7)/$H159*OFFSET(ORÇAMENTO!$X$15,ROW(AG159)-ROW(AG$15),0),
ROUND(ROUND(OFFSET($P159,0,AG$13),15-13*ORÇAMENTO!$AF$7)*OFFSET(ORÇAMENTO!$W$15,ROW(AG159)-ROW(AG$15),0),15-13*ORÇAMENTO!$AF$11)),0)</f>
        <v>0</v>
      </c>
      <c r="AH159" s="545">
        <f ca="1">IF(AND($D159="Serviço",AH$12&lt;&gt;0,$H159&gt;0,OR(AUTOEVENTO&lt;&gt;"manual",$M159&lt;&gt;1)),
IF(Import.TipoArredondamento&lt;&gt;"TransfereGOV",
ROUND(OFFSET($P159,0,AH$13),15-13*ORÇAMENTO!$AF$7)/$H159*OFFSET(ORÇAMENTO!$X$15,ROW(AH159)-ROW(AH$15),0),
ROUND(ROUND(OFFSET($P159,0,AH$13),15-13*ORÇAMENTO!$AF$7)*OFFSET(ORÇAMENTO!$W$15,ROW(AH159)-ROW(AH$15),0),15-13*ORÇAMENTO!$AF$11)),0)</f>
        <v>0</v>
      </c>
      <c r="AI159" s="545">
        <f ca="1">IF(AND($D159="Serviço",AI$12&lt;&gt;0,$H159&gt;0,OR(AUTOEVENTO&lt;&gt;"manual",$M159&lt;&gt;1)),
IF(Import.TipoArredondamento&lt;&gt;"TransfereGOV",
ROUND(OFFSET($P159,0,AI$13),15-13*ORÇAMENTO!$AF$7)/$H159*OFFSET(ORÇAMENTO!$X$15,ROW(AI159)-ROW(AI$15),0),
ROUND(ROUND(OFFSET($P159,0,AI$13),15-13*ORÇAMENTO!$AF$7)*OFFSET(ORÇAMENTO!$W$15,ROW(AI159)-ROW(AI$15),0),15-13*ORÇAMENTO!$AF$11)),0)</f>
        <v>0</v>
      </c>
      <c r="AJ159" s="545">
        <f ca="1">IF(AND($D159="Serviço",AJ$12&lt;&gt;0,$H159&gt;0,OR(AUTOEVENTO&lt;&gt;"manual",$M159&lt;&gt;1)),
IF(Import.TipoArredondamento&lt;&gt;"TransfereGOV",
ROUND(OFFSET($P159,0,AJ$13),15-13*ORÇAMENTO!$AF$7)/$H159*OFFSET(ORÇAMENTO!$X$15,ROW(AJ159)-ROW(AJ$15),0),
ROUND(ROUND(OFFSET($P159,0,AJ$13),15-13*ORÇAMENTO!$AF$7)*OFFSET(ORÇAMENTO!$W$15,ROW(AJ159)-ROW(AJ$15),0),15-13*ORÇAMENTO!$AF$11)),0)</f>
        <v>0</v>
      </c>
      <c r="AK159" s="546">
        <f ca="1">IF(AND($D159="Serviço",AK$12&lt;&gt;0,$H159&gt;0,OR(AUTOEVENTO&lt;&gt;"manual",$M159&lt;&gt;1)),
IF(Import.TipoArredondamento&lt;&gt;"TransfereGOV",
ROUND(OFFSET($P159,0,AK$13),15-13*ORÇAMENTO!$AF$7)/$H159*OFFSET(ORÇAMENTO!$X$15,ROW(AK159)-ROW(AK$15),0),
ROUND(ROUND(OFFSET($P159,0,AK$13),15-13*ORÇAMENTO!$AF$7)*OFFSET(ORÇAMENTO!$W$15,ROW(AK159)-ROW(AK$15),0),15-13*ORÇAMENTO!$AF$11)),0)</f>
        <v>0</v>
      </c>
      <c r="AM159" s="181">
        <f ca="1">IF($D159&lt;&gt;"Serviço",0,IF(AND(AUTOEVENTO="Manual",$M159=1),0,IF(OFFSET(CRONOPLE!$F$14,$M159,AM$13)="",10^12,OFFSET(CRONOPLE!$F$14,$M159,AM$13))))</f>
        <v>1000000000000</v>
      </c>
      <c r="AN159" s="181">
        <f ca="1">IF($D159&lt;&gt;"Serviço",0,IF(AND(AUTOEVENTO="Manual",$M159=1),0,IF(OFFSET(CRONOPLE!$F$14,$M159,AN$13)="",10^12,OFFSET(CRONOPLE!$F$14,$M159,AN$13))))</f>
        <v>1000000000000</v>
      </c>
      <c r="AO159" s="181">
        <f ca="1">IF($D159&lt;&gt;"Serviço",0,IF(AND(AUTOEVENTO="Manual",$M159=1),0,IF(OFFSET(CRONOPLE!$F$14,$M159,AO$13)="",10^12,OFFSET(CRONOPLE!$F$14,$M159,AO$13))))</f>
        <v>1000000000000</v>
      </c>
      <c r="AP159" s="181">
        <f ca="1">IF($D159&lt;&gt;"Serviço",0,IF(AND(AUTOEVENTO="Manual",$M159=1),0,IF(OFFSET(CRONOPLE!$F$14,$M159,AP$13)="",10^12,OFFSET(CRONOPLE!$F$14,$M159,AP$13))))</f>
        <v>1000000000000</v>
      </c>
      <c r="AQ159" s="181">
        <f ca="1">IF($D159&lt;&gt;"Serviço",0,IF(AND(AUTOEVENTO="Manual",$M159=1),0,IF(OFFSET(CRONOPLE!$F$14,$M159,AQ$13)="",10^12,OFFSET(CRONOPLE!$F$14,$M159,AQ$13))))</f>
        <v>1000000000000</v>
      </c>
      <c r="AR159" s="181">
        <f ca="1">IF($D159&lt;&gt;"Serviço",0,IF(AND(AUTOEVENTO="Manual",$M159=1),0,IF(OFFSET(CRONOPLE!$F$14,$M159,AR$13)="",10^12,OFFSET(CRONOPLE!$F$14,$M159,AR$13))))</f>
        <v>1000000000000</v>
      </c>
      <c r="AS159" s="181">
        <f ca="1">IF($D159&lt;&gt;"Serviço",0,IF(AND(AUTOEVENTO="Manual",$M159=1),0,IF(OFFSET(CRONOPLE!$F$14,$M159,AS$13)="",10^12,OFFSET(CRONOPLE!$F$14,$M159,AS$13))))</f>
        <v>1000000000000</v>
      </c>
      <c r="AT159" s="181">
        <f ca="1">IF($D159&lt;&gt;"Serviço",0,IF(AND(AUTOEVENTO="Manual",$M159=1),0,IF(OFFSET(CRONOPLE!$F$14,$M159,AT$13)="",10^12,OFFSET(CRONOPLE!$F$14,$M159,AT$13))))</f>
        <v>1000000000000</v>
      </c>
      <c r="AU159" s="181">
        <f ca="1">IF($D159&lt;&gt;"Serviço",0,IF(AND(AUTOEVENTO="Manual",$M159=1),0,IF(OFFSET(CRONOPLE!$F$14,$M159,AU$13)="",10^12,OFFSET(CRONOPLE!$F$14,$M159,AU$13))))</f>
        <v>1000000000000</v>
      </c>
      <c r="AV159" s="181">
        <f ca="1">IF($D159&lt;&gt;"Serviço",0,IF(AND(AUTOEVENTO="Manual",$M159=1),0,IF(OFFSET(CRONOPLE!$F$14,$M159,AV$13)="",10^12,OFFSET(CRONOPLE!$F$14,$M159,AV$13))))</f>
        <v>1000000000000</v>
      </c>
      <c r="AX159" s="182">
        <f ca="1">IF($D159&lt;&gt;"Serviço",0,IF(OR(AND(AUTOEVENTO="Manual",$M159=1),$M159&gt;(ROW(PLE.lastrow)-ROW(PLE.firstrow))),0,IF(OFFSET(PLE!$G$14,$M159,AX$13)="",10^12,OFFSET(PLE!$G$14,$M159,AX$13))))</f>
        <v>1000000000000</v>
      </c>
      <c r="AY159" s="182">
        <f ca="1">IF($D159&lt;&gt;"Serviço",0,IF(OR(AND(AUTOEVENTO="Manual",$M159=1),$M159&gt;(ROW(PLE.lastrow)-ROW(PLE.firstrow))),0,IF(OFFSET(PLE!$G$14,$M159,AY$13)="",10^12,OFFSET(PLE!$G$14,$M159,AY$13))))</f>
        <v>1000000000000</v>
      </c>
      <c r="AZ159" s="182">
        <f ca="1">IF($D159&lt;&gt;"Serviço",0,IF(OR(AND(AUTOEVENTO="Manual",$M159=1),$M159&gt;(ROW(PLE.lastrow)-ROW(PLE.firstrow))),0,IF(OFFSET(PLE!$G$14,$M159,AZ$13)="",10^12,OFFSET(PLE!$G$14,$M159,AZ$13))))</f>
        <v>1000000000000</v>
      </c>
      <c r="BA159" s="182">
        <f ca="1">IF($D159&lt;&gt;"Serviço",0,IF(OR(AND(AUTOEVENTO="Manual",$M159=1),$M159&gt;(ROW(PLE.lastrow)-ROW(PLE.firstrow))),0,IF(OFFSET(PLE!$G$14,$M159,BA$13)="",10^12,OFFSET(PLE!$G$14,$M159,BA$13))))</f>
        <v>1000000000000</v>
      </c>
      <c r="BB159" s="182">
        <f ca="1">IF($D159&lt;&gt;"Serviço",0,IF(OR(AND(AUTOEVENTO="Manual",$M159=1),$M159&gt;(ROW(PLE.lastrow)-ROW(PLE.firstrow))),0,IF(OFFSET(PLE!$G$14,$M159,BB$13)="",10^12,OFFSET(PLE!$G$14,$M159,BB$13))))</f>
        <v>1000000000000</v>
      </c>
      <c r="BC159" s="182">
        <f ca="1">IF($D159&lt;&gt;"Serviço",0,IF(OR(AND(AUTOEVENTO="Manual",$M159=1),$M159&gt;(ROW(PLE.lastrow)-ROW(PLE.firstrow))),0,IF(OFFSET(PLE!$G$14,$M159,BC$13)="",10^12,OFFSET(PLE!$G$14,$M159,BC$13))))</f>
        <v>1000000000000</v>
      </c>
      <c r="BD159" s="182">
        <f ca="1">IF($D159&lt;&gt;"Serviço",0,IF(OR(AND(AUTOEVENTO="Manual",$M159=1),$M159&gt;(ROW(PLE.lastrow)-ROW(PLE.firstrow))),0,IF(OFFSET(PLE!$G$14,$M159,BD$13)="",10^12,OFFSET(PLE!$G$14,$M159,BD$13))))</f>
        <v>1000000000000</v>
      </c>
      <c r="BE159" s="182">
        <f ca="1">IF($D159&lt;&gt;"Serviço",0,IF(OR(AND(AUTOEVENTO="Manual",$M159=1),$M159&gt;(ROW(PLE.lastrow)-ROW(PLE.firstrow))),0,IF(OFFSET(PLE!$G$14,$M159,BE$13)="",10^12,OFFSET(PLE!$G$14,$M159,BE$13))))</f>
        <v>1000000000000</v>
      </c>
      <c r="BF159" s="182">
        <f ca="1">IF($D159&lt;&gt;"Serviço",0,IF(OR(AND(AUTOEVENTO="Manual",$M159=1),$M159&gt;(ROW(PLE.lastrow)-ROW(PLE.firstrow))),0,IF(OFFSET(PLE!$G$14,$M159,BF$13)="",10^12,OFFSET(PLE!$G$14,$M159,BF$13))))</f>
        <v>1000000000000</v>
      </c>
      <c r="BG159" s="182">
        <f ca="1">IF($D159&lt;&gt;"Serviço",0,IF(OR(AND(AUTOEVENTO="Manual",$M159=1),$M159&gt;(ROW(PLE.lastrow)-ROW(PLE.firstrow))),0,IF(OFFSET(PLE!$G$14,$M159,BG$13)="",10^12,OFFSET(PLE!$G$14,$M159,BG$13))))</f>
        <v>1000000000000</v>
      </c>
    </row>
    <row r="160" spans="1:59" ht="25.5" x14ac:dyDescent="0.2">
      <c r="A160" s="7" t="str">
        <f t="shared" ca="1" si="10"/>
        <v>71</v>
      </c>
      <c r="B160" s="7" t="str">
        <f ca="1">OFFSET(ORÇAMENTO!C$15,ROW(B160)-ROW(B$15),0)</f>
        <v>S</v>
      </c>
      <c r="C160" s="7" t="str">
        <f ca="1">OFFSET(ORÇAMENTO!L$15,ROW(C160)-ROW(C$15),0)</f>
        <v>F</v>
      </c>
      <c r="D160" s="118" t="str">
        <f ca="1">OFFSET(ORÇAMENTO!N$15,ROW(D160)-ROW(D$15),0)</f>
        <v>Serviço</v>
      </c>
      <c r="E160" s="119" t="str">
        <f ca="1">OFFSET(ORÇAMENTO!O$15,ROW(E160)-ROW(E$15),0)</f>
        <v>1.6.16.4.</v>
      </c>
      <c r="F160" s="172" t="str">
        <f ca="1">OFFSET(ORÇAMENTO!R$15,ROW(F160)-ROW(F$15),0)</f>
        <v>(abra o arquivo 'Referência 03-2024.xlsm)</v>
      </c>
      <c r="G160" s="173" t="str">
        <f ca="1">IF($D160&lt;&gt;"Serviço","",OFFSET(ORÇAMENTO!S$15,ROW(G160)-ROW(G$15),0))</f>
        <v>-</v>
      </c>
      <c r="H160" s="124">
        <f ca="1">IF($D160&lt;&gt;"Serviço",0,IF(ACOMPANHAMENTO="BM",ROUND(OFFSET(ORÇAMENTO!AJ$15,ROW(H160)-ROW(H$15),0),15-13*ORÇAMENTO!$AF$7),SUMPRODUCT(($Q$12:$AA$12&lt;&gt;"")*ROUND($Q160:$AA160,15-13*ORÇAMENTO!$AF$7))))</f>
        <v>2</v>
      </c>
      <c r="I160" s="561"/>
      <c r="K160" s="174"/>
      <c r="L160" s="175" t="s">
        <v>255</v>
      </c>
      <c r="M160" s="176">
        <f ca="1">IF($D160&lt;&gt;"Serviço","",IF(AUTOEVENTO="manual",$A160,IF(ISERROR(MATCH($A160,$A$15:OFFSET($A160,-1,0),0)),MAX($M$15:OFFSET(M160,-1,0))+1,INDEX($M$15:OFFSET(M160,-1,0),MATCH($A160,$A$15:OFFSET($A160,-1,0),0)))))</f>
        <v>7</v>
      </c>
      <c r="N160" s="177" t="str">
        <f ca="1">IF($D160&lt;&gt;"Serviço","",IF(AUTOEVENTO="Manual",IF($A160=0,"&lt;-- defina o número do agrupador",OFFSET(EVENTOS!$D$14,$A160,0)),OFFSET($F$15,$A160,0)))</f>
        <v>SANITÁRIO PÚBLICO ACESSÍVEL</v>
      </c>
      <c r="O160" s="178"/>
      <c r="Q160" s="178"/>
      <c r="R160" s="179"/>
      <c r="S160" s="179"/>
      <c r="T160" s="179"/>
      <c r="U160" s="179"/>
      <c r="V160" s="179"/>
      <c r="W160" s="179"/>
      <c r="X160" s="179"/>
      <c r="Y160" s="179"/>
      <c r="Z160" s="180"/>
      <c r="AB160" s="544">
        <f ca="1">IF(AND($D160="Serviço",AB$12&lt;&gt;0,$H160&gt;0,OR(AUTOEVENTO&lt;&gt;"manual",$M160&lt;&gt;1)),
IF(Import.TipoArredondamento&lt;&gt;"TransfereGOV",
ROUND(OFFSET($P160,0,AB$13),15-13*ORÇAMENTO!$AF$7)/$H160*OFFSET(ORÇAMENTO!$X$15,ROW(AB160)-ROW(AB$15),0),
ROUND(ROUND(OFFSET($P160,0,AB$13),15-13*ORÇAMENTO!$AF$7)*OFFSET(ORÇAMENTO!$W$15,ROW(AB160)-ROW(AB$15),0),15-13*ORÇAMENTO!$AF$11)),0)</f>
        <v>0</v>
      </c>
      <c r="AC160" s="545">
        <f ca="1">IF(AND($D160="Serviço",AC$12&lt;&gt;0,$H160&gt;0,OR(AUTOEVENTO&lt;&gt;"manual",$M160&lt;&gt;1)),
IF(Import.TipoArredondamento&lt;&gt;"TransfereGOV",
ROUND(OFFSET($P160,0,AC$13),15-13*ORÇAMENTO!$AF$7)/$H160*OFFSET(ORÇAMENTO!$X$15,ROW(AC160)-ROW(AC$15),0),
ROUND(ROUND(OFFSET($P160,0,AC$13),15-13*ORÇAMENTO!$AF$7)*OFFSET(ORÇAMENTO!$W$15,ROW(AC160)-ROW(AC$15),0),15-13*ORÇAMENTO!$AF$11)),0)</f>
        <v>0</v>
      </c>
      <c r="AD160" s="545">
        <f ca="1">IF(AND($D160="Serviço",AD$12&lt;&gt;0,$H160&gt;0,OR(AUTOEVENTO&lt;&gt;"manual",$M160&lt;&gt;1)),
IF(Import.TipoArredondamento&lt;&gt;"TransfereGOV",
ROUND(OFFSET($P160,0,AD$13),15-13*ORÇAMENTO!$AF$7)/$H160*OFFSET(ORÇAMENTO!$X$15,ROW(AD160)-ROW(AD$15),0),
ROUND(ROUND(OFFSET($P160,0,AD$13),15-13*ORÇAMENTO!$AF$7)*OFFSET(ORÇAMENTO!$W$15,ROW(AD160)-ROW(AD$15),0),15-13*ORÇAMENTO!$AF$11)),0)</f>
        <v>0</v>
      </c>
      <c r="AE160" s="545">
        <f ca="1">IF(AND($D160="Serviço",AE$12&lt;&gt;0,$H160&gt;0,OR(AUTOEVENTO&lt;&gt;"manual",$M160&lt;&gt;1)),
IF(Import.TipoArredondamento&lt;&gt;"TransfereGOV",
ROUND(OFFSET($P160,0,AE$13),15-13*ORÇAMENTO!$AF$7)/$H160*OFFSET(ORÇAMENTO!$X$15,ROW(AE160)-ROW(AE$15),0),
ROUND(ROUND(OFFSET($P160,0,AE$13),15-13*ORÇAMENTO!$AF$7)*OFFSET(ORÇAMENTO!$W$15,ROW(AE160)-ROW(AE$15),0),15-13*ORÇAMENTO!$AF$11)),0)</f>
        <v>0</v>
      </c>
      <c r="AF160" s="545">
        <f ca="1">IF(AND($D160="Serviço",AF$12&lt;&gt;0,$H160&gt;0,OR(AUTOEVENTO&lt;&gt;"manual",$M160&lt;&gt;1)),
IF(Import.TipoArredondamento&lt;&gt;"TransfereGOV",
ROUND(OFFSET($P160,0,AF$13),15-13*ORÇAMENTO!$AF$7)/$H160*OFFSET(ORÇAMENTO!$X$15,ROW(AF160)-ROW(AF$15),0),
ROUND(ROUND(OFFSET($P160,0,AF$13),15-13*ORÇAMENTO!$AF$7)*OFFSET(ORÇAMENTO!$W$15,ROW(AF160)-ROW(AF$15),0),15-13*ORÇAMENTO!$AF$11)),0)</f>
        <v>0</v>
      </c>
      <c r="AG160" s="545">
        <f ca="1">IF(AND($D160="Serviço",AG$12&lt;&gt;0,$H160&gt;0,OR(AUTOEVENTO&lt;&gt;"manual",$M160&lt;&gt;1)),
IF(Import.TipoArredondamento&lt;&gt;"TransfereGOV",
ROUND(OFFSET($P160,0,AG$13),15-13*ORÇAMENTO!$AF$7)/$H160*OFFSET(ORÇAMENTO!$X$15,ROW(AG160)-ROW(AG$15),0),
ROUND(ROUND(OFFSET($P160,0,AG$13),15-13*ORÇAMENTO!$AF$7)*OFFSET(ORÇAMENTO!$W$15,ROW(AG160)-ROW(AG$15),0),15-13*ORÇAMENTO!$AF$11)),0)</f>
        <v>0</v>
      </c>
      <c r="AH160" s="545">
        <f ca="1">IF(AND($D160="Serviço",AH$12&lt;&gt;0,$H160&gt;0,OR(AUTOEVENTO&lt;&gt;"manual",$M160&lt;&gt;1)),
IF(Import.TipoArredondamento&lt;&gt;"TransfereGOV",
ROUND(OFFSET($P160,0,AH$13),15-13*ORÇAMENTO!$AF$7)/$H160*OFFSET(ORÇAMENTO!$X$15,ROW(AH160)-ROW(AH$15),0),
ROUND(ROUND(OFFSET($P160,0,AH$13),15-13*ORÇAMENTO!$AF$7)*OFFSET(ORÇAMENTO!$W$15,ROW(AH160)-ROW(AH$15),0),15-13*ORÇAMENTO!$AF$11)),0)</f>
        <v>0</v>
      </c>
      <c r="AI160" s="545">
        <f ca="1">IF(AND($D160="Serviço",AI$12&lt;&gt;0,$H160&gt;0,OR(AUTOEVENTO&lt;&gt;"manual",$M160&lt;&gt;1)),
IF(Import.TipoArredondamento&lt;&gt;"TransfereGOV",
ROUND(OFFSET($P160,0,AI$13),15-13*ORÇAMENTO!$AF$7)/$H160*OFFSET(ORÇAMENTO!$X$15,ROW(AI160)-ROW(AI$15),0),
ROUND(ROUND(OFFSET($P160,0,AI$13),15-13*ORÇAMENTO!$AF$7)*OFFSET(ORÇAMENTO!$W$15,ROW(AI160)-ROW(AI$15),0),15-13*ORÇAMENTO!$AF$11)),0)</f>
        <v>0</v>
      </c>
      <c r="AJ160" s="545">
        <f ca="1">IF(AND($D160="Serviço",AJ$12&lt;&gt;0,$H160&gt;0,OR(AUTOEVENTO&lt;&gt;"manual",$M160&lt;&gt;1)),
IF(Import.TipoArredondamento&lt;&gt;"TransfereGOV",
ROUND(OFFSET($P160,0,AJ$13),15-13*ORÇAMENTO!$AF$7)/$H160*OFFSET(ORÇAMENTO!$X$15,ROW(AJ160)-ROW(AJ$15),0),
ROUND(ROUND(OFFSET($P160,0,AJ$13),15-13*ORÇAMENTO!$AF$7)*OFFSET(ORÇAMENTO!$W$15,ROW(AJ160)-ROW(AJ$15),0),15-13*ORÇAMENTO!$AF$11)),0)</f>
        <v>0</v>
      </c>
      <c r="AK160" s="546">
        <f ca="1">IF(AND($D160="Serviço",AK$12&lt;&gt;0,$H160&gt;0,OR(AUTOEVENTO&lt;&gt;"manual",$M160&lt;&gt;1)),
IF(Import.TipoArredondamento&lt;&gt;"TransfereGOV",
ROUND(OFFSET($P160,0,AK$13),15-13*ORÇAMENTO!$AF$7)/$H160*OFFSET(ORÇAMENTO!$X$15,ROW(AK160)-ROW(AK$15),0),
ROUND(ROUND(OFFSET($P160,0,AK$13),15-13*ORÇAMENTO!$AF$7)*OFFSET(ORÇAMENTO!$W$15,ROW(AK160)-ROW(AK$15),0),15-13*ORÇAMENTO!$AF$11)),0)</f>
        <v>0</v>
      </c>
      <c r="AM160" s="181">
        <f ca="1">IF($D160&lt;&gt;"Serviço",0,IF(AND(AUTOEVENTO="Manual",$M160=1),0,IF(OFFSET(CRONOPLE!$F$14,$M160,AM$13)="",10^12,OFFSET(CRONOPLE!$F$14,$M160,AM$13))))</f>
        <v>1000000000000</v>
      </c>
      <c r="AN160" s="181">
        <f ca="1">IF($D160&lt;&gt;"Serviço",0,IF(AND(AUTOEVENTO="Manual",$M160=1),0,IF(OFFSET(CRONOPLE!$F$14,$M160,AN$13)="",10^12,OFFSET(CRONOPLE!$F$14,$M160,AN$13))))</f>
        <v>1000000000000</v>
      </c>
      <c r="AO160" s="181">
        <f ca="1">IF($D160&lt;&gt;"Serviço",0,IF(AND(AUTOEVENTO="Manual",$M160=1),0,IF(OFFSET(CRONOPLE!$F$14,$M160,AO$13)="",10^12,OFFSET(CRONOPLE!$F$14,$M160,AO$13))))</f>
        <v>1000000000000</v>
      </c>
      <c r="AP160" s="181">
        <f ca="1">IF($D160&lt;&gt;"Serviço",0,IF(AND(AUTOEVENTO="Manual",$M160=1),0,IF(OFFSET(CRONOPLE!$F$14,$M160,AP$13)="",10^12,OFFSET(CRONOPLE!$F$14,$M160,AP$13))))</f>
        <v>1000000000000</v>
      </c>
      <c r="AQ160" s="181">
        <f ca="1">IF($D160&lt;&gt;"Serviço",0,IF(AND(AUTOEVENTO="Manual",$M160=1),0,IF(OFFSET(CRONOPLE!$F$14,$M160,AQ$13)="",10^12,OFFSET(CRONOPLE!$F$14,$M160,AQ$13))))</f>
        <v>1000000000000</v>
      </c>
      <c r="AR160" s="181">
        <f ca="1">IF($D160&lt;&gt;"Serviço",0,IF(AND(AUTOEVENTO="Manual",$M160=1),0,IF(OFFSET(CRONOPLE!$F$14,$M160,AR$13)="",10^12,OFFSET(CRONOPLE!$F$14,$M160,AR$13))))</f>
        <v>1000000000000</v>
      </c>
      <c r="AS160" s="181">
        <f ca="1">IF($D160&lt;&gt;"Serviço",0,IF(AND(AUTOEVENTO="Manual",$M160=1),0,IF(OFFSET(CRONOPLE!$F$14,$M160,AS$13)="",10^12,OFFSET(CRONOPLE!$F$14,$M160,AS$13))))</f>
        <v>1000000000000</v>
      </c>
      <c r="AT160" s="181">
        <f ca="1">IF($D160&lt;&gt;"Serviço",0,IF(AND(AUTOEVENTO="Manual",$M160=1),0,IF(OFFSET(CRONOPLE!$F$14,$M160,AT$13)="",10^12,OFFSET(CRONOPLE!$F$14,$M160,AT$13))))</f>
        <v>1000000000000</v>
      </c>
      <c r="AU160" s="181">
        <f ca="1">IF($D160&lt;&gt;"Serviço",0,IF(AND(AUTOEVENTO="Manual",$M160=1),0,IF(OFFSET(CRONOPLE!$F$14,$M160,AU$13)="",10^12,OFFSET(CRONOPLE!$F$14,$M160,AU$13))))</f>
        <v>1000000000000</v>
      </c>
      <c r="AV160" s="181">
        <f ca="1">IF($D160&lt;&gt;"Serviço",0,IF(AND(AUTOEVENTO="Manual",$M160=1),0,IF(OFFSET(CRONOPLE!$F$14,$M160,AV$13)="",10^12,OFFSET(CRONOPLE!$F$14,$M160,AV$13))))</f>
        <v>1000000000000</v>
      </c>
      <c r="AX160" s="182">
        <f ca="1">IF($D160&lt;&gt;"Serviço",0,IF(OR(AND(AUTOEVENTO="Manual",$M160=1),$M160&gt;(ROW(PLE.lastrow)-ROW(PLE.firstrow))),0,IF(OFFSET(PLE!$G$14,$M160,AX$13)="",10^12,OFFSET(PLE!$G$14,$M160,AX$13))))</f>
        <v>1000000000000</v>
      </c>
      <c r="AY160" s="182">
        <f ca="1">IF($D160&lt;&gt;"Serviço",0,IF(OR(AND(AUTOEVENTO="Manual",$M160=1),$M160&gt;(ROW(PLE.lastrow)-ROW(PLE.firstrow))),0,IF(OFFSET(PLE!$G$14,$M160,AY$13)="",10^12,OFFSET(PLE!$G$14,$M160,AY$13))))</f>
        <v>1000000000000</v>
      </c>
      <c r="AZ160" s="182">
        <f ca="1">IF($D160&lt;&gt;"Serviço",0,IF(OR(AND(AUTOEVENTO="Manual",$M160=1),$M160&gt;(ROW(PLE.lastrow)-ROW(PLE.firstrow))),0,IF(OFFSET(PLE!$G$14,$M160,AZ$13)="",10^12,OFFSET(PLE!$G$14,$M160,AZ$13))))</f>
        <v>1000000000000</v>
      </c>
      <c r="BA160" s="182">
        <f ca="1">IF($D160&lt;&gt;"Serviço",0,IF(OR(AND(AUTOEVENTO="Manual",$M160=1),$M160&gt;(ROW(PLE.lastrow)-ROW(PLE.firstrow))),0,IF(OFFSET(PLE!$G$14,$M160,BA$13)="",10^12,OFFSET(PLE!$G$14,$M160,BA$13))))</f>
        <v>1000000000000</v>
      </c>
      <c r="BB160" s="182">
        <f ca="1">IF($D160&lt;&gt;"Serviço",0,IF(OR(AND(AUTOEVENTO="Manual",$M160=1),$M160&gt;(ROW(PLE.lastrow)-ROW(PLE.firstrow))),0,IF(OFFSET(PLE!$G$14,$M160,BB$13)="",10^12,OFFSET(PLE!$G$14,$M160,BB$13))))</f>
        <v>1000000000000</v>
      </c>
      <c r="BC160" s="182">
        <f ca="1">IF($D160&lt;&gt;"Serviço",0,IF(OR(AND(AUTOEVENTO="Manual",$M160=1),$M160&gt;(ROW(PLE.lastrow)-ROW(PLE.firstrow))),0,IF(OFFSET(PLE!$G$14,$M160,BC$13)="",10^12,OFFSET(PLE!$G$14,$M160,BC$13))))</f>
        <v>1000000000000</v>
      </c>
      <c r="BD160" s="182">
        <f ca="1">IF($D160&lt;&gt;"Serviço",0,IF(OR(AND(AUTOEVENTO="Manual",$M160=1),$M160&gt;(ROW(PLE.lastrow)-ROW(PLE.firstrow))),0,IF(OFFSET(PLE!$G$14,$M160,BD$13)="",10^12,OFFSET(PLE!$G$14,$M160,BD$13))))</f>
        <v>1000000000000</v>
      </c>
      <c r="BE160" s="182">
        <f ca="1">IF($D160&lt;&gt;"Serviço",0,IF(OR(AND(AUTOEVENTO="Manual",$M160=1),$M160&gt;(ROW(PLE.lastrow)-ROW(PLE.firstrow))),0,IF(OFFSET(PLE!$G$14,$M160,BE$13)="",10^12,OFFSET(PLE!$G$14,$M160,BE$13))))</f>
        <v>1000000000000</v>
      </c>
      <c r="BF160" s="182">
        <f ca="1">IF($D160&lt;&gt;"Serviço",0,IF(OR(AND(AUTOEVENTO="Manual",$M160=1),$M160&gt;(ROW(PLE.lastrow)-ROW(PLE.firstrow))),0,IF(OFFSET(PLE!$G$14,$M160,BF$13)="",10^12,OFFSET(PLE!$G$14,$M160,BF$13))))</f>
        <v>1000000000000</v>
      </c>
      <c r="BG160" s="182">
        <f ca="1">IF($D160&lt;&gt;"Serviço",0,IF(OR(AND(AUTOEVENTO="Manual",$M160=1),$M160&gt;(ROW(PLE.lastrow)-ROW(PLE.firstrow))),0,IF(OFFSET(PLE!$G$14,$M160,BG$13)="",10^12,OFFSET(PLE!$G$14,$M160,BG$13))))</f>
        <v>1000000000000</v>
      </c>
    </row>
    <row r="161" spans="1:59" ht="25.5" x14ac:dyDescent="0.2">
      <c r="A161" s="7" t="str">
        <f t="shared" ca="1" si="10"/>
        <v>71</v>
      </c>
      <c r="B161" s="7" t="str">
        <f ca="1">OFFSET(ORÇAMENTO!C$15,ROW(B161)-ROW(B$15),0)</f>
        <v>S</v>
      </c>
      <c r="C161" s="7" t="str">
        <f ca="1">OFFSET(ORÇAMENTO!L$15,ROW(C161)-ROW(C$15),0)</f>
        <v>F</v>
      </c>
      <c r="D161" s="118" t="str">
        <f ca="1">OFFSET(ORÇAMENTO!N$15,ROW(D161)-ROW(D$15),0)</f>
        <v>Serviço</v>
      </c>
      <c r="E161" s="119" t="str">
        <f ca="1">OFFSET(ORÇAMENTO!O$15,ROW(E161)-ROW(E$15),0)</f>
        <v>1.6.16.5.</v>
      </c>
      <c r="F161" s="172" t="str">
        <f ca="1">OFFSET(ORÇAMENTO!R$15,ROW(F161)-ROW(F$15),0)</f>
        <v>(abra o arquivo 'Referência 03-2024.xlsm)</v>
      </c>
      <c r="G161" s="173" t="str">
        <f ca="1">IF($D161&lt;&gt;"Serviço","",OFFSET(ORÇAMENTO!S$15,ROW(G161)-ROW(G$15),0))</f>
        <v>-</v>
      </c>
      <c r="H161" s="124">
        <f ca="1">IF($D161&lt;&gt;"Serviço",0,IF(ACOMPANHAMENTO="BM",ROUND(OFFSET(ORÇAMENTO!AJ$15,ROW(H161)-ROW(H$15),0),15-13*ORÇAMENTO!$AF$7),SUMPRODUCT(($Q$12:$AA$12&lt;&gt;"")*ROUND($Q161:$AA161,15-13*ORÇAMENTO!$AF$7))))</f>
        <v>30</v>
      </c>
      <c r="I161" s="561"/>
      <c r="K161" s="174"/>
      <c r="L161" s="175" t="s">
        <v>255</v>
      </c>
      <c r="M161" s="176">
        <f ca="1">IF($D161&lt;&gt;"Serviço","",IF(AUTOEVENTO="manual",$A161,IF(ISERROR(MATCH($A161,$A$15:OFFSET($A161,-1,0),0)),MAX($M$15:OFFSET(M161,-1,0))+1,INDEX($M$15:OFFSET(M161,-1,0),MATCH($A161,$A$15:OFFSET($A161,-1,0),0)))))</f>
        <v>7</v>
      </c>
      <c r="N161" s="177" t="str">
        <f ca="1">IF($D161&lt;&gt;"Serviço","",IF(AUTOEVENTO="Manual",IF($A161=0,"&lt;-- defina o número do agrupador",OFFSET(EVENTOS!$D$14,$A161,0)),OFFSET($F$15,$A161,0)))</f>
        <v>SANITÁRIO PÚBLICO ACESSÍVEL</v>
      </c>
      <c r="O161" s="178"/>
      <c r="Q161" s="178"/>
      <c r="R161" s="179"/>
      <c r="S161" s="179"/>
      <c r="T161" s="179"/>
      <c r="U161" s="179"/>
      <c r="V161" s="179"/>
      <c r="W161" s="179"/>
      <c r="X161" s="179"/>
      <c r="Y161" s="179"/>
      <c r="Z161" s="180"/>
      <c r="AB161" s="544">
        <f ca="1">IF(AND($D161="Serviço",AB$12&lt;&gt;0,$H161&gt;0,OR(AUTOEVENTO&lt;&gt;"manual",$M161&lt;&gt;1)),
IF(Import.TipoArredondamento&lt;&gt;"TransfereGOV",
ROUND(OFFSET($P161,0,AB$13),15-13*ORÇAMENTO!$AF$7)/$H161*OFFSET(ORÇAMENTO!$X$15,ROW(AB161)-ROW(AB$15),0),
ROUND(ROUND(OFFSET($P161,0,AB$13),15-13*ORÇAMENTO!$AF$7)*OFFSET(ORÇAMENTO!$W$15,ROW(AB161)-ROW(AB$15),0),15-13*ORÇAMENTO!$AF$11)),0)</f>
        <v>0</v>
      </c>
      <c r="AC161" s="545">
        <f ca="1">IF(AND($D161="Serviço",AC$12&lt;&gt;0,$H161&gt;0,OR(AUTOEVENTO&lt;&gt;"manual",$M161&lt;&gt;1)),
IF(Import.TipoArredondamento&lt;&gt;"TransfereGOV",
ROUND(OFFSET($P161,0,AC$13),15-13*ORÇAMENTO!$AF$7)/$H161*OFFSET(ORÇAMENTO!$X$15,ROW(AC161)-ROW(AC$15),0),
ROUND(ROUND(OFFSET($P161,0,AC$13),15-13*ORÇAMENTO!$AF$7)*OFFSET(ORÇAMENTO!$W$15,ROW(AC161)-ROW(AC$15),0),15-13*ORÇAMENTO!$AF$11)),0)</f>
        <v>0</v>
      </c>
      <c r="AD161" s="545">
        <f ca="1">IF(AND($D161="Serviço",AD$12&lt;&gt;0,$H161&gt;0,OR(AUTOEVENTO&lt;&gt;"manual",$M161&lt;&gt;1)),
IF(Import.TipoArredondamento&lt;&gt;"TransfereGOV",
ROUND(OFFSET($P161,0,AD$13),15-13*ORÇAMENTO!$AF$7)/$H161*OFFSET(ORÇAMENTO!$X$15,ROW(AD161)-ROW(AD$15),0),
ROUND(ROUND(OFFSET($P161,0,AD$13),15-13*ORÇAMENTO!$AF$7)*OFFSET(ORÇAMENTO!$W$15,ROW(AD161)-ROW(AD$15),0),15-13*ORÇAMENTO!$AF$11)),0)</f>
        <v>0</v>
      </c>
      <c r="AE161" s="545">
        <f ca="1">IF(AND($D161="Serviço",AE$12&lt;&gt;0,$H161&gt;0,OR(AUTOEVENTO&lt;&gt;"manual",$M161&lt;&gt;1)),
IF(Import.TipoArredondamento&lt;&gt;"TransfereGOV",
ROUND(OFFSET($P161,0,AE$13),15-13*ORÇAMENTO!$AF$7)/$H161*OFFSET(ORÇAMENTO!$X$15,ROW(AE161)-ROW(AE$15),0),
ROUND(ROUND(OFFSET($P161,0,AE$13),15-13*ORÇAMENTO!$AF$7)*OFFSET(ORÇAMENTO!$W$15,ROW(AE161)-ROW(AE$15),0),15-13*ORÇAMENTO!$AF$11)),0)</f>
        <v>0</v>
      </c>
      <c r="AF161" s="545">
        <f ca="1">IF(AND($D161="Serviço",AF$12&lt;&gt;0,$H161&gt;0,OR(AUTOEVENTO&lt;&gt;"manual",$M161&lt;&gt;1)),
IF(Import.TipoArredondamento&lt;&gt;"TransfereGOV",
ROUND(OFFSET($P161,0,AF$13),15-13*ORÇAMENTO!$AF$7)/$H161*OFFSET(ORÇAMENTO!$X$15,ROW(AF161)-ROW(AF$15),0),
ROUND(ROUND(OFFSET($P161,0,AF$13),15-13*ORÇAMENTO!$AF$7)*OFFSET(ORÇAMENTO!$W$15,ROW(AF161)-ROW(AF$15),0),15-13*ORÇAMENTO!$AF$11)),0)</f>
        <v>0</v>
      </c>
      <c r="AG161" s="545">
        <f ca="1">IF(AND($D161="Serviço",AG$12&lt;&gt;0,$H161&gt;0,OR(AUTOEVENTO&lt;&gt;"manual",$M161&lt;&gt;1)),
IF(Import.TipoArredondamento&lt;&gt;"TransfereGOV",
ROUND(OFFSET($P161,0,AG$13),15-13*ORÇAMENTO!$AF$7)/$H161*OFFSET(ORÇAMENTO!$X$15,ROW(AG161)-ROW(AG$15),0),
ROUND(ROUND(OFFSET($P161,0,AG$13),15-13*ORÇAMENTO!$AF$7)*OFFSET(ORÇAMENTO!$W$15,ROW(AG161)-ROW(AG$15),0),15-13*ORÇAMENTO!$AF$11)),0)</f>
        <v>0</v>
      </c>
      <c r="AH161" s="545">
        <f ca="1">IF(AND($D161="Serviço",AH$12&lt;&gt;0,$H161&gt;0,OR(AUTOEVENTO&lt;&gt;"manual",$M161&lt;&gt;1)),
IF(Import.TipoArredondamento&lt;&gt;"TransfereGOV",
ROUND(OFFSET($P161,0,AH$13),15-13*ORÇAMENTO!$AF$7)/$H161*OFFSET(ORÇAMENTO!$X$15,ROW(AH161)-ROW(AH$15),0),
ROUND(ROUND(OFFSET($P161,0,AH$13),15-13*ORÇAMENTO!$AF$7)*OFFSET(ORÇAMENTO!$W$15,ROW(AH161)-ROW(AH$15),0),15-13*ORÇAMENTO!$AF$11)),0)</f>
        <v>0</v>
      </c>
      <c r="AI161" s="545">
        <f ca="1">IF(AND($D161="Serviço",AI$12&lt;&gt;0,$H161&gt;0,OR(AUTOEVENTO&lt;&gt;"manual",$M161&lt;&gt;1)),
IF(Import.TipoArredondamento&lt;&gt;"TransfereGOV",
ROUND(OFFSET($P161,0,AI$13),15-13*ORÇAMENTO!$AF$7)/$H161*OFFSET(ORÇAMENTO!$X$15,ROW(AI161)-ROW(AI$15),0),
ROUND(ROUND(OFFSET($P161,0,AI$13),15-13*ORÇAMENTO!$AF$7)*OFFSET(ORÇAMENTO!$W$15,ROW(AI161)-ROW(AI$15),0),15-13*ORÇAMENTO!$AF$11)),0)</f>
        <v>0</v>
      </c>
      <c r="AJ161" s="545">
        <f ca="1">IF(AND($D161="Serviço",AJ$12&lt;&gt;0,$H161&gt;0,OR(AUTOEVENTO&lt;&gt;"manual",$M161&lt;&gt;1)),
IF(Import.TipoArredondamento&lt;&gt;"TransfereGOV",
ROUND(OFFSET($P161,0,AJ$13),15-13*ORÇAMENTO!$AF$7)/$H161*OFFSET(ORÇAMENTO!$X$15,ROW(AJ161)-ROW(AJ$15),0),
ROUND(ROUND(OFFSET($P161,0,AJ$13),15-13*ORÇAMENTO!$AF$7)*OFFSET(ORÇAMENTO!$W$15,ROW(AJ161)-ROW(AJ$15),0),15-13*ORÇAMENTO!$AF$11)),0)</f>
        <v>0</v>
      </c>
      <c r="AK161" s="546">
        <f ca="1">IF(AND($D161="Serviço",AK$12&lt;&gt;0,$H161&gt;0,OR(AUTOEVENTO&lt;&gt;"manual",$M161&lt;&gt;1)),
IF(Import.TipoArredondamento&lt;&gt;"TransfereGOV",
ROUND(OFFSET($P161,0,AK$13),15-13*ORÇAMENTO!$AF$7)/$H161*OFFSET(ORÇAMENTO!$X$15,ROW(AK161)-ROW(AK$15),0),
ROUND(ROUND(OFFSET($P161,0,AK$13),15-13*ORÇAMENTO!$AF$7)*OFFSET(ORÇAMENTO!$W$15,ROW(AK161)-ROW(AK$15),0),15-13*ORÇAMENTO!$AF$11)),0)</f>
        <v>0</v>
      </c>
      <c r="AM161" s="181">
        <f ca="1">IF($D161&lt;&gt;"Serviço",0,IF(AND(AUTOEVENTO="Manual",$M161=1),0,IF(OFFSET(CRONOPLE!$F$14,$M161,AM$13)="",10^12,OFFSET(CRONOPLE!$F$14,$M161,AM$13))))</f>
        <v>1000000000000</v>
      </c>
      <c r="AN161" s="181">
        <f ca="1">IF($D161&lt;&gt;"Serviço",0,IF(AND(AUTOEVENTO="Manual",$M161=1),0,IF(OFFSET(CRONOPLE!$F$14,$M161,AN$13)="",10^12,OFFSET(CRONOPLE!$F$14,$M161,AN$13))))</f>
        <v>1000000000000</v>
      </c>
      <c r="AO161" s="181">
        <f ca="1">IF($D161&lt;&gt;"Serviço",0,IF(AND(AUTOEVENTO="Manual",$M161=1),0,IF(OFFSET(CRONOPLE!$F$14,$M161,AO$13)="",10^12,OFFSET(CRONOPLE!$F$14,$M161,AO$13))))</f>
        <v>1000000000000</v>
      </c>
      <c r="AP161" s="181">
        <f ca="1">IF($D161&lt;&gt;"Serviço",0,IF(AND(AUTOEVENTO="Manual",$M161=1),0,IF(OFFSET(CRONOPLE!$F$14,$M161,AP$13)="",10^12,OFFSET(CRONOPLE!$F$14,$M161,AP$13))))</f>
        <v>1000000000000</v>
      </c>
      <c r="AQ161" s="181">
        <f ca="1">IF($D161&lt;&gt;"Serviço",0,IF(AND(AUTOEVENTO="Manual",$M161=1),0,IF(OFFSET(CRONOPLE!$F$14,$M161,AQ$13)="",10^12,OFFSET(CRONOPLE!$F$14,$M161,AQ$13))))</f>
        <v>1000000000000</v>
      </c>
      <c r="AR161" s="181">
        <f ca="1">IF($D161&lt;&gt;"Serviço",0,IF(AND(AUTOEVENTO="Manual",$M161=1),0,IF(OFFSET(CRONOPLE!$F$14,$M161,AR$13)="",10^12,OFFSET(CRONOPLE!$F$14,$M161,AR$13))))</f>
        <v>1000000000000</v>
      </c>
      <c r="AS161" s="181">
        <f ca="1">IF($D161&lt;&gt;"Serviço",0,IF(AND(AUTOEVENTO="Manual",$M161=1),0,IF(OFFSET(CRONOPLE!$F$14,$M161,AS$13)="",10^12,OFFSET(CRONOPLE!$F$14,$M161,AS$13))))</f>
        <v>1000000000000</v>
      </c>
      <c r="AT161" s="181">
        <f ca="1">IF($D161&lt;&gt;"Serviço",0,IF(AND(AUTOEVENTO="Manual",$M161=1),0,IF(OFFSET(CRONOPLE!$F$14,$M161,AT$13)="",10^12,OFFSET(CRONOPLE!$F$14,$M161,AT$13))))</f>
        <v>1000000000000</v>
      </c>
      <c r="AU161" s="181">
        <f ca="1">IF($D161&lt;&gt;"Serviço",0,IF(AND(AUTOEVENTO="Manual",$M161=1),0,IF(OFFSET(CRONOPLE!$F$14,$M161,AU$13)="",10^12,OFFSET(CRONOPLE!$F$14,$M161,AU$13))))</f>
        <v>1000000000000</v>
      </c>
      <c r="AV161" s="181">
        <f ca="1">IF($D161&lt;&gt;"Serviço",0,IF(AND(AUTOEVENTO="Manual",$M161=1),0,IF(OFFSET(CRONOPLE!$F$14,$M161,AV$13)="",10^12,OFFSET(CRONOPLE!$F$14,$M161,AV$13))))</f>
        <v>1000000000000</v>
      </c>
      <c r="AX161" s="182">
        <f ca="1">IF($D161&lt;&gt;"Serviço",0,IF(OR(AND(AUTOEVENTO="Manual",$M161=1),$M161&gt;(ROW(PLE.lastrow)-ROW(PLE.firstrow))),0,IF(OFFSET(PLE!$G$14,$M161,AX$13)="",10^12,OFFSET(PLE!$G$14,$M161,AX$13))))</f>
        <v>1000000000000</v>
      </c>
      <c r="AY161" s="182">
        <f ca="1">IF($D161&lt;&gt;"Serviço",0,IF(OR(AND(AUTOEVENTO="Manual",$M161=1),$M161&gt;(ROW(PLE.lastrow)-ROW(PLE.firstrow))),0,IF(OFFSET(PLE!$G$14,$M161,AY$13)="",10^12,OFFSET(PLE!$G$14,$M161,AY$13))))</f>
        <v>1000000000000</v>
      </c>
      <c r="AZ161" s="182">
        <f ca="1">IF($D161&lt;&gt;"Serviço",0,IF(OR(AND(AUTOEVENTO="Manual",$M161=1),$M161&gt;(ROW(PLE.lastrow)-ROW(PLE.firstrow))),0,IF(OFFSET(PLE!$G$14,$M161,AZ$13)="",10^12,OFFSET(PLE!$G$14,$M161,AZ$13))))</f>
        <v>1000000000000</v>
      </c>
      <c r="BA161" s="182">
        <f ca="1">IF($D161&lt;&gt;"Serviço",0,IF(OR(AND(AUTOEVENTO="Manual",$M161=1),$M161&gt;(ROW(PLE.lastrow)-ROW(PLE.firstrow))),0,IF(OFFSET(PLE!$G$14,$M161,BA$13)="",10^12,OFFSET(PLE!$G$14,$M161,BA$13))))</f>
        <v>1000000000000</v>
      </c>
      <c r="BB161" s="182">
        <f ca="1">IF($D161&lt;&gt;"Serviço",0,IF(OR(AND(AUTOEVENTO="Manual",$M161=1),$M161&gt;(ROW(PLE.lastrow)-ROW(PLE.firstrow))),0,IF(OFFSET(PLE!$G$14,$M161,BB$13)="",10^12,OFFSET(PLE!$G$14,$M161,BB$13))))</f>
        <v>1000000000000</v>
      </c>
      <c r="BC161" s="182">
        <f ca="1">IF($D161&lt;&gt;"Serviço",0,IF(OR(AND(AUTOEVENTO="Manual",$M161=1),$M161&gt;(ROW(PLE.lastrow)-ROW(PLE.firstrow))),0,IF(OFFSET(PLE!$G$14,$M161,BC$13)="",10^12,OFFSET(PLE!$G$14,$M161,BC$13))))</f>
        <v>1000000000000</v>
      </c>
      <c r="BD161" s="182">
        <f ca="1">IF($D161&lt;&gt;"Serviço",0,IF(OR(AND(AUTOEVENTO="Manual",$M161=1),$M161&gt;(ROW(PLE.lastrow)-ROW(PLE.firstrow))),0,IF(OFFSET(PLE!$G$14,$M161,BD$13)="",10^12,OFFSET(PLE!$G$14,$M161,BD$13))))</f>
        <v>1000000000000</v>
      </c>
      <c r="BE161" s="182">
        <f ca="1">IF($D161&lt;&gt;"Serviço",0,IF(OR(AND(AUTOEVENTO="Manual",$M161=1),$M161&gt;(ROW(PLE.lastrow)-ROW(PLE.firstrow))),0,IF(OFFSET(PLE!$G$14,$M161,BE$13)="",10^12,OFFSET(PLE!$G$14,$M161,BE$13))))</f>
        <v>1000000000000</v>
      </c>
      <c r="BF161" s="182">
        <f ca="1">IF($D161&lt;&gt;"Serviço",0,IF(OR(AND(AUTOEVENTO="Manual",$M161=1),$M161&gt;(ROW(PLE.lastrow)-ROW(PLE.firstrow))),0,IF(OFFSET(PLE!$G$14,$M161,BF$13)="",10^12,OFFSET(PLE!$G$14,$M161,BF$13))))</f>
        <v>1000000000000</v>
      </c>
      <c r="BG161" s="182">
        <f ca="1">IF($D161&lt;&gt;"Serviço",0,IF(OR(AND(AUTOEVENTO="Manual",$M161=1),$M161&gt;(ROW(PLE.lastrow)-ROW(PLE.firstrow))),0,IF(OFFSET(PLE!$G$14,$M161,BG$13)="",10^12,OFFSET(PLE!$G$14,$M161,BG$13))))</f>
        <v>1000000000000</v>
      </c>
    </row>
    <row r="162" spans="1:59" ht="38.25" x14ac:dyDescent="0.2">
      <c r="A162" s="7" t="str">
        <f t="shared" ca="1" si="10"/>
        <v>71</v>
      </c>
      <c r="B162" s="7" t="str">
        <f ca="1">OFFSET(ORÇAMENTO!C$15,ROW(B162)-ROW(B$15),0)</f>
        <v>S</v>
      </c>
      <c r="C162" s="7" t="str">
        <f ca="1">OFFSET(ORÇAMENTO!L$15,ROW(C162)-ROW(C$15),0)</f>
        <v>F</v>
      </c>
      <c r="D162" s="118" t="str">
        <f ca="1">OFFSET(ORÇAMENTO!N$15,ROW(D162)-ROW(D$15),0)</f>
        <v>Serviço</v>
      </c>
      <c r="E162" s="119" t="str">
        <f ca="1">OFFSET(ORÇAMENTO!O$15,ROW(E162)-ROW(E$15),0)</f>
        <v>1.6.16.6.</v>
      </c>
      <c r="F162" s="172" t="str">
        <f ca="1">OFFSET(ORÇAMENTO!R$15,ROW(F162)-ROW(F$15),0)</f>
        <v>(abra o arquivo 'Referência 03-2024.xlsm)</v>
      </c>
      <c r="G162" s="173" t="str">
        <f ca="1">IF($D162&lt;&gt;"Serviço","",OFFSET(ORÇAMENTO!S$15,ROW(G162)-ROW(G$15),0))</f>
        <v>-</v>
      </c>
      <c r="H162" s="124">
        <f ca="1">IF($D162&lt;&gt;"Serviço",0,IF(ACOMPANHAMENTO="BM",ROUND(OFFSET(ORÇAMENTO!AJ$15,ROW(H162)-ROW(H$15),0),15-13*ORÇAMENTO!$AF$7),SUMPRODUCT(($Q$12:$AA$12&lt;&gt;"")*ROUND($Q162:$AA162,15-13*ORÇAMENTO!$AF$7))))</f>
        <v>15</v>
      </c>
      <c r="I162" s="561"/>
      <c r="K162" s="174"/>
      <c r="L162" s="175" t="s">
        <v>255</v>
      </c>
      <c r="M162" s="176">
        <f ca="1">IF($D162&lt;&gt;"Serviço","",IF(AUTOEVENTO="manual",$A162,IF(ISERROR(MATCH($A162,$A$15:OFFSET($A162,-1,0),0)),MAX($M$15:OFFSET(M162,-1,0))+1,INDEX($M$15:OFFSET(M162,-1,0),MATCH($A162,$A$15:OFFSET($A162,-1,0),0)))))</f>
        <v>7</v>
      </c>
      <c r="N162" s="177" t="str">
        <f ca="1">IF($D162&lt;&gt;"Serviço","",IF(AUTOEVENTO="Manual",IF($A162=0,"&lt;-- defina o número do agrupador",OFFSET(EVENTOS!$D$14,$A162,0)),OFFSET($F$15,$A162,0)))</f>
        <v>SANITÁRIO PÚBLICO ACESSÍVEL</v>
      </c>
      <c r="O162" s="178"/>
      <c r="Q162" s="178"/>
      <c r="R162" s="179"/>
      <c r="S162" s="179"/>
      <c r="T162" s="179"/>
      <c r="U162" s="179"/>
      <c r="V162" s="179"/>
      <c r="W162" s="179"/>
      <c r="X162" s="179"/>
      <c r="Y162" s="179"/>
      <c r="Z162" s="180"/>
      <c r="AB162" s="544">
        <f ca="1">IF(AND($D162="Serviço",AB$12&lt;&gt;0,$H162&gt;0,OR(AUTOEVENTO&lt;&gt;"manual",$M162&lt;&gt;1)),
IF(Import.TipoArredondamento&lt;&gt;"TransfereGOV",
ROUND(OFFSET($P162,0,AB$13),15-13*ORÇAMENTO!$AF$7)/$H162*OFFSET(ORÇAMENTO!$X$15,ROW(AB162)-ROW(AB$15),0),
ROUND(ROUND(OFFSET($P162,0,AB$13),15-13*ORÇAMENTO!$AF$7)*OFFSET(ORÇAMENTO!$W$15,ROW(AB162)-ROW(AB$15),0),15-13*ORÇAMENTO!$AF$11)),0)</f>
        <v>0</v>
      </c>
      <c r="AC162" s="545">
        <f ca="1">IF(AND($D162="Serviço",AC$12&lt;&gt;0,$H162&gt;0,OR(AUTOEVENTO&lt;&gt;"manual",$M162&lt;&gt;1)),
IF(Import.TipoArredondamento&lt;&gt;"TransfereGOV",
ROUND(OFFSET($P162,0,AC$13),15-13*ORÇAMENTO!$AF$7)/$H162*OFFSET(ORÇAMENTO!$X$15,ROW(AC162)-ROW(AC$15),0),
ROUND(ROUND(OFFSET($P162,0,AC$13),15-13*ORÇAMENTO!$AF$7)*OFFSET(ORÇAMENTO!$W$15,ROW(AC162)-ROW(AC$15),0),15-13*ORÇAMENTO!$AF$11)),0)</f>
        <v>0</v>
      </c>
      <c r="AD162" s="545">
        <f ca="1">IF(AND($D162="Serviço",AD$12&lt;&gt;0,$H162&gt;0,OR(AUTOEVENTO&lt;&gt;"manual",$M162&lt;&gt;1)),
IF(Import.TipoArredondamento&lt;&gt;"TransfereGOV",
ROUND(OFFSET($P162,0,AD$13),15-13*ORÇAMENTO!$AF$7)/$H162*OFFSET(ORÇAMENTO!$X$15,ROW(AD162)-ROW(AD$15),0),
ROUND(ROUND(OFFSET($P162,0,AD$13),15-13*ORÇAMENTO!$AF$7)*OFFSET(ORÇAMENTO!$W$15,ROW(AD162)-ROW(AD$15),0),15-13*ORÇAMENTO!$AF$11)),0)</f>
        <v>0</v>
      </c>
      <c r="AE162" s="545">
        <f ca="1">IF(AND($D162="Serviço",AE$12&lt;&gt;0,$H162&gt;0,OR(AUTOEVENTO&lt;&gt;"manual",$M162&lt;&gt;1)),
IF(Import.TipoArredondamento&lt;&gt;"TransfereGOV",
ROUND(OFFSET($P162,0,AE$13),15-13*ORÇAMENTO!$AF$7)/$H162*OFFSET(ORÇAMENTO!$X$15,ROW(AE162)-ROW(AE$15),0),
ROUND(ROUND(OFFSET($P162,0,AE$13),15-13*ORÇAMENTO!$AF$7)*OFFSET(ORÇAMENTO!$W$15,ROW(AE162)-ROW(AE$15),0),15-13*ORÇAMENTO!$AF$11)),0)</f>
        <v>0</v>
      </c>
      <c r="AF162" s="545">
        <f ca="1">IF(AND($D162="Serviço",AF$12&lt;&gt;0,$H162&gt;0,OR(AUTOEVENTO&lt;&gt;"manual",$M162&lt;&gt;1)),
IF(Import.TipoArredondamento&lt;&gt;"TransfereGOV",
ROUND(OFFSET($P162,0,AF$13),15-13*ORÇAMENTO!$AF$7)/$H162*OFFSET(ORÇAMENTO!$X$15,ROW(AF162)-ROW(AF$15),0),
ROUND(ROUND(OFFSET($P162,0,AF$13),15-13*ORÇAMENTO!$AF$7)*OFFSET(ORÇAMENTO!$W$15,ROW(AF162)-ROW(AF$15),0),15-13*ORÇAMENTO!$AF$11)),0)</f>
        <v>0</v>
      </c>
      <c r="AG162" s="545">
        <f ca="1">IF(AND($D162="Serviço",AG$12&lt;&gt;0,$H162&gt;0,OR(AUTOEVENTO&lt;&gt;"manual",$M162&lt;&gt;1)),
IF(Import.TipoArredondamento&lt;&gt;"TransfereGOV",
ROUND(OFFSET($P162,0,AG$13),15-13*ORÇAMENTO!$AF$7)/$H162*OFFSET(ORÇAMENTO!$X$15,ROW(AG162)-ROW(AG$15),0),
ROUND(ROUND(OFFSET($P162,0,AG$13),15-13*ORÇAMENTO!$AF$7)*OFFSET(ORÇAMENTO!$W$15,ROW(AG162)-ROW(AG$15),0),15-13*ORÇAMENTO!$AF$11)),0)</f>
        <v>0</v>
      </c>
      <c r="AH162" s="545">
        <f ca="1">IF(AND($D162="Serviço",AH$12&lt;&gt;0,$H162&gt;0,OR(AUTOEVENTO&lt;&gt;"manual",$M162&lt;&gt;1)),
IF(Import.TipoArredondamento&lt;&gt;"TransfereGOV",
ROUND(OFFSET($P162,0,AH$13),15-13*ORÇAMENTO!$AF$7)/$H162*OFFSET(ORÇAMENTO!$X$15,ROW(AH162)-ROW(AH$15),0),
ROUND(ROUND(OFFSET($P162,0,AH$13),15-13*ORÇAMENTO!$AF$7)*OFFSET(ORÇAMENTO!$W$15,ROW(AH162)-ROW(AH$15),0),15-13*ORÇAMENTO!$AF$11)),0)</f>
        <v>0</v>
      </c>
      <c r="AI162" s="545">
        <f ca="1">IF(AND($D162="Serviço",AI$12&lt;&gt;0,$H162&gt;0,OR(AUTOEVENTO&lt;&gt;"manual",$M162&lt;&gt;1)),
IF(Import.TipoArredondamento&lt;&gt;"TransfereGOV",
ROUND(OFFSET($P162,0,AI$13),15-13*ORÇAMENTO!$AF$7)/$H162*OFFSET(ORÇAMENTO!$X$15,ROW(AI162)-ROW(AI$15),0),
ROUND(ROUND(OFFSET($P162,0,AI$13),15-13*ORÇAMENTO!$AF$7)*OFFSET(ORÇAMENTO!$W$15,ROW(AI162)-ROW(AI$15),0),15-13*ORÇAMENTO!$AF$11)),0)</f>
        <v>0</v>
      </c>
      <c r="AJ162" s="545">
        <f ca="1">IF(AND($D162="Serviço",AJ$12&lt;&gt;0,$H162&gt;0,OR(AUTOEVENTO&lt;&gt;"manual",$M162&lt;&gt;1)),
IF(Import.TipoArredondamento&lt;&gt;"TransfereGOV",
ROUND(OFFSET($P162,0,AJ$13),15-13*ORÇAMENTO!$AF$7)/$H162*OFFSET(ORÇAMENTO!$X$15,ROW(AJ162)-ROW(AJ$15),0),
ROUND(ROUND(OFFSET($P162,0,AJ$13),15-13*ORÇAMENTO!$AF$7)*OFFSET(ORÇAMENTO!$W$15,ROW(AJ162)-ROW(AJ$15),0),15-13*ORÇAMENTO!$AF$11)),0)</f>
        <v>0</v>
      </c>
      <c r="AK162" s="546">
        <f ca="1">IF(AND($D162="Serviço",AK$12&lt;&gt;0,$H162&gt;0,OR(AUTOEVENTO&lt;&gt;"manual",$M162&lt;&gt;1)),
IF(Import.TipoArredondamento&lt;&gt;"TransfereGOV",
ROUND(OFFSET($P162,0,AK$13),15-13*ORÇAMENTO!$AF$7)/$H162*OFFSET(ORÇAMENTO!$X$15,ROW(AK162)-ROW(AK$15),0),
ROUND(ROUND(OFFSET($P162,0,AK$13),15-13*ORÇAMENTO!$AF$7)*OFFSET(ORÇAMENTO!$W$15,ROW(AK162)-ROW(AK$15),0),15-13*ORÇAMENTO!$AF$11)),0)</f>
        <v>0</v>
      </c>
      <c r="AM162" s="181">
        <f ca="1">IF($D162&lt;&gt;"Serviço",0,IF(AND(AUTOEVENTO="Manual",$M162=1),0,IF(OFFSET(CRONOPLE!$F$14,$M162,AM$13)="",10^12,OFFSET(CRONOPLE!$F$14,$M162,AM$13))))</f>
        <v>1000000000000</v>
      </c>
      <c r="AN162" s="181">
        <f ca="1">IF($D162&lt;&gt;"Serviço",0,IF(AND(AUTOEVENTO="Manual",$M162=1),0,IF(OFFSET(CRONOPLE!$F$14,$M162,AN$13)="",10^12,OFFSET(CRONOPLE!$F$14,$M162,AN$13))))</f>
        <v>1000000000000</v>
      </c>
      <c r="AO162" s="181">
        <f ca="1">IF($D162&lt;&gt;"Serviço",0,IF(AND(AUTOEVENTO="Manual",$M162=1),0,IF(OFFSET(CRONOPLE!$F$14,$M162,AO$13)="",10^12,OFFSET(CRONOPLE!$F$14,$M162,AO$13))))</f>
        <v>1000000000000</v>
      </c>
      <c r="AP162" s="181">
        <f ca="1">IF($D162&lt;&gt;"Serviço",0,IF(AND(AUTOEVENTO="Manual",$M162=1),0,IF(OFFSET(CRONOPLE!$F$14,$M162,AP$13)="",10^12,OFFSET(CRONOPLE!$F$14,$M162,AP$13))))</f>
        <v>1000000000000</v>
      </c>
      <c r="AQ162" s="181">
        <f ca="1">IF($D162&lt;&gt;"Serviço",0,IF(AND(AUTOEVENTO="Manual",$M162=1),0,IF(OFFSET(CRONOPLE!$F$14,$M162,AQ$13)="",10^12,OFFSET(CRONOPLE!$F$14,$M162,AQ$13))))</f>
        <v>1000000000000</v>
      </c>
      <c r="AR162" s="181">
        <f ca="1">IF($D162&lt;&gt;"Serviço",0,IF(AND(AUTOEVENTO="Manual",$M162=1),0,IF(OFFSET(CRONOPLE!$F$14,$M162,AR$13)="",10^12,OFFSET(CRONOPLE!$F$14,$M162,AR$13))))</f>
        <v>1000000000000</v>
      </c>
      <c r="AS162" s="181">
        <f ca="1">IF($D162&lt;&gt;"Serviço",0,IF(AND(AUTOEVENTO="Manual",$M162=1),0,IF(OFFSET(CRONOPLE!$F$14,$M162,AS$13)="",10^12,OFFSET(CRONOPLE!$F$14,$M162,AS$13))))</f>
        <v>1000000000000</v>
      </c>
      <c r="AT162" s="181">
        <f ca="1">IF($D162&lt;&gt;"Serviço",0,IF(AND(AUTOEVENTO="Manual",$M162=1),0,IF(OFFSET(CRONOPLE!$F$14,$M162,AT$13)="",10^12,OFFSET(CRONOPLE!$F$14,$M162,AT$13))))</f>
        <v>1000000000000</v>
      </c>
      <c r="AU162" s="181">
        <f ca="1">IF($D162&lt;&gt;"Serviço",0,IF(AND(AUTOEVENTO="Manual",$M162=1),0,IF(OFFSET(CRONOPLE!$F$14,$M162,AU$13)="",10^12,OFFSET(CRONOPLE!$F$14,$M162,AU$13))))</f>
        <v>1000000000000</v>
      </c>
      <c r="AV162" s="181">
        <f ca="1">IF($D162&lt;&gt;"Serviço",0,IF(AND(AUTOEVENTO="Manual",$M162=1),0,IF(OFFSET(CRONOPLE!$F$14,$M162,AV$13)="",10^12,OFFSET(CRONOPLE!$F$14,$M162,AV$13))))</f>
        <v>1000000000000</v>
      </c>
      <c r="AX162" s="182">
        <f ca="1">IF($D162&lt;&gt;"Serviço",0,IF(OR(AND(AUTOEVENTO="Manual",$M162=1),$M162&gt;(ROW(PLE.lastrow)-ROW(PLE.firstrow))),0,IF(OFFSET(PLE!$G$14,$M162,AX$13)="",10^12,OFFSET(PLE!$G$14,$M162,AX$13))))</f>
        <v>1000000000000</v>
      </c>
      <c r="AY162" s="182">
        <f ca="1">IF($D162&lt;&gt;"Serviço",0,IF(OR(AND(AUTOEVENTO="Manual",$M162=1),$M162&gt;(ROW(PLE.lastrow)-ROW(PLE.firstrow))),0,IF(OFFSET(PLE!$G$14,$M162,AY$13)="",10^12,OFFSET(PLE!$G$14,$M162,AY$13))))</f>
        <v>1000000000000</v>
      </c>
      <c r="AZ162" s="182">
        <f ca="1">IF($D162&lt;&gt;"Serviço",0,IF(OR(AND(AUTOEVENTO="Manual",$M162=1),$M162&gt;(ROW(PLE.lastrow)-ROW(PLE.firstrow))),0,IF(OFFSET(PLE!$G$14,$M162,AZ$13)="",10^12,OFFSET(PLE!$G$14,$M162,AZ$13))))</f>
        <v>1000000000000</v>
      </c>
      <c r="BA162" s="182">
        <f ca="1">IF($D162&lt;&gt;"Serviço",0,IF(OR(AND(AUTOEVENTO="Manual",$M162=1),$M162&gt;(ROW(PLE.lastrow)-ROW(PLE.firstrow))),0,IF(OFFSET(PLE!$G$14,$M162,BA$13)="",10^12,OFFSET(PLE!$G$14,$M162,BA$13))))</f>
        <v>1000000000000</v>
      </c>
      <c r="BB162" s="182">
        <f ca="1">IF($D162&lt;&gt;"Serviço",0,IF(OR(AND(AUTOEVENTO="Manual",$M162=1),$M162&gt;(ROW(PLE.lastrow)-ROW(PLE.firstrow))),0,IF(OFFSET(PLE!$G$14,$M162,BB$13)="",10^12,OFFSET(PLE!$G$14,$M162,BB$13))))</f>
        <v>1000000000000</v>
      </c>
      <c r="BC162" s="182">
        <f ca="1">IF($D162&lt;&gt;"Serviço",0,IF(OR(AND(AUTOEVENTO="Manual",$M162=1),$M162&gt;(ROW(PLE.lastrow)-ROW(PLE.firstrow))),0,IF(OFFSET(PLE!$G$14,$M162,BC$13)="",10^12,OFFSET(PLE!$G$14,$M162,BC$13))))</f>
        <v>1000000000000</v>
      </c>
      <c r="BD162" s="182">
        <f ca="1">IF($D162&lt;&gt;"Serviço",0,IF(OR(AND(AUTOEVENTO="Manual",$M162=1),$M162&gt;(ROW(PLE.lastrow)-ROW(PLE.firstrow))),0,IF(OFFSET(PLE!$G$14,$M162,BD$13)="",10^12,OFFSET(PLE!$G$14,$M162,BD$13))))</f>
        <v>1000000000000</v>
      </c>
      <c r="BE162" s="182">
        <f ca="1">IF($D162&lt;&gt;"Serviço",0,IF(OR(AND(AUTOEVENTO="Manual",$M162=1),$M162&gt;(ROW(PLE.lastrow)-ROW(PLE.firstrow))),0,IF(OFFSET(PLE!$G$14,$M162,BE$13)="",10^12,OFFSET(PLE!$G$14,$M162,BE$13))))</f>
        <v>1000000000000</v>
      </c>
      <c r="BF162" s="182">
        <f ca="1">IF($D162&lt;&gt;"Serviço",0,IF(OR(AND(AUTOEVENTO="Manual",$M162=1),$M162&gt;(ROW(PLE.lastrow)-ROW(PLE.firstrow))),0,IF(OFFSET(PLE!$G$14,$M162,BF$13)="",10^12,OFFSET(PLE!$G$14,$M162,BF$13))))</f>
        <v>1000000000000</v>
      </c>
      <c r="BG162" s="182">
        <f ca="1">IF($D162&lt;&gt;"Serviço",0,IF(OR(AND(AUTOEVENTO="Manual",$M162=1),$M162&gt;(ROW(PLE.lastrow)-ROW(PLE.firstrow))),0,IF(OFFSET(PLE!$G$14,$M162,BG$13)="",10^12,OFFSET(PLE!$G$14,$M162,BG$13))))</f>
        <v>1000000000000</v>
      </c>
    </row>
    <row r="163" spans="1:59" ht="25.5" x14ac:dyDescent="0.2">
      <c r="A163" s="7" t="str">
        <f ca="1">IF(AUTOEVENTO="Manual",IF(K163&lt;&gt;"",MIN(VALUE(LEFT(K163,FIND(".",K163)-1)),COUNTA(EVENTOS.Lista)),0),IF(OR($B163&gt;AUTOEVENTO,$B163="S",$B163=0),SUBSTITUTE(OFFSET($A163,-1,0),IF($D163="Serviço",".",""),""),ROW(A163)-ROW($A$15)&amp;"."))</f>
        <v>71</v>
      </c>
      <c r="B163" s="7" t="str">
        <f ca="1">OFFSET(ORÇAMENTO!C$15,ROW(B163)-ROW(B$15),0)</f>
        <v>S</v>
      </c>
      <c r="C163" s="7" t="str">
        <f ca="1">OFFSET(ORÇAMENTO!L$15,ROW(C163)-ROW(C$15),0)</f>
        <v>F</v>
      </c>
      <c r="D163" s="118" t="str">
        <f ca="1">OFFSET(ORÇAMENTO!N$15,ROW(D163)-ROW(D$15),0)</f>
        <v>Serviço</v>
      </c>
      <c r="E163" s="119" t="str">
        <f ca="1">OFFSET(ORÇAMENTO!O$15,ROW(E163)-ROW(E$15),0)</f>
        <v>1.6.16.7.</v>
      </c>
      <c r="F163" s="172" t="str">
        <f ca="1">OFFSET(ORÇAMENTO!R$15,ROW(F163)-ROW(F$15),0)</f>
        <v>(abra o arquivo 'Referência 03-2024.xlsm)</v>
      </c>
      <c r="G163" s="173" t="str">
        <f ca="1">IF($D163&lt;&gt;"Serviço","",OFFSET(ORÇAMENTO!S$15,ROW(G163)-ROW(G$15),0))</f>
        <v>-</v>
      </c>
      <c r="H163" s="124">
        <f ca="1">IF($D163&lt;&gt;"Serviço",0,IF(ACOMPANHAMENTO="BM",ROUND(OFFSET(ORÇAMENTO!AJ$15,ROW(H163)-ROW(H$15),0),15-13*ORÇAMENTO!$AF$7),SUMPRODUCT(($Q$12:$AA$12&lt;&gt;"")*ROUND($Q163:$AA163,15-13*ORÇAMENTO!$AF$7))))</f>
        <v>5</v>
      </c>
      <c r="I163" s="561"/>
      <c r="K163" s="174"/>
      <c r="L163" s="175" t="s">
        <v>255</v>
      </c>
      <c r="M163" s="176">
        <f ca="1">IF($D163&lt;&gt;"Serviço","",IF(AUTOEVENTO="manual",$A163,IF(ISERROR(MATCH($A163,$A$15:OFFSET($A163,-1,0),0)),MAX($M$15:OFFSET(M163,-1,0))+1,INDEX($M$15:OFFSET(M163,-1,0),MATCH($A163,$A$15:OFFSET($A163,-1,0),0)))))</f>
        <v>7</v>
      </c>
      <c r="N163" s="177" t="str">
        <f ca="1">IF($D163&lt;&gt;"Serviço","",IF(AUTOEVENTO="Manual",IF($A163=0,"&lt;-- defina o número do agrupador",OFFSET(EVENTOS!$D$14,$A163,0)),OFFSET($F$15,$A163,0)))</f>
        <v>SANITÁRIO PÚBLICO ACESSÍVEL</v>
      </c>
      <c r="O163" s="178"/>
      <c r="Q163" s="178"/>
      <c r="R163" s="179"/>
      <c r="S163" s="179"/>
      <c r="T163" s="179"/>
      <c r="U163" s="179"/>
      <c r="V163" s="179"/>
      <c r="W163" s="179"/>
      <c r="X163" s="179"/>
      <c r="Y163" s="179"/>
      <c r="Z163" s="180"/>
      <c r="AB163" s="544">
        <f ca="1">IF(AND($D163="Serviço",AB$12&lt;&gt;0,$H163&gt;0,OR(AUTOEVENTO&lt;&gt;"manual",$M163&lt;&gt;1)),
IF(Import.TipoArredondamento&lt;&gt;"TransfereGOV",
ROUND(OFFSET($P163,0,AB$13),15-13*ORÇAMENTO!$AF$7)/$H163*OFFSET(ORÇAMENTO!$X$15,ROW(AB163)-ROW(AB$15),0),
ROUND(ROUND(OFFSET($P163,0,AB$13),15-13*ORÇAMENTO!$AF$7)*OFFSET(ORÇAMENTO!$W$15,ROW(AB163)-ROW(AB$15),0),15-13*ORÇAMENTO!$AF$11)),0)</f>
        <v>0</v>
      </c>
      <c r="AC163" s="545">
        <f ca="1">IF(AND($D163="Serviço",AC$12&lt;&gt;0,$H163&gt;0,OR(AUTOEVENTO&lt;&gt;"manual",$M163&lt;&gt;1)),
IF(Import.TipoArredondamento&lt;&gt;"TransfereGOV",
ROUND(OFFSET($P163,0,AC$13),15-13*ORÇAMENTO!$AF$7)/$H163*OFFSET(ORÇAMENTO!$X$15,ROW(AC163)-ROW(AC$15),0),
ROUND(ROUND(OFFSET($P163,0,AC$13),15-13*ORÇAMENTO!$AF$7)*OFFSET(ORÇAMENTO!$W$15,ROW(AC163)-ROW(AC$15),0),15-13*ORÇAMENTO!$AF$11)),0)</f>
        <v>0</v>
      </c>
      <c r="AD163" s="545">
        <f ca="1">IF(AND($D163="Serviço",AD$12&lt;&gt;0,$H163&gt;0,OR(AUTOEVENTO&lt;&gt;"manual",$M163&lt;&gt;1)),
IF(Import.TipoArredondamento&lt;&gt;"TransfereGOV",
ROUND(OFFSET($P163,0,AD$13),15-13*ORÇAMENTO!$AF$7)/$H163*OFFSET(ORÇAMENTO!$X$15,ROW(AD163)-ROW(AD$15),0),
ROUND(ROUND(OFFSET($P163,0,AD$13),15-13*ORÇAMENTO!$AF$7)*OFFSET(ORÇAMENTO!$W$15,ROW(AD163)-ROW(AD$15),0),15-13*ORÇAMENTO!$AF$11)),0)</f>
        <v>0</v>
      </c>
      <c r="AE163" s="545">
        <f ca="1">IF(AND($D163="Serviço",AE$12&lt;&gt;0,$H163&gt;0,OR(AUTOEVENTO&lt;&gt;"manual",$M163&lt;&gt;1)),
IF(Import.TipoArredondamento&lt;&gt;"TransfereGOV",
ROUND(OFFSET($P163,0,AE$13),15-13*ORÇAMENTO!$AF$7)/$H163*OFFSET(ORÇAMENTO!$X$15,ROW(AE163)-ROW(AE$15),0),
ROUND(ROUND(OFFSET($P163,0,AE$13),15-13*ORÇAMENTO!$AF$7)*OFFSET(ORÇAMENTO!$W$15,ROW(AE163)-ROW(AE$15),0),15-13*ORÇAMENTO!$AF$11)),0)</f>
        <v>0</v>
      </c>
      <c r="AF163" s="545">
        <f ca="1">IF(AND($D163="Serviço",AF$12&lt;&gt;0,$H163&gt;0,OR(AUTOEVENTO&lt;&gt;"manual",$M163&lt;&gt;1)),
IF(Import.TipoArredondamento&lt;&gt;"TransfereGOV",
ROUND(OFFSET($P163,0,AF$13),15-13*ORÇAMENTO!$AF$7)/$H163*OFFSET(ORÇAMENTO!$X$15,ROW(AF163)-ROW(AF$15),0),
ROUND(ROUND(OFFSET($P163,0,AF$13),15-13*ORÇAMENTO!$AF$7)*OFFSET(ORÇAMENTO!$W$15,ROW(AF163)-ROW(AF$15),0),15-13*ORÇAMENTO!$AF$11)),0)</f>
        <v>0</v>
      </c>
      <c r="AG163" s="545">
        <f ca="1">IF(AND($D163="Serviço",AG$12&lt;&gt;0,$H163&gt;0,OR(AUTOEVENTO&lt;&gt;"manual",$M163&lt;&gt;1)),
IF(Import.TipoArredondamento&lt;&gt;"TransfereGOV",
ROUND(OFFSET($P163,0,AG$13),15-13*ORÇAMENTO!$AF$7)/$H163*OFFSET(ORÇAMENTO!$X$15,ROW(AG163)-ROW(AG$15),0),
ROUND(ROUND(OFFSET($P163,0,AG$13),15-13*ORÇAMENTO!$AF$7)*OFFSET(ORÇAMENTO!$W$15,ROW(AG163)-ROW(AG$15),0),15-13*ORÇAMENTO!$AF$11)),0)</f>
        <v>0</v>
      </c>
      <c r="AH163" s="545">
        <f ca="1">IF(AND($D163="Serviço",AH$12&lt;&gt;0,$H163&gt;0,OR(AUTOEVENTO&lt;&gt;"manual",$M163&lt;&gt;1)),
IF(Import.TipoArredondamento&lt;&gt;"TransfereGOV",
ROUND(OFFSET($P163,0,AH$13),15-13*ORÇAMENTO!$AF$7)/$H163*OFFSET(ORÇAMENTO!$X$15,ROW(AH163)-ROW(AH$15),0),
ROUND(ROUND(OFFSET($P163,0,AH$13),15-13*ORÇAMENTO!$AF$7)*OFFSET(ORÇAMENTO!$W$15,ROW(AH163)-ROW(AH$15),0),15-13*ORÇAMENTO!$AF$11)),0)</f>
        <v>0</v>
      </c>
      <c r="AI163" s="545">
        <f ca="1">IF(AND($D163="Serviço",AI$12&lt;&gt;0,$H163&gt;0,OR(AUTOEVENTO&lt;&gt;"manual",$M163&lt;&gt;1)),
IF(Import.TipoArredondamento&lt;&gt;"TransfereGOV",
ROUND(OFFSET($P163,0,AI$13),15-13*ORÇAMENTO!$AF$7)/$H163*OFFSET(ORÇAMENTO!$X$15,ROW(AI163)-ROW(AI$15),0),
ROUND(ROUND(OFFSET($P163,0,AI$13),15-13*ORÇAMENTO!$AF$7)*OFFSET(ORÇAMENTO!$W$15,ROW(AI163)-ROW(AI$15),0),15-13*ORÇAMENTO!$AF$11)),0)</f>
        <v>0</v>
      </c>
      <c r="AJ163" s="545">
        <f ca="1">IF(AND($D163="Serviço",AJ$12&lt;&gt;0,$H163&gt;0,OR(AUTOEVENTO&lt;&gt;"manual",$M163&lt;&gt;1)),
IF(Import.TipoArredondamento&lt;&gt;"TransfereGOV",
ROUND(OFFSET($P163,0,AJ$13),15-13*ORÇAMENTO!$AF$7)/$H163*OFFSET(ORÇAMENTO!$X$15,ROW(AJ163)-ROW(AJ$15),0),
ROUND(ROUND(OFFSET($P163,0,AJ$13),15-13*ORÇAMENTO!$AF$7)*OFFSET(ORÇAMENTO!$W$15,ROW(AJ163)-ROW(AJ$15),0),15-13*ORÇAMENTO!$AF$11)),0)</f>
        <v>0</v>
      </c>
      <c r="AK163" s="546">
        <f ca="1">IF(AND($D163="Serviço",AK$12&lt;&gt;0,$H163&gt;0,OR(AUTOEVENTO&lt;&gt;"manual",$M163&lt;&gt;1)),
IF(Import.TipoArredondamento&lt;&gt;"TransfereGOV",
ROUND(OFFSET($P163,0,AK$13),15-13*ORÇAMENTO!$AF$7)/$H163*OFFSET(ORÇAMENTO!$X$15,ROW(AK163)-ROW(AK$15),0),
ROUND(ROUND(OFFSET($P163,0,AK$13),15-13*ORÇAMENTO!$AF$7)*OFFSET(ORÇAMENTO!$W$15,ROW(AK163)-ROW(AK$15),0),15-13*ORÇAMENTO!$AF$11)),0)</f>
        <v>0</v>
      </c>
      <c r="AM163" s="181">
        <f ca="1">IF($D163&lt;&gt;"Serviço",0,IF(AND(AUTOEVENTO="Manual",$M163=1),0,IF(OFFSET(CRONOPLE!$F$14,$M163,AM$13)="",10^12,OFFSET(CRONOPLE!$F$14,$M163,AM$13))))</f>
        <v>1000000000000</v>
      </c>
      <c r="AN163" s="181">
        <f ca="1">IF($D163&lt;&gt;"Serviço",0,IF(AND(AUTOEVENTO="Manual",$M163=1),0,IF(OFFSET(CRONOPLE!$F$14,$M163,AN$13)="",10^12,OFFSET(CRONOPLE!$F$14,$M163,AN$13))))</f>
        <v>1000000000000</v>
      </c>
      <c r="AO163" s="181">
        <f ca="1">IF($D163&lt;&gt;"Serviço",0,IF(AND(AUTOEVENTO="Manual",$M163=1),0,IF(OFFSET(CRONOPLE!$F$14,$M163,AO$13)="",10^12,OFFSET(CRONOPLE!$F$14,$M163,AO$13))))</f>
        <v>1000000000000</v>
      </c>
      <c r="AP163" s="181">
        <f ca="1">IF($D163&lt;&gt;"Serviço",0,IF(AND(AUTOEVENTO="Manual",$M163=1),0,IF(OFFSET(CRONOPLE!$F$14,$M163,AP$13)="",10^12,OFFSET(CRONOPLE!$F$14,$M163,AP$13))))</f>
        <v>1000000000000</v>
      </c>
      <c r="AQ163" s="181">
        <f ca="1">IF($D163&lt;&gt;"Serviço",0,IF(AND(AUTOEVENTO="Manual",$M163=1),0,IF(OFFSET(CRONOPLE!$F$14,$M163,AQ$13)="",10^12,OFFSET(CRONOPLE!$F$14,$M163,AQ$13))))</f>
        <v>1000000000000</v>
      </c>
      <c r="AR163" s="181">
        <f ca="1">IF($D163&lt;&gt;"Serviço",0,IF(AND(AUTOEVENTO="Manual",$M163=1),0,IF(OFFSET(CRONOPLE!$F$14,$M163,AR$13)="",10^12,OFFSET(CRONOPLE!$F$14,$M163,AR$13))))</f>
        <v>1000000000000</v>
      </c>
      <c r="AS163" s="181">
        <f ca="1">IF($D163&lt;&gt;"Serviço",0,IF(AND(AUTOEVENTO="Manual",$M163=1),0,IF(OFFSET(CRONOPLE!$F$14,$M163,AS$13)="",10^12,OFFSET(CRONOPLE!$F$14,$M163,AS$13))))</f>
        <v>1000000000000</v>
      </c>
      <c r="AT163" s="181">
        <f ca="1">IF($D163&lt;&gt;"Serviço",0,IF(AND(AUTOEVENTO="Manual",$M163=1),0,IF(OFFSET(CRONOPLE!$F$14,$M163,AT$13)="",10^12,OFFSET(CRONOPLE!$F$14,$M163,AT$13))))</f>
        <v>1000000000000</v>
      </c>
      <c r="AU163" s="181">
        <f ca="1">IF($D163&lt;&gt;"Serviço",0,IF(AND(AUTOEVENTO="Manual",$M163=1),0,IF(OFFSET(CRONOPLE!$F$14,$M163,AU$13)="",10^12,OFFSET(CRONOPLE!$F$14,$M163,AU$13))))</f>
        <v>1000000000000</v>
      </c>
      <c r="AV163" s="181">
        <f ca="1">IF($D163&lt;&gt;"Serviço",0,IF(AND(AUTOEVENTO="Manual",$M163=1),0,IF(OFFSET(CRONOPLE!$F$14,$M163,AV$13)="",10^12,OFFSET(CRONOPLE!$F$14,$M163,AV$13))))</f>
        <v>1000000000000</v>
      </c>
      <c r="AX163" s="182">
        <f ca="1">IF($D163&lt;&gt;"Serviço",0,IF(OR(AND(AUTOEVENTO="Manual",$M163=1),$M163&gt;(ROW(PLE.lastrow)-ROW(PLE.firstrow))),0,IF(OFFSET(PLE!$G$14,$M163,AX$13)="",10^12,OFFSET(PLE!$G$14,$M163,AX$13))))</f>
        <v>1000000000000</v>
      </c>
      <c r="AY163" s="182">
        <f ca="1">IF($D163&lt;&gt;"Serviço",0,IF(OR(AND(AUTOEVENTO="Manual",$M163=1),$M163&gt;(ROW(PLE.lastrow)-ROW(PLE.firstrow))),0,IF(OFFSET(PLE!$G$14,$M163,AY$13)="",10^12,OFFSET(PLE!$G$14,$M163,AY$13))))</f>
        <v>1000000000000</v>
      </c>
      <c r="AZ163" s="182">
        <f ca="1">IF($D163&lt;&gt;"Serviço",0,IF(OR(AND(AUTOEVENTO="Manual",$M163=1),$M163&gt;(ROW(PLE.lastrow)-ROW(PLE.firstrow))),0,IF(OFFSET(PLE!$G$14,$M163,AZ$13)="",10^12,OFFSET(PLE!$G$14,$M163,AZ$13))))</f>
        <v>1000000000000</v>
      </c>
      <c r="BA163" s="182">
        <f ca="1">IF($D163&lt;&gt;"Serviço",0,IF(OR(AND(AUTOEVENTO="Manual",$M163=1),$M163&gt;(ROW(PLE.lastrow)-ROW(PLE.firstrow))),0,IF(OFFSET(PLE!$G$14,$M163,BA$13)="",10^12,OFFSET(PLE!$G$14,$M163,BA$13))))</f>
        <v>1000000000000</v>
      </c>
      <c r="BB163" s="182">
        <f ca="1">IF($D163&lt;&gt;"Serviço",0,IF(OR(AND(AUTOEVENTO="Manual",$M163=1),$M163&gt;(ROW(PLE.lastrow)-ROW(PLE.firstrow))),0,IF(OFFSET(PLE!$G$14,$M163,BB$13)="",10^12,OFFSET(PLE!$G$14,$M163,BB$13))))</f>
        <v>1000000000000</v>
      </c>
      <c r="BC163" s="182">
        <f ca="1">IF($D163&lt;&gt;"Serviço",0,IF(OR(AND(AUTOEVENTO="Manual",$M163=1),$M163&gt;(ROW(PLE.lastrow)-ROW(PLE.firstrow))),0,IF(OFFSET(PLE!$G$14,$M163,BC$13)="",10^12,OFFSET(PLE!$G$14,$M163,BC$13))))</f>
        <v>1000000000000</v>
      </c>
      <c r="BD163" s="182">
        <f ca="1">IF($D163&lt;&gt;"Serviço",0,IF(OR(AND(AUTOEVENTO="Manual",$M163=1),$M163&gt;(ROW(PLE.lastrow)-ROW(PLE.firstrow))),0,IF(OFFSET(PLE!$G$14,$M163,BD$13)="",10^12,OFFSET(PLE!$G$14,$M163,BD$13))))</f>
        <v>1000000000000</v>
      </c>
      <c r="BE163" s="182">
        <f ca="1">IF($D163&lt;&gt;"Serviço",0,IF(OR(AND(AUTOEVENTO="Manual",$M163=1),$M163&gt;(ROW(PLE.lastrow)-ROW(PLE.firstrow))),0,IF(OFFSET(PLE!$G$14,$M163,BE$13)="",10^12,OFFSET(PLE!$G$14,$M163,BE$13))))</f>
        <v>1000000000000</v>
      </c>
      <c r="BF163" s="182">
        <f ca="1">IF($D163&lt;&gt;"Serviço",0,IF(OR(AND(AUTOEVENTO="Manual",$M163=1),$M163&gt;(ROW(PLE.lastrow)-ROW(PLE.firstrow))),0,IF(OFFSET(PLE!$G$14,$M163,BF$13)="",10^12,OFFSET(PLE!$G$14,$M163,BF$13))))</f>
        <v>1000000000000</v>
      </c>
      <c r="BG163" s="182">
        <f ca="1">IF($D163&lt;&gt;"Serviço",0,IF(OR(AND(AUTOEVENTO="Manual",$M163=1),$M163&gt;(ROW(PLE.lastrow)-ROW(PLE.firstrow))),0,IF(OFFSET(PLE!$G$14,$M163,BG$13)="",10^12,OFFSET(PLE!$G$14,$M163,BG$13))))</f>
        <v>1000000000000</v>
      </c>
    </row>
    <row r="164" spans="1:59" ht="25.5" x14ac:dyDescent="0.2">
      <c r="A164" s="7" t="str">
        <f t="shared" ca="1" si="10"/>
        <v>71</v>
      </c>
      <c r="B164" s="7" t="str">
        <f ca="1">OFFSET(ORÇAMENTO!C$15,ROW(B164)-ROW(B$15),0)</f>
        <v>S</v>
      </c>
      <c r="C164" s="7" t="str">
        <f ca="1">OFFSET(ORÇAMENTO!L$15,ROW(C164)-ROW(C$15),0)</f>
        <v>F</v>
      </c>
      <c r="D164" s="118" t="str">
        <f ca="1">OFFSET(ORÇAMENTO!N$15,ROW(D164)-ROW(D$15),0)</f>
        <v>Serviço</v>
      </c>
      <c r="E164" s="119" t="str">
        <f ca="1">OFFSET(ORÇAMENTO!O$15,ROW(E164)-ROW(E$15),0)</f>
        <v>1.6.16.8.</v>
      </c>
      <c r="F164" s="172" t="str">
        <f ca="1">OFFSET(ORÇAMENTO!R$15,ROW(F164)-ROW(F$15),0)</f>
        <v>(abra o arquivo 'Referência 03-2024.xlsm)</v>
      </c>
      <c r="G164" s="173" t="str">
        <f ca="1">IF($D164&lt;&gt;"Serviço","",OFFSET(ORÇAMENTO!S$15,ROW(G164)-ROW(G$15),0))</f>
        <v>-</v>
      </c>
      <c r="H164" s="124">
        <f ca="1">IF($D164&lt;&gt;"Serviço",0,IF(ACOMPANHAMENTO="BM",ROUND(OFFSET(ORÇAMENTO!AJ$15,ROW(H164)-ROW(H$15),0),15-13*ORÇAMENTO!$AF$7),SUMPRODUCT(($Q$12:$AA$12&lt;&gt;"")*ROUND($Q164:$AA164,15-13*ORÇAMENTO!$AF$7))))</f>
        <v>10</v>
      </c>
      <c r="I164" s="561"/>
      <c r="K164" s="174"/>
      <c r="L164" s="175" t="s">
        <v>255</v>
      </c>
      <c r="M164" s="176">
        <f ca="1">IF($D164&lt;&gt;"Serviço","",IF(AUTOEVENTO="manual",$A164,IF(ISERROR(MATCH($A164,$A$15:OFFSET($A164,-1,0),0)),MAX($M$15:OFFSET(M164,-1,0))+1,INDEX($M$15:OFFSET(M164,-1,0),MATCH($A164,$A$15:OFFSET($A164,-1,0),0)))))</f>
        <v>7</v>
      </c>
      <c r="N164" s="177" t="str">
        <f ca="1">IF($D164&lt;&gt;"Serviço","",IF(AUTOEVENTO="Manual",IF($A164=0,"&lt;-- defina o número do agrupador",OFFSET(EVENTOS!$D$14,$A164,0)),OFFSET($F$15,$A164,0)))</f>
        <v>SANITÁRIO PÚBLICO ACESSÍVEL</v>
      </c>
      <c r="O164" s="178"/>
      <c r="Q164" s="178"/>
      <c r="R164" s="179"/>
      <c r="S164" s="179"/>
      <c r="T164" s="179"/>
      <c r="U164" s="179"/>
      <c r="V164" s="179"/>
      <c r="W164" s="179"/>
      <c r="X164" s="179"/>
      <c r="Y164" s="179"/>
      <c r="Z164" s="180"/>
      <c r="AB164" s="544">
        <f ca="1">IF(AND($D164="Serviço",AB$12&lt;&gt;0,$H164&gt;0,OR(AUTOEVENTO&lt;&gt;"manual",$M164&lt;&gt;1)),
IF(Import.TipoArredondamento&lt;&gt;"TransfereGOV",
ROUND(OFFSET($P164,0,AB$13),15-13*ORÇAMENTO!$AF$7)/$H164*OFFSET(ORÇAMENTO!$X$15,ROW(AB164)-ROW(AB$15),0),
ROUND(ROUND(OFFSET($P164,0,AB$13),15-13*ORÇAMENTO!$AF$7)*OFFSET(ORÇAMENTO!$W$15,ROW(AB164)-ROW(AB$15),0),15-13*ORÇAMENTO!$AF$11)),0)</f>
        <v>0</v>
      </c>
      <c r="AC164" s="545">
        <f ca="1">IF(AND($D164="Serviço",AC$12&lt;&gt;0,$H164&gt;0,OR(AUTOEVENTO&lt;&gt;"manual",$M164&lt;&gt;1)),
IF(Import.TipoArredondamento&lt;&gt;"TransfereGOV",
ROUND(OFFSET($P164,0,AC$13),15-13*ORÇAMENTO!$AF$7)/$H164*OFFSET(ORÇAMENTO!$X$15,ROW(AC164)-ROW(AC$15),0),
ROUND(ROUND(OFFSET($P164,0,AC$13),15-13*ORÇAMENTO!$AF$7)*OFFSET(ORÇAMENTO!$W$15,ROW(AC164)-ROW(AC$15),0),15-13*ORÇAMENTO!$AF$11)),0)</f>
        <v>0</v>
      </c>
      <c r="AD164" s="545">
        <f ca="1">IF(AND($D164="Serviço",AD$12&lt;&gt;0,$H164&gt;0,OR(AUTOEVENTO&lt;&gt;"manual",$M164&lt;&gt;1)),
IF(Import.TipoArredondamento&lt;&gt;"TransfereGOV",
ROUND(OFFSET($P164,0,AD$13),15-13*ORÇAMENTO!$AF$7)/$H164*OFFSET(ORÇAMENTO!$X$15,ROW(AD164)-ROW(AD$15),0),
ROUND(ROUND(OFFSET($P164,0,AD$13),15-13*ORÇAMENTO!$AF$7)*OFFSET(ORÇAMENTO!$W$15,ROW(AD164)-ROW(AD$15),0),15-13*ORÇAMENTO!$AF$11)),0)</f>
        <v>0</v>
      </c>
      <c r="AE164" s="545">
        <f ca="1">IF(AND($D164="Serviço",AE$12&lt;&gt;0,$H164&gt;0,OR(AUTOEVENTO&lt;&gt;"manual",$M164&lt;&gt;1)),
IF(Import.TipoArredondamento&lt;&gt;"TransfereGOV",
ROUND(OFFSET($P164,0,AE$13),15-13*ORÇAMENTO!$AF$7)/$H164*OFFSET(ORÇAMENTO!$X$15,ROW(AE164)-ROW(AE$15),0),
ROUND(ROUND(OFFSET($P164,0,AE$13),15-13*ORÇAMENTO!$AF$7)*OFFSET(ORÇAMENTO!$W$15,ROW(AE164)-ROW(AE$15),0),15-13*ORÇAMENTO!$AF$11)),0)</f>
        <v>0</v>
      </c>
      <c r="AF164" s="545">
        <f ca="1">IF(AND($D164="Serviço",AF$12&lt;&gt;0,$H164&gt;0,OR(AUTOEVENTO&lt;&gt;"manual",$M164&lt;&gt;1)),
IF(Import.TipoArredondamento&lt;&gt;"TransfereGOV",
ROUND(OFFSET($P164,0,AF$13),15-13*ORÇAMENTO!$AF$7)/$H164*OFFSET(ORÇAMENTO!$X$15,ROW(AF164)-ROW(AF$15),0),
ROUND(ROUND(OFFSET($P164,0,AF$13),15-13*ORÇAMENTO!$AF$7)*OFFSET(ORÇAMENTO!$W$15,ROW(AF164)-ROW(AF$15),0),15-13*ORÇAMENTO!$AF$11)),0)</f>
        <v>0</v>
      </c>
      <c r="AG164" s="545">
        <f ca="1">IF(AND($D164="Serviço",AG$12&lt;&gt;0,$H164&gt;0,OR(AUTOEVENTO&lt;&gt;"manual",$M164&lt;&gt;1)),
IF(Import.TipoArredondamento&lt;&gt;"TransfereGOV",
ROUND(OFFSET($P164,0,AG$13),15-13*ORÇAMENTO!$AF$7)/$H164*OFFSET(ORÇAMENTO!$X$15,ROW(AG164)-ROW(AG$15),0),
ROUND(ROUND(OFFSET($P164,0,AG$13),15-13*ORÇAMENTO!$AF$7)*OFFSET(ORÇAMENTO!$W$15,ROW(AG164)-ROW(AG$15),0),15-13*ORÇAMENTO!$AF$11)),0)</f>
        <v>0</v>
      </c>
      <c r="AH164" s="545">
        <f ca="1">IF(AND($D164="Serviço",AH$12&lt;&gt;0,$H164&gt;0,OR(AUTOEVENTO&lt;&gt;"manual",$M164&lt;&gt;1)),
IF(Import.TipoArredondamento&lt;&gt;"TransfereGOV",
ROUND(OFFSET($P164,0,AH$13),15-13*ORÇAMENTO!$AF$7)/$H164*OFFSET(ORÇAMENTO!$X$15,ROW(AH164)-ROW(AH$15),0),
ROUND(ROUND(OFFSET($P164,0,AH$13),15-13*ORÇAMENTO!$AF$7)*OFFSET(ORÇAMENTO!$W$15,ROW(AH164)-ROW(AH$15),0),15-13*ORÇAMENTO!$AF$11)),0)</f>
        <v>0</v>
      </c>
      <c r="AI164" s="545">
        <f ca="1">IF(AND($D164="Serviço",AI$12&lt;&gt;0,$H164&gt;0,OR(AUTOEVENTO&lt;&gt;"manual",$M164&lt;&gt;1)),
IF(Import.TipoArredondamento&lt;&gt;"TransfereGOV",
ROUND(OFFSET($P164,0,AI$13),15-13*ORÇAMENTO!$AF$7)/$H164*OFFSET(ORÇAMENTO!$X$15,ROW(AI164)-ROW(AI$15),0),
ROUND(ROUND(OFFSET($P164,0,AI$13),15-13*ORÇAMENTO!$AF$7)*OFFSET(ORÇAMENTO!$W$15,ROW(AI164)-ROW(AI$15),0),15-13*ORÇAMENTO!$AF$11)),0)</f>
        <v>0</v>
      </c>
      <c r="AJ164" s="545">
        <f ca="1">IF(AND($D164="Serviço",AJ$12&lt;&gt;0,$H164&gt;0,OR(AUTOEVENTO&lt;&gt;"manual",$M164&lt;&gt;1)),
IF(Import.TipoArredondamento&lt;&gt;"TransfereGOV",
ROUND(OFFSET($P164,0,AJ$13),15-13*ORÇAMENTO!$AF$7)/$H164*OFFSET(ORÇAMENTO!$X$15,ROW(AJ164)-ROW(AJ$15),0),
ROUND(ROUND(OFFSET($P164,0,AJ$13),15-13*ORÇAMENTO!$AF$7)*OFFSET(ORÇAMENTO!$W$15,ROW(AJ164)-ROW(AJ$15),0),15-13*ORÇAMENTO!$AF$11)),0)</f>
        <v>0</v>
      </c>
      <c r="AK164" s="546">
        <f ca="1">IF(AND($D164="Serviço",AK$12&lt;&gt;0,$H164&gt;0,OR(AUTOEVENTO&lt;&gt;"manual",$M164&lt;&gt;1)),
IF(Import.TipoArredondamento&lt;&gt;"TransfereGOV",
ROUND(OFFSET($P164,0,AK$13),15-13*ORÇAMENTO!$AF$7)/$H164*OFFSET(ORÇAMENTO!$X$15,ROW(AK164)-ROW(AK$15),0),
ROUND(ROUND(OFFSET($P164,0,AK$13),15-13*ORÇAMENTO!$AF$7)*OFFSET(ORÇAMENTO!$W$15,ROW(AK164)-ROW(AK$15),0),15-13*ORÇAMENTO!$AF$11)),0)</f>
        <v>0</v>
      </c>
      <c r="AM164" s="181">
        <f ca="1">IF($D164&lt;&gt;"Serviço",0,IF(AND(AUTOEVENTO="Manual",$M164=1),0,IF(OFFSET(CRONOPLE!$F$14,$M164,AM$13)="",10^12,OFFSET(CRONOPLE!$F$14,$M164,AM$13))))</f>
        <v>1000000000000</v>
      </c>
      <c r="AN164" s="181">
        <f ca="1">IF($D164&lt;&gt;"Serviço",0,IF(AND(AUTOEVENTO="Manual",$M164=1),0,IF(OFFSET(CRONOPLE!$F$14,$M164,AN$13)="",10^12,OFFSET(CRONOPLE!$F$14,$M164,AN$13))))</f>
        <v>1000000000000</v>
      </c>
      <c r="AO164" s="181">
        <f ca="1">IF($D164&lt;&gt;"Serviço",0,IF(AND(AUTOEVENTO="Manual",$M164=1),0,IF(OFFSET(CRONOPLE!$F$14,$M164,AO$13)="",10^12,OFFSET(CRONOPLE!$F$14,$M164,AO$13))))</f>
        <v>1000000000000</v>
      </c>
      <c r="AP164" s="181">
        <f ca="1">IF($D164&lt;&gt;"Serviço",0,IF(AND(AUTOEVENTO="Manual",$M164=1),0,IF(OFFSET(CRONOPLE!$F$14,$M164,AP$13)="",10^12,OFFSET(CRONOPLE!$F$14,$M164,AP$13))))</f>
        <v>1000000000000</v>
      </c>
      <c r="AQ164" s="181">
        <f ca="1">IF($D164&lt;&gt;"Serviço",0,IF(AND(AUTOEVENTO="Manual",$M164=1),0,IF(OFFSET(CRONOPLE!$F$14,$M164,AQ$13)="",10^12,OFFSET(CRONOPLE!$F$14,$M164,AQ$13))))</f>
        <v>1000000000000</v>
      </c>
      <c r="AR164" s="181">
        <f ca="1">IF($D164&lt;&gt;"Serviço",0,IF(AND(AUTOEVENTO="Manual",$M164=1),0,IF(OFFSET(CRONOPLE!$F$14,$M164,AR$13)="",10^12,OFFSET(CRONOPLE!$F$14,$M164,AR$13))))</f>
        <v>1000000000000</v>
      </c>
      <c r="AS164" s="181">
        <f ca="1">IF($D164&lt;&gt;"Serviço",0,IF(AND(AUTOEVENTO="Manual",$M164=1),0,IF(OFFSET(CRONOPLE!$F$14,$M164,AS$13)="",10^12,OFFSET(CRONOPLE!$F$14,$M164,AS$13))))</f>
        <v>1000000000000</v>
      </c>
      <c r="AT164" s="181">
        <f ca="1">IF($D164&lt;&gt;"Serviço",0,IF(AND(AUTOEVENTO="Manual",$M164=1),0,IF(OFFSET(CRONOPLE!$F$14,$M164,AT$13)="",10^12,OFFSET(CRONOPLE!$F$14,$M164,AT$13))))</f>
        <v>1000000000000</v>
      </c>
      <c r="AU164" s="181">
        <f ca="1">IF($D164&lt;&gt;"Serviço",0,IF(AND(AUTOEVENTO="Manual",$M164=1),0,IF(OFFSET(CRONOPLE!$F$14,$M164,AU$13)="",10^12,OFFSET(CRONOPLE!$F$14,$M164,AU$13))))</f>
        <v>1000000000000</v>
      </c>
      <c r="AV164" s="181">
        <f ca="1">IF($D164&lt;&gt;"Serviço",0,IF(AND(AUTOEVENTO="Manual",$M164=1),0,IF(OFFSET(CRONOPLE!$F$14,$M164,AV$13)="",10^12,OFFSET(CRONOPLE!$F$14,$M164,AV$13))))</f>
        <v>1000000000000</v>
      </c>
      <c r="AX164" s="182">
        <f ca="1">IF($D164&lt;&gt;"Serviço",0,IF(OR(AND(AUTOEVENTO="Manual",$M164=1),$M164&gt;(ROW(PLE.lastrow)-ROW(PLE.firstrow))),0,IF(OFFSET(PLE!$G$14,$M164,AX$13)="",10^12,OFFSET(PLE!$G$14,$M164,AX$13))))</f>
        <v>1000000000000</v>
      </c>
      <c r="AY164" s="182">
        <f ca="1">IF($D164&lt;&gt;"Serviço",0,IF(OR(AND(AUTOEVENTO="Manual",$M164=1),$M164&gt;(ROW(PLE.lastrow)-ROW(PLE.firstrow))),0,IF(OFFSET(PLE!$G$14,$M164,AY$13)="",10^12,OFFSET(PLE!$G$14,$M164,AY$13))))</f>
        <v>1000000000000</v>
      </c>
      <c r="AZ164" s="182">
        <f ca="1">IF($D164&lt;&gt;"Serviço",0,IF(OR(AND(AUTOEVENTO="Manual",$M164=1),$M164&gt;(ROW(PLE.lastrow)-ROW(PLE.firstrow))),0,IF(OFFSET(PLE!$G$14,$M164,AZ$13)="",10^12,OFFSET(PLE!$G$14,$M164,AZ$13))))</f>
        <v>1000000000000</v>
      </c>
      <c r="BA164" s="182">
        <f ca="1">IF($D164&lt;&gt;"Serviço",0,IF(OR(AND(AUTOEVENTO="Manual",$M164=1),$M164&gt;(ROW(PLE.lastrow)-ROW(PLE.firstrow))),0,IF(OFFSET(PLE!$G$14,$M164,BA$13)="",10^12,OFFSET(PLE!$G$14,$M164,BA$13))))</f>
        <v>1000000000000</v>
      </c>
      <c r="BB164" s="182">
        <f ca="1">IF($D164&lt;&gt;"Serviço",0,IF(OR(AND(AUTOEVENTO="Manual",$M164=1),$M164&gt;(ROW(PLE.lastrow)-ROW(PLE.firstrow))),0,IF(OFFSET(PLE!$G$14,$M164,BB$13)="",10^12,OFFSET(PLE!$G$14,$M164,BB$13))))</f>
        <v>1000000000000</v>
      </c>
      <c r="BC164" s="182">
        <f ca="1">IF($D164&lt;&gt;"Serviço",0,IF(OR(AND(AUTOEVENTO="Manual",$M164=1),$M164&gt;(ROW(PLE.lastrow)-ROW(PLE.firstrow))),0,IF(OFFSET(PLE!$G$14,$M164,BC$13)="",10^12,OFFSET(PLE!$G$14,$M164,BC$13))))</f>
        <v>1000000000000</v>
      </c>
      <c r="BD164" s="182">
        <f ca="1">IF($D164&lt;&gt;"Serviço",0,IF(OR(AND(AUTOEVENTO="Manual",$M164=1),$M164&gt;(ROW(PLE.lastrow)-ROW(PLE.firstrow))),0,IF(OFFSET(PLE!$G$14,$M164,BD$13)="",10^12,OFFSET(PLE!$G$14,$M164,BD$13))))</f>
        <v>1000000000000</v>
      </c>
      <c r="BE164" s="182">
        <f ca="1">IF($D164&lt;&gt;"Serviço",0,IF(OR(AND(AUTOEVENTO="Manual",$M164=1),$M164&gt;(ROW(PLE.lastrow)-ROW(PLE.firstrow))),0,IF(OFFSET(PLE!$G$14,$M164,BE$13)="",10^12,OFFSET(PLE!$G$14,$M164,BE$13))))</f>
        <v>1000000000000</v>
      </c>
      <c r="BF164" s="182">
        <f ca="1">IF($D164&lt;&gt;"Serviço",0,IF(OR(AND(AUTOEVENTO="Manual",$M164=1),$M164&gt;(ROW(PLE.lastrow)-ROW(PLE.firstrow))),0,IF(OFFSET(PLE!$G$14,$M164,BF$13)="",10^12,OFFSET(PLE!$G$14,$M164,BF$13))))</f>
        <v>1000000000000</v>
      </c>
      <c r="BG164" s="182">
        <f ca="1">IF($D164&lt;&gt;"Serviço",0,IF(OR(AND(AUTOEVENTO="Manual",$M164=1),$M164&gt;(ROW(PLE.lastrow)-ROW(PLE.firstrow))),0,IF(OFFSET(PLE!$G$14,$M164,BG$13)="",10^12,OFFSET(PLE!$G$14,$M164,BG$13))))</f>
        <v>1000000000000</v>
      </c>
    </row>
    <row r="165" spans="1:59" ht="38.25" x14ac:dyDescent="0.2">
      <c r="A165" s="7" t="str">
        <f t="shared" ca="1" si="10"/>
        <v>71</v>
      </c>
      <c r="B165" s="7" t="str">
        <f ca="1">OFFSET(ORÇAMENTO!C$15,ROW(B165)-ROW(B$15),0)</f>
        <v>S</v>
      </c>
      <c r="C165" s="7" t="str">
        <f ca="1">OFFSET(ORÇAMENTO!L$15,ROW(C165)-ROW(C$15),0)</f>
        <v>F</v>
      </c>
      <c r="D165" s="118" t="str">
        <f ca="1">OFFSET(ORÇAMENTO!N$15,ROW(D165)-ROW(D$15),0)</f>
        <v>Serviço</v>
      </c>
      <c r="E165" s="119" t="str">
        <f ca="1">OFFSET(ORÇAMENTO!O$15,ROW(E165)-ROW(E$15),0)</f>
        <v>1.6.16.9.</v>
      </c>
      <c r="F165" s="172" t="str">
        <f ca="1">OFFSET(ORÇAMENTO!R$15,ROW(F165)-ROW(F$15),0)</f>
        <v>(abra o arquivo 'Referência 03-2024.xlsm)</v>
      </c>
      <c r="G165" s="173" t="str">
        <f ca="1">IF($D165&lt;&gt;"Serviço","",OFFSET(ORÇAMENTO!S$15,ROW(G165)-ROW(G$15),0))</f>
        <v>-</v>
      </c>
      <c r="H165" s="124">
        <f ca="1">IF($D165&lt;&gt;"Serviço",0,IF(ACOMPANHAMENTO="BM",ROUND(OFFSET(ORÇAMENTO!AJ$15,ROW(H165)-ROW(H$15),0),15-13*ORÇAMENTO!$AF$7),SUMPRODUCT(($Q$12:$AA$12&lt;&gt;"")*ROUND($Q165:$AA165,15-13*ORÇAMENTO!$AF$7))))</f>
        <v>2</v>
      </c>
      <c r="I165" s="561"/>
      <c r="K165" s="174"/>
      <c r="L165" s="175" t="s">
        <v>255</v>
      </c>
      <c r="M165" s="176">
        <f ca="1">IF($D165&lt;&gt;"Serviço","",IF(AUTOEVENTO="manual",$A165,IF(ISERROR(MATCH($A165,$A$15:OFFSET($A165,-1,0),0)),MAX($M$15:OFFSET(M165,-1,0))+1,INDEX($M$15:OFFSET(M165,-1,0),MATCH($A165,$A$15:OFFSET($A165,-1,0),0)))))</f>
        <v>7</v>
      </c>
      <c r="N165" s="177" t="str">
        <f ca="1">IF($D165&lt;&gt;"Serviço","",IF(AUTOEVENTO="Manual",IF($A165=0,"&lt;-- defina o número do agrupador",OFFSET(EVENTOS!$D$14,$A165,0)),OFFSET($F$15,$A165,0)))</f>
        <v>SANITÁRIO PÚBLICO ACESSÍVEL</v>
      </c>
      <c r="O165" s="178"/>
      <c r="Q165" s="178"/>
      <c r="R165" s="179"/>
      <c r="S165" s="179"/>
      <c r="T165" s="179"/>
      <c r="U165" s="179"/>
      <c r="V165" s="179"/>
      <c r="W165" s="179"/>
      <c r="X165" s="179"/>
      <c r="Y165" s="179"/>
      <c r="Z165" s="180"/>
      <c r="AB165" s="544">
        <f ca="1">IF(AND($D165="Serviço",AB$12&lt;&gt;0,$H165&gt;0,OR(AUTOEVENTO&lt;&gt;"manual",$M165&lt;&gt;1)),
IF(Import.TipoArredondamento&lt;&gt;"TransfereGOV",
ROUND(OFFSET($P165,0,AB$13),15-13*ORÇAMENTO!$AF$7)/$H165*OFFSET(ORÇAMENTO!$X$15,ROW(AB165)-ROW(AB$15),0),
ROUND(ROUND(OFFSET($P165,0,AB$13),15-13*ORÇAMENTO!$AF$7)*OFFSET(ORÇAMENTO!$W$15,ROW(AB165)-ROW(AB$15),0),15-13*ORÇAMENTO!$AF$11)),0)</f>
        <v>0</v>
      </c>
      <c r="AC165" s="545">
        <f ca="1">IF(AND($D165="Serviço",AC$12&lt;&gt;0,$H165&gt;0,OR(AUTOEVENTO&lt;&gt;"manual",$M165&lt;&gt;1)),
IF(Import.TipoArredondamento&lt;&gt;"TransfereGOV",
ROUND(OFFSET($P165,0,AC$13),15-13*ORÇAMENTO!$AF$7)/$H165*OFFSET(ORÇAMENTO!$X$15,ROW(AC165)-ROW(AC$15),0),
ROUND(ROUND(OFFSET($P165,0,AC$13),15-13*ORÇAMENTO!$AF$7)*OFFSET(ORÇAMENTO!$W$15,ROW(AC165)-ROW(AC$15),0),15-13*ORÇAMENTO!$AF$11)),0)</f>
        <v>0</v>
      </c>
      <c r="AD165" s="545">
        <f ca="1">IF(AND($D165="Serviço",AD$12&lt;&gt;0,$H165&gt;0,OR(AUTOEVENTO&lt;&gt;"manual",$M165&lt;&gt;1)),
IF(Import.TipoArredondamento&lt;&gt;"TransfereGOV",
ROUND(OFFSET($P165,0,AD$13),15-13*ORÇAMENTO!$AF$7)/$H165*OFFSET(ORÇAMENTO!$X$15,ROW(AD165)-ROW(AD$15),0),
ROUND(ROUND(OFFSET($P165,0,AD$13),15-13*ORÇAMENTO!$AF$7)*OFFSET(ORÇAMENTO!$W$15,ROW(AD165)-ROW(AD$15),0),15-13*ORÇAMENTO!$AF$11)),0)</f>
        <v>0</v>
      </c>
      <c r="AE165" s="545">
        <f ca="1">IF(AND($D165="Serviço",AE$12&lt;&gt;0,$H165&gt;0,OR(AUTOEVENTO&lt;&gt;"manual",$M165&lt;&gt;1)),
IF(Import.TipoArredondamento&lt;&gt;"TransfereGOV",
ROUND(OFFSET($P165,0,AE$13),15-13*ORÇAMENTO!$AF$7)/$H165*OFFSET(ORÇAMENTO!$X$15,ROW(AE165)-ROW(AE$15),0),
ROUND(ROUND(OFFSET($P165,0,AE$13),15-13*ORÇAMENTO!$AF$7)*OFFSET(ORÇAMENTO!$W$15,ROW(AE165)-ROW(AE$15),0),15-13*ORÇAMENTO!$AF$11)),0)</f>
        <v>0</v>
      </c>
      <c r="AF165" s="545">
        <f ca="1">IF(AND($D165="Serviço",AF$12&lt;&gt;0,$H165&gt;0,OR(AUTOEVENTO&lt;&gt;"manual",$M165&lt;&gt;1)),
IF(Import.TipoArredondamento&lt;&gt;"TransfereGOV",
ROUND(OFFSET($P165,0,AF$13),15-13*ORÇAMENTO!$AF$7)/$H165*OFFSET(ORÇAMENTO!$X$15,ROW(AF165)-ROW(AF$15),0),
ROUND(ROUND(OFFSET($P165,0,AF$13),15-13*ORÇAMENTO!$AF$7)*OFFSET(ORÇAMENTO!$W$15,ROW(AF165)-ROW(AF$15),0),15-13*ORÇAMENTO!$AF$11)),0)</f>
        <v>0</v>
      </c>
      <c r="AG165" s="545">
        <f ca="1">IF(AND($D165="Serviço",AG$12&lt;&gt;0,$H165&gt;0,OR(AUTOEVENTO&lt;&gt;"manual",$M165&lt;&gt;1)),
IF(Import.TipoArredondamento&lt;&gt;"TransfereGOV",
ROUND(OFFSET($P165,0,AG$13),15-13*ORÇAMENTO!$AF$7)/$H165*OFFSET(ORÇAMENTO!$X$15,ROW(AG165)-ROW(AG$15),0),
ROUND(ROUND(OFFSET($P165,0,AG$13),15-13*ORÇAMENTO!$AF$7)*OFFSET(ORÇAMENTO!$W$15,ROW(AG165)-ROW(AG$15),0),15-13*ORÇAMENTO!$AF$11)),0)</f>
        <v>0</v>
      </c>
      <c r="AH165" s="545">
        <f ca="1">IF(AND($D165="Serviço",AH$12&lt;&gt;0,$H165&gt;0,OR(AUTOEVENTO&lt;&gt;"manual",$M165&lt;&gt;1)),
IF(Import.TipoArredondamento&lt;&gt;"TransfereGOV",
ROUND(OFFSET($P165,0,AH$13),15-13*ORÇAMENTO!$AF$7)/$H165*OFFSET(ORÇAMENTO!$X$15,ROW(AH165)-ROW(AH$15),0),
ROUND(ROUND(OFFSET($P165,0,AH$13),15-13*ORÇAMENTO!$AF$7)*OFFSET(ORÇAMENTO!$W$15,ROW(AH165)-ROW(AH$15),0),15-13*ORÇAMENTO!$AF$11)),0)</f>
        <v>0</v>
      </c>
      <c r="AI165" s="545">
        <f ca="1">IF(AND($D165="Serviço",AI$12&lt;&gt;0,$H165&gt;0,OR(AUTOEVENTO&lt;&gt;"manual",$M165&lt;&gt;1)),
IF(Import.TipoArredondamento&lt;&gt;"TransfereGOV",
ROUND(OFFSET($P165,0,AI$13),15-13*ORÇAMENTO!$AF$7)/$H165*OFFSET(ORÇAMENTO!$X$15,ROW(AI165)-ROW(AI$15),0),
ROUND(ROUND(OFFSET($P165,0,AI$13),15-13*ORÇAMENTO!$AF$7)*OFFSET(ORÇAMENTO!$W$15,ROW(AI165)-ROW(AI$15),0),15-13*ORÇAMENTO!$AF$11)),0)</f>
        <v>0</v>
      </c>
      <c r="AJ165" s="545">
        <f ca="1">IF(AND($D165="Serviço",AJ$12&lt;&gt;0,$H165&gt;0,OR(AUTOEVENTO&lt;&gt;"manual",$M165&lt;&gt;1)),
IF(Import.TipoArredondamento&lt;&gt;"TransfereGOV",
ROUND(OFFSET($P165,0,AJ$13),15-13*ORÇAMENTO!$AF$7)/$H165*OFFSET(ORÇAMENTO!$X$15,ROW(AJ165)-ROW(AJ$15),0),
ROUND(ROUND(OFFSET($P165,0,AJ$13),15-13*ORÇAMENTO!$AF$7)*OFFSET(ORÇAMENTO!$W$15,ROW(AJ165)-ROW(AJ$15),0),15-13*ORÇAMENTO!$AF$11)),0)</f>
        <v>0</v>
      </c>
      <c r="AK165" s="546">
        <f ca="1">IF(AND($D165="Serviço",AK$12&lt;&gt;0,$H165&gt;0,OR(AUTOEVENTO&lt;&gt;"manual",$M165&lt;&gt;1)),
IF(Import.TipoArredondamento&lt;&gt;"TransfereGOV",
ROUND(OFFSET($P165,0,AK$13),15-13*ORÇAMENTO!$AF$7)/$H165*OFFSET(ORÇAMENTO!$X$15,ROW(AK165)-ROW(AK$15),0),
ROUND(ROUND(OFFSET($P165,0,AK$13),15-13*ORÇAMENTO!$AF$7)*OFFSET(ORÇAMENTO!$W$15,ROW(AK165)-ROW(AK$15),0),15-13*ORÇAMENTO!$AF$11)),0)</f>
        <v>0</v>
      </c>
      <c r="AM165" s="181">
        <f ca="1">IF($D165&lt;&gt;"Serviço",0,IF(AND(AUTOEVENTO="Manual",$M165=1),0,IF(OFFSET(CRONOPLE!$F$14,$M165,AM$13)="",10^12,OFFSET(CRONOPLE!$F$14,$M165,AM$13))))</f>
        <v>1000000000000</v>
      </c>
      <c r="AN165" s="181">
        <f ca="1">IF($D165&lt;&gt;"Serviço",0,IF(AND(AUTOEVENTO="Manual",$M165=1),0,IF(OFFSET(CRONOPLE!$F$14,$M165,AN$13)="",10^12,OFFSET(CRONOPLE!$F$14,$M165,AN$13))))</f>
        <v>1000000000000</v>
      </c>
      <c r="AO165" s="181">
        <f ca="1">IF($D165&lt;&gt;"Serviço",0,IF(AND(AUTOEVENTO="Manual",$M165=1),0,IF(OFFSET(CRONOPLE!$F$14,$M165,AO$13)="",10^12,OFFSET(CRONOPLE!$F$14,$M165,AO$13))))</f>
        <v>1000000000000</v>
      </c>
      <c r="AP165" s="181">
        <f ca="1">IF($D165&lt;&gt;"Serviço",0,IF(AND(AUTOEVENTO="Manual",$M165=1),0,IF(OFFSET(CRONOPLE!$F$14,$M165,AP$13)="",10^12,OFFSET(CRONOPLE!$F$14,$M165,AP$13))))</f>
        <v>1000000000000</v>
      </c>
      <c r="AQ165" s="181">
        <f ca="1">IF($D165&lt;&gt;"Serviço",0,IF(AND(AUTOEVENTO="Manual",$M165=1),0,IF(OFFSET(CRONOPLE!$F$14,$M165,AQ$13)="",10^12,OFFSET(CRONOPLE!$F$14,$M165,AQ$13))))</f>
        <v>1000000000000</v>
      </c>
      <c r="AR165" s="181">
        <f ca="1">IF($D165&lt;&gt;"Serviço",0,IF(AND(AUTOEVENTO="Manual",$M165=1),0,IF(OFFSET(CRONOPLE!$F$14,$M165,AR$13)="",10^12,OFFSET(CRONOPLE!$F$14,$M165,AR$13))))</f>
        <v>1000000000000</v>
      </c>
      <c r="AS165" s="181">
        <f ca="1">IF($D165&lt;&gt;"Serviço",0,IF(AND(AUTOEVENTO="Manual",$M165=1),0,IF(OFFSET(CRONOPLE!$F$14,$M165,AS$13)="",10^12,OFFSET(CRONOPLE!$F$14,$M165,AS$13))))</f>
        <v>1000000000000</v>
      </c>
      <c r="AT165" s="181">
        <f ca="1">IF($D165&lt;&gt;"Serviço",0,IF(AND(AUTOEVENTO="Manual",$M165=1),0,IF(OFFSET(CRONOPLE!$F$14,$M165,AT$13)="",10^12,OFFSET(CRONOPLE!$F$14,$M165,AT$13))))</f>
        <v>1000000000000</v>
      </c>
      <c r="AU165" s="181">
        <f ca="1">IF($D165&lt;&gt;"Serviço",0,IF(AND(AUTOEVENTO="Manual",$M165=1),0,IF(OFFSET(CRONOPLE!$F$14,$M165,AU$13)="",10^12,OFFSET(CRONOPLE!$F$14,$M165,AU$13))))</f>
        <v>1000000000000</v>
      </c>
      <c r="AV165" s="181">
        <f ca="1">IF($D165&lt;&gt;"Serviço",0,IF(AND(AUTOEVENTO="Manual",$M165=1),0,IF(OFFSET(CRONOPLE!$F$14,$M165,AV$13)="",10^12,OFFSET(CRONOPLE!$F$14,$M165,AV$13))))</f>
        <v>1000000000000</v>
      </c>
      <c r="AX165" s="182">
        <f ca="1">IF($D165&lt;&gt;"Serviço",0,IF(OR(AND(AUTOEVENTO="Manual",$M165=1),$M165&gt;(ROW(PLE.lastrow)-ROW(PLE.firstrow))),0,IF(OFFSET(PLE!$G$14,$M165,AX$13)="",10^12,OFFSET(PLE!$G$14,$M165,AX$13))))</f>
        <v>1000000000000</v>
      </c>
      <c r="AY165" s="182">
        <f ca="1">IF($D165&lt;&gt;"Serviço",0,IF(OR(AND(AUTOEVENTO="Manual",$M165=1),$M165&gt;(ROW(PLE.lastrow)-ROW(PLE.firstrow))),0,IF(OFFSET(PLE!$G$14,$M165,AY$13)="",10^12,OFFSET(PLE!$G$14,$M165,AY$13))))</f>
        <v>1000000000000</v>
      </c>
      <c r="AZ165" s="182">
        <f ca="1">IF($D165&lt;&gt;"Serviço",0,IF(OR(AND(AUTOEVENTO="Manual",$M165=1),$M165&gt;(ROW(PLE.lastrow)-ROW(PLE.firstrow))),0,IF(OFFSET(PLE!$G$14,$M165,AZ$13)="",10^12,OFFSET(PLE!$G$14,$M165,AZ$13))))</f>
        <v>1000000000000</v>
      </c>
      <c r="BA165" s="182">
        <f ca="1">IF($D165&lt;&gt;"Serviço",0,IF(OR(AND(AUTOEVENTO="Manual",$M165=1),$M165&gt;(ROW(PLE.lastrow)-ROW(PLE.firstrow))),0,IF(OFFSET(PLE!$G$14,$M165,BA$13)="",10^12,OFFSET(PLE!$G$14,$M165,BA$13))))</f>
        <v>1000000000000</v>
      </c>
      <c r="BB165" s="182">
        <f ca="1">IF($D165&lt;&gt;"Serviço",0,IF(OR(AND(AUTOEVENTO="Manual",$M165=1),$M165&gt;(ROW(PLE.lastrow)-ROW(PLE.firstrow))),0,IF(OFFSET(PLE!$G$14,$M165,BB$13)="",10^12,OFFSET(PLE!$G$14,$M165,BB$13))))</f>
        <v>1000000000000</v>
      </c>
      <c r="BC165" s="182">
        <f ca="1">IF($D165&lt;&gt;"Serviço",0,IF(OR(AND(AUTOEVENTO="Manual",$M165=1),$M165&gt;(ROW(PLE.lastrow)-ROW(PLE.firstrow))),0,IF(OFFSET(PLE!$G$14,$M165,BC$13)="",10^12,OFFSET(PLE!$G$14,$M165,BC$13))))</f>
        <v>1000000000000</v>
      </c>
      <c r="BD165" s="182">
        <f ca="1">IF($D165&lt;&gt;"Serviço",0,IF(OR(AND(AUTOEVENTO="Manual",$M165=1),$M165&gt;(ROW(PLE.lastrow)-ROW(PLE.firstrow))),0,IF(OFFSET(PLE!$G$14,$M165,BD$13)="",10^12,OFFSET(PLE!$G$14,$M165,BD$13))))</f>
        <v>1000000000000</v>
      </c>
      <c r="BE165" s="182">
        <f ca="1">IF($D165&lt;&gt;"Serviço",0,IF(OR(AND(AUTOEVENTO="Manual",$M165=1),$M165&gt;(ROW(PLE.lastrow)-ROW(PLE.firstrow))),0,IF(OFFSET(PLE!$G$14,$M165,BE$13)="",10^12,OFFSET(PLE!$G$14,$M165,BE$13))))</f>
        <v>1000000000000</v>
      </c>
      <c r="BF165" s="182">
        <f ca="1">IF($D165&lt;&gt;"Serviço",0,IF(OR(AND(AUTOEVENTO="Manual",$M165=1),$M165&gt;(ROW(PLE.lastrow)-ROW(PLE.firstrow))),0,IF(OFFSET(PLE!$G$14,$M165,BF$13)="",10^12,OFFSET(PLE!$G$14,$M165,BF$13))))</f>
        <v>1000000000000</v>
      </c>
      <c r="BG165" s="182">
        <f ca="1">IF($D165&lt;&gt;"Serviço",0,IF(OR(AND(AUTOEVENTO="Manual",$M165=1),$M165&gt;(ROW(PLE.lastrow)-ROW(PLE.firstrow))),0,IF(OFFSET(PLE!$G$14,$M165,BG$13)="",10^12,OFFSET(PLE!$G$14,$M165,BG$13))))</f>
        <v>1000000000000</v>
      </c>
    </row>
    <row r="166" spans="1:59" ht="38.25" x14ac:dyDescent="0.2">
      <c r="A166" s="7" t="str">
        <f t="shared" ca="1" si="10"/>
        <v>71</v>
      </c>
      <c r="B166" s="7" t="str">
        <f ca="1">OFFSET(ORÇAMENTO!C$15,ROW(B166)-ROW(B$15),0)</f>
        <v>S</v>
      </c>
      <c r="C166" s="7" t="str">
        <f ca="1">OFFSET(ORÇAMENTO!L$15,ROW(C166)-ROW(C$15),0)</f>
        <v>F</v>
      </c>
      <c r="D166" s="118" t="str">
        <f ca="1">OFFSET(ORÇAMENTO!N$15,ROW(D166)-ROW(D$15),0)</f>
        <v>Serviço</v>
      </c>
      <c r="E166" s="119" t="str">
        <f ca="1">OFFSET(ORÇAMENTO!O$15,ROW(E166)-ROW(E$15),0)</f>
        <v>1.6.16.10.</v>
      </c>
      <c r="F166" s="172" t="str">
        <f ca="1">OFFSET(ORÇAMENTO!R$15,ROW(F166)-ROW(F$15),0)</f>
        <v>(abra o arquivo 'Referência 03-2024.xlsm)</v>
      </c>
      <c r="G166" s="173" t="str">
        <f ca="1">IF($D166&lt;&gt;"Serviço","",OFFSET(ORÇAMENTO!S$15,ROW(G166)-ROW(G$15),0))</f>
        <v>-</v>
      </c>
      <c r="H166" s="124">
        <f ca="1">IF($D166&lt;&gt;"Serviço",0,IF(ACOMPANHAMENTO="BM",ROUND(OFFSET(ORÇAMENTO!AJ$15,ROW(H166)-ROW(H$15),0),15-13*ORÇAMENTO!$AF$7),SUMPRODUCT(($Q$12:$AA$12&lt;&gt;"")*ROUND($Q166:$AA166,15-13*ORÇAMENTO!$AF$7))))</f>
        <v>6</v>
      </c>
      <c r="I166" s="561"/>
      <c r="K166" s="174"/>
      <c r="L166" s="175" t="s">
        <v>255</v>
      </c>
      <c r="M166" s="176">
        <f ca="1">IF($D166&lt;&gt;"Serviço","",IF(AUTOEVENTO="manual",$A166,IF(ISERROR(MATCH($A166,$A$15:OFFSET($A166,-1,0),0)),MAX($M$15:OFFSET(M166,-1,0))+1,INDEX($M$15:OFFSET(M166,-1,0),MATCH($A166,$A$15:OFFSET($A166,-1,0),0)))))</f>
        <v>7</v>
      </c>
      <c r="N166" s="177" t="str">
        <f ca="1">IF($D166&lt;&gt;"Serviço","",IF(AUTOEVENTO="Manual",IF($A166=0,"&lt;-- defina o número do agrupador",OFFSET(EVENTOS!$D$14,$A166,0)),OFFSET($F$15,$A166,0)))</f>
        <v>SANITÁRIO PÚBLICO ACESSÍVEL</v>
      </c>
      <c r="O166" s="178"/>
      <c r="Q166" s="178"/>
      <c r="R166" s="179"/>
      <c r="S166" s="179"/>
      <c r="T166" s="179"/>
      <c r="U166" s="179"/>
      <c r="V166" s="179"/>
      <c r="W166" s="179"/>
      <c r="X166" s="179"/>
      <c r="Y166" s="179"/>
      <c r="Z166" s="180"/>
      <c r="AB166" s="544">
        <f ca="1">IF(AND($D166="Serviço",AB$12&lt;&gt;0,$H166&gt;0,OR(AUTOEVENTO&lt;&gt;"manual",$M166&lt;&gt;1)),
IF(Import.TipoArredondamento&lt;&gt;"TransfereGOV",
ROUND(OFFSET($P166,0,AB$13),15-13*ORÇAMENTO!$AF$7)/$H166*OFFSET(ORÇAMENTO!$X$15,ROW(AB166)-ROW(AB$15),0),
ROUND(ROUND(OFFSET($P166,0,AB$13),15-13*ORÇAMENTO!$AF$7)*OFFSET(ORÇAMENTO!$W$15,ROW(AB166)-ROW(AB$15),0),15-13*ORÇAMENTO!$AF$11)),0)</f>
        <v>0</v>
      </c>
      <c r="AC166" s="545">
        <f ca="1">IF(AND($D166="Serviço",AC$12&lt;&gt;0,$H166&gt;0,OR(AUTOEVENTO&lt;&gt;"manual",$M166&lt;&gt;1)),
IF(Import.TipoArredondamento&lt;&gt;"TransfereGOV",
ROUND(OFFSET($P166,0,AC$13),15-13*ORÇAMENTO!$AF$7)/$H166*OFFSET(ORÇAMENTO!$X$15,ROW(AC166)-ROW(AC$15),0),
ROUND(ROUND(OFFSET($P166,0,AC$13),15-13*ORÇAMENTO!$AF$7)*OFFSET(ORÇAMENTO!$W$15,ROW(AC166)-ROW(AC$15),0),15-13*ORÇAMENTO!$AF$11)),0)</f>
        <v>0</v>
      </c>
      <c r="AD166" s="545">
        <f ca="1">IF(AND($D166="Serviço",AD$12&lt;&gt;0,$H166&gt;0,OR(AUTOEVENTO&lt;&gt;"manual",$M166&lt;&gt;1)),
IF(Import.TipoArredondamento&lt;&gt;"TransfereGOV",
ROUND(OFFSET($P166,0,AD$13),15-13*ORÇAMENTO!$AF$7)/$H166*OFFSET(ORÇAMENTO!$X$15,ROW(AD166)-ROW(AD$15),0),
ROUND(ROUND(OFFSET($P166,0,AD$13),15-13*ORÇAMENTO!$AF$7)*OFFSET(ORÇAMENTO!$W$15,ROW(AD166)-ROW(AD$15),0),15-13*ORÇAMENTO!$AF$11)),0)</f>
        <v>0</v>
      </c>
      <c r="AE166" s="545">
        <f ca="1">IF(AND($D166="Serviço",AE$12&lt;&gt;0,$H166&gt;0,OR(AUTOEVENTO&lt;&gt;"manual",$M166&lt;&gt;1)),
IF(Import.TipoArredondamento&lt;&gt;"TransfereGOV",
ROUND(OFFSET($P166,0,AE$13),15-13*ORÇAMENTO!$AF$7)/$H166*OFFSET(ORÇAMENTO!$X$15,ROW(AE166)-ROW(AE$15),0),
ROUND(ROUND(OFFSET($P166,0,AE$13),15-13*ORÇAMENTO!$AF$7)*OFFSET(ORÇAMENTO!$W$15,ROW(AE166)-ROW(AE$15),0),15-13*ORÇAMENTO!$AF$11)),0)</f>
        <v>0</v>
      </c>
      <c r="AF166" s="545">
        <f ca="1">IF(AND($D166="Serviço",AF$12&lt;&gt;0,$H166&gt;0,OR(AUTOEVENTO&lt;&gt;"manual",$M166&lt;&gt;1)),
IF(Import.TipoArredondamento&lt;&gt;"TransfereGOV",
ROUND(OFFSET($P166,0,AF$13),15-13*ORÇAMENTO!$AF$7)/$H166*OFFSET(ORÇAMENTO!$X$15,ROW(AF166)-ROW(AF$15),0),
ROUND(ROUND(OFFSET($P166,0,AF$13),15-13*ORÇAMENTO!$AF$7)*OFFSET(ORÇAMENTO!$W$15,ROW(AF166)-ROW(AF$15),0),15-13*ORÇAMENTO!$AF$11)),0)</f>
        <v>0</v>
      </c>
      <c r="AG166" s="545">
        <f ca="1">IF(AND($D166="Serviço",AG$12&lt;&gt;0,$H166&gt;0,OR(AUTOEVENTO&lt;&gt;"manual",$M166&lt;&gt;1)),
IF(Import.TipoArredondamento&lt;&gt;"TransfereGOV",
ROUND(OFFSET($P166,0,AG$13),15-13*ORÇAMENTO!$AF$7)/$H166*OFFSET(ORÇAMENTO!$X$15,ROW(AG166)-ROW(AG$15),0),
ROUND(ROUND(OFFSET($P166,0,AG$13),15-13*ORÇAMENTO!$AF$7)*OFFSET(ORÇAMENTO!$W$15,ROW(AG166)-ROW(AG$15),0),15-13*ORÇAMENTO!$AF$11)),0)</f>
        <v>0</v>
      </c>
      <c r="AH166" s="545">
        <f ca="1">IF(AND($D166="Serviço",AH$12&lt;&gt;0,$H166&gt;0,OR(AUTOEVENTO&lt;&gt;"manual",$M166&lt;&gt;1)),
IF(Import.TipoArredondamento&lt;&gt;"TransfereGOV",
ROUND(OFFSET($P166,0,AH$13),15-13*ORÇAMENTO!$AF$7)/$H166*OFFSET(ORÇAMENTO!$X$15,ROW(AH166)-ROW(AH$15),0),
ROUND(ROUND(OFFSET($P166,0,AH$13),15-13*ORÇAMENTO!$AF$7)*OFFSET(ORÇAMENTO!$W$15,ROW(AH166)-ROW(AH$15),0),15-13*ORÇAMENTO!$AF$11)),0)</f>
        <v>0</v>
      </c>
      <c r="AI166" s="545">
        <f ca="1">IF(AND($D166="Serviço",AI$12&lt;&gt;0,$H166&gt;0,OR(AUTOEVENTO&lt;&gt;"manual",$M166&lt;&gt;1)),
IF(Import.TipoArredondamento&lt;&gt;"TransfereGOV",
ROUND(OFFSET($P166,0,AI$13),15-13*ORÇAMENTO!$AF$7)/$H166*OFFSET(ORÇAMENTO!$X$15,ROW(AI166)-ROW(AI$15),0),
ROUND(ROUND(OFFSET($P166,0,AI$13),15-13*ORÇAMENTO!$AF$7)*OFFSET(ORÇAMENTO!$W$15,ROW(AI166)-ROW(AI$15),0),15-13*ORÇAMENTO!$AF$11)),0)</f>
        <v>0</v>
      </c>
      <c r="AJ166" s="545">
        <f ca="1">IF(AND($D166="Serviço",AJ$12&lt;&gt;0,$H166&gt;0,OR(AUTOEVENTO&lt;&gt;"manual",$M166&lt;&gt;1)),
IF(Import.TipoArredondamento&lt;&gt;"TransfereGOV",
ROUND(OFFSET($P166,0,AJ$13),15-13*ORÇAMENTO!$AF$7)/$H166*OFFSET(ORÇAMENTO!$X$15,ROW(AJ166)-ROW(AJ$15),0),
ROUND(ROUND(OFFSET($P166,0,AJ$13),15-13*ORÇAMENTO!$AF$7)*OFFSET(ORÇAMENTO!$W$15,ROW(AJ166)-ROW(AJ$15),0),15-13*ORÇAMENTO!$AF$11)),0)</f>
        <v>0</v>
      </c>
      <c r="AK166" s="546">
        <f ca="1">IF(AND($D166="Serviço",AK$12&lt;&gt;0,$H166&gt;0,OR(AUTOEVENTO&lt;&gt;"manual",$M166&lt;&gt;1)),
IF(Import.TipoArredondamento&lt;&gt;"TransfereGOV",
ROUND(OFFSET($P166,0,AK$13),15-13*ORÇAMENTO!$AF$7)/$H166*OFFSET(ORÇAMENTO!$X$15,ROW(AK166)-ROW(AK$15),0),
ROUND(ROUND(OFFSET($P166,0,AK$13),15-13*ORÇAMENTO!$AF$7)*OFFSET(ORÇAMENTO!$W$15,ROW(AK166)-ROW(AK$15),0),15-13*ORÇAMENTO!$AF$11)),0)</f>
        <v>0</v>
      </c>
      <c r="AM166" s="181">
        <f ca="1">IF($D166&lt;&gt;"Serviço",0,IF(AND(AUTOEVENTO="Manual",$M166=1),0,IF(OFFSET(CRONOPLE!$F$14,$M166,AM$13)="",10^12,OFFSET(CRONOPLE!$F$14,$M166,AM$13))))</f>
        <v>1000000000000</v>
      </c>
      <c r="AN166" s="181">
        <f ca="1">IF($D166&lt;&gt;"Serviço",0,IF(AND(AUTOEVENTO="Manual",$M166=1),0,IF(OFFSET(CRONOPLE!$F$14,$M166,AN$13)="",10^12,OFFSET(CRONOPLE!$F$14,$M166,AN$13))))</f>
        <v>1000000000000</v>
      </c>
      <c r="AO166" s="181">
        <f ca="1">IF($D166&lt;&gt;"Serviço",0,IF(AND(AUTOEVENTO="Manual",$M166=1),0,IF(OFFSET(CRONOPLE!$F$14,$M166,AO$13)="",10^12,OFFSET(CRONOPLE!$F$14,$M166,AO$13))))</f>
        <v>1000000000000</v>
      </c>
      <c r="AP166" s="181">
        <f ca="1">IF($D166&lt;&gt;"Serviço",0,IF(AND(AUTOEVENTO="Manual",$M166=1),0,IF(OFFSET(CRONOPLE!$F$14,$M166,AP$13)="",10^12,OFFSET(CRONOPLE!$F$14,$M166,AP$13))))</f>
        <v>1000000000000</v>
      </c>
      <c r="AQ166" s="181">
        <f ca="1">IF($D166&lt;&gt;"Serviço",0,IF(AND(AUTOEVENTO="Manual",$M166=1),0,IF(OFFSET(CRONOPLE!$F$14,$M166,AQ$13)="",10^12,OFFSET(CRONOPLE!$F$14,$M166,AQ$13))))</f>
        <v>1000000000000</v>
      </c>
      <c r="AR166" s="181">
        <f ca="1">IF($D166&lt;&gt;"Serviço",0,IF(AND(AUTOEVENTO="Manual",$M166=1),0,IF(OFFSET(CRONOPLE!$F$14,$M166,AR$13)="",10^12,OFFSET(CRONOPLE!$F$14,$M166,AR$13))))</f>
        <v>1000000000000</v>
      </c>
      <c r="AS166" s="181">
        <f ca="1">IF($D166&lt;&gt;"Serviço",0,IF(AND(AUTOEVENTO="Manual",$M166=1),0,IF(OFFSET(CRONOPLE!$F$14,$M166,AS$13)="",10^12,OFFSET(CRONOPLE!$F$14,$M166,AS$13))))</f>
        <v>1000000000000</v>
      </c>
      <c r="AT166" s="181">
        <f ca="1">IF($D166&lt;&gt;"Serviço",0,IF(AND(AUTOEVENTO="Manual",$M166=1),0,IF(OFFSET(CRONOPLE!$F$14,$M166,AT$13)="",10^12,OFFSET(CRONOPLE!$F$14,$M166,AT$13))))</f>
        <v>1000000000000</v>
      </c>
      <c r="AU166" s="181">
        <f ca="1">IF($D166&lt;&gt;"Serviço",0,IF(AND(AUTOEVENTO="Manual",$M166=1),0,IF(OFFSET(CRONOPLE!$F$14,$M166,AU$13)="",10^12,OFFSET(CRONOPLE!$F$14,$M166,AU$13))))</f>
        <v>1000000000000</v>
      </c>
      <c r="AV166" s="181">
        <f ca="1">IF($D166&lt;&gt;"Serviço",0,IF(AND(AUTOEVENTO="Manual",$M166=1),0,IF(OFFSET(CRONOPLE!$F$14,$M166,AV$13)="",10^12,OFFSET(CRONOPLE!$F$14,$M166,AV$13))))</f>
        <v>1000000000000</v>
      </c>
      <c r="AX166" s="182">
        <f ca="1">IF($D166&lt;&gt;"Serviço",0,IF(OR(AND(AUTOEVENTO="Manual",$M166=1),$M166&gt;(ROW(PLE.lastrow)-ROW(PLE.firstrow))),0,IF(OFFSET(PLE!$G$14,$M166,AX$13)="",10^12,OFFSET(PLE!$G$14,$M166,AX$13))))</f>
        <v>1000000000000</v>
      </c>
      <c r="AY166" s="182">
        <f ca="1">IF($D166&lt;&gt;"Serviço",0,IF(OR(AND(AUTOEVENTO="Manual",$M166=1),$M166&gt;(ROW(PLE.lastrow)-ROW(PLE.firstrow))),0,IF(OFFSET(PLE!$G$14,$M166,AY$13)="",10^12,OFFSET(PLE!$G$14,$M166,AY$13))))</f>
        <v>1000000000000</v>
      </c>
      <c r="AZ166" s="182">
        <f ca="1">IF($D166&lt;&gt;"Serviço",0,IF(OR(AND(AUTOEVENTO="Manual",$M166=1),$M166&gt;(ROW(PLE.lastrow)-ROW(PLE.firstrow))),0,IF(OFFSET(PLE!$G$14,$M166,AZ$13)="",10^12,OFFSET(PLE!$G$14,$M166,AZ$13))))</f>
        <v>1000000000000</v>
      </c>
      <c r="BA166" s="182">
        <f ca="1">IF($D166&lt;&gt;"Serviço",0,IF(OR(AND(AUTOEVENTO="Manual",$M166=1),$M166&gt;(ROW(PLE.lastrow)-ROW(PLE.firstrow))),0,IF(OFFSET(PLE!$G$14,$M166,BA$13)="",10^12,OFFSET(PLE!$G$14,$M166,BA$13))))</f>
        <v>1000000000000</v>
      </c>
      <c r="BB166" s="182">
        <f ca="1">IF($D166&lt;&gt;"Serviço",0,IF(OR(AND(AUTOEVENTO="Manual",$M166=1),$M166&gt;(ROW(PLE.lastrow)-ROW(PLE.firstrow))),0,IF(OFFSET(PLE!$G$14,$M166,BB$13)="",10^12,OFFSET(PLE!$G$14,$M166,BB$13))))</f>
        <v>1000000000000</v>
      </c>
      <c r="BC166" s="182">
        <f ca="1">IF($D166&lt;&gt;"Serviço",0,IF(OR(AND(AUTOEVENTO="Manual",$M166=1),$M166&gt;(ROW(PLE.lastrow)-ROW(PLE.firstrow))),0,IF(OFFSET(PLE!$G$14,$M166,BC$13)="",10^12,OFFSET(PLE!$G$14,$M166,BC$13))))</f>
        <v>1000000000000</v>
      </c>
      <c r="BD166" s="182">
        <f ca="1">IF($D166&lt;&gt;"Serviço",0,IF(OR(AND(AUTOEVENTO="Manual",$M166=1),$M166&gt;(ROW(PLE.lastrow)-ROW(PLE.firstrow))),0,IF(OFFSET(PLE!$G$14,$M166,BD$13)="",10^12,OFFSET(PLE!$G$14,$M166,BD$13))))</f>
        <v>1000000000000</v>
      </c>
      <c r="BE166" s="182">
        <f ca="1">IF($D166&lt;&gt;"Serviço",0,IF(OR(AND(AUTOEVENTO="Manual",$M166=1),$M166&gt;(ROW(PLE.lastrow)-ROW(PLE.firstrow))),0,IF(OFFSET(PLE!$G$14,$M166,BE$13)="",10^12,OFFSET(PLE!$G$14,$M166,BE$13))))</f>
        <v>1000000000000</v>
      </c>
      <c r="BF166" s="182">
        <f ca="1">IF($D166&lt;&gt;"Serviço",0,IF(OR(AND(AUTOEVENTO="Manual",$M166=1),$M166&gt;(ROW(PLE.lastrow)-ROW(PLE.firstrow))),0,IF(OFFSET(PLE!$G$14,$M166,BF$13)="",10^12,OFFSET(PLE!$G$14,$M166,BF$13))))</f>
        <v>1000000000000</v>
      </c>
      <c r="BG166" s="182">
        <f ca="1">IF($D166&lt;&gt;"Serviço",0,IF(OR(AND(AUTOEVENTO="Manual",$M166=1),$M166&gt;(ROW(PLE.lastrow)-ROW(PLE.firstrow))),0,IF(OFFSET(PLE!$G$14,$M166,BG$13)="",10^12,OFFSET(PLE!$G$14,$M166,BG$13))))</f>
        <v>1000000000000</v>
      </c>
    </row>
    <row r="167" spans="1:59" ht="38.25" x14ac:dyDescent="0.2">
      <c r="A167" s="7" t="str">
        <f ca="1">IF(AUTOEVENTO="Manual",IF(K167&lt;&gt;"",MIN(VALUE(LEFT(K167,FIND(".",K167)-1)),COUNTA(EVENTOS.Lista)),0),IF(OR($B167&gt;AUTOEVENTO,$B167="S",$B167=0),SUBSTITUTE(OFFSET($A167,-1,0),IF($D167="Serviço",".",""),""),ROW(A167)-ROW($A$15)&amp;"."))</f>
        <v>71</v>
      </c>
      <c r="B167" s="7" t="str">
        <f ca="1">OFFSET(ORÇAMENTO!C$15,ROW(B167)-ROW(B$15),0)</f>
        <v>S</v>
      </c>
      <c r="C167" s="7" t="str">
        <f ca="1">OFFSET(ORÇAMENTO!L$15,ROW(C167)-ROW(C$15),0)</f>
        <v>F</v>
      </c>
      <c r="D167" s="118" t="str">
        <f ca="1">OFFSET(ORÇAMENTO!N$15,ROW(D167)-ROW(D$15),0)</f>
        <v>Serviço</v>
      </c>
      <c r="E167" s="119" t="str">
        <f ca="1">OFFSET(ORÇAMENTO!O$15,ROW(E167)-ROW(E$15),0)</f>
        <v>1.6.16.11.</v>
      </c>
      <c r="F167" s="172" t="str">
        <f ca="1">OFFSET(ORÇAMENTO!R$15,ROW(F167)-ROW(F$15),0)</f>
        <v>(abra o arquivo 'Referência 03-2024.xlsm)</v>
      </c>
      <c r="G167" s="173" t="str">
        <f ca="1">IF($D167&lt;&gt;"Serviço","",OFFSET(ORÇAMENTO!S$15,ROW(G167)-ROW(G$15),0))</f>
        <v>-</v>
      </c>
      <c r="H167" s="124">
        <f ca="1">IF($D167&lt;&gt;"Serviço",0,IF(ACOMPANHAMENTO="BM",ROUND(OFFSET(ORÇAMENTO!AJ$15,ROW(H167)-ROW(H$15),0),15-13*ORÇAMENTO!$AF$7),SUMPRODUCT(($Q$12:$AA$12&lt;&gt;"")*ROUND($Q167:$AA167,15-13*ORÇAMENTO!$AF$7))))</f>
        <v>2</v>
      </c>
      <c r="I167" s="561"/>
      <c r="K167" s="174"/>
      <c r="L167" s="175" t="s">
        <v>255</v>
      </c>
      <c r="M167" s="176">
        <f ca="1">IF($D167&lt;&gt;"Serviço","",IF(AUTOEVENTO="manual",$A167,IF(ISERROR(MATCH($A167,$A$15:OFFSET($A167,-1,0),0)),MAX($M$15:OFFSET(M167,-1,0))+1,INDEX($M$15:OFFSET(M167,-1,0),MATCH($A167,$A$15:OFFSET($A167,-1,0),0)))))</f>
        <v>7</v>
      </c>
      <c r="N167" s="177" t="str">
        <f ca="1">IF($D167&lt;&gt;"Serviço","",IF(AUTOEVENTO="Manual",IF($A167=0,"&lt;-- defina o número do agrupador",OFFSET(EVENTOS!$D$14,$A167,0)),OFFSET($F$15,$A167,0)))</f>
        <v>SANITÁRIO PÚBLICO ACESSÍVEL</v>
      </c>
      <c r="O167" s="178"/>
      <c r="Q167" s="178"/>
      <c r="R167" s="179"/>
      <c r="S167" s="179"/>
      <c r="T167" s="179"/>
      <c r="U167" s="179"/>
      <c r="V167" s="179"/>
      <c r="W167" s="179"/>
      <c r="X167" s="179"/>
      <c r="Y167" s="179"/>
      <c r="Z167" s="180"/>
      <c r="AB167" s="544">
        <f ca="1">IF(AND($D167="Serviço",AB$12&lt;&gt;0,$H167&gt;0,OR(AUTOEVENTO&lt;&gt;"manual",$M167&lt;&gt;1)),
IF(Import.TipoArredondamento&lt;&gt;"TransfereGOV",
ROUND(OFFSET($P167,0,AB$13),15-13*ORÇAMENTO!$AF$7)/$H167*OFFSET(ORÇAMENTO!$X$15,ROW(AB167)-ROW(AB$15),0),
ROUND(ROUND(OFFSET($P167,0,AB$13),15-13*ORÇAMENTO!$AF$7)*OFFSET(ORÇAMENTO!$W$15,ROW(AB167)-ROW(AB$15),0),15-13*ORÇAMENTO!$AF$11)),0)</f>
        <v>0</v>
      </c>
      <c r="AC167" s="545">
        <f ca="1">IF(AND($D167="Serviço",AC$12&lt;&gt;0,$H167&gt;0,OR(AUTOEVENTO&lt;&gt;"manual",$M167&lt;&gt;1)),
IF(Import.TipoArredondamento&lt;&gt;"TransfereGOV",
ROUND(OFFSET($P167,0,AC$13),15-13*ORÇAMENTO!$AF$7)/$H167*OFFSET(ORÇAMENTO!$X$15,ROW(AC167)-ROW(AC$15),0),
ROUND(ROUND(OFFSET($P167,0,AC$13),15-13*ORÇAMENTO!$AF$7)*OFFSET(ORÇAMENTO!$W$15,ROW(AC167)-ROW(AC$15),0),15-13*ORÇAMENTO!$AF$11)),0)</f>
        <v>0</v>
      </c>
      <c r="AD167" s="545">
        <f ca="1">IF(AND($D167="Serviço",AD$12&lt;&gt;0,$H167&gt;0,OR(AUTOEVENTO&lt;&gt;"manual",$M167&lt;&gt;1)),
IF(Import.TipoArredondamento&lt;&gt;"TransfereGOV",
ROUND(OFFSET($P167,0,AD$13),15-13*ORÇAMENTO!$AF$7)/$H167*OFFSET(ORÇAMENTO!$X$15,ROW(AD167)-ROW(AD$15),0),
ROUND(ROUND(OFFSET($P167,0,AD$13),15-13*ORÇAMENTO!$AF$7)*OFFSET(ORÇAMENTO!$W$15,ROW(AD167)-ROW(AD$15),0),15-13*ORÇAMENTO!$AF$11)),0)</f>
        <v>0</v>
      </c>
      <c r="AE167" s="545">
        <f ca="1">IF(AND($D167="Serviço",AE$12&lt;&gt;0,$H167&gt;0,OR(AUTOEVENTO&lt;&gt;"manual",$M167&lt;&gt;1)),
IF(Import.TipoArredondamento&lt;&gt;"TransfereGOV",
ROUND(OFFSET($P167,0,AE$13),15-13*ORÇAMENTO!$AF$7)/$H167*OFFSET(ORÇAMENTO!$X$15,ROW(AE167)-ROW(AE$15),0),
ROUND(ROUND(OFFSET($P167,0,AE$13),15-13*ORÇAMENTO!$AF$7)*OFFSET(ORÇAMENTO!$W$15,ROW(AE167)-ROW(AE$15),0),15-13*ORÇAMENTO!$AF$11)),0)</f>
        <v>0</v>
      </c>
      <c r="AF167" s="545">
        <f ca="1">IF(AND($D167="Serviço",AF$12&lt;&gt;0,$H167&gt;0,OR(AUTOEVENTO&lt;&gt;"manual",$M167&lt;&gt;1)),
IF(Import.TipoArredondamento&lt;&gt;"TransfereGOV",
ROUND(OFFSET($P167,0,AF$13),15-13*ORÇAMENTO!$AF$7)/$H167*OFFSET(ORÇAMENTO!$X$15,ROW(AF167)-ROW(AF$15),0),
ROUND(ROUND(OFFSET($P167,0,AF$13),15-13*ORÇAMENTO!$AF$7)*OFFSET(ORÇAMENTO!$W$15,ROW(AF167)-ROW(AF$15),0),15-13*ORÇAMENTO!$AF$11)),0)</f>
        <v>0</v>
      </c>
      <c r="AG167" s="545">
        <f ca="1">IF(AND($D167="Serviço",AG$12&lt;&gt;0,$H167&gt;0,OR(AUTOEVENTO&lt;&gt;"manual",$M167&lt;&gt;1)),
IF(Import.TipoArredondamento&lt;&gt;"TransfereGOV",
ROUND(OFFSET($P167,0,AG$13),15-13*ORÇAMENTO!$AF$7)/$H167*OFFSET(ORÇAMENTO!$X$15,ROW(AG167)-ROW(AG$15),0),
ROUND(ROUND(OFFSET($P167,0,AG$13),15-13*ORÇAMENTO!$AF$7)*OFFSET(ORÇAMENTO!$W$15,ROW(AG167)-ROW(AG$15),0),15-13*ORÇAMENTO!$AF$11)),0)</f>
        <v>0</v>
      </c>
      <c r="AH167" s="545">
        <f ca="1">IF(AND($D167="Serviço",AH$12&lt;&gt;0,$H167&gt;0,OR(AUTOEVENTO&lt;&gt;"manual",$M167&lt;&gt;1)),
IF(Import.TipoArredondamento&lt;&gt;"TransfereGOV",
ROUND(OFFSET($P167,0,AH$13),15-13*ORÇAMENTO!$AF$7)/$H167*OFFSET(ORÇAMENTO!$X$15,ROW(AH167)-ROW(AH$15),0),
ROUND(ROUND(OFFSET($P167,0,AH$13),15-13*ORÇAMENTO!$AF$7)*OFFSET(ORÇAMENTO!$W$15,ROW(AH167)-ROW(AH$15),0),15-13*ORÇAMENTO!$AF$11)),0)</f>
        <v>0</v>
      </c>
      <c r="AI167" s="545">
        <f ca="1">IF(AND($D167="Serviço",AI$12&lt;&gt;0,$H167&gt;0,OR(AUTOEVENTO&lt;&gt;"manual",$M167&lt;&gt;1)),
IF(Import.TipoArredondamento&lt;&gt;"TransfereGOV",
ROUND(OFFSET($P167,0,AI$13),15-13*ORÇAMENTO!$AF$7)/$H167*OFFSET(ORÇAMENTO!$X$15,ROW(AI167)-ROW(AI$15),0),
ROUND(ROUND(OFFSET($P167,0,AI$13),15-13*ORÇAMENTO!$AF$7)*OFFSET(ORÇAMENTO!$W$15,ROW(AI167)-ROW(AI$15),0),15-13*ORÇAMENTO!$AF$11)),0)</f>
        <v>0</v>
      </c>
      <c r="AJ167" s="545">
        <f ca="1">IF(AND($D167="Serviço",AJ$12&lt;&gt;0,$H167&gt;0,OR(AUTOEVENTO&lt;&gt;"manual",$M167&lt;&gt;1)),
IF(Import.TipoArredondamento&lt;&gt;"TransfereGOV",
ROUND(OFFSET($P167,0,AJ$13),15-13*ORÇAMENTO!$AF$7)/$H167*OFFSET(ORÇAMENTO!$X$15,ROW(AJ167)-ROW(AJ$15),0),
ROUND(ROUND(OFFSET($P167,0,AJ$13),15-13*ORÇAMENTO!$AF$7)*OFFSET(ORÇAMENTO!$W$15,ROW(AJ167)-ROW(AJ$15),0),15-13*ORÇAMENTO!$AF$11)),0)</f>
        <v>0</v>
      </c>
      <c r="AK167" s="546">
        <f ca="1">IF(AND($D167="Serviço",AK$12&lt;&gt;0,$H167&gt;0,OR(AUTOEVENTO&lt;&gt;"manual",$M167&lt;&gt;1)),
IF(Import.TipoArredondamento&lt;&gt;"TransfereGOV",
ROUND(OFFSET($P167,0,AK$13),15-13*ORÇAMENTO!$AF$7)/$H167*OFFSET(ORÇAMENTO!$X$15,ROW(AK167)-ROW(AK$15),0),
ROUND(ROUND(OFFSET($P167,0,AK$13),15-13*ORÇAMENTO!$AF$7)*OFFSET(ORÇAMENTO!$W$15,ROW(AK167)-ROW(AK$15),0),15-13*ORÇAMENTO!$AF$11)),0)</f>
        <v>0</v>
      </c>
      <c r="AM167" s="181">
        <f ca="1">IF($D167&lt;&gt;"Serviço",0,IF(AND(AUTOEVENTO="Manual",$M167=1),0,IF(OFFSET(CRONOPLE!$F$14,$M167,AM$13)="",10^12,OFFSET(CRONOPLE!$F$14,$M167,AM$13))))</f>
        <v>1000000000000</v>
      </c>
      <c r="AN167" s="181">
        <f ca="1">IF($D167&lt;&gt;"Serviço",0,IF(AND(AUTOEVENTO="Manual",$M167=1),0,IF(OFFSET(CRONOPLE!$F$14,$M167,AN$13)="",10^12,OFFSET(CRONOPLE!$F$14,$M167,AN$13))))</f>
        <v>1000000000000</v>
      </c>
      <c r="AO167" s="181">
        <f ca="1">IF($D167&lt;&gt;"Serviço",0,IF(AND(AUTOEVENTO="Manual",$M167=1),0,IF(OFFSET(CRONOPLE!$F$14,$M167,AO$13)="",10^12,OFFSET(CRONOPLE!$F$14,$M167,AO$13))))</f>
        <v>1000000000000</v>
      </c>
      <c r="AP167" s="181">
        <f ca="1">IF($D167&lt;&gt;"Serviço",0,IF(AND(AUTOEVENTO="Manual",$M167=1),0,IF(OFFSET(CRONOPLE!$F$14,$M167,AP$13)="",10^12,OFFSET(CRONOPLE!$F$14,$M167,AP$13))))</f>
        <v>1000000000000</v>
      </c>
      <c r="AQ167" s="181">
        <f ca="1">IF($D167&lt;&gt;"Serviço",0,IF(AND(AUTOEVENTO="Manual",$M167=1),0,IF(OFFSET(CRONOPLE!$F$14,$M167,AQ$13)="",10^12,OFFSET(CRONOPLE!$F$14,$M167,AQ$13))))</f>
        <v>1000000000000</v>
      </c>
      <c r="AR167" s="181">
        <f ca="1">IF($D167&lt;&gt;"Serviço",0,IF(AND(AUTOEVENTO="Manual",$M167=1),0,IF(OFFSET(CRONOPLE!$F$14,$M167,AR$13)="",10^12,OFFSET(CRONOPLE!$F$14,$M167,AR$13))))</f>
        <v>1000000000000</v>
      </c>
      <c r="AS167" s="181">
        <f ca="1">IF($D167&lt;&gt;"Serviço",0,IF(AND(AUTOEVENTO="Manual",$M167=1),0,IF(OFFSET(CRONOPLE!$F$14,$M167,AS$13)="",10^12,OFFSET(CRONOPLE!$F$14,$M167,AS$13))))</f>
        <v>1000000000000</v>
      </c>
      <c r="AT167" s="181">
        <f ca="1">IF($D167&lt;&gt;"Serviço",0,IF(AND(AUTOEVENTO="Manual",$M167=1),0,IF(OFFSET(CRONOPLE!$F$14,$M167,AT$13)="",10^12,OFFSET(CRONOPLE!$F$14,$M167,AT$13))))</f>
        <v>1000000000000</v>
      </c>
      <c r="AU167" s="181">
        <f ca="1">IF($D167&lt;&gt;"Serviço",0,IF(AND(AUTOEVENTO="Manual",$M167=1),0,IF(OFFSET(CRONOPLE!$F$14,$M167,AU$13)="",10^12,OFFSET(CRONOPLE!$F$14,$M167,AU$13))))</f>
        <v>1000000000000</v>
      </c>
      <c r="AV167" s="181">
        <f ca="1">IF($D167&lt;&gt;"Serviço",0,IF(AND(AUTOEVENTO="Manual",$M167=1),0,IF(OFFSET(CRONOPLE!$F$14,$M167,AV$13)="",10^12,OFFSET(CRONOPLE!$F$14,$M167,AV$13))))</f>
        <v>1000000000000</v>
      </c>
      <c r="AX167" s="182">
        <f ca="1">IF($D167&lt;&gt;"Serviço",0,IF(OR(AND(AUTOEVENTO="Manual",$M167=1),$M167&gt;(ROW(PLE.lastrow)-ROW(PLE.firstrow))),0,IF(OFFSET(PLE!$G$14,$M167,AX$13)="",10^12,OFFSET(PLE!$G$14,$M167,AX$13))))</f>
        <v>1000000000000</v>
      </c>
      <c r="AY167" s="182">
        <f ca="1">IF($D167&lt;&gt;"Serviço",0,IF(OR(AND(AUTOEVENTO="Manual",$M167=1),$M167&gt;(ROW(PLE.lastrow)-ROW(PLE.firstrow))),0,IF(OFFSET(PLE!$G$14,$M167,AY$13)="",10^12,OFFSET(PLE!$G$14,$M167,AY$13))))</f>
        <v>1000000000000</v>
      </c>
      <c r="AZ167" s="182">
        <f ca="1">IF($D167&lt;&gt;"Serviço",0,IF(OR(AND(AUTOEVENTO="Manual",$M167=1),$M167&gt;(ROW(PLE.lastrow)-ROW(PLE.firstrow))),0,IF(OFFSET(PLE!$G$14,$M167,AZ$13)="",10^12,OFFSET(PLE!$G$14,$M167,AZ$13))))</f>
        <v>1000000000000</v>
      </c>
      <c r="BA167" s="182">
        <f ca="1">IF($D167&lt;&gt;"Serviço",0,IF(OR(AND(AUTOEVENTO="Manual",$M167=1),$M167&gt;(ROW(PLE.lastrow)-ROW(PLE.firstrow))),0,IF(OFFSET(PLE!$G$14,$M167,BA$13)="",10^12,OFFSET(PLE!$G$14,$M167,BA$13))))</f>
        <v>1000000000000</v>
      </c>
      <c r="BB167" s="182">
        <f ca="1">IF($D167&lt;&gt;"Serviço",0,IF(OR(AND(AUTOEVENTO="Manual",$M167=1),$M167&gt;(ROW(PLE.lastrow)-ROW(PLE.firstrow))),0,IF(OFFSET(PLE!$G$14,$M167,BB$13)="",10^12,OFFSET(PLE!$G$14,$M167,BB$13))))</f>
        <v>1000000000000</v>
      </c>
      <c r="BC167" s="182">
        <f ca="1">IF($D167&lt;&gt;"Serviço",0,IF(OR(AND(AUTOEVENTO="Manual",$M167=1),$M167&gt;(ROW(PLE.lastrow)-ROW(PLE.firstrow))),0,IF(OFFSET(PLE!$G$14,$M167,BC$13)="",10^12,OFFSET(PLE!$G$14,$M167,BC$13))))</f>
        <v>1000000000000</v>
      </c>
      <c r="BD167" s="182">
        <f ca="1">IF($D167&lt;&gt;"Serviço",0,IF(OR(AND(AUTOEVENTO="Manual",$M167=1),$M167&gt;(ROW(PLE.lastrow)-ROW(PLE.firstrow))),0,IF(OFFSET(PLE!$G$14,$M167,BD$13)="",10^12,OFFSET(PLE!$G$14,$M167,BD$13))))</f>
        <v>1000000000000</v>
      </c>
      <c r="BE167" s="182">
        <f ca="1">IF($D167&lt;&gt;"Serviço",0,IF(OR(AND(AUTOEVENTO="Manual",$M167=1),$M167&gt;(ROW(PLE.lastrow)-ROW(PLE.firstrow))),0,IF(OFFSET(PLE!$G$14,$M167,BE$13)="",10^12,OFFSET(PLE!$G$14,$M167,BE$13))))</f>
        <v>1000000000000</v>
      </c>
      <c r="BF167" s="182">
        <f ca="1">IF($D167&lt;&gt;"Serviço",0,IF(OR(AND(AUTOEVENTO="Manual",$M167=1),$M167&gt;(ROW(PLE.lastrow)-ROW(PLE.firstrow))),0,IF(OFFSET(PLE!$G$14,$M167,BF$13)="",10^12,OFFSET(PLE!$G$14,$M167,BF$13))))</f>
        <v>1000000000000</v>
      </c>
      <c r="BG167" s="182">
        <f ca="1">IF($D167&lt;&gt;"Serviço",0,IF(OR(AND(AUTOEVENTO="Manual",$M167=1),$M167&gt;(ROW(PLE.lastrow)-ROW(PLE.firstrow))),0,IF(OFFSET(PLE!$G$14,$M167,BG$13)="",10^12,OFFSET(PLE!$G$14,$M167,BG$13))))</f>
        <v>1000000000000</v>
      </c>
    </row>
    <row r="168" spans="1:59" ht="38.25" x14ac:dyDescent="0.2">
      <c r="A168" s="7" t="str">
        <f t="shared" ca="1" si="10"/>
        <v>71</v>
      </c>
      <c r="B168" s="7" t="str">
        <f ca="1">OFFSET(ORÇAMENTO!C$15,ROW(B168)-ROW(B$15),0)</f>
        <v>S</v>
      </c>
      <c r="C168" s="7" t="str">
        <f ca="1">OFFSET(ORÇAMENTO!L$15,ROW(C168)-ROW(C$15),0)</f>
        <v>F</v>
      </c>
      <c r="D168" s="118" t="str">
        <f ca="1">OFFSET(ORÇAMENTO!N$15,ROW(D168)-ROW(D$15),0)</f>
        <v>Serviço</v>
      </c>
      <c r="E168" s="119" t="str">
        <f ca="1">OFFSET(ORÇAMENTO!O$15,ROW(E168)-ROW(E$15),0)</f>
        <v>1.6.16.12.</v>
      </c>
      <c r="F168" s="172" t="str">
        <f ca="1">OFFSET(ORÇAMENTO!R$15,ROW(F168)-ROW(F$15),0)</f>
        <v>(abra o arquivo 'Referência 03-2024.xlsm)</v>
      </c>
      <c r="G168" s="173" t="str">
        <f ca="1">IF($D168&lt;&gt;"Serviço","",OFFSET(ORÇAMENTO!S$15,ROW(G168)-ROW(G$15),0))</f>
        <v>-</v>
      </c>
      <c r="H168" s="124">
        <f ca="1">IF($D168&lt;&gt;"Serviço",0,IF(ACOMPANHAMENTO="BM",ROUND(OFFSET(ORÇAMENTO!AJ$15,ROW(H168)-ROW(H$15),0),15-13*ORÇAMENTO!$AF$7),SUMPRODUCT(($Q$12:$AA$12&lt;&gt;"")*ROUND($Q168:$AA168,15-13*ORÇAMENTO!$AF$7))))</f>
        <v>12</v>
      </c>
      <c r="I168" s="561"/>
      <c r="K168" s="174"/>
      <c r="L168" s="175" t="s">
        <v>255</v>
      </c>
      <c r="M168" s="176">
        <f ca="1">IF($D168&lt;&gt;"Serviço","",IF(AUTOEVENTO="manual",$A168,IF(ISERROR(MATCH($A168,$A$15:OFFSET($A168,-1,0),0)),MAX($M$15:OFFSET(M168,-1,0))+1,INDEX($M$15:OFFSET(M168,-1,0),MATCH($A168,$A$15:OFFSET($A168,-1,0),0)))))</f>
        <v>7</v>
      </c>
      <c r="N168" s="177" t="str">
        <f ca="1">IF($D168&lt;&gt;"Serviço","",IF(AUTOEVENTO="Manual",IF($A168=0,"&lt;-- defina o número do agrupador",OFFSET(EVENTOS!$D$14,$A168,0)),OFFSET($F$15,$A168,0)))</f>
        <v>SANITÁRIO PÚBLICO ACESSÍVEL</v>
      </c>
      <c r="O168" s="178"/>
      <c r="Q168" s="178"/>
      <c r="R168" s="179"/>
      <c r="S168" s="179"/>
      <c r="T168" s="179"/>
      <c r="U168" s="179"/>
      <c r="V168" s="179"/>
      <c r="W168" s="179"/>
      <c r="X168" s="179"/>
      <c r="Y168" s="179"/>
      <c r="Z168" s="180"/>
      <c r="AB168" s="544">
        <f ca="1">IF(AND($D168="Serviço",AB$12&lt;&gt;0,$H168&gt;0,OR(AUTOEVENTO&lt;&gt;"manual",$M168&lt;&gt;1)),
IF(Import.TipoArredondamento&lt;&gt;"TransfereGOV",
ROUND(OFFSET($P168,0,AB$13),15-13*ORÇAMENTO!$AF$7)/$H168*OFFSET(ORÇAMENTO!$X$15,ROW(AB168)-ROW(AB$15),0),
ROUND(ROUND(OFFSET($P168,0,AB$13),15-13*ORÇAMENTO!$AF$7)*OFFSET(ORÇAMENTO!$W$15,ROW(AB168)-ROW(AB$15),0),15-13*ORÇAMENTO!$AF$11)),0)</f>
        <v>0</v>
      </c>
      <c r="AC168" s="545">
        <f ca="1">IF(AND($D168="Serviço",AC$12&lt;&gt;0,$H168&gt;0,OR(AUTOEVENTO&lt;&gt;"manual",$M168&lt;&gt;1)),
IF(Import.TipoArredondamento&lt;&gt;"TransfereGOV",
ROUND(OFFSET($P168,0,AC$13),15-13*ORÇAMENTO!$AF$7)/$H168*OFFSET(ORÇAMENTO!$X$15,ROW(AC168)-ROW(AC$15),0),
ROUND(ROUND(OFFSET($P168,0,AC$13),15-13*ORÇAMENTO!$AF$7)*OFFSET(ORÇAMENTO!$W$15,ROW(AC168)-ROW(AC$15),0),15-13*ORÇAMENTO!$AF$11)),0)</f>
        <v>0</v>
      </c>
      <c r="AD168" s="545">
        <f ca="1">IF(AND($D168="Serviço",AD$12&lt;&gt;0,$H168&gt;0,OR(AUTOEVENTO&lt;&gt;"manual",$M168&lt;&gt;1)),
IF(Import.TipoArredondamento&lt;&gt;"TransfereGOV",
ROUND(OFFSET($P168,0,AD$13),15-13*ORÇAMENTO!$AF$7)/$H168*OFFSET(ORÇAMENTO!$X$15,ROW(AD168)-ROW(AD$15),0),
ROUND(ROUND(OFFSET($P168,0,AD$13),15-13*ORÇAMENTO!$AF$7)*OFFSET(ORÇAMENTO!$W$15,ROW(AD168)-ROW(AD$15),0),15-13*ORÇAMENTO!$AF$11)),0)</f>
        <v>0</v>
      </c>
      <c r="AE168" s="545">
        <f ca="1">IF(AND($D168="Serviço",AE$12&lt;&gt;0,$H168&gt;0,OR(AUTOEVENTO&lt;&gt;"manual",$M168&lt;&gt;1)),
IF(Import.TipoArredondamento&lt;&gt;"TransfereGOV",
ROUND(OFFSET($P168,0,AE$13),15-13*ORÇAMENTO!$AF$7)/$H168*OFFSET(ORÇAMENTO!$X$15,ROW(AE168)-ROW(AE$15),0),
ROUND(ROUND(OFFSET($P168,0,AE$13),15-13*ORÇAMENTO!$AF$7)*OFFSET(ORÇAMENTO!$W$15,ROW(AE168)-ROW(AE$15),0),15-13*ORÇAMENTO!$AF$11)),0)</f>
        <v>0</v>
      </c>
      <c r="AF168" s="545">
        <f ca="1">IF(AND($D168="Serviço",AF$12&lt;&gt;0,$H168&gt;0,OR(AUTOEVENTO&lt;&gt;"manual",$M168&lt;&gt;1)),
IF(Import.TipoArredondamento&lt;&gt;"TransfereGOV",
ROUND(OFFSET($P168,0,AF$13),15-13*ORÇAMENTO!$AF$7)/$H168*OFFSET(ORÇAMENTO!$X$15,ROW(AF168)-ROW(AF$15),0),
ROUND(ROUND(OFFSET($P168,0,AF$13),15-13*ORÇAMENTO!$AF$7)*OFFSET(ORÇAMENTO!$W$15,ROW(AF168)-ROW(AF$15),0),15-13*ORÇAMENTO!$AF$11)),0)</f>
        <v>0</v>
      </c>
      <c r="AG168" s="545">
        <f ca="1">IF(AND($D168="Serviço",AG$12&lt;&gt;0,$H168&gt;0,OR(AUTOEVENTO&lt;&gt;"manual",$M168&lt;&gt;1)),
IF(Import.TipoArredondamento&lt;&gt;"TransfereGOV",
ROUND(OFFSET($P168,0,AG$13),15-13*ORÇAMENTO!$AF$7)/$H168*OFFSET(ORÇAMENTO!$X$15,ROW(AG168)-ROW(AG$15),0),
ROUND(ROUND(OFFSET($P168,0,AG$13),15-13*ORÇAMENTO!$AF$7)*OFFSET(ORÇAMENTO!$W$15,ROW(AG168)-ROW(AG$15),0),15-13*ORÇAMENTO!$AF$11)),0)</f>
        <v>0</v>
      </c>
      <c r="AH168" s="545">
        <f ca="1">IF(AND($D168="Serviço",AH$12&lt;&gt;0,$H168&gt;0,OR(AUTOEVENTO&lt;&gt;"manual",$M168&lt;&gt;1)),
IF(Import.TipoArredondamento&lt;&gt;"TransfereGOV",
ROUND(OFFSET($P168,0,AH$13),15-13*ORÇAMENTO!$AF$7)/$H168*OFFSET(ORÇAMENTO!$X$15,ROW(AH168)-ROW(AH$15),0),
ROUND(ROUND(OFFSET($P168,0,AH$13),15-13*ORÇAMENTO!$AF$7)*OFFSET(ORÇAMENTO!$W$15,ROW(AH168)-ROW(AH$15),0),15-13*ORÇAMENTO!$AF$11)),0)</f>
        <v>0</v>
      </c>
      <c r="AI168" s="545">
        <f ca="1">IF(AND($D168="Serviço",AI$12&lt;&gt;0,$H168&gt;0,OR(AUTOEVENTO&lt;&gt;"manual",$M168&lt;&gt;1)),
IF(Import.TipoArredondamento&lt;&gt;"TransfereGOV",
ROUND(OFFSET($P168,0,AI$13),15-13*ORÇAMENTO!$AF$7)/$H168*OFFSET(ORÇAMENTO!$X$15,ROW(AI168)-ROW(AI$15),0),
ROUND(ROUND(OFFSET($P168,0,AI$13),15-13*ORÇAMENTO!$AF$7)*OFFSET(ORÇAMENTO!$W$15,ROW(AI168)-ROW(AI$15),0),15-13*ORÇAMENTO!$AF$11)),0)</f>
        <v>0</v>
      </c>
      <c r="AJ168" s="545">
        <f ca="1">IF(AND($D168="Serviço",AJ$12&lt;&gt;0,$H168&gt;0,OR(AUTOEVENTO&lt;&gt;"manual",$M168&lt;&gt;1)),
IF(Import.TipoArredondamento&lt;&gt;"TransfereGOV",
ROUND(OFFSET($P168,0,AJ$13),15-13*ORÇAMENTO!$AF$7)/$H168*OFFSET(ORÇAMENTO!$X$15,ROW(AJ168)-ROW(AJ$15),0),
ROUND(ROUND(OFFSET($P168,0,AJ$13),15-13*ORÇAMENTO!$AF$7)*OFFSET(ORÇAMENTO!$W$15,ROW(AJ168)-ROW(AJ$15),0),15-13*ORÇAMENTO!$AF$11)),0)</f>
        <v>0</v>
      </c>
      <c r="AK168" s="546">
        <f ca="1">IF(AND($D168="Serviço",AK$12&lt;&gt;0,$H168&gt;0,OR(AUTOEVENTO&lt;&gt;"manual",$M168&lt;&gt;1)),
IF(Import.TipoArredondamento&lt;&gt;"TransfereGOV",
ROUND(OFFSET($P168,0,AK$13),15-13*ORÇAMENTO!$AF$7)/$H168*OFFSET(ORÇAMENTO!$X$15,ROW(AK168)-ROW(AK$15),0),
ROUND(ROUND(OFFSET($P168,0,AK$13),15-13*ORÇAMENTO!$AF$7)*OFFSET(ORÇAMENTO!$W$15,ROW(AK168)-ROW(AK$15),0),15-13*ORÇAMENTO!$AF$11)),0)</f>
        <v>0</v>
      </c>
      <c r="AM168" s="181">
        <f ca="1">IF($D168&lt;&gt;"Serviço",0,IF(AND(AUTOEVENTO="Manual",$M168=1),0,IF(OFFSET(CRONOPLE!$F$14,$M168,AM$13)="",10^12,OFFSET(CRONOPLE!$F$14,$M168,AM$13))))</f>
        <v>1000000000000</v>
      </c>
      <c r="AN168" s="181">
        <f ca="1">IF($D168&lt;&gt;"Serviço",0,IF(AND(AUTOEVENTO="Manual",$M168=1),0,IF(OFFSET(CRONOPLE!$F$14,$M168,AN$13)="",10^12,OFFSET(CRONOPLE!$F$14,$M168,AN$13))))</f>
        <v>1000000000000</v>
      </c>
      <c r="AO168" s="181">
        <f ca="1">IF($D168&lt;&gt;"Serviço",0,IF(AND(AUTOEVENTO="Manual",$M168=1),0,IF(OFFSET(CRONOPLE!$F$14,$M168,AO$13)="",10^12,OFFSET(CRONOPLE!$F$14,$M168,AO$13))))</f>
        <v>1000000000000</v>
      </c>
      <c r="AP168" s="181">
        <f ca="1">IF($D168&lt;&gt;"Serviço",0,IF(AND(AUTOEVENTO="Manual",$M168=1),0,IF(OFFSET(CRONOPLE!$F$14,$M168,AP$13)="",10^12,OFFSET(CRONOPLE!$F$14,$M168,AP$13))))</f>
        <v>1000000000000</v>
      </c>
      <c r="AQ168" s="181">
        <f ca="1">IF($D168&lt;&gt;"Serviço",0,IF(AND(AUTOEVENTO="Manual",$M168=1),0,IF(OFFSET(CRONOPLE!$F$14,$M168,AQ$13)="",10^12,OFFSET(CRONOPLE!$F$14,$M168,AQ$13))))</f>
        <v>1000000000000</v>
      </c>
      <c r="AR168" s="181">
        <f ca="1">IF($D168&lt;&gt;"Serviço",0,IF(AND(AUTOEVENTO="Manual",$M168=1),0,IF(OFFSET(CRONOPLE!$F$14,$M168,AR$13)="",10^12,OFFSET(CRONOPLE!$F$14,$M168,AR$13))))</f>
        <v>1000000000000</v>
      </c>
      <c r="AS168" s="181">
        <f ca="1">IF($D168&lt;&gt;"Serviço",0,IF(AND(AUTOEVENTO="Manual",$M168=1),0,IF(OFFSET(CRONOPLE!$F$14,$M168,AS$13)="",10^12,OFFSET(CRONOPLE!$F$14,$M168,AS$13))))</f>
        <v>1000000000000</v>
      </c>
      <c r="AT168" s="181">
        <f ca="1">IF($D168&lt;&gt;"Serviço",0,IF(AND(AUTOEVENTO="Manual",$M168=1),0,IF(OFFSET(CRONOPLE!$F$14,$M168,AT$13)="",10^12,OFFSET(CRONOPLE!$F$14,$M168,AT$13))))</f>
        <v>1000000000000</v>
      </c>
      <c r="AU168" s="181">
        <f ca="1">IF($D168&lt;&gt;"Serviço",0,IF(AND(AUTOEVENTO="Manual",$M168=1),0,IF(OFFSET(CRONOPLE!$F$14,$M168,AU$13)="",10^12,OFFSET(CRONOPLE!$F$14,$M168,AU$13))))</f>
        <v>1000000000000</v>
      </c>
      <c r="AV168" s="181">
        <f ca="1">IF($D168&lt;&gt;"Serviço",0,IF(AND(AUTOEVENTO="Manual",$M168=1),0,IF(OFFSET(CRONOPLE!$F$14,$M168,AV$13)="",10^12,OFFSET(CRONOPLE!$F$14,$M168,AV$13))))</f>
        <v>1000000000000</v>
      </c>
      <c r="AX168" s="182">
        <f ca="1">IF($D168&lt;&gt;"Serviço",0,IF(OR(AND(AUTOEVENTO="Manual",$M168=1),$M168&gt;(ROW(PLE.lastrow)-ROW(PLE.firstrow))),0,IF(OFFSET(PLE!$G$14,$M168,AX$13)="",10^12,OFFSET(PLE!$G$14,$M168,AX$13))))</f>
        <v>1000000000000</v>
      </c>
      <c r="AY168" s="182">
        <f ca="1">IF($D168&lt;&gt;"Serviço",0,IF(OR(AND(AUTOEVENTO="Manual",$M168=1),$M168&gt;(ROW(PLE.lastrow)-ROW(PLE.firstrow))),0,IF(OFFSET(PLE!$G$14,$M168,AY$13)="",10^12,OFFSET(PLE!$G$14,$M168,AY$13))))</f>
        <v>1000000000000</v>
      </c>
      <c r="AZ168" s="182">
        <f ca="1">IF($D168&lt;&gt;"Serviço",0,IF(OR(AND(AUTOEVENTO="Manual",$M168=1),$M168&gt;(ROW(PLE.lastrow)-ROW(PLE.firstrow))),0,IF(OFFSET(PLE!$G$14,$M168,AZ$13)="",10^12,OFFSET(PLE!$G$14,$M168,AZ$13))))</f>
        <v>1000000000000</v>
      </c>
      <c r="BA168" s="182">
        <f ca="1">IF($D168&lt;&gt;"Serviço",0,IF(OR(AND(AUTOEVENTO="Manual",$M168=1),$M168&gt;(ROW(PLE.lastrow)-ROW(PLE.firstrow))),0,IF(OFFSET(PLE!$G$14,$M168,BA$13)="",10^12,OFFSET(PLE!$G$14,$M168,BA$13))))</f>
        <v>1000000000000</v>
      </c>
      <c r="BB168" s="182">
        <f ca="1">IF($D168&lt;&gt;"Serviço",0,IF(OR(AND(AUTOEVENTO="Manual",$M168=1),$M168&gt;(ROW(PLE.lastrow)-ROW(PLE.firstrow))),0,IF(OFFSET(PLE!$G$14,$M168,BB$13)="",10^12,OFFSET(PLE!$G$14,$M168,BB$13))))</f>
        <v>1000000000000</v>
      </c>
      <c r="BC168" s="182">
        <f ca="1">IF($D168&lt;&gt;"Serviço",0,IF(OR(AND(AUTOEVENTO="Manual",$M168=1),$M168&gt;(ROW(PLE.lastrow)-ROW(PLE.firstrow))),0,IF(OFFSET(PLE!$G$14,$M168,BC$13)="",10^12,OFFSET(PLE!$G$14,$M168,BC$13))))</f>
        <v>1000000000000</v>
      </c>
      <c r="BD168" s="182">
        <f ca="1">IF($D168&lt;&gt;"Serviço",0,IF(OR(AND(AUTOEVENTO="Manual",$M168=1),$M168&gt;(ROW(PLE.lastrow)-ROW(PLE.firstrow))),0,IF(OFFSET(PLE!$G$14,$M168,BD$13)="",10^12,OFFSET(PLE!$G$14,$M168,BD$13))))</f>
        <v>1000000000000</v>
      </c>
      <c r="BE168" s="182">
        <f ca="1">IF($D168&lt;&gt;"Serviço",0,IF(OR(AND(AUTOEVENTO="Manual",$M168=1),$M168&gt;(ROW(PLE.lastrow)-ROW(PLE.firstrow))),0,IF(OFFSET(PLE!$G$14,$M168,BE$13)="",10^12,OFFSET(PLE!$G$14,$M168,BE$13))))</f>
        <v>1000000000000</v>
      </c>
      <c r="BF168" s="182">
        <f ca="1">IF($D168&lt;&gt;"Serviço",0,IF(OR(AND(AUTOEVENTO="Manual",$M168=1),$M168&gt;(ROW(PLE.lastrow)-ROW(PLE.firstrow))),0,IF(OFFSET(PLE!$G$14,$M168,BF$13)="",10^12,OFFSET(PLE!$G$14,$M168,BF$13))))</f>
        <v>1000000000000</v>
      </c>
      <c r="BG168" s="182">
        <f ca="1">IF($D168&lt;&gt;"Serviço",0,IF(OR(AND(AUTOEVENTO="Manual",$M168=1),$M168&gt;(ROW(PLE.lastrow)-ROW(PLE.firstrow))),0,IF(OFFSET(PLE!$G$14,$M168,BG$13)="",10^12,OFFSET(PLE!$G$14,$M168,BG$13))))</f>
        <v>1000000000000</v>
      </c>
    </row>
    <row r="169" spans="1:59" ht="38.25" x14ac:dyDescent="0.2">
      <c r="A169" s="7" t="str">
        <f t="shared" ca="1" si="10"/>
        <v>71</v>
      </c>
      <c r="B169" s="7" t="str">
        <f ca="1">OFFSET(ORÇAMENTO!C$15,ROW(B169)-ROW(B$15),0)</f>
        <v>S</v>
      </c>
      <c r="C169" s="7" t="str">
        <f ca="1">OFFSET(ORÇAMENTO!L$15,ROW(C169)-ROW(C$15),0)</f>
        <v>F</v>
      </c>
      <c r="D169" s="118" t="str">
        <f ca="1">OFFSET(ORÇAMENTO!N$15,ROW(D169)-ROW(D$15),0)</f>
        <v>Serviço</v>
      </c>
      <c r="E169" s="119" t="str">
        <f ca="1">OFFSET(ORÇAMENTO!O$15,ROW(E169)-ROW(E$15),0)</f>
        <v>1.6.16.13.</v>
      </c>
      <c r="F169" s="172" t="str">
        <f ca="1">OFFSET(ORÇAMENTO!R$15,ROW(F169)-ROW(F$15),0)</f>
        <v>(abra o arquivo 'Referência 03-2024.xlsm)</v>
      </c>
      <c r="G169" s="173" t="str">
        <f ca="1">IF($D169&lt;&gt;"Serviço","",OFFSET(ORÇAMENTO!S$15,ROW(G169)-ROW(G$15),0))</f>
        <v>-</v>
      </c>
      <c r="H169" s="124">
        <f ca="1">IF($D169&lt;&gt;"Serviço",0,IF(ACOMPANHAMENTO="BM",ROUND(OFFSET(ORÇAMENTO!AJ$15,ROW(H169)-ROW(H$15),0),15-13*ORÇAMENTO!$AF$7),SUMPRODUCT(($Q$12:$AA$12&lt;&gt;"")*ROUND($Q169:$AA169,15-13*ORÇAMENTO!$AF$7))))</f>
        <v>6</v>
      </c>
      <c r="I169" s="561"/>
      <c r="K169" s="174"/>
      <c r="L169" s="175" t="s">
        <v>255</v>
      </c>
      <c r="M169" s="176">
        <f ca="1">IF($D169&lt;&gt;"Serviço","",IF(AUTOEVENTO="manual",$A169,IF(ISERROR(MATCH($A169,$A$15:OFFSET($A169,-1,0),0)),MAX($M$15:OFFSET(M169,-1,0))+1,INDEX($M$15:OFFSET(M169,-1,0),MATCH($A169,$A$15:OFFSET($A169,-1,0),0)))))</f>
        <v>7</v>
      </c>
      <c r="N169" s="177" t="str">
        <f ca="1">IF($D169&lt;&gt;"Serviço","",IF(AUTOEVENTO="Manual",IF($A169=0,"&lt;-- defina o número do agrupador",OFFSET(EVENTOS!$D$14,$A169,0)),OFFSET($F$15,$A169,0)))</f>
        <v>SANITÁRIO PÚBLICO ACESSÍVEL</v>
      </c>
      <c r="O169" s="178"/>
      <c r="Q169" s="178"/>
      <c r="R169" s="179"/>
      <c r="S169" s="179"/>
      <c r="T169" s="179"/>
      <c r="U169" s="179"/>
      <c r="V169" s="179"/>
      <c r="W169" s="179"/>
      <c r="X169" s="179"/>
      <c r="Y169" s="179"/>
      <c r="Z169" s="180"/>
      <c r="AB169" s="544">
        <f ca="1">IF(AND($D169="Serviço",AB$12&lt;&gt;0,$H169&gt;0,OR(AUTOEVENTO&lt;&gt;"manual",$M169&lt;&gt;1)),
IF(Import.TipoArredondamento&lt;&gt;"TransfereGOV",
ROUND(OFFSET($P169,0,AB$13),15-13*ORÇAMENTO!$AF$7)/$H169*OFFSET(ORÇAMENTO!$X$15,ROW(AB169)-ROW(AB$15),0),
ROUND(ROUND(OFFSET($P169,0,AB$13),15-13*ORÇAMENTO!$AF$7)*OFFSET(ORÇAMENTO!$W$15,ROW(AB169)-ROW(AB$15),0),15-13*ORÇAMENTO!$AF$11)),0)</f>
        <v>0</v>
      </c>
      <c r="AC169" s="545">
        <f ca="1">IF(AND($D169="Serviço",AC$12&lt;&gt;0,$H169&gt;0,OR(AUTOEVENTO&lt;&gt;"manual",$M169&lt;&gt;1)),
IF(Import.TipoArredondamento&lt;&gt;"TransfereGOV",
ROUND(OFFSET($P169,0,AC$13),15-13*ORÇAMENTO!$AF$7)/$H169*OFFSET(ORÇAMENTO!$X$15,ROW(AC169)-ROW(AC$15),0),
ROUND(ROUND(OFFSET($P169,0,AC$13),15-13*ORÇAMENTO!$AF$7)*OFFSET(ORÇAMENTO!$W$15,ROW(AC169)-ROW(AC$15),0),15-13*ORÇAMENTO!$AF$11)),0)</f>
        <v>0</v>
      </c>
      <c r="AD169" s="545">
        <f ca="1">IF(AND($D169="Serviço",AD$12&lt;&gt;0,$H169&gt;0,OR(AUTOEVENTO&lt;&gt;"manual",$M169&lt;&gt;1)),
IF(Import.TipoArredondamento&lt;&gt;"TransfereGOV",
ROUND(OFFSET($P169,0,AD$13),15-13*ORÇAMENTO!$AF$7)/$H169*OFFSET(ORÇAMENTO!$X$15,ROW(AD169)-ROW(AD$15),0),
ROUND(ROUND(OFFSET($P169,0,AD$13),15-13*ORÇAMENTO!$AF$7)*OFFSET(ORÇAMENTO!$W$15,ROW(AD169)-ROW(AD$15),0),15-13*ORÇAMENTO!$AF$11)),0)</f>
        <v>0</v>
      </c>
      <c r="AE169" s="545">
        <f ca="1">IF(AND($D169="Serviço",AE$12&lt;&gt;0,$H169&gt;0,OR(AUTOEVENTO&lt;&gt;"manual",$M169&lt;&gt;1)),
IF(Import.TipoArredondamento&lt;&gt;"TransfereGOV",
ROUND(OFFSET($P169,0,AE$13),15-13*ORÇAMENTO!$AF$7)/$H169*OFFSET(ORÇAMENTO!$X$15,ROW(AE169)-ROW(AE$15),0),
ROUND(ROUND(OFFSET($P169,0,AE$13),15-13*ORÇAMENTO!$AF$7)*OFFSET(ORÇAMENTO!$W$15,ROW(AE169)-ROW(AE$15),0),15-13*ORÇAMENTO!$AF$11)),0)</f>
        <v>0</v>
      </c>
      <c r="AF169" s="545">
        <f ca="1">IF(AND($D169="Serviço",AF$12&lt;&gt;0,$H169&gt;0,OR(AUTOEVENTO&lt;&gt;"manual",$M169&lt;&gt;1)),
IF(Import.TipoArredondamento&lt;&gt;"TransfereGOV",
ROUND(OFFSET($P169,0,AF$13),15-13*ORÇAMENTO!$AF$7)/$H169*OFFSET(ORÇAMENTO!$X$15,ROW(AF169)-ROW(AF$15),0),
ROUND(ROUND(OFFSET($P169,0,AF$13),15-13*ORÇAMENTO!$AF$7)*OFFSET(ORÇAMENTO!$W$15,ROW(AF169)-ROW(AF$15),0),15-13*ORÇAMENTO!$AF$11)),0)</f>
        <v>0</v>
      </c>
      <c r="AG169" s="545">
        <f ca="1">IF(AND($D169="Serviço",AG$12&lt;&gt;0,$H169&gt;0,OR(AUTOEVENTO&lt;&gt;"manual",$M169&lt;&gt;1)),
IF(Import.TipoArredondamento&lt;&gt;"TransfereGOV",
ROUND(OFFSET($P169,0,AG$13),15-13*ORÇAMENTO!$AF$7)/$H169*OFFSET(ORÇAMENTO!$X$15,ROW(AG169)-ROW(AG$15),0),
ROUND(ROUND(OFFSET($P169,0,AG$13),15-13*ORÇAMENTO!$AF$7)*OFFSET(ORÇAMENTO!$W$15,ROW(AG169)-ROW(AG$15),0),15-13*ORÇAMENTO!$AF$11)),0)</f>
        <v>0</v>
      </c>
      <c r="AH169" s="545">
        <f ca="1">IF(AND($D169="Serviço",AH$12&lt;&gt;0,$H169&gt;0,OR(AUTOEVENTO&lt;&gt;"manual",$M169&lt;&gt;1)),
IF(Import.TipoArredondamento&lt;&gt;"TransfereGOV",
ROUND(OFFSET($P169,0,AH$13),15-13*ORÇAMENTO!$AF$7)/$H169*OFFSET(ORÇAMENTO!$X$15,ROW(AH169)-ROW(AH$15),0),
ROUND(ROUND(OFFSET($P169,0,AH$13),15-13*ORÇAMENTO!$AF$7)*OFFSET(ORÇAMENTO!$W$15,ROW(AH169)-ROW(AH$15),0),15-13*ORÇAMENTO!$AF$11)),0)</f>
        <v>0</v>
      </c>
      <c r="AI169" s="545">
        <f ca="1">IF(AND($D169="Serviço",AI$12&lt;&gt;0,$H169&gt;0,OR(AUTOEVENTO&lt;&gt;"manual",$M169&lt;&gt;1)),
IF(Import.TipoArredondamento&lt;&gt;"TransfereGOV",
ROUND(OFFSET($P169,0,AI$13),15-13*ORÇAMENTO!$AF$7)/$H169*OFFSET(ORÇAMENTO!$X$15,ROW(AI169)-ROW(AI$15),0),
ROUND(ROUND(OFFSET($P169,0,AI$13),15-13*ORÇAMENTO!$AF$7)*OFFSET(ORÇAMENTO!$W$15,ROW(AI169)-ROW(AI$15),0),15-13*ORÇAMENTO!$AF$11)),0)</f>
        <v>0</v>
      </c>
      <c r="AJ169" s="545">
        <f ca="1">IF(AND($D169="Serviço",AJ$12&lt;&gt;0,$H169&gt;0,OR(AUTOEVENTO&lt;&gt;"manual",$M169&lt;&gt;1)),
IF(Import.TipoArredondamento&lt;&gt;"TransfereGOV",
ROUND(OFFSET($P169,0,AJ$13),15-13*ORÇAMENTO!$AF$7)/$H169*OFFSET(ORÇAMENTO!$X$15,ROW(AJ169)-ROW(AJ$15),0),
ROUND(ROUND(OFFSET($P169,0,AJ$13),15-13*ORÇAMENTO!$AF$7)*OFFSET(ORÇAMENTO!$W$15,ROW(AJ169)-ROW(AJ$15),0),15-13*ORÇAMENTO!$AF$11)),0)</f>
        <v>0</v>
      </c>
      <c r="AK169" s="546">
        <f ca="1">IF(AND($D169="Serviço",AK$12&lt;&gt;0,$H169&gt;0,OR(AUTOEVENTO&lt;&gt;"manual",$M169&lt;&gt;1)),
IF(Import.TipoArredondamento&lt;&gt;"TransfereGOV",
ROUND(OFFSET($P169,0,AK$13),15-13*ORÇAMENTO!$AF$7)/$H169*OFFSET(ORÇAMENTO!$X$15,ROW(AK169)-ROW(AK$15),0),
ROUND(ROUND(OFFSET($P169,0,AK$13),15-13*ORÇAMENTO!$AF$7)*OFFSET(ORÇAMENTO!$W$15,ROW(AK169)-ROW(AK$15),0),15-13*ORÇAMENTO!$AF$11)),0)</f>
        <v>0</v>
      </c>
      <c r="AM169" s="181">
        <f ca="1">IF($D169&lt;&gt;"Serviço",0,IF(AND(AUTOEVENTO="Manual",$M169=1),0,IF(OFFSET(CRONOPLE!$F$14,$M169,AM$13)="",10^12,OFFSET(CRONOPLE!$F$14,$M169,AM$13))))</f>
        <v>1000000000000</v>
      </c>
      <c r="AN169" s="181">
        <f ca="1">IF($D169&lt;&gt;"Serviço",0,IF(AND(AUTOEVENTO="Manual",$M169=1),0,IF(OFFSET(CRONOPLE!$F$14,$M169,AN$13)="",10^12,OFFSET(CRONOPLE!$F$14,$M169,AN$13))))</f>
        <v>1000000000000</v>
      </c>
      <c r="AO169" s="181">
        <f ca="1">IF($D169&lt;&gt;"Serviço",0,IF(AND(AUTOEVENTO="Manual",$M169=1),0,IF(OFFSET(CRONOPLE!$F$14,$M169,AO$13)="",10^12,OFFSET(CRONOPLE!$F$14,$M169,AO$13))))</f>
        <v>1000000000000</v>
      </c>
      <c r="AP169" s="181">
        <f ca="1">IF($D169&lt;&gt;"Serviço",0,IF(AND(AUTOEVENTO="Manual",$M169=1),0,IF(OFFSET(CRONOPLE!$F$14,$M169,AP$13)="",10^12,OFFSET(CRONOPLE!$F$14,$M169,AP$13))))</f>
        <v>1000000000000</v>
      </c>
      <c r="AQ169" s="181">
        <f ca="1">IF($D169&lt;&gt;"Serviço",0,IF(AND(AUTOEVENTO="Manual",$M169=1),0,IF(OFFSET(CRONOPLE!$F$14,$M169,AQ$13)="",10^12,OFFSET(CRONOPLE!$F$14,$M169,AQ$13))))</f>
        <v>1000000000000</v>
      </c>
      <c r="AR169" s="181">
        <f ca="1">IF($D169&lt;&gt;"Serviço",0,IF(AND(AUTOEVENTO="Manual",$M169=1),0,IF(OFFSET(CRONOPLE!$F$14,$M169,AR$13)="",10^12,OFFSET(CRONOPLE!$F$14,$M169,AR$13))))</f>
        <v>1000000000000</v>
      </c>
      <c r="AS169" s="181">
        <f ca="1">IF($D169&lt;&gt;"Serviço",0,IF(AND(AUTOEVENTO="Manual",$M169=1),0,IF(OFFSET(CRONOPLE!$F$14,$M169,AS$13)="",10^12,OFFSET(CRONOPLE!$F$14,$M169,AS$13))))</f>
        <v>1000000000000</v>
      </c>
      <c r="AT169" s="181">
        <f ca="1">IF($D169&lt;&gt;"Serviço",0,IF(AND(AUTOEVENTO="Manual",$M169=1),0,IF(OFFSET(CRONOPLE!$F$14,$M169,AT$13)="",10^12,OFFSET(CRONOPLE!$F$14,$M169,AT$13))))</f>
        <v>1000000000000</v>
      </c>
      <c r="AU169" s="181">
        <f ca="1">IF($D169&lt;&gt;"Serviço",0,IF(AND(AUTOEVENTO="Manual",$M169=1),0,IF(OFFSET(CRONOPLE!$F$14,$M169,AU$13)="",10^12,OFFSET(CRONOPLE!$F$14,$M169,AU$13))))</f>
        <v>1000000000000</v>
      </c>
      <c r="AV169" s="181">
        <f ca="1">IF($D169&lt;&gt;"Serviço",0,IF(AND(AUTOEVENTO="Manual",$M169=1),0,IF(OFFSET(CRONOPLE!$F$14,$M169,AV$13)="",10^12,OFFSET(CRONOPLE!$F$14,$M169,AV$13))))</f>
        <v>1000000000000</v>
      </c>
      <c r="AX169" s="182">
        <f ca="1">IF($D169&lt;&gt;"Serviço",0,IF(OR(AND(AUTOEVENTO="Manual",$M169=1),$M169&gt;(ROW(PLE.lastrow)-ROW(PLE.firstrow))),0,IF(OFFSET(PLE!$G$14,$M169,AX$13)="",10^12,OFFSET(PLE!$G$14,$M169,AX$13))))</f>
        <v>1000000000000</v>
      </c>
      <c r="AY169" s="182">
        <f ca="1">IF($D169&lt;&gt;"Serviço",0,IF(OR(AND(AUTOEVENTO="Manual",$M169=1),$M169&gt;(ROW(PLE.lastrow)-ROW(PLE.firstrow))),0,IF(OFFSET(PLE!$G$14,$M169,AY$13)="",10^12,OFFSET(PLE!$G$14,$M169,AY$13))))</f>
        <v>1000000000000</v>
      </c>
      <c r="AZ169" s="182">
        <f ca="1">IF($D169&lt;&gt;"Serviço",0,IF(OR(AND(AUTOEVENTO="Manual",$M169=1),$M169&gt;(ROW(PLE.lastrow)-ROW(PLE.firstrow))),0,IF(OFFSET(PLE!$G$14,$M169,AZ$13)="",10^12,OFFSET(PLE!$G$14,$M169,AZ$13))))</f>
        <v>1000000000000</v>
      </c>
      <c r="BA169" s="182">
        <f ca="1">IF($D169&lt;&gt;"Serviço",0,IF(OR(AND(AUTOEVENTO="Manual",$M169=1),$M169&gt;(ROW(PLE.lastrow)-ROW(PLE.firstrow))),0,IF(OFFSET(PLE!$G$14,$M169,BA$13)="",10^12,OFFSET(PLE!$G$14,$M169,BA$13))))</f>
        <v>1000000000000</v>
      </c>
      <c r="BB169" s="182">
        <f ca="1">IF($D169&lt;&gt;"Serviço",0,IF(OR(AND(AUTOEVENTO="Manual",$M169=1),$M169&gt;(ROW(PLE.lastrow)-ROW(PLE.firstrow))),0,IF(OFFSET(PLE!$G$14,$M169,BB$13)="",10^12,OFFSET(PLE!$G$14,$M169,BB$13))))</f>
        <v>1000000000000</v>
      </c>
      <c r="BC169" s="182">
        <f ca="1">IF($D169&lt;&gt;"Serviço",0,IF(OR(AND(AUTOEVENTO="Manual",$M169=1),$M169&gt;(ROW(PLE.lastrow)-ROW(PLE.firstrow))),0,IF(OFFSET(PLE!$G$14,$M169,BC$13)="",10^12,OFFSET(PLE!$G$14,$M169,BC$13))))</f>
        <v>1000000000000</v>
      </c>
      <c r="BD169" s="182">
        <f ca="1">IF($D169&lt;&gt;"Serviço",0,IF(OR(AND(AUTOEVENTO="Manual",$M169=1),$M169&gt;(ROW(PLE.lastrow)-ROW(PLE.firstrow))),0,IF(OFFSET(PLE!$G$14,$M169,BD$13)="",10^12,OFFSET(PLE!$G$14,$M169,BD$13))))</f>
        <v>1000000000000</v>
      </c>
      <c r="BE169" s="182">
        <f ca="1">IF($D169&lt;&gt;"Serviço",0,IF(OR(AND(AUTOEVENTO="Manual",$M169=1),$M169&gt;(ROW(PLE.lastrow)-ROW(PLE.firstrow))),0,IF(OFFSET(PLE!$G$14,$M169,BE$13)="",10^12,OFFSET(PLE!$G$14,$M169,BE$13))))</f>
        <v>1000000000000</v>
      </c>
      <c r="BF169" s="182">
        <f ca="1">IF($D169&lt;&gt;"Serviço",0,IF(OR(AND(AUTOEVENTO="Manual",$M169=1),$M169&gt;(ROW(PLE.lastrow)-ROW(PLE.firstrow))),0,IF(OFFSET(PLE!$G$14,$M169,BF$13)="",10^12,OFFSET(PLE!$G$14,$M169,BF$13))))</f>
        <v>1000000000000</v>
      </c>
      <c r="BG169" s="182">
        <f ca="1">IF($D169&lt;&gt;"Serviço",0,IF(OR(AND(AUTOEVENTO="Manual",$M169=1),$M169&gt;(ROW(PLE.lastrow)-ROW(PLE.firstrow))),0,IF(OFFSET(PLE!$G$14,$M169,BG$13)="",10^12,OFFSET(PLE!$G$14,$M169,BG$13))))</f>
        <v>1000000000000</v>
      </c>
    </row>
    <row r="170" spans="1:59" ht="38.25" x14ac:dyDescent="0.2">
      <c r="A170" s="7" t="str">
        <f t="shared" ca="1" si="10"/>
        <v>71</v>
      </c>
      <c r="B170" s="7" t="str">
        <f ca="1">OFFSET(ORÇAMENTO!C$15,ROW(B170)-ROW(B$15),0)</f>
        <v>S</v>
      </c>
      <c r="C170" s="7" t="str">
        <f ca="1">OFFSET(ORÇAMENTO!L$15,ROW(C170)-ROW(C$15),0)</f>
        <v>F</v>
      </c>
      <c r="D170" s="118" t="str">
        <f ca="1">OFFSET(ORÇAMENTO!N$15,ROW(D170)-ROW(D$15),0)</f>
        <v>Serviço</v>
      </c>
      <c r="E170" s="119" t="str">
        <f ca="1">OFFSET(ORÇAMENTO!O$15,ROW(E170)-ROW(E$15),0)</f>
        <v>1.6.16.14.</v>
      </c>
      <c r="F170" s="172" t="str">
        <f ca="1">OFFSET(ORÇAMENTO!R$15,ROW(F170)-ROW(F$15),0)</f>
        <v>(abra o arquivo 'Referência 03-2024.xlsm)</v>
      </c>
      <c r="G170" s="173" t="str">
        <f ca="1">IF($D170&lt;&gt;"Serviço","",OFFSET(ORÇAMENTO!S$15,ROW(G170)-ROW(G$15),0))</f>
        <v>-</v>
      </c>
      <c r="H170" s="124">
        <f ca="1">IF($D170&lt;&gt;"Serviço",0,IF(ACOMPANHAMENTO="BM",ROUND(OFFSET(ORÇAMENTO!AJ$15,ROW(H170)-ROW(H$15),0),15-13*ORÇAMENTO!$AF$7),SUMPRODUCT(($Q$12:$AA$12&lt;&gt;"")*ROUND($Q170:$AA170,15-13*ORÇAMENTO!$AF$7))))</f>
        <v>4</v>
      </c>
      <c r="I170" s="561"/>
      <c r="K170" s="174"/>
      <c r="L170" s="175" t="s">
        <v>255</v>
      </c>
      <c r="M170" s="176">
        <f ca="1">IF($D170&lt;&gt;"Serviço","",IF(AUTOEVENTO="manual",$A170,IF(ISERROR(MATCH($A170,$A$15:OFFSET($A170,-1,0),0)),MAX($M$15:OFFSET(M170,-1,0))+1,INDEX($M$15:OFFSET(M170,-1,0),MATCH($A170,$A$15:OFFSET($A170,-1,0),0)))))</f>
        <v>7</v>
      </c>
      <c r="N170" s="177" t="str">
        <f ca="1">IF($D170&lt;&gt;"Serviço","",IF(AUTOEVENTO="Manual",IF($A170=0,"&lt;-- defina o número do agrupador",OFFSET(EVENTOS!$D$14,$A170,0)),OFFSET($F$15,$A170,0)))</f>
        <v>SANITÁRIO PÚBLICO ACESSÍVEL</v>
      </c>
      <c r="O170" s="178"/>
      <c r="Q170" s="178"/>
      <c r="R170" s="179"/>
      <c r="S170" s="179"/>
      <c r="T170" s="179"/>
      <c r="U170" s="179"/>
      <c r="V170" s="179"/>
      <c r="W170" s="179"/>
      <c r="X170" s="179"/>
      <c r="Y170" s="179"/>
      <c r="Z170" s="180"/>
      <c r="AB170" s="544">
        <f ca="1">IF(AND($D170="Serviço",AB$12&lt;&gt;0,$H170&gt;0,OR(AUTOEVENTO&lt;&gt;"manual",$M170&lt;&gt;1)),
IF(Import.TipoArredondamento&lt;&gt;"TransfereGOV",
ROUND(OFFSET($P170,0,AB$13),15-13*ORÇAMENTO!$AF$7)/$H170*OFFSET(ORÇAMENTO!$X$15,ROW(AB170)-ROW(AB$15),0),
ROUND(ROUND(OFFSET($P170,0,AB$13),15-13*ORÇAMENTO!$AF$7)*OFFSET(ORÇAMENTO!$W$15,ROW(AB170)-ROW(AB$15),0),15-13*ORÇAMENTO!$AF$11)),0)</f>
        <v>0</v>
      </c>
      <c r="AC170" s="545">
        <f ca="1">IF(AND($D170="Serviço",AC$12&lt;&gt;0,$H170&gt;0,OR(AUTOEVENTO&lt;&gt;"manual",$M170&lt;&gt;1)),
IF(Import.TipoArredondamento&lt;&gt;"TransfereGOV",
ROUND(OFFSET($P170,0,AC$13),15-13*ORÇAMENTO!$AF$7)/$H170*OFFSET(ORÇAMENTO!$X$15,ROW(AC170)-ROW(AC$15),0),
ROUND(ROUND(OFFSET($P170,0,AC$13),15-13*ORÇAMENTO!$AF$7)*OFFSET(ORÇAMENTO!$W$15,ROW(AC170)-ROW(AC$15),0),15-13*ORÇAMENTO!$AF$11)),0)</f>
        <v>0</v>
      </c>
      <c r="AD170" s="545">
        <f ca="1">IF(AND($D170="Serviço",AD$12&lt;&gt;0,$H170&gt;0,OR(AUTOEVENTO&lt;&gt;"manual",$M170&lt;&gt;1)),
IF(Import.TipoArredondamento&lt;&gt;"TransfereGOV",
ROUND(OFFSET($P170,0,AD$13),15-13*ORÇAMENTO!$AF$7)/$H170*OFFSET(ORÇAMENTO!$X$15,ROW(AD170)-ROW(AD$15),0),
ROUND(ROUND(OFFSET($P170,0,AD$13),15-13*ORÇAMENTO!$AF$7)*OFFSET(ORÇAMENTO!$W$15,ROW(AD170)-ROW(AD$15),0),15-13*ORÇAMENTO!$AF$11)),0)</f>
        <v>0</v>
      </c>
      <c r="AE170" s="545">
        <f ca="1">IF(AND($D170="Serviço",AE$12&lt;&gt;0,$H170&gt;0,OR(AUTOEVENTO&lt;&gt;"manual",$M170&lt;&gt;1)),
IF(Import.TipoArredondamento&lt;&gt;"TransfereGOV",
ROUND(OFFSET($P170,0,AE$13),15-13*ORÇAMENTO!$AF$7)/$H170*OFFSET(ORÇAMENTO!$X$15,ROW(AE170)-ROW(AE$15),0),
ROUND(ROUND(OFFSET($P170,0,AE$13),15-13*ORÇAMENTO!$AF$7)*OFFSET(ORÇAMENTO!$W$15,ROW(AE170)-ROW(AE$15),0),15-13*ORÇAMENTO!$AF$11)),0)</f>
        <v>0</v>
      </c>
      <c r="AF170" s="545">
        <f ca="1">IF(AND($D170="Serviço",AF$12&lt;&gt;0,$H170&gt;0,OR(AUTOEVENTO&lt;&gt;"manual",$M170&lt;&gt;1)),
IF(Import.TipoArredondamento&lt;&gt;"TransfereGOV",
ROUND(OFFSET($P170,0,AF$13),15-13*ORÇAMENTO!$AF$7)/$H170*OFFSET(ORÇAMENTO!$X$15,ROW(AF170)-ROW(AF$15),0),
ROUND(ROUND(OFFSET($P170,0,AF$13),15-13*ORÇAMENTO!$AF$7)*OFFSET(ORÇAMENTO!$W$15,ROW(AF170)-ROW(AF$15),0),15-13*ORÇAMENTO!$AF$11)),0)</f>
        <v>0</v>
      </c>
      <c r="AG170" s="545">
        <f ca="1">IF(AND($D170="Serviço",AG$12&lt;&gt;0,$H170&gt;0,OR(AUTOEVENTO&lt;&gt;"manual",$M170&lt;&gt;1)),
IF(Import.TipoArredondamento&lt;&gt;"TransfereGOV",
ROUND(OFFSET($P170,0,AG$13),15-13*ORÇAMENTO!$AF$7)/$H170*OFFSET(ORÇAMENTO!$X$15,ROW(AG170)-ROW(AG$15),0),
ROUND(ROUND(OFFSET($P170,0,AG$13),15-13*ORÇAMENTO!$AF$7)*OFFSET(ORÇAMENTO!$W$15,ROW(AG170)-ROW(AG$15),0),15-13*ORÇAMENTO!$AF$11)),0)</f>
        <v>0</v>
      </c>
      <c r="AH170" s="545">
        <f ca="1">IF(AND($D170="Serviço",AH$12&lt;&gt;0,$H170&gt;0,OR(AUTOEVENTO&lt;&gt;"manual",$M170&lt;&gt;1)),
IF(Import.TipoArredondamento&lt;&gt;"TransfereGOV",
ROUND(OFFSET($P170,0,AH$13),15-13*ORÇAMENTO!$AF$7)/$H170*OFFSET(ORÇAMENTO!$X$15,ROW(AH170)-ROW(AH$15),0),
ROUND(ROUND(OFFSET($P170,0,AH$13),15-13*ORÇAMENTO!$AF$7)*OFFSET(ORÇAMENTO!$W$15,ROW(AH170)-ROW(AH$15),0),15-13*ORÇAMENTO!$AF$11)),0)</f>
        <v>0</v>
      </c>
      <c r="AI170" s="545">
        <f ca="1">IF(AND($D170="Serviço",AI$12&lt;&gt;0,$H170&gt;0,OR(AUTOEVENTO&lt;&gt;"manual",$M170&lt;&gt;1)),
IF(Import.TipoArredondamento&lt;&gt;"TransfereGOV",
ROUND(OFFSET($P170,0,AI$13),15-13*ORÇAMENTO!$AF$7)/$H170*OFFSET(ORÇAMENTO!$X$15,ROW(AI170)-ROW(AI$15),0),
ROUND(ROUND(OFFSET($P170,0,AI$13),15-13*ORÇAMENTO!$AF$7)*OFFSET(ORÇAMENTO!$W$15,ROW(AI170)-ROW(AI$15),0),15-13*ORÇAMENTO!$AF$11)),0)</f>
        <v>0</v>
      </c>
      <c r="AJ170" s="545">
        <f ca="1">IF(AND($D170="Serviço",AJ$12&lt;&gt;0,$H170&gt;0,OR(AUTOEVENTO&lt;&gt;"manual",$M170&lt;&gt;1)),
IF(Import.TipoArredondamento&lt;&gt;"TransfereGOV",
ROUND(OFFSET($P170,0,AJ$13),15-13*ORÇAMENTO!$AF$7)/$H170*OFFSET(ORÇAMENTO!$X$15,ROW(AJ170)-ROW(AJ$15),0),
ROUND(ROUND(OFFSET($P170,0,AJ$13),15-13*ORÇAMENTO!$AF$7)*OFFSET(ORÇAMENTO!$W$15,ROW(AJ170)-ROW(AJ$15),0),15-13*ORÇAMENTO!$AF$11)),0)</f>
        <v>0</v>
      </c>
      <c r="AK170" s="546">
        <f ca="1">IF(AND($D170="Serviço",AK$12&lt;&gt;0,$H170&gt;0,OR(AUTOEVENTO&lt;&gt;"manual",$M170&lt;&gt;1)),
IF(Import.TipoArredondamento&lt;&gt;"TransfereGOV",
ROUND(OFFSET($P170,0,AK$13),15-13*ORÇAMENTO!$AF$7)/$H170*OFFSET(ORÇAMENTO!$X$15,ROW(AK170)-ROW(AK$15),0),
ROUND(ROUND(OFFSET($P170,0,AK$13),15-13*ORÇAMENTO!$AF$7)*OFFSET(ORÇAMENTO!$W$15,ROW(AK170)-ROW(AK$15),0),15-13*ORÇAMENTO!$AF$11)),0)</f>
        <v>0</v>
      </c>
      <c r="AM170" s="181">
        <f ca="1">IF($D170&lt;&gt;"Serviço",0,IF(AND(AUTOEVENTO="Manual",$M170=1),0,IF(OFFSET(CRONOPLE!$F$14,$M170,AM$13)="",10^12,OFFSET(CRONOPLE!$F$14,$M170,AM$13))))</f>
        <v>1000000000000</v>
      </c>
      <c r="AN170" s="181">
        <f ca="1">IF($D170&lt;&gt;"Serviço",0,IF(AND(AUTOEVENTO="Manual",$M170=1),0,IF(OFFSET(CRONOPLE!$F$14,$M170,AN$13)="",10^12,OFFSET(CRONOPLE!$F$14,$M170,AN$13))))</f>
        <v>1000000000000</v>
      </c>
      <c r="AO170" s="181">
        <f ca="1">IF($D170&lt;&gt;"Serviço",0,IF(AND(AUTOEVENTO="Manual",$M170=1),0,IF(OFFSET(CRONOPLE!$F$14,$M170,AO$13)="",10^12,OFFSET(CRONOPLE!$F$14,$M170,AO$13))))</f>
        <v>1000000000000</v>
      </c>
      <c r="AP170" s="181">
        <f ca="1">IF($D170&lt;&gt;"Serviço",0,IF(AND(AUTOEVENTO="Manual",$M170=1),0,IF(OFFSET(CRONOPLE!$F$14,$M170,AP$13)="",10^12,OFFSET(CRONOPLE!$F$14,$M170,AP$13))))</f>
        <v>1000000000000</v>
      </c>
      <c r="AQ170" s="181">
        <f ca="1">IF($D170&lt;&gt;"Serviço",0,IF(AND(AUTOEVENTO="Manual",$M170=1),0,IF(OFFSET(CRONOPLE!$F$14,$M170,AQ$13)="",10^12,OFFSET(CRONOPLE!$F$14,$M170,AQ$13))))</f>
        <v>1000000000000</v>
      </c>
      <c r="AR170" s="181">
        <f ca="1">IF($D170&lt;&gt;"Serviço",0,IF(AND(AUTOEVENTO="Manual",$M170=1),0,IF(OFFSET(CRONOPLE!$F$14,$M170,AR$13)="",10^12,OFFSET(CRONOPLE!$F$14,$M170,AR$13))))</f>
        <v>1000000000000</v>
      </c>
      <c r="AS170" s="181">
        <f ca="1">IF($D170&lt;&gt;"Serviço",0,IF(AND(AUTOEVENTO="Manual",$M170=1),0,IF(OFFSET(CRONOPLE!$F$14,$M170,AS$13)="",10^12,OFFSET(CRONOPLE!$F$14,$M170,AS$13))))</f>
        <v>1000000000000</v>
      </c>
      <c r="AT170" s="181">
        <f ca="1">IF($D170&lt;&gt;"Serviço",0,IF(AND(AUTOEVENTO="Manual",$M170=1),0,IF(OFFSET(CRONOPLE!$F$14,$M170,AT$13)="",10^12,OFFSET(CRONOPLE!$F$14,$M170,AT$13))))</f>
        <v>1000000000000</v>
      </c>
      <c r="AU170" s="181">
        <f ca="1">IF($D170&lt;&gt;"Serviço",0,IF(AND(AUTOEVENTO="Manual",$M170=1),0,IF(OFFSET(CRONOPLE!$F$14,$M170,AU$13)="",10^12,OFFSET(CRONOPLE!$F$14,$M170,AU$13))))</f>
        <v>1000000000000</v>
      </c>
      <c r="AV170" s="181">
        <f ca="1">IF($D170&lt;&gt;"Serviço",0,IF(AND(AUTOEVENTO="Manual",$M170=1),0,IF(OFFSET(CRONOPLE!$F$14,$M170,AV$13)="",10^12,OFFSET(CRONOPLE!$F$14,$M170,AV$13))))</f>
        <v>1000000000000</v>
      </c>
      <c r="AX170" s="182">
        <f ca="1">IF($D170&lt;&gt;"Serviço",0,IF(OR(AND(AUTOEVENTO="Manual",$M170=1),$M170&gt;(ROW(PLE.lastrow)-ROW(PLE.firstrow))),0,IF(OFFSET(PLE!$G$14,$M170,AX$13)="",10^12,OFFSET(PLE!$G$14,$M170,AX$13))))</f>
        <v>1000000000000</v>
      </c>
      <c r="AY170" s="182">
        <f ca="1">IF($D170&lt;&gt;"Serviço",0,IF(OR(AND(AUTOEVENTO="Manual",$M170=1),$M170&gt;(ROW(PLE.lastrow)-ROW(PLE.firstrow))),0,IF(OFFSET(PLE!$G$14,$M170,AY$13)="",10^12,OFFSET(PLE!$G$14,$M170,AY$13))))</f>
        <v>1000000000000</v>
      </c>
      <c r="AZ170" s="182">
        <f ca="1">IF($D170&lt;&gt;"Serviço",0,IF(OR(AND(AUTOEVENTO="Manual",$M170=1),$M170&gt;(ROW(PLE.lastrow)-ROW(PLE.firstrow))),0,IF(OFFSET(PLE!$G$14,$M170,AZ$13)="",10^12,OFFSET(PLE!$G$14,$M170,AZ$13))))</f>
        <v>1000000000000</v>
      </c>
      <c r="BA170" s="182">
        <f ca="1">IF($D170&lt;&gt;"Serviço",0,IF(OR(AND(AUTOEVENTO="Manual",$M170=1),$M170&gt;(ROW(PLE.lastrow)-ROW(PLE.firstrow))),0,IF(OFFSET(PLE!$G$14,$M170,BA$13)="",10^12,OFFSET(PLE!$G$14,$M170,BA$13))))</f>
        <v>1000000000000</v>
      </c>
      <c r="BB170" s="182">
        <f ca="1">IF($D170&lt;&gt;"Serviço",0,IF(OR(AND(AUTOEVENTO="Manual",$M170=1),$M170&gt;(ROW(PLE.lastrow)-ROW(PLE.firstrow))),0,IF(OFFSET(PLE!$G$14,$M170,BB$13)="",10^12,OFFSET(PLE!$G$14,$M170,BB$13))))</f>
        <v>1000000000000</v>
      </c>
      <c r="BC170" s="182">
        <f ca="1">IF($D170&lt;&gt;"Serviço",0,IF(OR(AND(AUTOEVENTO="Manual",$M170=1),$M170&gt;(ROW(PLE.lastrow)-ROW(PLE.firstrow))),0,IF(OFFSET(PLE!$G$14,$M170,BC$13)="",10^12,OFFSET(PLE!$G$14,$M170,BC$13))))</f>
        <v>1000000000000</v>
      </c>
      <c r="BD170" s="182">
        <f ca="1">IF($D170&lt;&gt;"Serviço",0,IF(OR(AND(AUTOEVENTO="Manual",$M170=1),$M170&gt;(ROW(PLE.lastrow)-ROW(PLE.firstrow))),0,IF(OFFSET(PLE!$G$14,$M170,BD$13)="",10^12,OFFSET(PLE!$G$14,$M170,BD$13))))</f>
        <v>1000000000000</v>
      </c>
      <c r="BE170" s="182">
        <f ca="1">IF($D170&lt;&gt;"Serviço",0,IF(OR(AND(AUTOEVENTO="Manual",$M170=1),$M170&gt;(ROW(PLE.lastrow)-ROW(PLE.firstrow))),0,IF(OFFSET(PLE!$G$14,$M170,BE$13)="",10^12,OFFSET(PLE!$G$14,$M170,BE$13))))</f>
        <v>1000000000000</v>
      </c>
      <c r="BF170" s="182">
        <f ca="1">IF($D170&lt;&gt;"Serviço",0,IF(OR(AND(AUTOEVENTO="Manual",$M170=1),$M170&gt;(ROW(PLE.lastrow)-ROW(PLE.firstrow))),0,IF(OFFSET(PLE!$G$14,$M170,BF$13)="",10^12,OFFSET(PLE!$G$14,$M170,BF$13))))</f>
        <v>1000000000000</v>
      </c>
      <c r="BG170" s="182">
        <f ca="1">IF($D170&lt;&gt;"Serviço",0,IF(OR(AND(AUTOEVENTO="Manual",$M170=1),$M170&gt;(ROW(PLE.lastrow)-ROW(PLE.firstrow))),0,IF(OFFSET(PLE!$G$14,$M170,BG$13)="",10^12,OFFSET(PLE!$G$14,$M170,BG$13))))</f>
        <v>1000000000000</v>
      </c>
    </row>
    <row r="171" spans="1:59" ht="38.25" x14ac:dyDescent="0.2">
      <c r="A171" s="7" t="str">
        <f t="shared" ca="1" si="10"/>
        <v>71</v>
      </c>
      <c r="B171" s="7" t="str">
        <f ca="1">OFFSET(ORÇAMENTO!C$15,ROW(B171)-ROW(B$15),0)</f>
        <v>S</v>
      </c>
      <c r="C171" s="7" t="str">
        <f ca="1">OFFSET(ORÇAMENTO!L$15,ROW(C171)-ROW(C$15),0)</f>
        <v>F</v>
      </c>
      <c r="D171" s="118" t="str">
        <f ca="1">OFFSET(ORÇAMENTO!N$15,ROW(D171)-ROW(D$15),0)</f>
        <v>Serviço</v>
      </c>
      <c r="E171" s="119" t="str">
        <f ca="1">OFFSET(ORÇAMENTO!O$15,ROW(E171)-ROW(E$15),0)</f>
        <v>1.6.16.15.</v>
      </c>
      <c r="F171" s="172" t="str">
        <f ca="1">OFFSET(ORÇAMENTO!R$15,ROW(F171)-ROW(F$15),0)</f>
        <v>(abra o arquivo 'Referência 03-2024.xlsm)</v>
      </c>
      <c r="G171" s="173" t="str">
        <f ca="1">IF($D171&lt;&gt;"Serviço","",OFFSET(ORÇAMENTO!S$15,ROW(G171)-ROW(G$15),0))</f>
        <v>-</v>
      </c>
      <c r="H171" s="124">
        <f ca="1">IF($D171&lt;&gt;"Serviço",0,IF(ACOMPANHAMENTO="BM",ROUND(OFFSET(ORÇAMENTO!AJ$15,ROW(H171)-ROW(H$15),0),15-13*ORÇAMENTO!$AF$7),SUMPRODUCT(($Q$12:$AA$12&lt;&gt;"")*ROUND($Q171:$AA171,15-13*ORÇAMENTO!$AF$7))))</f>
        <v>4</v>
      </c>
      <c r="I171" s="561"/>
      <c r="K171" s="174"/>
      <c r="L171" s="175" t="s">
        <v>255</v>
      </c>
      <c r="M171" s="176">
        <f ca="1">IF($D171&lt;&gt;"Serviço","",IF(AUTOEVENTO="manual",$A171,IF(ISERROR(MATCH($A171,$A$15:OFFSET($A171,-1,0),0)),MAX($M$15:OFFSET(M171,-1,0))+1,INDEX($M$15:OFFSET(M171,-1,0),MATCH($A171,$A$15:OFFSET($A171,-1,0),0)))))</f>
        <v>7</v>
      </c>
      <c r="N171" s="177" t="str">
        <f ca="1">IF($D171&lt;&gt;"Serviço","",IF(AUTOEVENTO="Manual",IF($A171=0,"&lt;-- defina o número do agrupador",OFFSET(EVENTOS!$D$14,$A171,0)),OFFSET($F$15,$A171,0)))</f>
        <v>SANITÁRIO PÚBLICO ACESSÍVEL</v>
      </c>
      <c r="O171" s="178"/>
      <c r="Q171" s="178"/>
      <c r="R171" s="179"/>
      <c r="S171" s="179"/>
      <c r="T171" s="179"/>
      <c r="U171" s="179"/>
      <c r="V171" s="179"/>
      <c r="W171" s="179"/>
      <c r="X171" s="179"/>
      <c r="Y171" s="179"/>
      <c r="Z171" s="180"/>
      <c r="AB171" s="544">
        <f ca="1">IF(AND($D171="Serviço",AB$12&lt;&gt;0,$H171&gt;0,OR(AUTOEVENTO&lt;&gt;"manual",$M171&lt;&gt;1)),
IF(Import.TipoArredondamento&lt;&gt;"TransfereGOV",
ROUND(OFFSET($P171,0,AB$13),15-13*ORÇAMENTO!$AF$7)/$H171*OFFSET(ORÇAMENTO!$X$15,ROW(AB171)-ROW(AB$15),0),
ROUND(ROUND(OFFSET($P171,0,AB$13),15-13*ORÇAMENTO!$AF$7)*OFFSET(ORÇAMENTO!$W$15,ROW(AB171)-ROW(AB$15),0),15-13*ORÇAMENTO!$AF$11)),0)</f>
        <v>0</v>
      </c>
      <c r="AC171" s="545">
        <f ca="1">IF(AND($D171="Serviço",AC$12&lt;&gt;0,$H171&gt;0,OR(AUTOEVENTO&lt;&gt;"manual",$M171&lt;&gt;1)),
IF(Import.TipoArredondamento&lt;&gt;"TransfereGOV",
ROUND(OFFSET($P171,0,AC$13),15-13*ORÇAMENTO!$AF$7)/$H171*OFFSET(ORÇAMENTO!$X$15,ROW(AC171)-ROW(AC$15),0),
ROUND(ROUND(OFFSET($P171,0,AC$13),15-13*ORÇAMENTO!$AF$7)*OFFSET(ORÇAMENTO!$W$15,ROW(AC171)-ROW(AC$15),0),15-13*ORÇAMENTO!$AF$11)),0)</f>
        <v>0</v>
      </c>
      <c r="AD171" s="545">
        <f ca="1">IF(AND($D171="Serviço",AD$12&lt;&gt;0,$H171&gt;0,OR(AUTOEVENTO&lt;&gt;"manual",$M171&lt;&gt;1)),
IF(Import.TipoArredondamento&lt;&gt;"TransfereGOV",
ROUND(OFFSET($P171,0,AD$13),15-13*ORÇAMENTO!$AF$7)/$H171*OFFSET(ORÇAMENTO!$X$15,ROW(AD171)-ROW(AD$15),0),
ROUND(ROUND(OFFSET($P171,0,AD$13),15-13*ORÇAMENTO!$AF$7)*OFFSET(ORÇAMENTO!$W$15,ROW(AD171)-ROW(AD$15),0),15-13*ORÇAMENTO!$AF$11)),0)</f>
        <v>0</v>
      </c>
      <c r="AE171" s="545">
        <f ca="1">IF(AND($D171="Serviço",AE$12&lt;&gt;0,$H171&gt;0,OR(AUTOEVENTO&lt;&gt;"manual",$M171&lt;&gt;1)),
IF(Import.TipoArredondamento&lt;&gt;"TransfereGOV",
ROUND(OFFSET($P171,0,AE$13),15-13*ORÇAMENTO!$AF$7)/$H171*OFFSET(ORÇAMENTO!$X$15,ROW(AE171)-ROW(AE$15),0),
ROUND(ROUND(OFFSET($P171,0,AE$13),15-13*ORÇAMENTO!$AF$7)*OFFSET(ORÇAMENTO!$W$15,ROW(AE171)-ROW(AE$15),0),15-13*ORÇAMENTO!$AF$11)),0)</f>
        <v>0</v>
      </c>
      <c r="AF171" s="545">
        <f ca="1">IF(AND($D171="Serviço",AF$12&lt;&gt;0,$H171&gt;0,OR(AUTOEVENTO&lt;&gt;"manual",$M171&lt;&gt;1)),
IF(Import.TipoArredondamento&lt;&gt;"TransfereGOV",
ROUND(OFFSET($P171,0,AF$13),15-13*ORÇAMENTO!$AF$7)/$H171*OFFSET(ORÇAMENTO!$X$15,ROW(AF171)-ROW(AF$15),0),
ROUND(ROUND(OFFSET($P171,0,AF$13),15-13*ORÇAMENTO!$AF$7)*OFFSET(ORÇAMENTO!$W$15,ROW(AF171)-ROW(AF$15),0),15-13*ORÇAMENTO!$AF$11)),0)</f>
        <v>0</v>
      </c>
      <c r="AG171" s="545">
        <f ca="1">IF(AND($D171="Serviço",AG$12&lt;&gt;0,$H171&gt;0,OR(AUTOEVENTO&lt;&gt;"manual",$M171&lt;&gt;1)),
IF(Import.TipoArredondamento&lt;&gt;"TransfereGOV",
ROUND(OFFSET($P171,0,AG$13),15-13*ORÇAMENTO!$AF$7)/$H171*OFFSET(ORÇAMENTO!$X$15,ROW(AG171)-ROW(AG$15),0),
ROUND(ROUND(OFFSET($P171,0,AG$13),15-13*ORÇAMENTO!$AF$7)*OFFSET(ORÇAMENTO!$W$15,ROW(AG171)-ROW(AG$15),0),15-13*ORÇAMENTO!$AF$11)),0)</f>
        <v>0</v>
      </c>
      <c r="AH171" s="545">
        <f ca="1">IF(AND($D171="Serviço",AH$12&lt;&gt;0,$H171&gt;0,OR(AUTOEVENTO&lt;&gt;"manual",$M171&lt;&gt;1)),
IF(Import.TipoArredondamento&lt;&gt;"TransfereGOV",
ROUND(OFFSET($P171,0,AH$13),15-13*ORÇAMENTO!$AF$7)/$H171*OFFSET(ORÇAMENTO!$X$15,ROW(AH171)-ROW(AH$15),0),
ROUND(ROUND(OFFSET($P171,0,AH$13),15-13*ORÇAMENTO!$AF$7)*OFFSET(ORÇAMENTO!$W$15,ROW(AH171)-ROW(AH$15),0),15-13*ORÇAMENTO!$AF$11)),0)</f>
        <v>0</v>
      </c>
      <c r="AI171" s="545">
        <f ca="1">IF(AND($D171="Serviço",AI$12&lt;&gt;0,$H171&gt;0,OR(AUTOEVENTO&lt;&gt;"manual",$M171&lt;&gt;1)),
IF(Import.TipoArredondamento&lt;&gt;"TransfereGOV",
ROUND(OFFSET($P171,0,AI$13),15-13*ORÇAMENTO!$AF$7)/$H171*OFFSET(ORÇAMENTO!$X$15,ROW(AI171)-ROW(AI$15),0),
ROUND(ROUND(OFFSET($P171,0,AI$13),15-13*ORÇAMENTO!$AF$7)*OFFSET(ORÇAMENTO!$W$15,ROW(AI171)-ROW(AI$15),0),15-13*ORÇAMENTO!$AF$11)),0)</f>
        <v>0</v>
      </c>
      <c r="AJ171" s="545">
        <f ca="1">IF(AND($D171="Serviço",AJ$12&lt;&gt;0,$H171&gt;0,OR(AUTOEVENTO&lt;&gt;"manual",$M171&lt;&gt;1)),
IF(Import.TipoArredondamento&lt;&gt;"TransfereGOV",
ROUND(OFFSET($P171,0,AJ$13),15-13*ORÇAMENTO!$AF$7)/$H171*OFFSET(ORÇAMENTO!$X$15,ROW(AJ171)-ROW(AJ$15),0),
ROUND(ROUND(OFFSET($P171,0,AJ$13),15-13*ORÇAMENTO!$AF$7)*OFFSET(ORÇAMENTO!$W$15,ROW(AJ171)-ROW(AJ$15),0),15-13*ORÇAMENTO!$AF$11)),0)</f>
        <v>0</v>
      </c>
      <c r="AK171" s="546">
        <f ca="1">IF(AND($D171="Serviço",AK$12&lt;&gt;0,$H171&gt;0,OR(AUTOEVENTO&lt;&gt;"manual",$M171&lt;&gt;1)),
IF(Import.TipoArredondamento&lt;&gt;"TransfereGOV",
ROUND(OFFSET($P171,0,AK$13),15-13*ORÇAMENTO!$AF$7)/$H171*OFFSET(ORÇAMENTO!$X$15,ROW(AK171)-ROW(AK$15),0),
ROUND(ROUND(OFFSET($P171,0,AK$13),15-13*ORÇAMENTO!$AF$7)*OFFSET(ORÇAMENTO!$W$15,ROW(AK171)-ROW(AK$15),0),15-13*ORÇAMENTO!$AF$11)),0)</f>
        <v>0</v>
      </c>
      <c r="AM171" s="181">
        <f ca="1">IF($D171&lt;&gt;"Serviço",0,IF(AND(AUTOEVENTO="Manual",$M171=1),0,IF(OFFSET(CRONOPLE!$F$14,$M171,AM$13)="",10^12,OFFSET(CRONOPLE!$F$14,$M171,AM$13))))</f>
        <v>1000000000000</v>
      </c>
      <c r="AN171" s="181">
        <f ca="1">IF($D171&lt;&gt;"Serviço",0,IF(AND(AUTOEVENTO="Manual",$M171=1),0,IF(OFFSET(CRONOPLE!$F$14,$M171,AN$13)="",10^12,OFFSET(CRONOPLE!$F$14,$M171,AN$13))))</f>
        <v>1000000000000</v>
      </c>
      <c r="AO171" s="181">
        <f ca="1">IF($D171&lt;&gt;"Serviço",0,IF(AND(AUTOEVENTO="Manual",$M171=1),0,IF(OFFSET(CRONOPLE!$F$14,$M171,AO$13)="",10^12,OFFSET(CRONOPLE!$F$14,$M171,AO$13))))</f>
        <v>1000000000000</v>
      </c>
      <c r="AP171" s="181">
        <f ca="1">IF($D171&lt;&gt;"Serviço",0,IF(AND(AUTOEVENTO="Manual",$M171=1),0,IF(OFFSET(CRONOPLE!$F$14,$M171,AP$13)="",10^12,OFFSET(CRONOPLE!$F$14,$M171,AP$13))))</f>
        <v>1000000000000</v>
      </c>
      <c r="AQ171" s="181">
        <f ca="1">IF($D171&lt;&gt;"Serviço",0,IF(AND(AUTOEVENTO="Manual",$M171=1),0,IF(OFFSET(CRONOPLE!$F$14,$M171,AQ$13)="",10^12,OFFSET(CRONOPLE!$F$14,$M171,AQ$13))))</f>
        <v>1000000000000</v>
      </c>
      <c r="AR171" s="181">
        <f ca="1">IF($D171&lt;&gt;"Serviço",0,IF(AND(AUTOEVENTO="Manual",$M171=1),0,IF(OFFSET(CRONOPLE!$F$14,$M171,AR$13)="",10^12,OFFSET(CRONOPLE!$F$14,$M171,AR$13))))</f>
        <v>1000000000000</v>
      </c>
      <c r="AS171" s="181">
        <f ca="1">IF($D171&lt;&gt;"Serviço",0,IF(AND(AUTOEVENTO="Manual",$M171=1),0,IF(OFFSET(CRONOPLE!$F$14,$M171,AS$13)="",10^12,OFFSET(CRONOPLE!$F$14,$M171,AS$13))))</f>
        <v>1000000000000</v>
      </c>
      <c r="AT171" s="181">
        <f ca="1">IF($D171&lt;&gt;"Serviço",0,IF(AND(AUTOEVENTO="Manual",$M171=1),0,IF(OFFSET(CRONOPLE!$F$14,$M171,AT$13)="",10^12,OFFSET(CRONOPLE!$F$14,$M171,AT$13))))</f>
        <v>1000000000000</v>
      </c>
      <c r="AU171" s="181">
        <f ca="1">IF($D171&lt;&gt;"Serviço",0,IF(AND(AUTOEVENTO="Manual",$M171=1),0,IF(OFFSET(CRONOPLE!$F$14,$M171,AU$13)="",10^12,OFFSET(CRONOPLE!$F$14,$M171,AU$13))))</f>
        <v>1000000000000</v>
      </c>
      <c r="AV171" s="181">
        <f ca="1">IF($D171&lt;&gt;"Serviço",0,IF(AND(AUTOEVENTO="Manual",$M171=1),0,IF(OFFSET(CRONOPLE!$F$14,$M171,AV$13)="",10^12,OFFSET(CRONOPLE!$F$14,$M171,AV$13))))</f>
        <v>1000000000000</v>
      </c>
      <c r="AX171" s="182">
        <f ca="1">IF($D171&lt;&gt;"Serviço",0,IF(OR(AND(AUTOEVENTO="Manual",$M171=1),$M171&gt;(ROW(PLE.lastrow)-ROW(PLE.firstrow))),0,IF(OFFSET(PLE!$G$14,$M171,AX$13)="",10^12,OFFSET(PLE!$G$14,$M171,AX$13))))</f>
        <v>1000000000000</v>
      </c>
      <c r="AY171" s="182">
        <f ca="1">IF($D171&lt;&gt;"Serviço",0,IF(OR(AND(AUTOEVENTO="Manual",$M171=1),$M171&gt;(ROW(PLE.lastrow)-ROW(PLE.firstrow))),0,IF(OFFSET(PLE!$G$14,$M171,AY$13)="",10^12,OFFSET(PLE!$G$14,$M171,AY$13))))</f>
        <v>1000000000000</v>
      </c>
      <c r="AZ171" s="182">
        <f ca="1">IF($D171&lt;&gt;"Serviço",0,IF(OR(AND(AUTOEVENTO="Manual",$M171=1),$M171&gt;(ROW(PLE.lastrow)-ROW(PLE.firstrow))),0,IF(OFFSET(PLE!$G$14,$M171,AZ$13)="",10^12,OFFSET(PLE!$G$14,$M171,AZ$13))))</f>
        <v>1000000000000</v>
      </c>
      <c r="BA171" s="182">
        <f ca="1">IF($D171&lt;&gt;"Serviço",0,IF(OR(AND(AUTOEVENTO="Manual",$M171=1),$M171&gt;(ROW(PLE.lastrow)-ROW(PLE.firstrow))),0,IF(OFFSET(PLE!$G$14,$M171,BA$13)="",10^12,OFFSET(PLE!$G$14,$M171,BA$13))))</f>
        <v>1000000000000</v>
      </c>
      <c r="BB171" s="182">
        <f ca="1">IF($D171&lt;&gt;"Serviço",0,IF(OR(AND(AUTOEVENTO="Manual",$M171=1),$M171&gt;(ROW(PLE.lastrow)-ROW(PLE.firstrow))),0,IF(OFFSET(PLE!$G$14,$M171,BB$13)="",10^12,OFFSET(PLE!$G$14,$M171,BB$13))))</f>
        <v>1000000000000</v>
      </c>
      <c r="BC171" s="182">
        <f ca="1">IF($D171&lt;&gt;"Serviço",0,IF(OR(AND(AUTOEVENTO="Manual",$M171=1),$M171&gt;(ROW(PLE.lastrow)-ROW(PLE.firstrow))),0,IF(OFFSET(PLE!$G$14,$M171,BC$13)="",10^12,OFFSET(PLE!$G$14,$M171,BC$13))))</f>
        <v>1000000000000</v>
      </c>
      <c r="BD171" s="182">
        <f ca="1">IF($D171&lt;&gt;"Serviço",0,IF(OR(AND(AUTOEVENTO="Manual",$M171=1),$M171&gt;(ROW(PLE.lastrow)-ROW(PLE.firstrow))),0,IF(OFFSET(PLE!$G$14,$M171,BD$13)="",10^12,OFFSET(PLE!$G$14,$M171,BD$13))))</f>
        <v>1000000000000</v>
      </c>
      <c r="BE171" s="182">
        <f ca="1">IF($D171&lt;&gt;"Serviço",0,IF(OR(AND(AUTOEVENTO="Manual",$M171=1),$M171&gt;(ROW(PLE.lastrow)-ROW(PLE.firstrow))),0,IF(OFFSET(PLE!$G$14,$M171,BE$13)="",10^12,OFFSET(PLE!$G$14,$M171,BE$13))))</f>
        <v>1000000000000</v>
      </c>
      <c r="BF171" s="182">
        <f ca="1">IF($D171&lt;&gt;"Serviço",0,IF(OR(AND(AUTOEVENTO="Manual",$M171=1),$M171&gt;(ROW(PLE.lastrow)-ROW(PLE.firstrow))),0,IF(OFFSET(PLE!$G$14,$M171,BF$13)="",10^12,OFFSET(PLE!$G$14,$M171,BF$13))))</f>
        <v>1000000000000</v>
      </c>
      <c r="BG171" s="182">
        <f ca="1">IF($D171&lt;&gt;"Serviço",0,IF(OR(AND(AUTOEVENTO="Manual",$M171=1),$M171&gt;(ROW(PLE.lastrow)-ROW(PLE.firstrow))),0,IF(OFFSET(PLE!$G$14,$M171,BG$13)="",10^12,OFFSET(PLE!$G$14,$M171,BG$13))))</f>
        <v>1000000000000</v>
      </c>
    </row>
    <row r="172" spans="1:59" ht="25.5" x14ac:dyDescent="0.2">
      <c r="A172" s="7" t="str">
        <f t="shared" ca="1" si="10"/>
        <v>71</v>
      </c>
      <c r="B172" s="7" t="str">
        <f ca="1">OFFSET(ORÇAMENTO!C$15,ROW(B172)-ROW(B$15),0)</f>
        <v>S</v>
      </c>
      <c r="C172" s="7" t="str">
        <f ca="1">OFFSET(ORÇAMENTO!L$15,ROW(C172)-ROW(C$15),0)</f>
        <v>F</v>
      </c>
      <c r="D172" s="118" t="str">
        <f ca="1">OFFSET(ORÇAMENTO!N$15,ROW(D172)-ROW(D$15),0)</f>
        <v>Serviço</v>
      </c>
      <c r="E172" s="119" t="str">
        <f ca="1">OFFSET(ORÇAMENTO!O$15,ROW(E172)-ROW(E$15),0)</f>
        <v>1.6.16.16.</v>
      </c>
      <c r="F172" s="172" t="str">
        <f ca="1">OFFSET(ORÇAMENTO!R$15,ROW(F172)-ROW(F$15),0)</f>
        <v>(abra o arquivo 'Referência 03-2024.xlsm)</v>
      </c>
      <c r="G172" s="173" t="str">
        <f ca="1">IF($D172&lt;&gt;"Serviço","",OFFSET(ORÇAMENTO!S$15,ROW(G172)-ROW(G$15),0))</f>
        <v>-</v>
      </c>
      <c r="H172" s="124">
        <f ca="1">IF($D172&lt;&gt;"Serviço",0,IF(ACOMPANHAMENTO="BM",ROUND(OFFSET(ORÇAMENTO!AJ$15,ROW(H172)-ROW(H$15),0),15-13*ORÇAMENTO!$AF$7),SUMPRODUCT(($Q$12:$AA$12&lt;&gt;"")*ROUND($Q172:$AA172,15-13*ORÇAMENTO!$AF$7))))</f>
        <v>2</v>
      </c>
      <c r="I172" s="561"/>
      <c r="K172" s="174"/>
      <c r="L172" s="175" t="s">
        <v>255</v>
      </c>
      <c r="M172" s="176">
        <f ca="1">IF($D172&lt;&gt;"Serviço","",IF(AUTOEVENTO="manual",$A172,IF(ISERROR(MATCH($A172,$A$15:OFFSET($A172,-1,0),0)),MAX($M$15:OFFSET(M172,-1,0))+1,INDEX($M$15:OFFSET(M172,-1,0),MATCH($A172,$A$15:OFFSET($A172,-1,0),0)))))</f>
        <v>7</v>
      </c>
      <c r="N172" s="177" t="str">
        <f ca="1">IF($D172&lt;&gt;"Serviço","",IF(AUTOEVENTO="Manual",IF($A172=0,"&lt;-- defina o número do agrupador",OFFSET(EVENTOS!$D$14,$A172,0)),OFFSET($F$15,$A172,0)))</f>
        <v>SANITÁRIO PÚBLICO ACESSÍVEL</v>
      </c>
      <c r="O172" s="178"/>
      <c r="Q172" s="178"/>
      <c r="R172" s="179"/>
      <c r="S172" s="179"/>
      <c r="T172" s="179"/>
      <c r="U172" s="179"/>
      <c r="V172" s="179"/>
      <c r="W172" s="179"/>
      <c r="X172" s="179"/>
      <c r="Y172" s="179"/>
      <c r="Z172" s="180"/>
      <c r="AB172" s="544">
        <f ca="1">IF(AND($D172="Serviço",AB$12&lt;&gt;0,$H172&gt;0,OR(AUTOEVENTO&lt;&gt;"manual",$M172&lt;&gt;1)),
IF(Import.TipoArredondamento&lt;&gt;"TransfereGOV",
ROUND(OFFSET($P172,0,AB$13),15-13*ORÇAMENTO!$AF$7)/$H172*OFFSET(ORÇAMENTO!$X$15,ROW(AB172)-ROW(AB$15),0),
ROUND(ROUND(OFFSET($P172,0,AB$13),15-13*ORÇAMENTO!$AF$7)*OFFSET(ORÇAMENTO!$W$15,ROW(AB172)-ROW(AB$15),0),15-13*ORÇAMENTO!$AF$11)),0)</f>
        <v>0</v>
      </c>
      <c r="AC172" s="545">
        <f ca="1">IF(AND($D172="Serviço",AC$12&lt;&gt;0,$H172&gt;0,OR(AUTOEVENTO&lt;&gt;"manual",$M172&lt;&gt;1)),
IF(Import.TipoArredondamento&lt;&gt;"TransfereGOV",
ROUND(OFFSET($P172,0,AC$13),15-13*ORÇAMENTO!$AF$7)/$H172*OFFSET(ORÇAMENTO!$X$15,ROW(AC172)-ROW(AC$15),0),
ROUND(ROUND(OFFSET($P172,0,AC$13),15-13*ORÇAMENTO!$AF$7)*OFFSET(ORÇAMENTO!$W$15,ROW(AC172)-ROW(AC$15),0),15-13*ORÇAMENTO!$AF$11)),0)</f>
        <v>0</v>
      </c>
      <c r="AD172" s="545">
        <f ca="1">IF(AND($D172="Serviço",AD$12&lt;&gt;0,$H172&gt;0,OR(AUTOEVENTO&lt;&gt;"manual",$M172&lt;&gt;1)),
IF(Import.TipoArredondamento&lt;&gt;"TransfereGOV",
ROUND(OFFSET($P172,0,AD$13),15-13*ORÇAMENTO!$AF$7)/$H172*OFFSET(ORÇAMENTO!$X$15,ROW(AD172)-ROW(AD$15),0),
ROUND(ROUND(OFFSET($P172,0,AD$13),15-13*ORÇAMENTO!$AF$7)*OFFSET(ORÇAMENTO!$W$15,ROW(AD172)-ROW(AD$15),0),15-13*ORÇAMENTO!$AF$11)),0)</f>
        <v>0</v>
      </c>
      <c r="AE172" s="545">
        <f ca="1">IF(AND($D172="Serviço",AE$12&lt;&gt;0,$H172&gt;0,OR(AUTOEVENTO&lt;&gt;"manual",$M172&lt;&gt;1)),
IF(Import.TipoArredondamento&lt;&gt;"TransfereGOV",
ROUND(OFFSET($P172,0,AE$13),15-13*ORÇAMENTO!$AF$7)/$H172*OFFSET(ORÇAMENTO!$X$15,ROW(AE172)-ROW(AE$15),0),
ROUND(ROUND(OFFSET($P172,0,AE$13),15-13*ORÇAMENTO!$AF$7)*OFFSET(ORÇAMENTO!$W$15,ROW(AE172)-ROW(AE$15),0),15-13*ORÇAMENTO!$AF$11)),0)</f>
        <v>0</v>
      </c>
      <c r="AF172" s="545">
        <f ca="1">IF(AND($D172="Serviço",AF$12&lt;&gt;0,$H172&gt;0,OR(AUTOEVENTO&lt;&gt;"manual",$M172&lt;&gt;1)),
IF(Import.TipoArredondamento&lt;&gt;"TransfereGOV",
ROUND(OFFSET($P172,0,AF$13),15-13*ORÇAMENTO!$AF$7)/$H172*OFFSET(ORÇAMENTO!$X$15,ROW(AF172)-ROW(AF$15),0),
ROUND(ROUND(OFFSET($P172,0,AF$13),15-13*ORÇAMENTO!$AF$7)*OFFSET(ORÇAMENTO!$W$15,ROW(AF172)-ROW(AF$15),0),15-13*ORÇAMENTO!$AF$11)),0)</f>
        <v>0</v>
      </c>
      <c r="AG172" s="545">
        <f ca="1">IF(AND($D172="Serviço",AG$12&lt;&gt;0,$H172&gt;0,OR(AUTOEVENTO&lt;&gt;"manual",$M172&lt;&gt;1)),
IF(Import.TipoArredondamento&lt;&gt;"TransfereGOV",
ROUND(OFFSET($P172,0,AG$13),15-13*ORÇAMENTO!$AF$7)/$H172*OFFSET(ORÇAMENTO!$X$15,ROW(AG172)-ROW(AG$15),0),
ROUND(ROUND(OFFSET($P172,0,AG$13),15-13*ORÇAMENTO!$AF$7)*OFFSET(ORÇAMENTO!$W$15,ROW(AG172)-ROW(AG$15),0),15-13*ORÇAMENTO!$AF$11)),0)</f>
        <v>0</v>
      </c>
      <c r="AH172" s="545">
        <f ca="1">IF(AND($D172="Serviço",AH$12&lt;&gt;0,$H172&gt;0,OR(AUTOEVENTO&lt;&gt;"manual",$M172&lt;&gt;1)),
IF(Import.TipoArredondamento&lt;&gt;"TransfereGOV",
ROUND(OFFSET($P172,0,AH$13),15-13*ORÇAMENTO!$AF$7)/$H172*OFFSET(ORÇAMENTO!$X$15,ROW(AH172)-ROW(AH$15),0),
ROUND(ROUND(OFFSET($P172,0,AH$13),15-13*ORÇAMENTO!$AF$7)*OFFSET(ORÇAMENTO!$W$15,ROW(AH172)-ROW(AH$15),0),15-13*ORÇAMENTO!$AF$11)),0)</f>
        <v>0</v>
      </c>
      <c r="AI172" s="545">
        <f ca="1">IF(AND($D172="Serviço",AI$12&lt;&gt;0,$H172&gt;0,OR(AUTOEVENTO&lt;&gt;"manual",$M172&lt;&gt;1)),
IF(Import.TipoArredondamento&lt;&gt;"TransfereGOV",
ROUND(OFFSET($P172,0,AI$13),15-13*ORÇAMENTO!$AF$7)/$H172*OFFSET(ORÇAMENTO!$X$15,ROW(AI172)-ROW(AI$15),0),
ROUND(ROUND(OFFSET($P172,0,AI$13),15-13*ORÇAMENTO!$AF$7)*OFFSET(ORÇAMENTO!$W$15,ROW(AI172)-ROW(AI$15),0),15-13*ORÇAMENTO!$AF$11)),0)</f>
        <v>0</v>
      </c>
      <c r="AJ172" s="545">
        <f ca="1">IF(AND($D172="Serviço",AJ$12&lt;&gt;0,$H172&gt;0,OR(AUTOEVENTO&lt;&gt;"manual",$M172&lt;&gt;1)),
IF(Import.TipoArredondamento&lt;&gt;"TransfereGOV",
ROUND(OFFSET($P172,0,AJ$13),15-13*ORÇAMENTO!$AF$7)/$H172*OFFSET(ORÇAMENTO!$X$15,ROW(AJ172)-ROW(AJ$15),0),
ROUND(ROUND(OFFSET($P172,0,AJ$13),15-13*ORÇAMENTO!$AF$7)*OFFSET(ORÇAMENTO!$W$15,ROW(AJ172)-ROW(AJ$15),0),15-13*ORÇAMENTO!$AF$11)),0)</f>
        <v>0</v>
      </c>
      <c r="AK172" s="546">
        <f ca="1">IF(AND($D172="Serviço",AK$12&lt;&gt;0,$H172&gt;0,OR(AUTOEVENTO&lt;&gt;"manual",$M172&lt;&gt;1)),
IF(Import.TipoArredondamento&lt;&gt;"TransfereGOV",
ROUND(OFFSET($P172,0,AK$13),15-13*ORÇAMENTO!$AF$7)/$H172*OFFSET(ORÇAMENTO!$X$15,ROW(AK172)-ROW(AK$15),0),
ROUND(ROUND(OFFSET($P172,0,AK$13),15-13*ORÇAMENTO!$AF$7)*OFFSET(ORÇAMENTO!$W$15,ROW(AK172)-ROW(AK$15),0),15-13*ORÇAMENTO!$AF$11)),0)</f>
        <v>0</v>
      </c>
      <c r="AM172" s="181">
        <f ca="1">IF($D172&lt;&gt;"Serviço",0,IF(AND(AUTOEVENTO="Manual",$M172=1),0,IF(OFFSET(CRONOPLE!$F$14,$M172,AM$13)="",10^12,OFFSET(CRONOPLE!$F$14,$M172,AM$13))))</f>
        <v>1000000000000</v>
      </c>
      <c r="AN172" s="181">
        <f ca="1">IF($D172&lt;&gt;"Serviço",0,IF(AND(AUTOEVENTO="Manual",$M172=1),0,IF(OFFSET(CRONOPLE!$F$14,$M172,AN$13)="",10^12,OFFSET(CRONOPLE!$F$14,$M172,AN$13))))</f>
        <v>1000000000000</v>
      </c>
      <c r="AO172" s="181">
        <f ca="1">IF($D172&lt;&gt;"Serviço",0,IF(AND(AUTOEVENTO="Manual",$M172=1),0,IF(OFFSET(CRONOPLE!$F$14,$M172,AO$13)="",10^12,OFFSET(CRONOPLE!$F$14,$M172,AO$13))))</f>
        <v>1000000000000</v>
      </c>
      <c r="AP172" s="181">
        <f ca="1">IF($D172&lt;&gt;"Serviço",0,IF(AND(AUTOEVENTO="Manual",$M172=1),0,IF(OFFSET(CRONOPLE!$F$14,$M172,AP$13)="",10^12,OFFSET(CRONOPLE!$F$14,$M172,AP$13))))</f>
        <v>1000000000000</v>
      </c>
      <c r="AQ172" s="181">
        <f ca="1">IF($D172&lt;&gt;"Serviço",0,IF(AND(AUTOEVENTO="Manual",$M172=1),0,IF(OFFSET(CRONOPLE!$F$14,$M172,AQ$13)="",10^12,OFFSET(CRONOPLE!$F$14,$M172,AQ$13))))</f>
        <v>1000000000000</v>
      </c>
      <c r="AR172" s="181">
        <f ca="1">IF($D172&lt;&gt;"Serviço",0,IF(AND(AUTOEVENTO="Manual",$M172=1),0,IF(OFFSET(CRONOPLE!$F$14,$M172,AR$13)="",10^12,OFFSET(CRONOPLE!$F$14,$M172,AR$13))))</f>
        <v>1000000000000</v>
      </c>
      <c r="AS172" s="181">
        <f ca="1">IF($D172&lt;&gt;"Serviço",0,IF(AND(AUTOEVENTO="Manual",$M172=1),0,IF(OFFSET(CRONOPLE!$F$14,$M172,AS$13)="",10^12,OFFSET(CRONOPLE!$F$14,$M172,AS$13))))</f>
        <v>1000000000000</v>
      </c>
      <c r="AT172" s="181">
        <f ca="1">IF($D172&lt;&gt;"Serviço",0,IF(AND(AUTOEVENTO="Manual",$M172=1),0,IF(OFFSET(CRONOPLE!$F$14,$M172,AT$13)="",10^12,OFFSET(CRONOPLE!$F$14,$M172,AT$13))))</f>
        <v>1000000000000</v>
      </c>
      <c r="AU172" s="181">
        <f ca="1">IF($D172&lt;&gt;"Serviço",0,IF(AND(AUTOEVENTO="Manual",$M172=1),0,IF(OFFSET(CRONOPLE!$F$14,$M172,AU$13)="",10^12,OFFSET(CRONOPLE!$F$14,$M172,AU$13))))</f>
        <v>1000000000000</v>
      </c>
      <c r="AV172" s="181">
        <f ca="1">IF($D172&lt;&gt;"Serviço",0,IF(AND(AUTOEVENTO="Manual",$M172=1),0,IF(OFFSET(CRONOPLE!$F$14,$M172,AV$13)="",10^12,OFFSET(CRONOPLE!$F$14,$M172,AV$13))))</f>
        <v>1000000000000</v>
      </c>
      <c r="AX172" s="182">
        <f ca="1">IF($D172&lt;&gt;"Serviço",0,IF(OR(AND(AUTOEVENTO="Manual",$M172=1),$M172&gt;(ROW(PLE.lastrow)-ROW(PLE.firstrow))),0,IF(OFFSET(PLE!$G$14,$M172,AX$13)="",10^12,OFFSET(PLE!$G$14,$M172,AX$13))))</f>
        <v>1000000000000</v>
      </c>
      <c r="AY172" s="182">
        <f ca="1">IF($D172&lt;&gt;"Serviço",0,IF(OR(AND(AUTOEVENTO="Manual",$M172=1),$M172&gt;(ROW(PLE.lastrow)-ROW(PLE.firstrow))),0,IF(OFFSET(PLE!$G$14,$M172,AY$13)="",10^12,OFFSET(PLE!$G$14,$M172,AY$13))))</f>
        <v>1000000000000</v>
      </c>
      <c r="AZ172" s="182">
        <f ca="1">IF($D172&lt;&gt;"Serviço",0,IF(OR(AND(AUTOEVENTO="Manual",$M172=1),$M172&gt;(ROW(PLE.lastrow)-ROW(PLE.firstrow))),0,IF(OFFSET(PLE!$G$14,$M172,AZ$13)="",10^12,OFFSET(PLE!$G$14,$M172,AZ$13))))</f>
        <v>1000000000000</v>
      </c>
      <c r="BA172" s="182">
        <f ca="1">IF($D172&lt;&gt;"Serviço",0,IF(OR(AND(AUTOEVENTO="Manual",$M172=1),$M172&gt;(ROW(PLE.lastrow)-ROW(PLE.firstrow))),0,IF(OFFSET(PLE!$G$14,$M172,BA$13)="",10^12,OFFSET(PLE!$G$14,$M172,BA$13))))</f>
        <v>1000000000000</v>
      </c>
      <c r="BB172" s="182">
        <f ca="1">IF($D172&lt;&gt;"Serviço",0,IF(OR(AND(AUTOEVENTO="Manual",$M172=1),$M172&gt;(ROW(PLE.lastrow)-ROW(PLE.firstrow))),0,IF(OFFSET(PLE!$G$14,$M172,BB$13)="",10^12,OFFSET(PLE!$G$14,$M172,BB$13))))</f>
        <v>1000000000000</v>
      </c>
      <c r="BC172" s="182">
        <f ca="1">IF($D172&lt;&gt;"Serviço",0,IF(OR(AND(AUTOEVENTO="Manual",$M172=1),$M172&gt;(ROW(PLE.lastrow)-ROW(PLE.firstrow))),0,IF(OFFSET(PLE!$G$14,$M172,BC$13)="",10^12,OFFSET(PLE!$G$14,$M172,BC$13))))</f>
        <v>1000000000000</v>
      </c>
      <c r="BD172" s="182">
        <f ca="1">IF($D172&lt;&gt;"Serviço",0,IF(OR(AND(AUTOEVENTO="Manual",$M172=1),$M172&gt;(ROW(PLE.lastrow)-ROW(PLE.firstrow))),0,IF(OFFSET(PLE!$G$14,$M172,BD$13)="",10^12,OFFSET(PLE!$G$14,$M172,BD$13))))</f>
        <v>1000000000000</v>
      </c>
      <c r="BE172" s="182">
        <f ca="1">IF($D172&lt;&gt;"Serviço",0,IF(OR(AND(AUTOEVENTO="Manual",$M172=1),$M172&gt;(ROW(PLE.lastrow)-ROW(PLE.firstrow))),0,IF(OFFSET(PLE!$G$14,$M172,BE$13)="",10^12,OFFSET(PLE!$G$14,$M172,BE$13))))</f>
        <v>1000000000000</v>
      </c>
      <c r="BF172" s="182">
        <f ca="1">IF($D172&lt;&gt;"Serviço",0,IF(OR(AND(AUTOEVENTO="Manual",$M172=1),$M172&gt;(ROW(PLE.lastrow)-ROW(PLE.firstrow))),0,IF(OFFSET(PLE!$G$14,$M172,BF$13)="",10^12,OFFSET(PLE!$G$14,$M172,BF$13))))</f>
        <v>1000000000000</v>
      </c>
      <c r="BG172" s="182">
        <f ca="1">IF($D172&lt;&gt;"Serviço",0,IF(OR(AND(AUTOEVENTO="Manual",$M172=1),$M172&gt;(ROW(PLE.lastrow)-ROW(PLE.firstrow))),0,IF(OFFSET(PLE!$G$14,$M172,BG$13)="",10^12,OFFSET(PLE!$G$14,$M172,BG$13))))</f>
        <v>1000000000000</v>
      </c>
    </row>
    <row r="173" spans="1:59" ht="25.5" x14ac:dyDescent="0.2">
      <c r="A173" s="7" t="str">
        <f t="shared" ca="1" si="10"/>
        <v>71</v>
      </c>
      <c r="B173" s="7" t="str">
        <f ca="1">OFFSET(ORÇAMENTO!C$15,ROW(B173)-ROW(B$15),0)</f>
        <v>S</v>
      </c>
      <c r="C173" s="7" t="str">
        <f ca="1">OFFSET(ORÇAMENTO!L$15,ROW(C173)-ROW(C$15),0)</f>
        <v>F</v>
      </c>
      <c r="D173" s="118" t="str">
        <f ca="1">OFFSET(ORÇAMENTO!N$15,ROW(D173)-ROW(D$15),0)</f>
        <v>Serviço</v>
      </c>
      <c r="E173" s="119" t="str">
        <f ca="1">OFFSET(ORÇAMENTO!O$15,ROW(E173)-ROW(E$15),0)</f>
        <v>1.6.16.17.</v>
      </c>
      <c r="F173" s="172" t="str">
        <f ca="1">OFFSET(ORÇAMENTO!R$15,ROW(F173)-ROW(F$15),0)</f>
        <v>(abra o arquivo 'Referência 03-2024.xlsm)</v>
      </c>
      <c r="G173" s="173" t="str">
        <f ca="1">IF($D173&lt;&gt;"Serviço","",OFFSET(ORÇAMENTO!S$15,ROW(G173)-ROW(G$15),0))</f>
        <v>-</v>
      </c>
      <c r="H173" s="124">
        <f ca="1">IF($D173&lt;&gt;"Serviço",0,IF(ACOMPANHAMENTO="BM",ROUND(OFFSET(ORÇAMENTO!AJ$15,ROW(H173)-ROW(H$15),0),15-13*ORÇAMENTO!$AF$7),SUMPRODUCT(($Q$12:$AA$12&lt;&gt;"")*ROUND($Q173:$AA173,15-13*ORÇAMENTO!$AF$7))))</f>
        <v>2</v>
      </c>
      <c r="I173" s="561"/>
      <c r="K173" s="174"/>
      <c r="L173" s="175" t="s">
        <v>255</v>
      </c>
      <c r="M173" s="176">
        <f ca="1">IF($D173&lt;&gt;"Serviço","",IF(AUTOEVENTO="manual",$A173,IF(ISERROR(MATCH($A173,$A$15:OFFSET($A173,-1,0),0)),MAX($M$15:OFFSET(M173,-1,0))+1,INDEX($M$15:OFFSET(M173,-1,0),MATCH($A173,$A$15:OFFSET($A173,-1,0),0)))))</f>
        <v>7</v>
      </c>
      <c r="N173" s="177" t="str">
        <f ca="1">IF($D173&lt;&gt;"Serviço","",IF(AUTOEVENTO="Manual",IF($A173=0,"&lt;-- defina o número do agrupador",OFFSET(EVENTOS!$D$14,$A173,0)),OFFSET($F$15,$A173,0)))</f>
        <v>SANITÁRIO PÚBLICO ACESSÍVEL</v>
      </c>
      <c r="O173" s="178"/>
      <c r="Q173" s="178"/>
      <c r="R173" s="179"/>
      <c r="S173" s="179"/>
      <c r="T173" s="179"/>
      <c r="U173" s="179"/>
      <c r="V173" s="179"/>
      <c r="W173" s="179"/>
      <c r="X173" s="179"/>
      <c r="Y173" s="179"/>
      <c r="Z173" s="180"/>
      <c r="AB173" s="544">
        <f ca="1">IF(AND($D173="Serviço",AB$12&lt;&gt;0,$H173&gt;0,OR(AUTOEVENTO&lt;&gt;"manual",$M173&lt;&gt;1)),
IF(Import.TipoArredondamento&lt;&gt;"TransfereGOV",
ROUND(OFFSET($P173,0,AB$13),15-13*ORÇAMENTO!$AF$7)/$H173*OFFSET(ORÇAMENTO!$X$15,ROW(AB173)-ROW(AB$15),0),
ROUND(ROUND(OFFSET($P173,0,AB$13),15-13*ORÇAMENTO!$AF$7)*OFFSET(ORÇAMENTO!$W$15,ROW(AB173)-ROW(AB$15),0),15-13*ORÇAMENTO!$AF$11)),0)</f>
        <v>0</v>
      </c>
      <c r="AC173" s="545">
        <f ca="1">IF(AND($D173="Serviço",AC$12&lt;&gt;0,$H173&gt;0,OR(AUTOEVENTO&lt;&gt;"manual",$M173&lt;&gt;1)),
IF(Import.TipoArredondamento&lt;&gt;"TransfereGOV",
ROUND(OFFSET($P173,0,AC$13),15-13*ORÇAMENTO!$AF$7)/$H173*OFFSET(ORÇAMENTO!$X$15,ROW(AC173)-ROW(AC$15),0),
ROUND(ROUND(OFFSET($P173,0,AC$13),15-13*ORÇAMENTO!$AF$7)*OFFSET(ORÇAMENTO!$W$15,ROW(AC173)-ROW(AC$15),0),15-13*ORÇAMENTO!$AF$11)),0)</f>
        <v>0</v>
      </c>
      <c r="AD173" s="545">
        <f ca="1">IF(AND($D173="Serviço",AD$12&lt;&gt;0,$H173&gt;0,OR(AUTOEVENTO&lt;&gt;"manual",$M173&lt;&gt;1)),
IF(Import.TipoArredondamento&lt;&gt;"TransfereGOV",
ROUND(OFFSET($P173,0,AD$13),15-13*ORÇAMENTO!$AF$7)/$H173*OFFSET(ORÇAMENTO!$X$15,ROW(AD173)-ROW(AD$15),0),
ROUND(ROUND(OFFSET($P173,0,AD$13),15-13*ORÇAMENTO!$AF$7)*OFFSET(ORÇAMENTO!$W$15,ROW(AD173)-ROW(AD$15),0),15-13*ORÇAMENTO!$AF$11)),0)</f>
        <v>0</v>
      </c>
      <c r="AE173" s="545">
        <f ca="1">IF(AND($D173="Serviço",AE$12&lt;&gt;0,$H173&gt;0,OR(AUTOEVENTO&lt;&gt;"manual",$M173&lt;&gt;1)),
IF(Import.TipoArredondamento&lt;&gt;"TransfereGOV",
ROUND(OFFSET($P173,0,AE$13),15-13*ORÇAMENTO!$AF$7)/$H173*OFFSET(ORÇAMENTO!$X$15,ROW(AE173)-ROW(AE$15),0),
ROUND(ROUND(OFFSET($P173,0,AE$13),15-13*ORÇAMENTO!$AF$7)*OFFSET(ORÇAMENTO!$W$15,ROW(AE173)-ROW(AE$15),0),15-13*ORÇAMENTO!$AF$11)),0)</f>
        <v>0</v>
      </c>
      <c r="AF173" s="545">
        <f ca="1">IF(AND($D173="Serviço",AF$12&lt;&gt;0,$H173&gt;0,OR(AUTOEVENTO&lt;&gt;"manual",$M173&lt;&gt;1)),
IF(Import.TipoArredondamento&lt;&gt;"TransfereGOV",
ROUND(OFFSET($P173,0,AF$13),15-13*ORÇAMENTO!$AF$7)/$H173*OFFSET(ORÇAMENTO!$X$15,ROW(AF173)-ROW(AF$15),0),
ROUND(ROUND(OFFSET($P173,0,AF$13),15-13*ORÇAMENTO!$AF$7)*OFFSET(ORÇAMENTO!$W$15,ROW(AF173)-ROW(AF$15),0),15-13*ORÇAMENTO!$AF$11)),0)</f>
        <v>0</v>
      </c>
      <c r="AG173" s="545">
        <f ca="1">IF(AND($D173="Serviço",AG$12&lt;&gt;0,$H173&gt;0,OR(AUTOEVENTO&lt;&gt;"manual",$M173&lt;&gt;1)),
IF(Import.TipoArredondamento&lt;&gt;"TransfereGOV",
ROUND(OFFSET($P173,0,AG$13),15-13*ORÇAMENTO!$AF$7)/$H173*OFFSET(ORÇAMENTO!$X$15,ROW(AG173)-ROW(AG$15),0),
ROUND(ROUND(OFFSET($P173,0,AG$13),15-13*ORÇAMENTO!$AF$7)*OFFSET(ORÇAMENTO!$W$15,ROW(AG173)-ROW(AG$15),0),15-13*ORÇAMENTO!$AF$11)),0)</f>
        <v>0</v>
      </c>
      <c r="AH173" s="545">
        <f ca="1">IF(AND($D173="Serviço",AH$12&lt;&gt;0,$H173&gt;0,OR(AUTOEVENTO&lt;&gt;"manual",$M173&lt;&gt;1)),
IF(Import.TipoArredondamento&lt;&gt;"TransfereGOV",
ROUND(OFFSET($P173,0,AH$13),15-13*ORÇAMENTO!$AF$7)/$H173*OFFSET(ORÇAMENTO!$X$15,ROW(AH173)-ROW(AH$15),0),
ROUND(ROUND(OFFSET($P173,0,AH$13),15-13*ORÇAMENTO!$AF$7)*OFFSET(ORÇAMENTO!$W$15,ROW(AH173)-ROW(AH$15),0),15-13*ORÇAMENTO!$AF$11)),0)</f>
        <v>0</v>
      </c>
      <c r="AI173" s="545">
        <f ca="1">IF(AND($D173="Serviço",AI$12&lt;&gt;0,$H173&gt;0,OR(AUTOEVENTO&lt;&gt;"manual",$M173&lt;&gt;1)),
IF(Import.TipoArredondamento&lt;&gt;"TransfereGOV",
ROUND(OFFSET($P173,0,AI$13),15-13*ORÇAMENTO!$AF$7)/$H173*OFFSET(ORÇAMENTO!$X$15,ROW(AI173)-ROW(AI$15),0),
ROUND(ROUND(OFFSET($P173,0,AI$13),15-13*ORÇAMENTO!$AF$7)*OFFSET(ORÇAMENTO!$W$15,ROW(AI173)-ROW(AI$15),0),15-13*ORÇAMENTO!$AF$11)),0)</f>
        <v>0</v>
      </c>
      <c r="AJ173" s="545">
        <f ca="1">IF(AND($D173="Serviço",AJ$12&lt;&gt;0,$H173&gt;0,OR(AUTOEVENTO&lt;&gt;"manual",$M173&lt;&gt;1)),
IF(Import.TipoArredondamento&lt;&gt;"TransfereGOV",
ROUND(OFFSET($P173,0,AJ$13),15-13*ORÇAMENTO!$AF$7)/$H173*OFFSET(ORÇAMENTO!$X$15,ROW(AJ173)-ROW(AJ$15),0),
ROUND(ROUND(OFFSET($P173,0,AJ$13),15-13*ORÇAMENTO!$AF$7)*OFFSET(ORÇAMENTO!$W$15,ROW(AJ173)-ROW(AJ$15),0),15-13*ORÇAMENTO!$AF$11)),0)</f>
        <v>0</v>
      </c>
      <c r="AK173" s="546">
        <f ca="1">IF(AND($D173="Serviço",AK$12&lt;&gt;0,$H173&gt;0,OR(AUTOEVENTO&lt;&gt;"manual",$M173&lt;&gt;1)),
IF(Import.TipoArredondamento&lt;&gt;"TransfereGOV",
ROUND(OFFSET($P173,0,AK$13),15-13*ORÇAMENTO!$AF$7)/$H173*OFFSET(ORÇAMENTO!$X$15,ROW(AK173)-ROW(AK$15),0),
ROUND(ROUND(OFFSET($P173,0,AK$13),15-13*ORÇAMENTO!$AF$7)*OFFSET(ORÇAMENTO!$W$15,ROW(AK173)-ROW(AK$15),0),15-13*ORÇAMENTO!$AF$11)),0)</f>
        <v>0</v>
      </c>
      <c r="AM173" s="181">
        <f ca="1">IF($D173&lt;&gt;"Serviço",0,IF(AND(AUTOEVENTO="Manual",$M173=1),0,IF(OFFSET(CRONOPLE!$F$14,$M173,AM$13)="",10^12,OFFSET(CRONOPLE!$F$14,$M173,AM$13))))</f>
        <v>1000000000000</v>
      </c>
      <c r="AN173" s="181">
        <f ca="1">IF($D173&lt;&gt;"Serviço",0,IF(AND(AUTOEVENTO="Manual",$M173=1),0,IF(OFFSET(CRONOPLE!$F$14,$M173,AN$13)="",10^12,OFFSET(CRONOPLE!$F$14,$M173,AN$13))))</f>
        <v>1000000000000</v>
      </c>
      <c r="AO173" s="181">
        <f ca="1">IF($D173&lt;&gt;"Serviço",0,IF(AND(AUTOEVENTO="Manual",$M173=1),0,IF(OFFSET(CRONOPLE!$F$14,$M173,AO$13)="",10^12,OFFSET(CRONOPLE!$F$14,$M173,AO$13))))</f>
        <v>1000000000000</v>
      </c>
      <c r="AP173" s="181">
        <f ca="1">IF($D173&lt;&gt;"Serviço",0,IF(AND(AUTOEVENTO="Manual",$M173=1),0,IF(OFFSET(CRONOPLE!$F$14,$M173,AP$13)="",10^12,OFFSET(CRONOPLE!$F$14,$M173,AP$13))))</f>
        <v>1000000000000</v>
      </c>
      <c r="AQ173" s="181">
        <f ca="1">IF($D173&lt;&gt;"Serviço",0,IF(AND(AUTOEVENTO="Manual",$M173=1),0,IF(OFFSET(CRONOPLE!$F$14,$M173,AQ$13)="",10^12,OFFSET(CRONOPLE!$F$14,$M173,AQ$13))))</f>
        <v>1000000000000</v>
      </c>
      <c r="AR173" s="181">
        <f ca="1">IF($D173&lt;&gt;"Serviço",0,IF(AND(AUTOEVENTO="Manual",$M173=1),0,IF(OFFSET(CRONOPLE!$F$14,$M173,AR$13)="",10^12,OFFSET(CRONOPLE!$F$14,$M173,AR$13))))</f>
        <v>1000000000000</v>
      </c>
      <c r="AS173" s="181">
        <f ca="1">IF($D173&lt;&gt;"Serviço",0,IF(AND(AUTOEVENTO="Manual",$M173=1),0,IF(OFFSET(CRONOPLE!$F$14,$M173,AS$13)="",10^12,OFFSET(CRONOPLE!$F$14,$M173,AS$13))))</f>
        <v>1000000000000</v>
      </c>
      <c r="AT173" s="181">
        <f ca="1">IF($D173&lt;&gt;"Serviço",0,IF(AND(AUTOEVENTO="Manual",$M173=1),0,IF(OFFSET(CRONOPLE!$F$14,$M173,AT$13)="",10^12,OFFSET(CRONOPLE!$F$14,$M173,AT$13))))</f>
        <v>1000000000000</v>
      </c>
      <c r="AU173" s="181">
        <f ca="1">IF($D173&lt;&gt;"Serviço",0,IF(AND(AUTOEVENTO="Manual",$M173=1),0,IF(OFFSET(CRONOPLE!$F$14,$M173,AU$13)="",10^12,OFFSET(CRONOPLE!$F$14,$M173,AU$13))))</f>
        <v>1000000000000</v>
      </c>
      <c r="AV173" s="181">
        <f ca="1">IF($D173&lt;&gt;"Serviço",0,IF(AND(AUTOEVENTO="Manual",$M173=1),0,IF(OFFSET(CRONOPLE!$F$14,$M173,AV$13)="",10^12,OFFSET(CRONOPLE!$F$14,$M173,AV$13))))</f>
        <v>1000000000000</v>
      </c>
      <c r="AX173" s="182">
        <f ca="1">IF($D173&lt;&gt;"Serviço",0,IF(OR(AND(AUTOEVENTO="Manual",$M173=1),$M173&gt;(ROW(PLE.lastrow)-ROW(PLE.firstrow))),0,IF(OFFSET(PLE!$G$14,$M173,AX$13)="",10^12,OFFSET(PLE!$G$14,$M173,AX$13))))</f>
        <v>1000000000000</v>
      </c>
      <c r="AY173" s="182">
        <f ca="1">IF($D173&lt;&gt;"Serviço",0,IF(OR(AND(AUTOEVENTO="Manual",$M173=1),$M173&gt;(ROW(PLE.lastrow)-ROW(PLE.firstrow))),0,IF(OFFSET(PLE!$G$14,$M173,AY$13)="",10^12,OFFSET(PLE!$G$14,$M173,AY$13))))</f>
        <v>1000000000000</v>
      </c>
      <c r="AZ173" s="182">
        <f ca="1">IF($D173&lt;&gt;"Serviço",0,IF(OR(AND(AUTOEVENTO="Manual",$M173=1),$M173&gt;(ROW(PLE.lastrow)-ROW(PLE.firstrow))),0,IF(OFFSET(PLE!$G$14,$M173,AZ$13)="",10^12,OFFSET(PLE!$G$14,$M173,AZ$13))))</f>
        <v>1000000000000</v>
      </c>
      <c r="BA173" s="182">
        <f ca="1">IF($D173&lt;&gt;"Serviço",0,IF(OR(AND(AUTOEVENTO="Manual",$M173=1),$M173&gt;(ROW(PLE.lastrow)-ROW(PLE.firstrow))),0,IF(OFFSET(PLE!$G$14,$M173,BA$13)="",10^12,OFFSET(PLE!$G$14,$M173,BA$13))))</f>
        <v>1000000000000</v>
      </c>
      <c r="BB173" s="182">
        <f ca="1">IF($D173&lt;&gt;"Serviço",0,IF(OR(AND(AUTOEVENTO="Manual",$M173=1),$M173&gt;(ROW(PLE.lastrow)-ROW(PLE.firstrow))),0,IF(OFFSET(PLE!$G$14,$M173,BB$13)="",10^12,OFFSET(PLE!$G$14,$M173,BB$13))))</f>
        <v>1000000000000</v>
      </c>
      <c r="BC173" s="182">
        <f ca="1">IF($D173&lt;&gt;"Serviço",0,IF(OR(AND(AUTOEVENTO="Manual",$M173=1),$M173&gt;(ROW(PLE.lastrow)-ROW(PLE.firstrow))),0,IF(OFFSET(PLE!$G$14,$M173,BC$13)="",10^12,OFFSET(PLE!$G$14,$M173,BC$13))))</f>
        <v>1000000000000</v>
      </c>
      <c r="BD173" s="182">
        <f ca="1">IF($D173&lt;&gt;"Serviço",0,IF(OR(AND(AUTOEVENTO="Manual",$M173=1),$M173&gt;(ROW(PLE.lastrow)-ROW(PLE.firstrow))),0,IF(OFFSET(PLE!$G$14,$M173,BD$13)="",10^12,OFFSET(PLE!$G$14,$M173,BD$13))))</f>
        <v>1000000000000</v>
      </c>
      <c r="BE173" s="182">
        <f ca="1">IF($D173&lt;&gt;"Serviço",0,IF(OR(AND(AUTOEVENTO="Manual",$M173=1),$M173&gt;(ROW(PLE.lastrow)-ROW(PLE.firstrow))),0,IF(OFFSET(PLE!$G$14,$M173,BE$13)="",10^12,OFFSET(PLE!$G$14,$M173,BE$13))))</f>
        <v>1000000000000</v>
      </c>
      <c r="BF173" s="182">
        <f ca="1">IF($D173&lt;&gt;"Serviço",0,IF(OR(AND(AUTOEVENTO="Manual",$M173=1),$M173&gt;(ROW(PLE.lastrow)-ROW(PLE.firstrow))),0,IF(OFFSET(PLE!$G$14,$M173,BF$13)="",10^12,OFFSET(PLE!$G$14,$M173,BF$13))))</f>
        <v>1000000000000</v>
      </c>
      <c r="BG173" s="182">
        <f ca="1">IF($D173&lt;&gt;"Serviço",0,IF(OR(AND(AUTOEVENTO="Manual",$M173=1),$M173&gt;(ROW(PLE.lastrow)-ROW(PLE.firstrow))),0,IF(OFFSET(PLE!$G$14,$M173,BG$13)="",10^12,OFFSET(PLE!$G$14,$M173,BG$13))))</f>
        <v>1000000000000</v>
      </c>
    </row>
    <row r="174" spans="1:59" ht="51" x14ac:dyDescent="0.2">
      <c r="A174" s="7" t="str">
        <f t="shared" ca="1" si="10"/>
        <v>71</v>
      </c>
      <c r="B174" s="7" t="str">
        <f ca="1">OFFSET(ORÇAMENTO!C$15,ROW(B174)-ROW(B$15),0)</f>
        <v>S</v>
      </c>
      <c r="C174" s="7" t="str">
        <f ca="1">OFFSET(ORÇAMENTO!L$15,ROW(C174)-ROW(C$15),0)</f>
        <v>F</v>
      </c>
      <c r="D174" s="118" t="str">
        <f ca="1">OFFSET(ORÇAMENTO!N$15,ROW(D174)-ROW(D$15),0)</f>
        <v>Serviço</v>
      </c>
      <c r="E174" s="119" t="str">
        <f ca="1">OFFSET(ORÇAMENTO!O$15,ROW(E174)-ROW(E$15),0)</f>
        <v>1.6.16.18.</v>
      </c>
      <c r="F174" s="172" t="str">
        <f ca="1">OFFSET(ORÇAMENTO!R$15,ROW(F174)-ROW(F$15),0)</f>
        <v>(abra o arquivo 'Referência 03-2024.xlsm)</v>
      </c>
      <c r="G174" s="173" t="str">
        <f ca="1">IF($D174&lt;&gt;"Serviço","",OFFSET(ORÇAMENTO!S$15,ROW(G174)-ROW(G$15),0))</f>
        <v>-</v>
      </c>
      <c r="H174" s="124">
        <f ca="1">IF($D174&lt;&gt;"Serviço",0,IF(ACOMPANHAMENTO="BM",ROUND(OFFSET(ORÇAMENTO!AJ$15,ROW(H174)-ROW(H$15),0),15-13*ORÇAMENTO!$AF$7),SUMPRODUCT(($Q$12:$AA$12&lt;&gt;"")*ROUND($Q174:$AA174,15-13*ORÇAMENTO!$AF$7))))</f>
        <v>1</v>
      </c>
      <c r="I174" s="561"/>
      <c r="K174" s="174"/>
      <c r="L174" s="175" t="s">
        <v>255</v>
      </c>
      <c r="M174" s="176">
        <f ca="1">IF($D174&lt;&gt;"Serviço","",IF(AUTOEVENTO="manual",$A174,IF(ISERROR(MATCH($A174,$A$15:OFFSET($A174,-1,0),0)),MAX($M$15:OFFSET(M174,-1,0))+1,INDEX($M$15:OFFSET(M174,-1,0),MATCH($A174,$A$15:OFFSET($A174,-1,0),0)))))</f>
        <v>7</v>
      </c>
      <c r="N174" s="177" t="str">
        <f ca="1">IF($D174&lt;&gt;"Serviço","",IF(AUTOEVENTO="Manual",IF($A174=0,"&lt;-- defina o número do agrupador",OFFSET(EVENTOS!$D$14,$A174,0)),OFFSET($F$15,$A174,0)))</f>
        <v>SANITÁRIO PÚBLICO ACESSÍVEL</v>
      </c>
      <c r="O174" s="178"/>
      <c r="Q174" s="178"/>
      <c r="R174" s="179"/>
      <c r="S174" s="179"/>
      <c r="T174" s="179"/>
      <c r="U174" s="179"/>
      <c r="V174" s="179"/>
      <c r="W174" s="179"/>
      <c r="X174" s="179"/>
      <c r="Y174" s="179"/>
      <c r="Z174" s="180"/>
      <c r="AB174" s="544">
        <f ca="1">IF(AND($D174="Serviço",AB$12&lt;&gt;0,$H174&gt;0,OR(AUTOEVENTO&lt;&gt;"manual",$M174&lt;&gt;1)),
IF(Import.TipoArredondamento&lt;&gt;"TransfereGOV",
ROUND(OFFSET($P174,0,AB$13),15-13*ORÇAMENTO!$AF$7)/$H174*OFFSET(ORÇAMENTO!$X$15,ROW(AB174)-ROW(AB$15),0),
ROUND(ROUND(OFFSET($P174,0,AB$13),15-13*ORÇAMENTO!$AF$7)*OFFSET(ORÇAMENTO!$W$15,ROW(AB174)-ROW(AB$15),0),15-13*ORÇAMENTO!$AF$11)),0)</f>
        <v>0</v>
      </c>
      <c r="AC174" s="545">
        <f ca="1">IF(AND($D174="Serviço",AC$12&lt;&gt;0,$H174&gt;0,OR(AUTOEVENTO&lt;&gt;"manual",$M174&lt;&gt;1)),
IF(Import.TipoArredondamento&lt;&gt;"TransfereGOV",
ROUND(OFFSET($P174,0,AC$13),15-13*ORÇAMENTO!$AF$7)/$H174*OFFSET(ORÇAMENTO!$X$15,ROW(AC174)-ROW(AC$15),0),
ROUND(ROUND(OFFSET($P174,0,AC$13),15-13*ORÇAMENTO!$AF$7)*OFFSET(ORÇAMENTO!$W$15,ROW(AC174)-ROW(AC$15),0),15-13*ORÇAMENTO!$AF$11)),0)</f>
        <v>0</v>
      </c>
      <c r="AD174" s="545">
        <f ca="1">IF(AND($D174="Serviço",AD$12&lt;&gt;0,$H174&gt;0,OR(AUTOEVENTO&lt;&gt;"manual",$M174&lt;&gt;1)),
IF(Import.TipoArredondamento&lt;&gt;"TransfereGOV",
ROUND(OFFSET($P174,0,AD$13),15-13*ORÇAMENTO!$AF$7)/$H174*OFFSET(ORÇAMENTO!$X$15,ROW(AD174)-ROW(AD$15),0),
ROUND(ROUND(OFFSET($P174,0,AD$13),15-13*ORÇAMENTO!$AF$7)*OFFSET(ORÇAMENTO!$W$15,ROW(AD174)-ROW(AD$15),0),15-13*ORÇAMENTO!$AF$11)),0)</f>
        <v>0</v>
      </c>
      <c r="AE174" s="545">
        <f ca="1">IF(AND($D174="Serviço",AE$12&lt;&gt;0,$H174&gt;0,OR(AUTOEVENTO&lt;&gt;"manual",$M174&lt;&gt;1)),
IF(Import.TipoArredondamento&lt;&gt;"TransfereGOV",
ROUND(OFFSET($P174,0,AE$13),15-13*ORÇAMENTO!$AF$7)/$H174*OFFSET(ORÇAMENTO!$X$15,ROW(AE174)-ROW(AE$15),0),
ROUND(ROUND(OFFSET($P174,0,AE$13),15-13*ORÇAMENTO!$AF$7)*OFFSET(ORÇAMENTO!$W$15,ROW(AE174)-ROW(AE$15),0),15-13*ORÇAMENTO!$AF$11)),0)</f>
        <v>0</v>
      </c>
      <c r="AF174" s="545">
        <f ca="1">IF(AND($D174="Serviço",AF$12&lt;&gt;0,$H174&gt;0,OR(AUTOEVENTO&lt;&gt;"manual",$M174&lt;&gt;1)),
IF(Import.TipoArredondamento&lt;&gt;"TransfereGOV",
ROUND(OFFSET($P174,0,AF$13),15-13*ORÇAMENTO!$AF$7)/$H174*OFFSET(ORÇAMENTO!$X$15,ROW(AF174)-ROW(AF$15),0),
ROUND(ROUND(OFFSET($P174,0,AF$13),15-13*ORÇAMENTO!$AF$7)*OFFSET(ORÇAMENTO!$W$15,ROW(AF174)-ROW(AF$15),0),15-13*ORÇAMENTO!$AF$11)),0)</f>
        <v>0</v>
      </c>
      <c r="AG174" s="545">
        <f ca="1">IF(AND($D174="Serviço",AG$12&lt;&gt;0,$H174&gt;0,OR(AUTOEVENTO&lt;&gt;"manual",$M174&lt;&gt;1)),
IF(Import.TipoArredondamento&lt;&gt;"TransfereGOV",
ROUND(OFFSET($P174,0,AG$13),15-13*ORÇAMENTO!$AF$7)/$H174*OFFSET(ORÇAMENTO!$X$15,ROW(AG174)-ROW(AG$15),0),
ROUND(ROUND(OFFSET($P174,0,AG$13),15-13*ORÇAMENTO!$AF$7)*OFFSET(ORÇAMENTO!$W$15,ROW(AG174)-ROW(AG$15),0),15-13*ORÇAMENTO!$AF$11)),0)</f>
        <v>0</v>
      </c>
      <c r="AH174" s="545">
        <f ca="1">IF(AND($D174="Serviço",AH$12&lt;&gt;0,$H174&gt;0,OR(AUTOEVENTO&lt;&gt;"manual",$M174&lt;&gt;1)),
IF(Import.TipoArredondamento&lt;&gt;"TransfereGOV",
ROUND(OFFSET($P174,0,AH$13),15-13*ORÇAMENTO!$AF$7)/$H174*OFFSET(ORÇAMENTO!$X$15,ROW(AH174)-ROW(AH$15),0),
ROUND(ROUND(OFFSET($P174,0,AH$13),15-13*ORÇAMENTO!$AF$7)*OFFSET(ORÇAMENTO!$W$15,ROW(AH174)-ROW(AH$15),0),15-13*ORÇAMENTO!$AF$11)),0)</f>
        <v>0</v>
      </c>
      <c r="AI174" s="545">
        <f ca="1">IF(AND($D174="Serviço",AI$12&lt;&gt;0,$H174&gt;0,OR(AUTOEVENTO&lt;&gt;"manual",$M174&lt;&gt;1)),
IF(Import.TipoArredondamento&lt;&gt;"TransfereGOV",
ROUND(OFFSET($P174,0,AI$13),15-13*ORÇAMENTO!$AF$7)/$H174*OFFSET(ORÇAMENTO!$X$15,ROW(AI174)-ROW(AI$15),0),
ROUND(ROUND(OFFSET($P174,0,AI$13),15-13*ORÇAMENTO!$AF$7)*OFFSET(ORÇAMENTO!$W$15,ROW(AI174)-ROW(AI$15),0),15-13*ORÇAMENTO!$AF$11)),0)</f>
        <v>0</v>
      </c>
      <c r="AJ174" s="545">
        <f ca="1">IF(AND($D174="Serviço",AJ$12&lt;&gt;0,$H174&gt;0,OR(AUTOEVENTO&lt;&gt;"manual",$M174&lt;&gt;1)),
IF(Import.TipoArredondamento&lt;&gt;"TransfereGOV",
ROUND(OFFSET($P174,0,AJ$13),15-13*ORÇAMENTO!$AF$7)/$H174*OFFSET(ORÇAMENTO!$X$15,ROW(AJ174)-ROW(AJ$15),0),
ROUND(ROUND(OFFSET($P174,0,AJ$13),15-13*ORÇAMENTO!$AF$7)*OFFSET(ORÇAMENTO!$W$15,ROW(AJ174)-ROW(AJ$15),0),15-13*ORÇAMENTO!$AF$11)),0)</f>
        <v>0</v>
      </c>
      <c r="AK174" s="546">
        <f ca="1">IF(AND($D174="Serviço",AK$12&lt;&gt;0,$H174&gt;0,OR(AUTOEVENTO&lt;&gt;"manual",$M174&lt;&gt;1)),
IF(Import.TipoArredondamento&lt;&gt;"TransfereGOV",
ROUND(OFFSET($P174,0,AK$13),15-13*ORÇAMENTO!$AF$7)/$H174*OFFSET(ORÇAMENTO!$X$15,ROW(AK174)-ROW(AK$15),0),
ROUND(ROUND(OFFSET($P174,0,AK$13),15-13*ORÇAMENTO!$AF$7)*OFFSET(ORÇAMENTO!$W$15,ROW(AK174)-ROW(AK$15),0),15-13*ORÇAMENTO!$AF$11)),0)</f>
        <v>0</v>
      </c>
      <c r="AM174" s="181">
        <f ca="1">IF($D174&lt;&gt;"Serviço",0,IF(AND(AUTOEVENTO="Manual",$M174=1),0,IF(OFFSET(CRONOPLE!$F$14,$M174,AM$13)="",10^12,OFFSET(CRONOPLE!$F$14,$M174,AM$13))))</f>
        <v>1000000000000</v>
      </c>
      <c r="AN174" s="181">
        <f ca="1">IF($D174&lt;&gt;"Serviço",0,IF(AND(AUTOEVENTO="Manual",$M174=1),0,IF(OFFSET(CRONOPLE!$F$14,$M174,AN$13)="",10^12,OFFSET(CRONOPLE!$F$14,$M174,AN$13))))</f>
        <v>1000000000000</v>
      </c>
      <c r="AO174" s="181">
        <f ca="1">IF($D174&lt;&gt;"Serviço",0,IF(AND(AUTOEVENTO="Manual",$M174=1),0,IF(OFFSET(CRONOPLE!$F$14,$M174,AO$13)="",10^12,OFFSET(CRONOPLE!$F$14,$M174,AO$13))))</f>
        <v>1000000000000</v>
      </c>
      <c r="AP174" s="181">
        <f ca="1">IF($D174&lt;&gt;"Serviço",0,IF(AND(AUTOEVENTO="Manual",$M174=1),0,IF(OFFSET(CRONOPLE!$F$14,$M174,AP$13)="",10^12,OFFSET(CRONOPLE!$F$14,$M174,AP$13))))</f>
        <v>1000000000000</v>
      </c>
      <c r="AQ174" s="181">
        <f ca="1">IF($D174&lt;&gt;"Serviço",0,IF(AND(AUTOEVENTO="Manual",$M174=1),0,IF(OFFSET(CRONOPLE!$F$14,$M174,AQ$13)="",10^12,OFFSET(CRONOPLE!$F$14,$M174,AQ$13))))</f>
        <v>1000000000000</v>
      </c>
      <c r="AR174" s="181">
        <f ca="1">IF($D174&lt;&gt;"Serviço",0,IF(AND(AUTOEVENTO="Manual",$M174=1),0,IF(OFFSET(CRONOPLE!$F$14,$M174,AR$13)="",10^12,OFFSET(CRONOPLE!$F$14,$M174,AR$13))))</f>
        <v>1000000000000</v>
      </c>
      <c r="AS174" s="181">
        <f ca="1">IF($D174&lt;&gt;"Serviço",0,IF(AND(AUTOEVENTO="Manual",$M174=1),0,IF(OFFSET(CRONOPLE!$F$14,$M174,AS$13)="",10^12,OFFSET(CRONOPLE!$F$14,$M174,AS$13))))</f>
        <v>1000000000000</v>
      </c>
      <c r="AT174" s="181">
        <f ca="1">IF($D174&lt;&gt;"Serviço",0,IF(AND(AUTOEVENTO="Manual",$M174=1),0,IF(OFFSET(CRONOPLE!$F$14,$M174,AT$13)="",10^12,OFFSET(CRONOPLE!$F$14,$M174,AT$13))))</f>
        <v>1000000000000</v>
      </c>
      <c r="AU174" s="181">
        <f ca="1">IF($D174&lt;&gt;"Serviço",0,IF(AND(AUTOEVENTO="Manual",$M174=1),0,IF(OFFSET(CRONOPLE!$F$14,$M174,AU$13)="",10^12,OFFSET(CRONOPLE!$F$14,$M174,AU$13))))</f>
        <v>1000000000000</v>
      </c>
      <c r="AV174" s="181">
        <f ca="1">IF($D174&lt;&gt;"Serviço",0,IF(AND(AUTOEVENTO="Manual",$M174=1),0,IF(OFFSET(CRONOPLE!$F$14,$M174,AV$13)="",10^12,OFFSET(CRONOPLE!$F$14,$M174,AV$13))))</f>
        <v>1000000000000</v>
      </c>
      <c r="AX174" s="182">
        <f ca="1">IF($D174&lt;&gt;"Serviço",0,IF(OR(AND(AUTOEVENTO="Manual",$M174=1),$M174&gt;(ROW(PLE.lastrow)-ROW(PLE.firstrow))),0,IF(OFFSET(PLE!$G$14,$M174,AX$13)="",10^12,OFFSET(PLE!$G$14,$M174,AX$13))))</f>
        <v>1000000000000</v>
      </c>
      <c r="AY174" s="182">
        <f ca="1">IF($D174&lt;&gt;"Serviço",0,IF(OR(AND(AUTOEVENTO="Manual",$M174=1),$M174&gt;(ROW(PLE.lastrow)-ROW(PLE.firstrow))),0,IF(OFFSET(PLE!$G$14,$M174,AY$13)="",10^12,OFFSET(PLE!$G$14,$M174,AY$13))))</f>
        <v>1000000000000</v>
      </c>
      <c r="AZ174" s="182">
        <f ca="1">IF($D174&lt;&gt;"Serviço",0,IF(OR(AND(AUTOEVENTO="Manual",$M174=1),$M174&gt;(ROW(PLE.lastrow)-ROW(PLE.firstrow))),0,IF(OFFSET(PLE!$G$14,$M174,AZ$13)="",10^12,OFFSET(PLE!$G$14,$M174,AZ$13))))</f>
        <v>1000000000000</v>
      </c>
      <c r="BA174" s="182">
        <f ca="1">IF($D174&lt;&gt;"Serviço",0,IF(OR(AND(AUTOEVENTO="Manual",$M174=1),$M174&gt;(ROW(PLE.lastrow)-ROW(PLE.firstrow))),0,IF(OFFSET(PLE!$G$14,$M174,BA$13)="",10^12,OFFSET(PLE!$G$14,$M174,BA$13))))</f>
        <v>1000000000000</v>
      </c>
      <c r="BB174" s="182">
        <f ca="1">IF($D174&lt;&gt;"Serviço",0,IF(OR(AND(AUTOEVENTO="Manual",$M174=1),$M174&gt;(ROW(PLE.lastrow)-ROW(PLE.firstrow))),0,IF(OFFSET(PLE!$G$14,$M174,BB$13)="",10^12,OFFSET(PLE!$G$14,$M174,BB$13))))</f>
        <v>1000000000000</v>
      </c>
      <c r="BC174" s="182">
        <f ca="1">IF($D174&lt;&gt;"Serviço",0,IF(OR(AND(AUTOEVENTO="Manual",$M174=1),$M174&gt;(ROW(PLE.lastrow)-ROW(PLE.firstrow))),0,IF(OFFSET(PLE!$G$14,$M174,BC$13)="",10^12,OFFSET(PLE!$G$14,$M174,BC$13))))</f>
        <v>1000000000000</v>
      </c>
      <c r="BD174" s="182">
        <f ca="1">IF($D174&lt;&gt;"Serviço",0,IF(OR(AND(AUTOEVENTO="Manual",$M174=1),$M174&gt;(ROW(PLE.lastrow)-ROW(PLE.firstrow))),0,IF(OFFSET(PLE!$G$14,$M174,BD$13)="",10^12,OFFSET(PLE!$G$14,$M174,BD$13))))</f>
        <v>1000000000000</v>
      </c>
      <c r="BE174" s="182">
        <f ca="1">IF($D174&lt;&gt;"Serviço",0,IF(OR(AND(AUTOEVENTO="Manual",$M174=1),$M174&gt;(ROW(PLE.lastrow)-ROW(PLE.firstrow))),0,IF(OFFSET(PLE!$G$14,$M174,BE$13)="",10^12,OFFSET(PLE!$G$14,$M174,BE$13))))</f>
        <v>1000000000000</v>
      </c>
      <c r="BF174" s="182">
        <f ca="1">IF($D174&lt;&gt;"Serviço",0,IF(OR(AND(AUTOEVENTO="Manual",$M174=1),$M174&gt;(ROW(PLE.lastrow)-ROW(PLE.firstrow))),0,IF(OFFSET(PLE!$G$14,$M174,BF$13)="",10^12,OFFSET(PLE!$G$14,$M174,BF$13))))</f>
        <v>1000000000000</v>
      </c>
      <c r="BG174" s="182">
        <f ca="1">IF($D174&lt;&gt;"Serviço",0,IF(OR(AND(AUTOEVENTO="Manual",$M174=1),$M174&gt;(ROW(PLE.lastrow)-ROW(PLE.firstrow))),0,IF(OFFSET(PLE!$G$14,$M174,BG$13)="",10^12,OFFSET(PLE!$G$14,$M174,BG$13))))</f>
        <v>1000000000000</v>
      </c>
    </row>
    <row r="175" spans="1:59" ht="38.25" x14ac:dyDescent="0.2">
      <c r="A175" s="7" t="str">
        <f t="shared" ca="1" si="10"/>
        <v>71</v>
      </c>
      <c r="B175" s="7" t="str">
        <f ca="1">OFFSET(ORÇAMENTO!C$15,ROW(B175)-ROW(B$15),0)</f>
        <v>S</v>
      </c>
      <c r="C175" s="7" t="str">
        <f ca="1">OFFSET(ORÇAMENTO!L$15,ROW(C175)-ROW(C$15),0)</f>
        <v>F</v>
      </c>
      <c r="D175" s="118" t="str">
        <f ca="1">OFFSET(ORÇAMENTO!N$15,ROW(D175)-ROW(D$15),0)</f>
        <v>Serviço</v>
      </c>
      <c r="E175" s="119" t="str">
        <f ca="1">OFFSET(ORÇAMENTO!O$15,ROW(E175)-ROW(E$15),0)</f>
        <v>1.6.16.19.</v>
      </c>
      <c r="F175" s="172" t="str">
        <f ca="1">OFFSET(ORÇAMENTO!R$15,ROW(F175)-ROW(F$15),0)</f>
        <v>(abra o arquivo 'Referência 03-2024.xlsm)</v>
      </c>
      <c r="G175" s="173" t="str">
        <f ca="1">IF($D175&lt;&gt;"Serviço","",OFFSET(ORÇAMENTO!S$15,ROW(G175)-ROW(G$15),0))</f>
        <v>-</v>
      </c>
      <c r="H175" s="124">
        <f ca="1">IF($D175&lt;&gt;"Serviço",0,IF(ACOMPANHAMENTO="BM",ROUND(OFFSET(ORÇAMENTO!AJ$15,ROW(H175)-ROW(H$15),0),15-13*ORÇAMENTO!$AF$7),SUMPRODUCT(($Q$12:$AA$12&lt;&gt;"")*ROUND($Q175:$AA175,15-13*ORÇAMENTO!$AF$7))))</f>
        <v>1</v>
      </c>
      <c r="I175" s="561"/>
      <c r="K175" s="174"/>
      <c r="L175" s="175" t="s">
        <v>255</v>
      </c>
      <c r="M175" s="176">
        <f ca="1">IF($D175&lt;&gt;"Serviço","",IF(AUTOEVENTO="manual",$A175,IF(ISERROR(MATCH($A175,$A$15:OFFSET($A175,-1,0),0)),MAX($M$15:OFFSET(M175,-1,0))+1,INDEX($M$15:OFFSET(M175,-1,0),MATCH($A175,$A$15:OFFSET($A175,-1,0),0)))))</f>
        <v>7</v>
      </c>
      <c r="N175" s="177" t="str">
        <f ca="1">IF($D175&lt;&gt;"Serviço","",IF(AUTOEVENTO="Manual",IF($A175=0,"&lt;-- defina o número do agrupador",OFFSET(EVENTOS!$D$14,$A175,0)),OFFSET($F$15,$A175,0)))</f>
        <v>SANITÁRIO PÚBLICO ACESSÍVEL</v>
      </c>
      <c r="O175" s="178"/>
      <c r="Q175" s="178"/>
      <c r="R175" s="179"/>
      <c r="S175" s="179"/>
      <c r="T175" s="179"/>
      <c r="U175" s="179"/>
      <c r="V175" s="179"/>
      <c r="W175" s="179"/>
      <c r="X175" s="179"/>
      <c r="Y175" s="179"/>
      <c r="Z175" s="180"/>
      <c r="AB175" s="544">
        <f ca="1">IF(AND($D175="Serviço",AB$12&lt;&gt;0,$H175&gt;0,OR(AUTOEVENTO&lt;&gt;"manual",$M175&lt;&gt;1)),
IF(Import.TipoArredondamento&lt;&gt;"TransfereGOV",
ROUND(OFFSET($P175,0,AB$13),15-13*ORÇAMENTO!$AF$7)/$H175*OFFSET(ORÇAMENTO!$X$15,ROW(AB175)-ROW(AB$15),0),
ROUND(ROUND(OFFSET($P175,0,AB$13),15-13*ORÇAMENTO!$AF$7)*OFFSET(ORÇAMENTO!$W$15,ROW(AB175)-ROW(AB$15),0),15-13*ORÇAMENTO!$AF$11)),0)</f>
        <v>0</v>
      </c>
      <c r="AC175" s="545">
        <f ca="1">IF(AND($D175="Serviço",AC$12&lt;&gt;0,$H175&gt;0,OR(AUTOEVENTO&lt;&gt;"manual",$M175&lt;&gt;1)),
IF(Import.TipoArredondamento&lt;&gt;"TransfereGOV",
ROUND(OFFSET($P175,0,AC$13),15-13*ORÇAMENTO!$AF$7)/$H175*OFFSET(ORÇAMENTO!$X$15,ROW(AC175)-ROW(AC$15),0),
ROUND(ROUND(OFFSET($P175,0,AC$13),15-13*ORÇAMENTO!$AF$7)*OFFSET(ORÇAMENTO!$W$15,ROW(AC175)-ROW(AC$15),0),15-13*ORÇAMENTO!$AF$11)),0)</f>
        <v>0</v>
      </c>
      <c r="AD175" s="545">
        <f ca="1">IF(AND($D175="Serviço",AD$12&lt;&gt;0,$H175&gt;0,OR(AUTOEVENTO&lt;&gt;"manual",$M175&lt;&gt;1)),
IF(Import.TipoArredondamento&lt;&gt;"TransfereGOV",
ROUND(OFFSET($P175,0,AD$13),15-13*ORÇAMENTO!$AF$7)/$H175*OFFSET(ORÇAMENTO!$X$15,ROW(AD175)-ROW(AD$15),0),
ROUND(ROUND(OFFSET($P175,0,AD$13),15-13*ORÇAMENTO!$AF$7)*OFFSET(ORÇAMENTO!$W$15,ROW(AD175)-ROW(AD$15),0),15-13*ORÇAMENTO!$AF$11)),0)</f>
        <v>0</v>
      </c>
      <c r="AE175" s="545">
        <f ca="1">IF(AND($D175="Serviço",AE$12&lt;&gt;0,$H175&gt;0,OR(AUTOEVENTO&lt;&gt;"manual",$M175&lt;&gt;1)),
IF(Import.TipoArredondamento&lt;&gt;"TransfereGOV",
ROUND(OFFSET($P175,0,AE$13),15-13*ORÇAMENTO!$AF$7)/$H175*OFFSET(ORÇAMENTO!$X$15,ROW(AE175)-ROW(AE$15),0),
ROUND(ROUND(OFFSET($P175,0,AE$13),15-13*ORÇAMENTO!$AF$7)*OFFSET(ORÇAMENTO!$W$15,ROW(AE175)-ROW(AE$15),0),15-13*ORÇAMENTO!$AF$11)),0)</f>
        <v>0</v>
      </c>
      <c r="AF175" s="545">
        <f ca="1">IF(AND($D175="Serviço",AF$12&lt;&gt;0,$H175&gt;0,OR(AUTOEVENTO&lt;&gt;"manual",$M175&lt;&gt;1)),
IF(Import.TipoArredondamento&lt;&gt;"TransfereGOV",
ROUND(OFFSET($P175,0,AF$13),15-13*ORÇAMENTO!$AF$7)/$H175*OFFSET(ORÇAMENTO!$X$15,ROW(AF175)-ROW(AF$15),0),
ROUND(ROUND(OFFSET($P175,0,AF$13),15-13*ORÇAMENTO!$AF$7)*OFFSET(ORÇAMENTO!$W$15,ROW(AF175)-ROW(AF$15),0),15-13*ORÇAMENTO!$AF$11)),0)</f>
        <v>0</v>
      </c>
      <c r="AG175" s="545">
        <f ca="1">IF(AND($D175="Serviço",AG$12&lt;&gt;0,$H175&gt;0,OR(AUTOEVENTO&lt;&gt;"manual",$M175&lt;&gt;1)),
IF(Import.TipoArredondamento&lt;&gt;"TransfereGOV",
ROUND(OFFSET($P175,0,AG$13),15-13*ORÇAMENTO!$AF$7)/$H175*OFFSET(ORÇAMENTO!$X$15,ROW(AG175)-ROW(AG$15),0),
ROUND(ROUND(OFFSET($P175,0,AG$13),15-13*ORÇAMENTO!$AF$7)*OFFSET(ORÇAMENTO!$W$15,ROW(AG175)-ROW(AG$15),0),15-13*ORÇAMENTO!$AF$11)),0)</f>
        <v>0</v>
      </c>
      <c r="AH175" s="545">
        <f ca="1">IF(AND($D175="Serviço",AH$12&lt;&gt;0,$H175&gt;0,OR(AUTOEVENTO&lt;&gt;"manual",$M175&lt;&gt;1)),
IF(Import.TipoArredondamento&lt;&gt;"TransfereGOV",
ROUND(OFFSET($P175,0,AH$13),15-13*ORÇAMENTO!$AF$7)/$H175*OFFSET(ORÇAMENTO!$X$15,ROW(AH175)-ROW(AH$15),0),
ROUND(ROUND(OFFSET($P175,0,AH$13),15-13*ORÇAMENTO!$AF$7)*OFFSET(ORÇAMENTO!$W$15,ROW(AH175)-ROW(AH$15),0),15-13*ORÇAMENTO!$AF$11)),0)</f>
        <v>0</v>
      </c>
      <c r="AI175" s="545">
        <f ca="1">IF(AND($D175="Serviço",AI$12&lt;&gt;0,$H175&gt;0,OR(AUTOEVENTO&lt;&gt;"manual",$M175&lt;&gt;1)),
IF(Import.TipoArredondamento&lt;&gt;"TransfereGOV",
ROUND(OFFSET($P175,0,AI$13),15-13*ORÇAMENTO!$AF$7)/$H175*OFFSET(ORÇAMENTO!$X$15,ROW(AI175)-ROW(AI$15),0),
ROUND(ROUND(OFFSET($P175,0,AI$13),15-13*ORÇAMENTO!$AF$7)*OFFSET(ORÇAMENTO!$W$15,ROW(AI175)-ROW(AI$15),0),15-13*ORÇAMENTO!$AF$11)),0)</f>
        <v>0</v>
      </c>
      <c r="AJ175" s="545">
        <f ca="1">IF(AND($D175="Serviço",AJ$12&lt;&gt;0,$H175&gt;0,OR(AUTOEVENTO&lt;&gt;"manual",$M175&lt;&gt;1)),
IF(Import.TipoArredondamento&lt;&gt;"TransfereGOV",
ROUND(OFFSET($P175,0,AJ$13),15-13*ORÇAMENTO!$AF$7)/$H175*OFFSET(ORÇAMENTO!$X$15,ROW(AJ175)-ROW(AJ$15),0),
ROUND(ROUND(OFFSET($P175,0,AJ$13),15-13*ORÇAMENTO!$AF$7)*OFFSET(ORÇAMENTO!$W$15,ROW(AJ175)-ROW(AJ$15),0),15-13*ORÇAMENTO!$AF$11)),0)</f>
        <v>0</v>
      </c>
      <c r="AK175" s="546">
        <f ca="1">IF(AND($D175="Serviço",AK$12&lt;&gt;0,$H175&gt;0,OR(AUTOEVENTO&lt;&gt;"manual",$M175&lt;&gt;1)),
IF(Import.TipoArredondamento&lt;&gt;"TransfereGOV",
ROUND(OFFSET($P175,0,AK$13),15-13*ORÇAMENTO!$AF$7)/$H175*OFFSET(ORÇAMENTO!$X$15,ROW(AK175)-ROW(AK$15),0),
ROUND(ROUND(OFFSET($P175,0,AK$13),15-13*ORÇAMENTO!$AF$7)*OFFSET(ORÇAMENTO!$W$15,ROW(AK175)-ROW(AK$15),0),15-13*ORÇAMENTO!$AF$11)),0)</f>
        <v>0</v>
      </c>
      <c r="AM175" s="181">
        <f ca="1">IF($D175&lt;&gt;"Serviço",0,IF(AND(AUTOEVENTO="Manual",$M175=1),0,IF(OFFSET(CRONOPLE!$F$14,$M175,AM$13)="",10^12,OFFSET(CRONOPLE!$F$14,$M175,AM$13))))</f>
        <v>1000000000000</v>
      </c>
      <c r="AN175" s="181">
        <f ca="1">IF($D175&lt;&gt;"Serviço",0,IF(AND(AUTOEVENTO="Manual",$M175=1),0,IF(OFFSET(CRONOPLE!$F$14,$M175,AN$13)="",10^12,OFFSET(CRONOPLE!$F$14,$M175,AN$13))))</f>
        <v>1000000000000</v>
      </c>
      <c r="AO175" s="181">
        <f ca="1">IF($D175&lt;&gt;"Serviço",0,IF(AND(AUTOEVENTO="Manual",$M175=1),0,IF(OFFSET(CRONOPLE!$F$14,$M175,AO$13)="",10^12,OFFSET(CRONOPLE!$F$14,$M175,AO$13))))</f>
        <v>1000000000000</v>
      </c>
      <c r="AP175" s="181">
        <f ca="1">IF($D175&lt;&gt;"Serviço",0,IF(AND(AUTOEVENTO="Manual",$M175=1),0,IF(OFFSET(CRONOPLE!$F$14,$M175,AP$13)="",10^12,OFFSET(CRONOPLE!$F$14,$M175,AP$13))))</f>
        <v>1000000000000</v>
      </c>
      <c r="AQ175" s="181">
        <f ca="1">IF($D175&lt;&gt;"Serviço",0,IF(AND(AUTOEVENTO="Manual",$M175=1),0,IF(OFFSET(CRONOPLE!$F$14,$M175,AQ$13)="",10^12,OFFSET(CRONOPLE!$F$14,$M175,AQ$13))))</f>
        <v>1000000000000</v>
      </c>
      <c r="AR175" s="181">
        <f ca="1">IF($D175&lt;&gt;"Serviço",0,IF(AND(AUTOEVENTO="Manual",$M175=1),0,IF(OFFSET(CRONOPLE!$F$14,$M175,AR$13)="",10^12,OFFSET(CRONOPLE!$F$14,$M175,AR$13))))</f>
        <v>1000000000000</v>
      </c>
      <c r="AS175" s="181">
        <f ca="1">IF($D175&lt;&gt;"Serviço",0,IF(AND(AUTOEVENTO="Manual",$M175=1),0,IF(OFFSET(CRONOPLE!$F$14,$M175,AS$13)="",10^12,OFFSET(CRONOPLE!$F$14,$M175,AS$13))))</f>
        <v>1000000000000</v>
      </c>
      <c r="AT175" s="181">
        <f ca="1">IF($D175&lt;&gt;"Serviço",0,IF(AND(AUTOEVENTO="Manual",$M175=1),0,IF(OFFSET(CRONOPLE!$F$14,$M175,AT$13)="",10^12,OFFSET(CRONOPLE!$F$14,$M175,AT$13))))</f>
        <v>1000000000000</v>
      </c>
      <c r="AU175" s="181">
        <f ca="1">IF($D175&lt;&gt;"Serviço",0,IF(AND(AUTOEVENTO="Manual",$M175=1),0,IF(OFFSET(CRONOPLE!$F$14,$M175,AU$13)="",10^12,OFFSET(CRONOPLE!$F$14,$M175,AU$13))))</f>
        <v>1000000000000</v>
      </c>
      <c r="AV175" s="181">
        <f ca="1">IF($D175&lt;&gt;"Serviço",0,IF(AND(AUTOEVENTO="Manual",$M175=1),0,IF(OFFSET(CRONOPLE!$F$14,$M175,AV$13)="",10^12,OFFSET(CRONOPLE!$F$14,$M175,AV$13))))</f>
        <v>1000000000000</v>
      </c>
      <c r="AX175" s="182">
        <f ca="1">IF($D175&lt;&gt;"Serviço",0,IF(OR(AND(AUTOEVENTO="Manual",$M175=1),$M175&gt;(ROW(PLE.lastrow)-ROW(PLE.firstrow))),0,IF(OFFSET(PLE!$G$14,$M175,AX$13)="",10^12,OFFSET(PLE!$G$14,$M175,AX$13))))</f>
        <v>1000000000000</v>
      </c>
      <c r="AY175" s="182">
        <f ca="1">IF($D175&lt;&gt;"Serviço",0,IF(OR(AND(AUTOEVENTO="Manual",$M175=1),$M175&gt;(ROW(PLE.lastrow)-ROW(PLE.firstrow))),0,IF(OFFSET(PLE!$G$14,$M175,AY$13)="",10^12,OFFSET(PLE!$G$14,$M175,AY$13))))</f>
        <v>1000000000000</v>
      </c>
      <c r="AZ175" s="182">
        <f ca="1">IF($D175&lt;&gt;"Serviço",0,IF(OR(AND(AUTOEVENTO="Manual",$M175=1),$M175&gt;(ROW(PLE.lastrow)-ROW(PLE.firstrow))),0,IF(OFFSET(PLE!$G$14,$M175,AZ$13)="",10^12,OFFSET(PLE!$G$14,$M175,AZ$13))))</f>
        <v>1000000000000</v>
      </c>
      <c r="BA175" s="182">
        <f ca="1">IF($D175&lt;&gt;"Serviço",0,IF(OR(AND(AUTOEVENTO="Manual",$M175=1),$M175&gt;(ROW(PLE.lastrow)-ROW(PLE.firstrow))),0,IF(OFFSET(PLE!$G$14,$M175,BA$13)="",10^12,OFFSET(PLE!$G$14,$M175,BA$13))))</f>
        <v>1000000000000</v>
      </c>
      <c r="BB175" s="182">
        <f ca="1">IF($D175&lt;&gt;"Serviço",0,IF(OR(AND(AUTOEVENTO="Manual",$M175=1),$M175&gt;(ROW(PLE.lastrow)-ROW(PLE.firstrow))),0,IF(OFFSET(PLE!$G$14,$M175,BB$13)="",10^12,OFFSET(PLE!$G$14,$M175,BB$13))))</f>
        <v>1000000000000</v>
      </c>
      <c r="BC175" s="182">
        <f ca="1">IF($D175&lt;&gt;"Serviço",0,IF(OR(AND(AUTOEVENTO="Manual",$M175=1),$M175&gt;(ROW(PLE.lastrow)-ROW(PLE.firstrow))),0,IF(OFFSET(PLE!$G$14,$M175,BC$13)="",10^12,OFFSET(PLE!$G$14,$M175,BC$13))))</f>
        <v>1000000000000</v>
      </c>
      <c r="BD175" s="182">
        <f ca="1">IF($D175&lt;&gt;"Serviço",0,IF(OR(AND(AUTOEVENTO="Manual",$M175=1),$M175&gt;(ROW(PLE.lastrow)-ROW(PLE.firstrow))),0,IF(OFFSET(PLE!$G$14,$M175,BD$13)="",10^12,OFFSET(PLE!$G$14,$M175,BD$13))))</f>
        <v>1000000000000</v>
      </c>
      <c r="BE175" s="182">
        <f ca="1">IF($D175&lt;&gt;"Serviço",0,IF(OR(AND(AUTOEVENTO="Manual",$M175=1),$M175&gt;(ROW(PLE.lastrow)-ROW(PLE.firstrow))),0,IF(OFFSET(PLE!$G$14,$M175,BE$13)="",10^12,OFFSET(PLE!$G$14,$M175,BE$13))))</f>
        <v>1000000000000</v>
      </c>
      <c r="BF175" s="182">
        <f ca="1">IF($D175&lt;&gt;"Serviço",0,IF(OR(AND(AUTOEVENTO="Manual",$M175=1),$M175&gt;(ROW(PLE.lastrow)-ROW(PLE.firstrow))),0,IF(OFFSET(PLE!$G$14,$M175,BF$13)="",10^12,OFFSET(PLE!$G$14,$M175,BF$13))))</f>
        <v>1000000000000</v>
      </c>
      <c r="BG175" s="182">
        <f ca="1">IF($D175&lt;&gt;"Serviço",0,IF(OR(AND(AUTOEVENTO="Manual",$M175=1),$M175&gt;(ROW(PLE.lastrow)-ROW(PLE.firstrow))),0,IF(OFFSET(PLE!$G$14,$M175,BG$13)="",10^12,OFFSET(PLE!$G$14,$M175,BG$13))))</f>
        <v>1000000000000</v>
      </c>
    </row>
    <row r="176" spans="1:59" ht="25.5" x14ac:dyDescent="0.2">
      <c r="A176" s="7" t="str">
        <f ca="1">IF(AUTOEVENTO="Manual",IF(K176&lt;&gt;"",MIN(VALUE(LEFT(K176,FIND(".",K176)-1)),COUNTA(EVENTOS.Lista)),0),IF(OR($B176&gt;AUTOEVENTO,$B176="S",$B176=0),SUBSTITUTE(OFFSET($A176,-1,0),IF($D176="Serviço",".",""),""),ROW(A176)-ROW($A$15)&amp;"."))</f>
        <v>71</v>
      </c>
      <c r="B176" s="7" t="str">
        <f ca="1">OFFSET(ORÇAMENTO!C$15,ROW(B176)-ROW(B$15),0)</f>
        <v>S</v>
      </c>
      <c r="C176" s="7" t="str">
        <f ca="1">OFFSET(ORÇAMENTO!L$15,ROW(C176)-ROW(C$15),0)</f>
        <v>F</v>
      </c>
      <c r="D176" s="118" t="str">
        <f ca="1">OFFSET(ORÇAMENTO!N$15,ROW(D176)-ROW(D$15),0)</f>
        <v>Serviço</v>
      </c>
      <c r="E176" s="119" t="str">
        <f ca="1">OFFSET(ORÇAMENTO!O$15,ROW(E176)-ROW(E$15),0)</f>
        <v>1.6.16.20.</v>
      </c>
      <c r="F176" s="172" t="str">
        <f ca="1">OFFSET(ORÇAMENTO!R$15,ROW(F176)-ROW(F$15),0)</f>
        <v>(abra o arquivo 'Referência 03-2024.xlsm)</v>
      </c>
      <c r="G176" s="173" t="str">
        <f ca="1">IF($D176&lt;&gt;"Serviço","",OFFSET(ORÇAMENTO!S$15,ROW(G176)-ROW(G$15),0))</f>
        <v>-</v>
      </c>
      <c r="H176" s="124">
        <f ca="1">IF($D176&lt;&gt;"Serviço",0,IF(ACOMPANHAMENTO="BM",ROUND(OFFSET(ORÇAMENTO!AJ$15,ROW(H176)-ROW(H$15),0),15-13*ORÇAMENTO!$AF$7),SUMPRODUCT(($Q$12:$AA$12&lt;&gt;"")*ROUND($Q176:$AA176,15-13*ORÇAMENTO!$AF$7))))</f>
        <v>1</v>
      </c>
      <c r="I176" s="561"/>
      <c r="K176" s="174"/>
      <c r="L176" s="175" t="s">
        <v>255</v>
      </c>
      <c r="M176" s="176">
        <f ca="1">IF($D176&lt;&gt;"Serviço","",IF(AUTOEVENTO="manual",$A176,IF(ISERROR(MATCH($A176,$A$15:OFFSET($A176,-1,0),0)),MAX($M$15:OFFSET(M176,-1,0))+1,INDEX($M$15:OFFSET(M176,-1,0),MATCH($A176,$A$15:OFFSET($A176,-1,0),0)))))</f>
        <v>7</v>
      </c>
      <c r="N176" s="177" t="str">
        <f ca="1">IF($D176&lt;&gt;"Serviço","",IF(AUTOEVENTO="Manual",IF($A176=0,"&lt;-- defina o número do agrupador",OFFSET(EVENTOS!$D$14,$A176,0)),OFFSET($F$15,$A176,0)))</f>
        <v>SANITÁRIO PÚBLICO ACESSÍVEL</v>
      </c>
      <c r="O176" s="178"/>
      <c r="Q176" s="178"/>
      <c r="R176" s="179"/>
      <c r="S176" s="179"/>
      <c r="T176" s="179"/>
      <c r="U176" s="179"/>
      <c r="V176" s="179"/>
      <c r="W176" s="179"/>
      <c r="X176" s="179"/>
      <c r="Y176" s="179"/>
      <c r="Z176" s="180"/>
      <c r="AB176" s="544">
        <f ca="1">IF(AND($D176="Serviço",AB$12&lt;&gt;0,$H176&gt;0,OR(AUTOEVENTO&lt;&gt;"manual",$M176&lt;&gt;1)),
IF(Import.TipoArredondamento&lt;&gt;"TransfereGOV",
ROUND(OFFSET($P176,0,AB$13),15-13*ORÇAMENTO!$AF$7)/$H176*OFFSET(ORÇAMENTO!$X$15,ROW(AB176)-ROW(AB$15),0),
ROUND(ROUND(OFFSET($P176,0,AB$13),15-13*ORÇAMENTO!$AF$7)*OFFSET(ORÇAMENTO!$W$15,ROW(AB176)-ROW(AB$15),0),15-13*ORÇAMENTO!$AF$11)),0)</f>
        <v>0</v>
      </c>
      <c r="AC176" s="545">
        <f ca="1">IF(AND($D176="Serviço",AC$12&lt;&gt;0,$H176&gt;0,OR(AUTOEVENTO&lt;&gt;"manual",$M176&lt;&gt;1)),
IF(Import.TipoArredondamento&lt;&gt;"TransfereGOV",
ROUND(OFFSET($P176,0,AC$13),15-13*ORÇAMENTO!$AF$7)/$H176*OFFSET(ORÇAMENTO!$X$15,ROW(AC176)-ROW(AC$15),0),
ROUND(ROUND(OFFSET($P176,0,AC$13),15-13*ORÇAMENTO!$AF$7)*OFFSET(ORÇAMENTO!$W$15,ROW(AC176)-ROW(AC$15),0),15-13*ORÇAMENTO!$AF$11)),0)</f>
        <v>0</v>
      </c>
      <c r="AD176" s="545">
        <f ca="1">IF(AND($D176="Serviço",AD$12&lt;&gt;0,$H176&gt;0,OR(AUTOEVENTO&lt;&gt;"manual",$M176&lt;&gt;1)),
IF(Import.TipoArredondamento&lt;&gt;"TransfereGOV",
ROUND(OFFSET($P176,0,AD$13),15-13*ORÇAMENTO!$AF$7)/$H176*OFFSET(ORÇAMENTO!$X$15,ROW(AD176)-ROW(AD$15),0),
ROUND(ROUND(OFFSET($P176,0,AD$13),15-13*ORÇAMENTO!$AF$7)*OFFSET(ORÇAMENTO!$W$15,ROW(AD176)-ROW(AD$15),0),15-13*ORÇAMENTO!$AF$11)),0)</f>
        <v>0</v>
      </c>
      <c r="AE176" s="545">
        <f ca="1">IF(AND($D176="Serviço",AE$12&lt;&gt;0,$H176&gt;0,OR(AUTOEVENTO&lt;&gt;"manual",$M176&lt;&gt;1)),
IF(Import.TipoArredondamento&lt;&gt;"TransfereGOV",
ROUND(OFFSET($P176,0,AE$13),15-13*ORÇAMENTO!$AF$7)/$H176*OFFSET(ORÇAMENTO!$X$15,ROW(AE176)-ROW(AE$15),0),
ROUND(ROUND(OFFSET($P176,0,AE$13),15-13*ORÇAMENTO!$AF$7)*OFFSET(ORÇAMENTO!$W$15,ROW(AE176)-ROW(AE$15),0),15-13*ORÇAMENTO!$AF$11)),0)</f>
        <v>0</v>
      </c>
      <c r="AF176" s="545">
        <f ca="1">IF(AND($D176="Serviço",AF$12&lt;&gt;0,$H176&gt;0,OR(AUTOEVENTO&lt;&gt;"manual",$M176&lt;&gt;1)),
IF(Import.TipoArredondamento&lt;&gt;"TransfereGOV",
ROUND(OFFSET($P176,0,AF$13),15-13*ORÇAMENTO!$AF$7)/$H176*OFFSET(ORÇAMENTO!$X$15,ROW(AF176)-ROW(AF$15),0),
ROUND(ROUND(OFFSET($P176,0,AF$13),15-13*ORÇAMENTO!$AF$7)*OFFSET(ORÇAMENTO!$W$15,ROW(AF176)-ROW(AF$15),0),15-13*ORÇAMENTO!$AF$11)),0)</f>
        <v>0</v>
      </c>
      <c r="AG176" s="545">
        <f ca="1">IF(AND($D176="Serviço",AG$12&lt;&gt;0,$H176&gt;0,OR(AUTOEVENTO&lt;&gt;"manual",$M176&lt;&gt;1)),
IF(Import.TipoArredondamento&lt;&gt;"TransfereGOV",
ROUND(OFFSET($P176,0,AG$13),15-13*ORÇAMENTO!$AF$7)/$H176*OFFSET(ORÇAMENTO!$X$15,ROW(AG176)-ROW(AG$15),0),
ROUND(ROUND(OFFSET($P176,0,AG$13),15-13*ORÇAMENTO!$AF$7)*OFFSET(ORÇAMENTO!$W$15,ROW(AG176)-ROW(AG$15),0),15-13*ORÇAMENTO!$AF$11)),0)</f>
        <v>0</v>
      </c>
      <c r="AH176" s="545">
        <f ca="1">IF(AND($D176="Serviço",AH$12&lt;&gt;0,$H176&gt;0,OR(AUTOEVENTO&lt;&gt;"manual",$M176&lt;&gt;1)),
IF(Import.TipoArredondamento&lt;&gt;"TransfereGOV",
ROUND(OFFSET($P176,0,AH$13),15-13*ORÇAMENTO!$AF$7)/$H176*OFFSET(ORÇAMENTO!$X$15,ROW(AH176)-ROW(AH$15),0),
ROUND(ROUND(OFFSET($P176,0,AH$13),15-13*ORÇAMENTO!$AF$7)*OFFSET(ORÇAMENTO!$W$15,ROW(AH176)-ROW(AH$15),0),15-13*ORÇAMENTO!$AF$11)),0)</f>
        <v>0</v>
      </c>
      <c r="AI176" s="545">
        <f ca="1">IF(AND($D176="Serviço",AI$12&lt;&gt;0,$H176&gt;0,OR(AUTOEVENTO&lt;&gt;"manual",$M176&lt;&gt;1)),
IF(Import.TipoArredondamento&lt;&gt;"TransfereGOV",
ROUND(OFFSET($P176,0,AI$13),15-13*ORÇAMENTO!$AF$7)/$H176*OFFSET(ORÇAMENTO!$X$15,ROW(AI176)-ROW(AI$15),0),
ROUND(ROUND(OFFSET($P176,0,AI$13),15-13*ORÇAMENTO!$AF$7)*OFFSET(ORÇAMENTO!$W$15,ROW(AI176)-ROW(AI$15),0),15-13*ORÇAMENTO!$AF$11)),0)</f>
        <v>0</v>
      </c>
      <c r="AJ176" s="545">
        <f ca="1">IF(AND($D176="Serviço",AJ$12&lt;&gt;0,$H176&gt;0,OR(AUTOEVENTO&lt;&gt;"manual",$M176&lt;&gt;1)),
IF(Import.TipoArredondamento&lt;&gt;"TransfereGOV",
ROUND(OFFSET($P176,0,AJ$13),15-13*ORÇAMENTO!$AF$7)/$H176*OFFSET(ORÇAMENTO!$X$15,ROW(AJ176)-ROW(AJ$15),0),
ROUND(ROUND(OFFSET($P176,0,AJ$13),15-13*ORÇAMENTO!$AF$7)*OFFSET(ORÇAMENTO!$W$15,ROW(AJ176)-ROW(AJ$15),0),15-13*ORÇAMENTO!$AF$11)),0)</f>
        <v>0</v>
      </c>
      <c r="AK176" s="546">
        <f ca="1">IF(AND($D176="Serviço",AK$12&lt;&gt;0,$H176&gt;0,OR(AUTOEVENTO&lt;&gt;"manual",$M176&lt;&gt;1)),
IF(Import.TipoArredondamento&lt;&gt;"TransfereGOV",
ROUND(OFFSET($P176,0,AK$13),15-13*ORÇAMENTO!$AF$7)/$H176*OFFSET(ORÇAMENTO!$X$15,ROW(AK176)-ROW(AK$15),0),
ROUND(ROUND(OFFSET($P176,0,AK$13),15-13*ORÇAMENTO!$AF$7)*OFFSET(ORÇAMENTO!$W$15,ROW(AK176)-ROW(AK$15),0),15-13*ORÇAMENTO!$AF$11)),0)</f>
        <v>0</v>
      </c>
      <c r="AM176" s="181">
        <f ca="1">IF($D176&lt;&gt;"Serviço",0,IF(AND(AUTOEVENTO="Manual",$M176=1),0,IF(OFFSET(CRONOPLE!$F$14,$M176,AM$13)="",10^12,OFFSET(CRONOPLE!$F$14,$M176,AM$13))))</f>
        <v>1000000000000</v>
      </c>
      <c r="AN176" s="181">
        <f ca="1">IF($D176&lt;&gt;"Serviço",0,IF(AND(AUTOEVENTO="Manual",$M176=1),0,IF(OFFSET(CRONOPLE!$F$14,$M176,AN$13)="",10^12,OFFSET(CRONOPLE!$F$14,$M176,AN$13))))</f>
        <v>1000000000000</v>
      </c>
      <c r="AO176" s="181">
        <f ca="1">IF($D176&lt;&gt;"Serviço",0,IF(AND(AUTOEVENTO="Manual",$M176=1),0,IF(OFFSET(CRONOPLE!$F$14,$M176,AO$13)="",10^12,OFFSET(CRONOPLE!$F$14,$M176,AO$13))))</f>
        <v>1000000000000</v>
      </c>
      <c r="AP176" s="181">
        <f ca="1">IF($D176&lt;&gt;"Serviço",0,IF(AND(AUTOEVENTO="Manual",$M176=1),0,IF(OFFSET(CRONOPLE!$F$14,$M176,AP$13)="",10^12,OFFSET(CRONOPLE!$F$14,$M176,AP$13))))</f>
        <v>1000000000000</v>
      </c>
      <c r="AQ176" s="181">
        <f ca="1">IF($D176&lt;&gt;"Serviço",0,IF(AND(AUTOEVENTO="Manual",$M176=1),0,IF(OFFSET(CRONOPLE!$F$14,$M176,AQ$13)="",10^12,OFFSET(CRONOPLE!$F$14,$M176,AQ$13))))</f>
        <v>1000000000000</v>
      </c>
      <c r="AR176" s="181">
        <f ca="1">IF($D176&lt;&gt;"Serviço",0,IF(AND(AUTOEVENTO="Manual",$M176=1),0,IF(OFFSET(CRONOPLE!$F$14,$M176,AR$13)="",10^12,OFFSET(CRONOPLE!$F$14,$M176,AR$13))))</f>
        <v>1000000000000</v>
      </c>
      <c r="AS176" s="181">
        <f ca="1">IF($D176&lt;&gt;"Serviço",0,IF(AND(AUTOEVENTO="Manual",$M176=1),0,IF(OFFSET(CRONOPLE!$F$14,$M176,AS$13)="",10^12,OFFSET(CRONOPLE!$F$14,$M176,AS$13))))</f>
        <v>1000000000000</v>
      </c>
      <c r="AT176" s="181">
        <f ca="1">IF($D176&lt;&gt;"Serviço",0,IF(AND(AUTOEVENTO="Manual",$M176=1),0,IF(OFFSET(CRONOPLE!$F$14,$M176,AT$13)="",10^12,OFFSET(CRONOPLE!$F$14,$M176,AT$13))))</f>
        <v>1000000000000</v>
      </c>
      <c r="AU176" s="181">
        <f ca="1">IF($D176&lt;&gt;"Serviço",0,IF(AND(AUTOEVENTO="Manual",$M176=1),0,IF(OFFSET(CRONOPLE!$F$14,$M176,AU$13)="",10^12,OFFSET(CRONOPLE!$F$14,$M176,AU$13))))</f>
        <v>1000000000000</v>
      </c>
      <c r="AV176" s="181">
        <f ca="1">IF($D176&lt;&gt;"Serviço",0,IF(AND(AUTOEVENTO="Manual",$M176=1),0,IF(OFFSET(CRONOPLE!$F$14,$M176,AV$13)="",10^12,OFFSET(CRONOPLE!$F$14,$M176,AV$13))))</f>
        <v>1000000000000</v>
      </c>
      <c r="AX176" s="182">
        <f ca="1">IF($D176&lt;&gt;"Serviço",0,IF(OR(AND(AUTOEVENTO="Manual",$M176=1),$M176&gt;(ROW(PLE.lastrow)-ROW(PLE.firstrow))),0,IF(OFFSET(PLE!$G$14,$M176,AX$13)="",10^12,OFFSET(PLE!$G$14,$M176,AX$13))))</f>
        <v>1000000000000</v>
      </c>
      <c r="AY176" s="182">
        <f ca="1">IF($D176&lt;&gt;"Serviço",0,IF(OR(AND(AUTOEVENTO="Manual",$M176=1),$M176&gt;(ROW(PLE.lastrow)-ROW(PLE.firstrow))),0,IF(OFFSET(PLE!$G$14,$M176,AY$13)="",10^12,OFFSET(PLE!$G$14,$M176,AY$13))))</f>
        <v>1000000000000</v>
      </c>
      <c r="AZ176" s="182">
        <f ca="1">IF($D176&lt;&gt;"Serviço",0,IF(OR(AND(AUTOEVENTO="Manual",$M176=1),$M176&gt;(ROW(PLE.lastrow)-ROW(PLE.firstrow))),0,IF(OFFSET(PLE!$G$14,$M176,AZ$13)="",10^12,OFFSET(PLE!$G$14,$M176,AZ$13))))</f>
        <v>1000000000000</v>
      </c>
      <c r="BA176" s="182">
        <f ca="1">IF($D176&lt;&gt;"Serviço",0,IF(OR(AND(AUTOEVENTO="Manual",$M176=1),$M176&gt;(ROW(PLE.lastrow)-ROW(PLE.firstrow))),0,IF(OFFSET(PLE!$G$14,$M176,BA$13)="",10^12,OFFSET(PLE!$G$14,$M176,BA$13))))</f>
        <v>1000000000000</v>
      </c>
      <c r="BB176" s="182">
        <f ca="1">IF($D176&lt;&gt;"Serviço",0,IF(OR(AND(AUTOEVENTO="Manual",$M176=1),$M176&gt;(ROW(PLE.lastrow)-ROW(PLE.firstrow))),0,IF(OFFSET(PLE!$G$14,$M176,BB$13)="",10^12,OFFSET(PLE!$G$14,$M176,BB$13))))</f>
        <v>1000000000000</v>
      </c>
      <c r="BC176" s="182">
        <f ca="1">IF($D176&lt;&gt;"Serviço",0,IF(OR(AND(AUTOEVENTO="Manual",$M176=1),$M176&gt;(ROW(PLE.lastrow)-ROW(PLE.firstrow))),0,IF(OFFSET(PLE!$G$14,$M176,BC$13)="",10^12,OFFSET(PLE!$G$14,$M176,BC$13))))</f>
        <v>1000000000000</v>
      </c>
      <c r="BD176" s="182">
        <f ca="1">IF($D176&lt;&gt;"Serviço",0,IF(OR(AND(AUTOEVENTO="Manual",$M176=1),$M176&gt;(ROW(PLE.lastrow)-ROW(PLE.firstrow))),0,IF(OFFSET(PLE!$G$14,$M176,BD$13)="",10^12,OFFSET(PLE!$G$14,$M176,BD$13))))</f>
        <v>1000000000000</v>
      </c>
      <c r="BE176" s="182">
        <f ca="1">IF($D176&lt;&gt;"Serviço",0,IF(OR(AND(AUTOEVENTO="Manual",$M176=1),$M176&gt;(ROW(PLE.lastrow)-ROW(PLE.firstrow))),0,IF(OFFSET(PLE!$G$14,$M176,BE$13)="",10^12,OFFSET(PLE!$G$14,$M176,BE$13))))</f>
        <v>1000000000000</v>
      </c>
      <c r="BF176" s="182">
        <f ca="1">IF($D176&lt;&gt;"Serviço",0,IF(OR(AND(AUTOEVENTO="Manual",$M176=1),$M176&gt;(ROW(PLE.lastrow)-ROW(PLE.firstrow))),0,IF(OFFSET(PLE!$G$14,$M176,BF$13)="",10^12,OFFSET(PLE!$G$14,$M176,BF$13))))</f>
        <v>1000000000000</v>
      </c>
      <c r="BG176" s="182">
        <f ca="1">IF($D176&lt;&gt;"Serviço",0,IF(OR(AND(AUTOEVENTO="Manual",$M176=1),$M176&gt;(ROW(PLE.lastrow)-ROW(PLE.firstrow))),0,IF(OFFSET(PLE!$G$14,$M176,BG$13)="",10^12,OFFSET(PLE!$G$14,$M176,BG$13))))</f>
        <v>1000000000000</v>
      </c>
    </row>
    <row r="177" spans="1:59" ht="12.75" x14ac:dyDescent="0.2">
      <c r="A177" s="7" t="str">
        <f t="shared" ca="1" si="10"/>
        <v>71</v>
      </c>
      <c r="B177" s="7">
        <f ca="1">OFFSET(ORÇAMENTO!C$15,ROW(B177)-ROW(B$15),0)</f>
        <v>3</v>
      </c>
      <c r="C177" s="7" t="str">
        <f ca="1">OFFSET(ORÇAMENTO!L$15,ROW(C177)-ROW(C$15),0)</f>
        <v>F</v>
      </c>
      <c r="D177" s="118" t="str">
        <f ca="1">OFFSET(ORÇAMENTO!N$15,ROW(D177)-ROW(D$15),0)</f>
        <v>Nível 3</v>
      </c>
      <c r="E177" s="119" t="str">
        <f ca="1">OFFSET(ORÇAMENTO!O$15,ROW(E177)-ROW(E$15),0)</f>
        <v>1.6.17.</v>
      </c>
      <c r="F177" s="172" t="str">
        <f ca="1">OFFSET(ORÇAMENTO!R$15,ROW(F177)-ROW(F$15),0)</f>
        <v>INSTALAÇÕES ELÉTRICAS</v>
      </c>
      <c r="G177" s="173" t="str">
        <f ca="1">IF($D177&lt;&gt;"Serviço","",OFFSET(ORÇAMENTO!S$15,ROW(G177)-ROW(G$15),0))</f>
        <v/>
      </c>
      <c r="H177" s="124">
        <f ca="1">IF($D177&lt;&gt;"Serviço",0,IF(ACOMPANHAMENTO="BM",ROUND(OFFSET(ORÇAMENTO!AJ$15,ROW(H177)-ROW(H$15),0),15-13*ORÇAMENTO!$AF$7),SUMPRODUCT(($Q$12:$AA$12&lt;&gt;"")*ROUND($Q177:$AA177,15-13*ORÇAMENTO!$AF$7))))</f>
        <v>0</v>
      </c>
      <c r="I177" s="561"/>
      <c r="K177" s="174"/>
      <c r="L177" s="175" t="s">
        <v>255</v>
      </c>
      <c r="M177" s="176" t="str">
        <f ca="1">IF($D177&lt;&gt;"Serviço","",IF(AUTOEVENTO="manual",$A177,IF(ISERROR(MATCH($A177,$A$15:OFFSET($A177,-1,0),0)),MAX($M$15:OFFSET(M177,-1,0))+1,INDEX($M$15:OFFSET(M177,-1,0),MATCH($A177,$A$15:OFFSET($A177,-1,0),0)))))</f>
        <v/>
      </c>
      <c r="N177" s="177" t="str">
        <f ca="1">IF($D177&lt;&gt;"Serviço","",IF(AUTOEVENTO="Manual",IF($A177=0,"&lt;-- defina o número do agrupador",OFFSET(EVENTOS!$D$14,$A177,0)),OFFSET($F$15,$A177,0)))</f>
        <v/>
      </c>
      <c r="O177" s="178"/>
      <c r="Q177" s="178"/>
      <c r="R177" s="179"/>
      <c r="S177" s="179"/>
      <c r="T177" s="179"/>
      <c r="U177" s="179"/>
      <c r="V177" s="179"/>
      <c r="W177" s="179"/>
      <c r="X177" s="179"/>
      <c r="Y177" s="179"/>
      <c r="Z177" s="180"/>
      <c r="AB177" s="544">
        <f ca="1">IF(AND($D177="Serviço",AB$12&lt;&gt;0,$H177&gt;0,OR(AUTOEVENTO&lt;&gt;"manual",$M177&lt;&gt;1)),
IF(Import.TipoArredondamento&lt;&gt;"TransfereGOV",
ROUND(OFFSET($P177,0,AB$13),15-13*ORÇAMENTO!$AF$7)/$H177*OFFSET(ORÇAMENTO!$X$15,ROW(AB177)-ROW(AB$15),0),
ROUND(ROUND(OFFSET($P177,0,AB$13),15-13*ORÇAMENTO!$AF$7)*OFFSET(ORÇAMENTO!$W$15,ROW(AB177)-ROW(AB$15),0),15-13*ORÇAMENTO!$AF$11)),0)</f>
        <v>0</v>
      </c>
      <c r="AC177" s="545">
        <f ca="1">IF(AND($D177="Serviço",AC$12&lt;&gt;0,$H177&gt;0,OR(AUTOEVENTO&lt;&gt;"manual",$M177&lt;&gt;1)),
IF(Import.TipoArredondamento&lt;&gt;"TransfereGOV",
ROUND(OFFSET($P177,0,AC$13),15-13*ORÇAMENTO!$AF$7)/$H177*OFFSET(ORÇAMENTO!$X$15,ROW(AC177)-ROW(AC$15),0),
ROUND(ROUND(OFFSET($P177,0,AC$13),15-13*ORÇAMENTO!$AF$7)*OFFSET(ORÇAMENTO!$W$15,ROW(AC177)-ROW(AC$15),0),15-13*ORÇAMENTO!$AF$11)),0)</f>
        <v>0</v>
      </c>
      <c r="AD177" s="545">
        <f ca="1">IF(AND($D177="Serviço",AD$12&lt;&gt;0,$H177&gt;0,OR(AUTOEVENTO&lt;&gt;"manual",$M177&lt;&gt;1)),
IF(Import.TipoArredondamento&lt;&gt;"TransfereGOV",
ROUND(OFFSET($P177,0,AD$13),15-13*ORÇAMENTO!$AF$7)/$H177*OFFSET(ORÇAMENTO!$X$15,ROW(AD177)-ROW(AD$15),0),
ROUND(ROUND(OFFSET($P177,0,AD$13),15-13*ORÇAMENTO!$AF$7)*OFFSET(ORÇAMENTO!$W$15,ROW(AD177)-ROW(AD$15),0),15-13*ORÇAMENTO!$AF$11)),0)</f>
        <v>0</v>
      </c>
      <c r="AE177" s="545">
        <f ca="1">IF(AND($D177="Serviço",AE$12&lt;&gt;0,$H177&gt;0,OR(AUTOEVENTO&lt;&gt;"manual",$M177&lt;&gt;1)),
IF(Import.TipoArredondamento&lt;&gt;"TransfereGOV",
ROUND(OFFSET($P177,0,AE$13),15-13*ORÇAMENTO!$AF$7)/$H177*OFFSET(ORÇAMENTO!$X$15,ROW(AE177)-ROW(AE$15),0),
ROUND(ROUND(OFFSET($P177,0,AE$13),15-13*ORÇAMENTO!$AF$7)*OFFSET(ORÇAMENTO!$W$15,ROW(AE177)-ROW(AE$15),0),15-13*ORÇAMENTO!$AF$11)),0)</f>
        <v>0</v>
      </c>
      <c r="AF177" s="545">
        <f ca="1">IF(AND($D177="Serviço",AF$12&lt;&gt;0,$H177&gt;0,OR(AUTOEVENTO&lt;&gt;"manual",$M177&lt;&gt;1)),
IF(Import.TipoArredondamento&lt;&gt;"TransfereGOV",
ROUND(OFFSET($P177,0,AF$13),15-13*ORÇAMENTO!$AF$7)/$H177*OFFSET(ORÇAMENTO!$X$15,ROW(AF177)-ROW(AF$15),0),
ROUND(ROUND(OFFSET($P177,0,AF$13),15-13*ORÇAMENTO!$AF$7)*OFFSET(ORÇAMENTO!$W$15,ROW(AF177)-ROW(AF$15),0),15-13*ORÇAMENTO!$AF$11)),0)</f>
        <v>0</v>
      </c>
      <c r="AG177" s="545">
        <f ca="1">IF(AND($D177="Serviço",AG$12&lt;&gt;0,$H177&gt;0,OR(AUTOEVENTO&lt;&gt;"manual",$M177&lt;&gt;1)),
IF(Import.TipoArredondamento&lt;&gt;"TransfereGOV",
ROUND(OFFSET($P177,0,AG$13),15-13*ORÇAMENTO!$AF$7)/$H177*OFFSET(ORÇAMENTO!$X$15,ROW(AG177)-ROW(AG$15),0),
ROUND(ROUND(OFFSET($P177,0,AG$13),15-13*ORÇAMENTO!$AF$7)*OFFSET(ORÇAMENTO!$W$15,ROW(AG177)-ROW(AG$15),0),15-13*ORÇAMENTO!$AF$11)),0)</f>
        <v>0</v>
      </c>
      <c r="AH177" s="545">
        <f ca="1">IF(AND($D177="Serviço",AH$12&lt;&gt;0,$H177&gt;0,OR(AUTOEVENTO&lt;&gt;"manual",$M177&lt;&gt;1)),
IF(Import.TipoArredondamento&lt;&gt;"TransfereGOV",
ROUND(OFFSET($P177,0,AH$13),15-13*ORÇAMENTO!$AF$7)/$H177*OFFSET(ORÇAMENTO!$X$15,ROW(AH177)-ROW(AH$15),0),
ROUND(ROUND(OFFSET($P177,0,AH$13),15-13*ORÇAMENTO!$AF$7)*OFFSET(ORÇAMENTO!$W$15,ROW(AH177)-ROW(AH$15),0),15-13*ORÇAMENTO!$AF$11)),0)</f>
        <v>0</v>
      </c>
      <c r="AI177" s="545">
        <f ca="1">IF(AND($D177="Serviço",AI$12&lt;&gt;0,$H177&gt;0,OR(AUTOEVENTO&lt;&gt;"manual",$M177&lt;&gt;1)),
IF(Import.TipoArredondamento&lt;&gt;"TransfereGOV",
ROUND(OFFSET($P177,0,AI$13),15-13*ORÇAMENTO!$AF$7)/$H177*OFFSET(ORÇAMENTO!$X$15,ROW(AI177)-ROW(AI$15),0),
ROUND(ROUND(OFFSET($P177,0,AI$13),15-13*ORÇAMENTO!$AF$7)*OFFSET(ORÇAMENTO!$W$15,ROW(AI177)-ROW(AI$15),0),15-13*ORÇAMENTO!$AF$11)),0)</f>
        <v>0</v>
      </c>
      <c r="AJ177" s="545">
        <f ca="1">IF(AND($D177="Serviço",AJ$12&lt;&gt;0,$H177&gt;0,OR(AUTOEVENTO&lt;&gt;"manual",$M177&lt;&gt;1)),
IF(Import.TipoArredondamento&lt;&gt;"TransfereGOV",
ROUND(OFFSET($P177,0,AJ$13),15-13*ORÇAMENTO!$AF$7)/$H177*OFFSET(ORÇAMENTO!$X$15,ROW(AJ177)-ROW(AJ$15),0),
ROUND(ROUND(OFFSET($P177,0,AJ$13),15-13*ORÇAMENTO!$AF$7)*OFFSET(ORÇAMENTO!$W$15,ROW(AJ177)-ROW(AJ$15),0),15-13*ORÇAMENTO!$AF$11)),0)</f>
        <v>0</v>
      </c>
      <c r="AK177" s="546">
        <f ca="1">IF(AND($D177="Serviço",AK$12&lt;&gt;0,$H177&gt;0,OR(AUTOEVENTO&lt;&gt;"manual",$M177&lt;&gt;1)),
IF(Import.TipoArredondamento&lt;&gt;"TransfereGOV",
ROUND(OFFSET($P177,0,AK$13),15-13*ORÇAMENTO!$AF$7)/$H177*OFFSET(ORÇAMENTO!$X$15,ROW(AK177)-ROW(AK$15),0),
ROUND(ROUND(OFFSET($P177,0,AK$13),15-13*ORÇAMENTO!$AF$7)*OFFSET(ORÇAMENTO!$W$15,ROW(AK177)-ROW(AK$15),0),15-13*ORÇAMENTO!$AF$11)),0)</f>
        <v>0</v>
      </c>
      <c r="AM177" s="181">
        <f ca="1">IF($D177&lt;&gt;"Serviço",0,IF(AND(AUTOEVENTO="Manual",$M177=1),0,IF(OFFSET(CRONOPLE!$F$14,$M177,AM$13)="",10^12,OFFSET(CRONOPLE!$F$14,$M177,AM$13))))</f>
        <v>0</v>
      </c>
      <c r="AN177" s="181">
        <f ca="1">IF($D177&lt;&gt;"Serviço",0,IF(AND(AUTOEVENTO="Manual",$M177=1),0,IF(OFFSET(CRONOPLE!$F$14,$M177,AN$13)="",10^12,OFFSET(CRONOPLE!$F$14,$M177,AN$13))))</f>
        <v>0</v>
      </c>
      <c r="AO177" s="181">
        <f ca="1">IF($D177&lt;&gt;"Serviço",0,IF(AND(AUTOEVENTO="Manual",$M177=1),0,IF(OFFSET(CRONOPLE!$F$14,$M177,AO$13)="",10^12,OFFSET(CRONOPLE!$F$14,$M177,AO$13))))</f>
        <v>0</v>
      </c>
      <c r="AP177" s="181">
        <f ca="1">IF($D177&lt;&gt;"Serviço",0,IF(AND(AUTOEVENTO="Manual",$M177=1),0,IF(OFFSET(CRONOPLE!$F$14,$M177,AP$13)="",10^12,OFFSET(CRONOPLE!$F$14,$M177,AP$13))))</f>
        <v>0</v>
      </c>
      <c r="AQ177" s="181">
        <f ca="1">IF($D177&lt;&gt;"Serviço",0,IF(AND(AUTOEVENTO="Manual",$M177=1),0,IF(OFFSET(CRONOPLE!$F$14,$M177,AQ$13)="",10^12,OFFSET(CRONOPLE!$F$14,$M177,AQ$13))))</f>
        <v>0</v>
      </c>
      <c r="AR177" s="181">
        <f ca="1">IF($D177&lt;&gt;"Serviço",0,IF(AND(AUTOEVENTO="Manual",$M177=1),0,IF(OFFSET(CRONOPLE!$F$14,$M177,AR$13)="",10^12,OFFSET(CRONOPLE!$F$14,$M177,AR$13))))</f>
        <v>0</v>
      </c>
      <c r="AS177" s="181">
        <f ca="1">IF($D177&lt;&gt;"Serviço",0,IF(AND(AUTOEVENTO="Manual",$M177=1),0,IF(OFFSET(CRONOPLE!$F$14,$M177,AS$13)="",10^12,OFFSET(CRONOPLE!$F$14,$M177,AS$13))))</f>
        <v>0</v>
      </c>
      <c r="AT177" s="181">
        <f ca="1">IF($D177&lt;&gt;"Serviço",0,IF(AND(AUTOEVENTO="Manual",$M177=1),0,IF(OFFSET(CRONOPLE!$F$14,$M177,AT$13)="",10^12,OFFSET(CRONOPLE!$F$14,$M177,AT$13))))</f>
        <v>0</v>
      </c>
      <c r="AU177" s="181">
        <f ca="1">IF($D177&lt;&gt;"Serviço",0,IF(AND(AUTOEVENTO="Manual",$M177=1),0,IF(OFFSET(CRONOPLE!$F$14,$M177,AU$13)="",10^12,OFFSET(CRONOPLE!$F$14,$M177,AU$13))))</f>
        <v>0</v>
      </c>
      <c r="AV177" s="181">
        <f ca="1">IF($D177&lt;&gt;"Serviço",0,IF(AND(AUTOEVENTO="Manual",$M177=1),0,IF(OFFSET(CRONOPLE!$F$14,$M177,AV$13)="",10^12,OFFSET(CRONOPLE!$F$14,$M177,AV$13))))</f>
        <v>0</v>
      </c>
      <c r="AX177" s="182">
        <f ca="1">IF($D177&lt;&gt;"Serviço",0,IF(OR(AND(AUTOEVENTO="Manual",$M177=1),$M177&gt;(ROW(PLE.lastrow)-ROW(PLE.firstrow))),0,IF(OFFSET(PLE!$G$14,$M177,AX$13)="",10^12,OFFSET(PLE!$G$14,$M177,AX$13))))</f>
        <v>0</v>
      </c>
      <c r="AY177" s="182">
        <f ca="1">IF($D177&lt;&gt;"Serviço",0,IF(OR(AND(AUTOEVENTO="Manual",$M177=1),$M177&gt;(ROW(PLE.lastrow)-ROW(PLE.firstrow))),0,IF(OFFSET(PLE!$G$14,$M177,AY$13)="",10^12,OFFSET(PLE!$G$14,$M177,AY$13))))</f>
        <v>0</v>
      </c>
      <c r="AZ177" s="182">
        <f ca="1">IF($D177&lt;&gt;"Serviço",0,IF(OR(AND(AUTOEVENTO="Manual",$M177=1),$M177&gt;(ROW(PLE.lastrow)-ROW(PLE.firstrow))),0,IF(OFFSET(PLE!$G$14,$M177,AZ$13)="",10^12,OFFSET(PLE!$G$14,$M177,AZ$13))))</f>
        <v>0</v>
      </c>
      <c r="BA177" s="182">
        <f ca="1">IF($D177&lt;&gt;"Serviço",0,IF(OR(AND(AUTOEVENTO="Manual",$M177=1),$M177&gt;(ROW(PLE.lastrow)-ROW(PLE.firstrow))),0,IF(OFFSET(PLE!$G$14,$M177,BA$13)="",10^12,OFFSET(PLE!$G$14,$M177,BA$13))))</f>
        <v>0</v>
      </c>
      <c r="BB177" s="182">
        <f ca="1">IF($D177&lt;&gt;"Serviço",0,IF(OR(AND(AUTOEVENTO="Manual",$M177=1),$M177&gt;(ROW(PLE.lastrow)-ROW(PLE.firstrow))),0,IF(OFFSET(PLE!$G$14,$M177,BB$13)="",10^12,OFFSET(PLE!$G$14,$M177,BB$13))))</f>
        <v>0</v>
      </c>
      <c r="BC177" s="182">
        <f ca="1">IF($D177&lt;&gt;"Serviço",0,IF(OR(AND(AUTOEVENTO="Manual",$M177=1),$M177&gt;(ROW(PLE.lastrow)-ROW(PLE.firstrow))),0,IF(OFFSET(PLE!$G$14,$M177,BC$13)="",10^12,OFFSET(PLE!$G$14,$M177,BC$13))))</f>
        <v>0</v>
      </c>
      <c r="BD177" s="182">
        <f ca="1">IF($D177&lt;&gt;"Serviço",0,IF(OR(AND(AUTOEVENTO="Manual",$M177=1),$M177&gt;(ROW(PLE.lastrow)-ROW(PLE.firstrow))),0,IF(OFFSET(PLE!$G$14,$M177,BD$13)="",10^12,OFFSET(PLE!$G$14,$M177,BD$13))))</f>
        <v>0</v>
      </c>
      <c r="BE177" s="182">
        <f ca="1">IF($D177&lt;&gt;"Serviço",0,IF(OR(AND(AUTOEVENTO="Manual",$M177=1),$M177&gt;(ROW(PLE.lastrow)-ROW(PLE.firstrow))),0,IF(OFFSET(PLE!$G$14,$M177,BE$13)="",10^12,OFFSET(PLE!$G$14,$M177,BE$13))))</f>
        <v>0</v>
      </c>
      <c r="BF177" s="182">
        <f ca="1">IF($D177&lt;&gt;"Serviço",0,IF(OR(AND(AUTOEVENTO="Manual",$M177=1),$M177&gt;(ROW(PLE.lastrow)-ROW(PLE.firstrow))),0,IF(OFFSET(PLE!$G$14,$M177,BF$13)="",10^12,OFFSET(PLE!$G$14,$M177,BF$13))))</f>
        <v>0</v>
      </c>
      <c r="BG177" s="182">
        <f ca="1">IF($D177&lt;&gt;"Serviço",0,IF(OR(AND(AUTOEVENTO="Manual",$M177=1),$M177&gt;(ROW(PLE.lastrow)-ROW(PLE.firstrow))),0,IF(OFFSET(PLE!$G$14,$M177,BG$13)="",10^12,OFFSET(PLE!$G$14,$M177,BG$13))))</f>
        <v>0</v>
      </c>
    </row>
    <row r="178" spans="1:59" ht="38.25" x14ac:dyDescent="0.2">
      <c r="A178" s="7" t="str">
        <f t="shared" ca="1" si="10"/>
        <v>71</v>
      </c>
      <c r="B178" s="7" t="str">
        <f ca="1">OFFSET(ORÇAMENTO!C$15,ROW(B178)-ROW(B$15),0)</f>
        <v>S</v>
      </c>
      <c r="C178" s="7" t="str">
        <f ca="1">OFFSET(ORÇAMENTO!L$15,ROW(C178)-ROW(C$15),0)</f>
        <v>F</v>
      </c>
      <c r="D178" s="118" t="str">
        <f ca="1">OFFSET(ORÇAMENTO!N$15,ROW(D178)-ROW(D$15),0)</f>
        <v>Serviço</v>
      </c>
      <c r="E178" s="119" t="str">
        <f ca="1">OFFSET(ORÇAMENTO!O$15,ROW(E178)-ROW(E$15),0)</f>
        <v>1.6.17.1.</v>
      </c>
      <c r="F178" s="172" t="str">
        <f ca="1">OFFSET(ORÇAMENTO!R$15,ROW(F178)-ROW(F$15),0)</f>
        <v>(abra o arquivo 'Referência 03-2024.xlsm)</v>
      </c>
      <c r="G178" s="173" t="str">
        <f ca="1">IF($D178&lt;&gt;"Serviço","",OFFSET(ORÇAMENTO!S$15,ROW(G178)-ROW(G$15),0))</f>
        <v>-</v>
      </c>
      <c r="H178" s="124">
        <f ca="1">IF($D178&lt;&gt;"Serviço",0,IF(ACOMPANHAMENTO="BM",ROUND(OFFSET(ORÇAMENTO!AJ$15,ROW(H178)-ROW(H$15),0),15-13*ORÇAMENTO!$AF$7),SUMPRODUCT(($Q$12:$AA$12&lt;&gt;"")*ROUND($Q178:$AA178,15-13*ORÇAMENTO!$AF$7))))</f>
        <v>1</v>
      </c>
      <c r="I178" s="561"/>
      <c r="K178" s="174"/>
      <c r="L178" s="175" t="s">
        <v>255</v>
      </c>
      <c r="M178" s="176">
        <f ca="1">IF($D178&lt;&gt;"Serviço","",IF(AUTOEVENTO="manual",$A178,IF(ISERROR(MATCH($A178,$A$15:OFFSET($A178,-1,0),0)),MAX($M$15:OFFSET(M178,-1,0))+1,INDEX($M$15:OFFSET(M178,-1,0),MATCH($A178,$A$15:OFFSET($A178,-1,0),0)))))</f>
        <v>7</v>
      </c>
      <c r="N178" s="177" t="str">
        <f ca="1">IF($D178&lt;&gt;"Serviço","",IF(AUTOEVENTO="Manual",IF($A178=0,"&lt;-- defina o número do agrupador",OFFSET(EVENTOS!$D$14,$A178,0)),OFFSET($F$15,$A178,0)))</f>
        <v>SANITÁRIO PÚBLICO ACESSÍVEL</v>
      </c>
      <c r="O178" s="178"/>
      <c r="Q178" s="178"/>
      <c r="R178" s="179"/>
      <c r="S178" s="179"/>
      <c r="T178" s="179"/>
      <c r="U178" s="179"/>
      <c r="V178" s="179"/>
      <c r="W178" s="179"/>
      <c r="X178" s="179"/>
      <c r="Y178" s="179"/>
      <c r="Z178" s="180"/>
      <c r="AB178" s="544">
        <f ca="1">IF(AND($D178="Serviço",AB$12&lt;&gt;0,$H178&gt;0,OR(AUTOEVENTO&lt;&gt;"manual",$M178&lt;&gt;1)),
IF(Import.TipoArredondamento&lt;&gt;"TransfereGOV",
ROUND(OFFSET($P178,0,AB$13),15-13*ORÇAMENTO!$AF$7)/$H178*OFFSET(ORÇAMENTO!$X$15,ROW(AB178)-ROW(AB$15),0),
ROUND(ROUND(OFFSET($P178,0,AB$13),15-13*ORÇAMENTO!$AF$7)*OFFSET(ORÇAMENTO!$W$15,ROW(AB178)-ROW(AB$15),0),15-13*ORÇAMENTO!$AF$11)),0)</f>
        <v>0</v>
      </c>
      <c r="AC178" s="545">
        <f ca="1">IF(AND($D178="Serviço",AC$12&lt;&gt;0,$H178&gt;0,OR(AUTOEVENTO&lt;&gt;"manual",$M178&lt;&gt;1)),
IF(Import.TipoArredondamento&lt;&gt;"TransfereGOV",
ROUND(OFFSET($P178,0,AC$13),15-13*ORÇAMENTO!$AF$7)/$H178*OFFSET(ORÇAMENTO!$X$15,ROW(AC178)-ROW(AC$15),0),
ROUND(ROUND(OFFSET($P178,0,AC$13),15-13*ORÇAMENTO!$AF$7)*OFFSET(ORÇAMENTO!$W$15,ROW(AC178)-ROW(AC$15),0),15-13*ORÇAMENTO!$AF$11)),0)</f>
        <v>0</v>
      </c>
      <c r="AD178" s="545">
        <f ca="1">IF(AND($D178="Serviço",AD$12&lt;&gt;0,$H178&gt;0,OR(AUTOEVENTO&lt;&gt;"manual",$M178&lt;&gt;1)),
IF(Import.TipoArredondamento&lt;&gt;"TransfereGOV",
ROUND(OFFSET($P178,0,AD$13),15-13*ORÇAMENTO!$AF$7)/$H178*OFFSET(ORÇAMENTO!$X$15,ROW(AD178)-ROW(AD$15),0),
ROUND(ROUND(OFFSET($P178,0,AD$13),15-13*ORÇAMENTO!$AF$7)*OFFSET(ORÇAMENTO!$W$15,ROW(AD178)-ROW(AD$15),0),15-13*ORÇAMENTO!$AF$11)),0)</f>
        <v>0</v>
      </c>
      <c r="AE178" s="545">
        <f ca="1">IF(AND($D178="Serviço",AE$12&lt;&gt;0,$H178&gt;0,OR(AUTOEVENTO&lt;&gt;"manual",$M178&lt;&gt;1)),
IF(Import.TipoArredondamento&lt;&gt;"TransfereGOV",
ROUND(OFFSET($P178,0,AE$13),15-13*ORÇAMENTO!$AF$7)/$H178*OFFSET(ORÇAMENTO!$X$15,ROW(AE178)-ROW(AE$15),0),
ROUND(ROUND(OFFSET($P178,0,AE$13),15-13*ORÇAMENTO!$AF$7)*OFFSET(ORÇAMENTO!$W$15,ROW(AE178)-ROW(AE$15),0),15-13*ORÇAMENTO!$AF$11)),0)</f>
        <v>0</v>
      </c>
      <c r="AF178" s="545">
        <f ca="1">IF(AND($D178="Serviço",AF$12&lt;&gt;0,$H178&gt;0,OR(AUTOEVENTO&lt;&gt;"manual",$M178&lt;&gt;1)),
IF(Import.TipoArredondamento&lt;&gt;"TransfereGOV",
ROUND(OFFSET($P178,0,AF$13),15-13*ORÇAMENTO!$AF$7)/$H178*OFFSET(ORÇAMENTO!$X$15,ROW(AF178)-ROW(AF$15),0),
ROUND(ROUND(OFFSET($P178,0,AF$13),15-13*ORÇAMENTO!$AF$7)*OFFSET(ORÇAMENTO!$W$15,ROW(AF178)-ROW(AF$15),0),15-13*ORÇAMENTO!$AF$11)),0)</f>
        <v>0</v>
      </c>
      <c r="AG178" s="545">
        <f ca="1">IF(AND($D178="Serviço",AG$12&lt;&gt;0,$H178&gt;0,OR(AUTOEVENTO&lt;&gt;"manual",$M178&lt;&gt;1)),
IF(Import.TipoArredondamento&lt;&gt;"TransfereGOV",
ROUND(OFFSET($P178,0,AG$13),15-13*ORÇAMENTO!$AF$7)/$H178*OFFSET(ORÇAMENTO!$X$15,ROW(AG178)-ROW(AG$15),0),
ROUND(ROUND(OFFSET($P178,0,AG$13),15-13*ORÇAMENTO!$AF$7)*OFFSET(ORÇAMENTO!$W$15,ROW(AG178)-ROW(AG$15),0),15-13*ORÇAMENTO!$AF$11)),0)</f>
        <v>0</v>
      </c>
      <c r="AH178" s="545">
        <f ca="1">IF(AND($D178="Serviço",AH$12&lt;&gt;0,$H178&gt;0,OR(AUTOEVENTO&lt;&gt;"manual",$M178&lt;&gt;1)),
IF(Import.TipoArredondamento&lt;&gt;"TransfereGOV",
ROUND(OFFSET($P178,0,AH$13),15-13*ORÇAMENTO!$AF$7)/$H178*OFFSET(ORÇAMENTO!$X$15,ROW(AH178)-ROW(AH$15),0),
ROUND(ROUND(OFFSET($P178,0,AH$13),15-13*ORÇAMENTO!$AF$7)*OFFSET(ORÇAMENTO!$W$15,ROW(AH178)-ROW(AH$15),0),15-13*ORÇAMENTO!$AF$11)),0)</f>
        <v>0</v>
      </c>
      <c r="AI178" s="545">
        <f ca="1">IF(AND($D178="Serviço",AI$12&lt;&gt;0,$H178&gt;0,OR(AUTOEVENTO&lt;&gt;"manual",$M178&lt;&gt;1)),
IF(Import.TipoArredondamento&lt;&gt;"TransfereGOV",
ROUND(OFFSET($P178,0,AI$13),15-13*ORÇAMENTO!$AF$7)/$H178*OFFSET(ORÇAMENTO!$X$15,ROW(AI178)-ROW(AI$15),0),
ROUND(ROUND(OFFSET($P178,0,AI$13),15-13*ORÇAMENTO!$AF$7)*OFFSET(ORÇAMENTO!$W$15,ROW(AI178)-ROW(AI$15),0),15-13*ORÇAMENTO!$AF$11)),0)</f>
        <v>0</v>
      </c>
      <c r="AJ178" s="545">
        <f ca="1">IF(AND($D178="Serviço",AJ$12&lt;&gt;0,$H178&gt;0,OR(AUTOEVENTO&lt;&gt;"manual",$M178&lt;&gt;1)),
IF(Import.TipoArredondamento&lt;&gt;"TransfereGOV",
ROUND(OFFSET($P178,0,AJ$13),15-13*ORÇAMENTO!$AF$7)/$H178*OFFSET(ORÇAMENTO!$X$15,ROW(AJ178)-ROW(AJ$15),0),
ROUND(ROUND(OFFSET($P178,0,AJ$13),15-13*ORÇAMENTO!$AF$7)*OFFSET(ORÇAMENTO!$W$15,ROW(AJ178)-ROW(AJ$15),0),15-13*ORÇAMENTO!$AF$11)),0)</f>
        <v>0</v>
      </c>
      <c r="AK178" s="546">
        <f ca="1">IF(AND($D178="Serviço",AK$12&lt;&gt;0,$H178&gt;0,OR(AUTOEVENTO&lt;&gt;"manual",$M178&lt;&gt;1)),
IF(Import.TipoArredondamento&lt;&gt;"TransfereGOV",
ROUND(OFFSET($P178,0,AK$13),15-13*ORÇAMENTO!$AF$7)/$H178*OFFSET(ORÇAMENTO!$X$15,ROW(AK178)-ROW(AK$15),0),
ROUND(ROUND(OFFSET($P178,0,AK$13),15-13*ORÇAMENTO!$AF$7)*OFFSET(ORÇAMENTO!$W$15,ROW(AK178)-ROW(AK$15),0),15-13*ORÇAMENTO!$AF$11)),0)</f>
        <v>0</v>
      </c>
      <c r="AM178" s="181">
        <f ca="1">IF($D178&lt;&gt;"Serviço",0,IF(AND(AUTOEVENTO="Manual",$M178=1),0,IF(OFFSET(CRONOPLE!$F$14,$M178,AM$13)="",10^12,OFFSET(CRONOPLE!$F$14,$M178,AM$13))))</f>
        <v>1000000000000</v>
      </c>
      <c r="AN178" s="181">
        <f ca="1">IF($D178&lt;&gt;"Serviço",0,IF(AND(AUTOEVENTO="Manual",$M178=1),0,IF(OFFSET(CRONOPLE!$F$14,$M178,AN$13)="",10^12,OFFSET(CRONOPLE!$F$14,$M178,AN$13))))</f>
        <v>1000000000000</v>
      </c>
      <c r="AO178" s="181">
        <f ca="1">IF($D178&lt;&gt;"Serviço",0,IF(AND(AUTOEVENTO="Manual",$M178=1),0,IF(OFFSET(CRONOPLE!$F$14,$M178,AO$13)="",10^12,OFFSET(CRONOPLE!$F$14,$M178,AO$13))))</f>
        <v>1000000000000</v>
      </c>
      <c r="AP178" s="181">
        <f ca="1">IF($D178&lt;&gt;"Serviço",0,IF(AND(AUTOEVENTO="Manual",$M178=1),0,IF(OFFSET(CRONOPLE!$F$14,$M178,AP$13)="",10^12,OFFSET(CRONOPLE!$F$14,$M178,AP$13))))</f>
        <v>1000000000000</v>
      </c>
      <c r="AQ178" s="181">
        <f ca="1">IF($D178&lt;&gt;"Serviço",0,IF(AND(AUTOEVENTO="Manual",$M178=1),0,IF(OFFSET(CRONOPLE!$F$14,$M178,AQ$13)="",10^12,OFFSET(CRONOPLE!$F$14,$M178,AQ$13))))</f>
        <v>1000000000000</v>
      </c>
      <c r="AR178" s="181">
        <f ca="1">IF($D178&lt;&gt;"Serviço",0,IF(AND(AUTOEVENTO="Manual",$M178=1),0,IF(OFFSET(CRONOPLE!$F$14,$M178,AR$13)="",10^12,OFFSET(CRONOPLE!$F$14,$M178,AR$13))))</f>
        <v>1000000000000</v>
      </c>
      <c r="AS178" s="181">
        <f ca="1">IF($D178&lt;&gt;"Serviço",0,IF(AND(AUTOEVENTO="Manual",$M178=1),0,IF(OFFSET(CRONOPLE!$F$14,$M178,AS$13)="",10^12,OFFSET(CRONOPLE!$F$14,$M178,AS$13))))</f>
        <v>1000000000000</v>
      </c>
      <c r="AT178" s="181">
        <f ca="1">IF($D178&lt;&gt;"Serviço",0,IF(AND(AUTOEVENTO="Manual",$M178=1),0,IF(OFFSET(CRONOPLE!$F$14,$M178,AT$13)="",10^12,OFFSET(CRONOPLE!$F$14,$M178,AT$13))))</f>
        <v>1000000000000</v>
      </c>
      <c r="AU178" s="181">
        <f ca="1">IF($D178&lt;&gt;"Serviço",0,IF(AND(AUTOEVENTO="Manual",$M178=1),0,IF(OFFSET(CRONOPLE!$F$14,$M178,AU$13)="",10^12,OFFSET(CRONOPLE!$F$14,$M178,AU$13))))</f>
        <v>1000000000000</v>
      </c>
      <c r="AV178" s="181">
        <f ca="1">IF($D178&lt;&gt;"Serviço",0,IF(AND(AUTOEVENTO="Manual",$M178=1),0,IF(OFFSET(CRONOPLE!$F$14,$M178,AV$13)="",10^12,OFFSET(CRONOPLE!$F$14,$M178,AV$13))))</f>
        <v>1000000000000</v>
      </c>
      <c r="AX178" s="182">
        <f ca="1">IF($D178&lt;&gt;"Serviço",0,IF(OR(AND(AUTOEVENTO="Manual",$M178=1),$M178&gt;(ROW(PLE.lastrow)-ROW(PLE.firstrow))),0,IF(OFFSET(PLE!$G$14,$M178,AX$13)="",10^12,OFFSET(PLE!$G$14,$M178,AX$13))))</f>
        <v>1000000000000</v>
      </c>
      <c r="AY178" s="182">
        <f ca="1">IF($D178&lt;&gt;"Serviço",0,IF(OR(AND(AUTOEVENTO="Manual",$M178=1),$M178&gt;(ROW(PLE.lastrow)-ROW(PLE.firstrow))),0,IF(OFFSET(PLE!$G$14,$M178,AY$13)="",10^12,OFFSET(PLE!$G$14,$M178,AY$13))))</f>
        <v>1000000000000</v>
      </c>
      <c r="AZ178" s="182">
        <f ca="1">IF($D178&lt;&gt;"Serviço",0,IF(OR(AND(AUTOEVENTO="Manual",$M178=1),$M178&gt;(ROW(PLE.lastrow)-ROW(PLE.firstrow))),0,IF(OFFSET(PLE!$G$14,$M178,AZ$13)="",10^12,OFFSET(PLE!$G$14,$M178,AZ$13))))</f>
        <v>1000000000000</v>
      </c>
      <c r="BA178" s="182">
        <f ca="1">IF($D178&lt;&gt;"Serviço",0,IF(OR(AND(AUTOEVENTO="Manual",$M178=1),$M178&gt;(ROW(PLE.lastrow)-ROW(PLE.firstrow))),0,IF(OFFSET(PLE!$G$14,$M178,BA$13)="",10^12,OFFSET(PLE!$G$14,$M178,BA$13))))</f>
        <v>1000000000000</v>
      </c>
      <c r="BB178" s="182">
        <f ca="1">IF($D178&lt;&gt;"Serviço",0,IF(OR(AND(AUTOEVENTO="Manual",$M178=1),$M178&gt;(ROW(PLE.lastrow)-ROW(PLE.firstrow))),0,IF(OFFSET(PLE!$G$14,$M178,BB$13)="",10^12,OFFSET(PLE!$G$14,$M178,BB$13))))</f>
        <v>1000000000000</v>
      </c>
      <c r="BC178" s="182">
        <f ca="1">IF($D178&lt;&gt;"Serviço",0,IF(OR(AND(AUTOEVENTO="Manual",$M178=1),$M178&gt;(ROW(PLE.lastrow)-ROW(PLE.firstrow))),0,IF(OFFSET(PLE!$G$14,$M178,BC$13)="",10^12,OFFSET(PLE!$G$14,$M178,BC$13))))</f>
        <v>1000000000000</v>
      </c>
      <c r="BD178" s="182">
        <f ca="1">IF($D178&lt;&gt;"Serviço",0,IF(OR(AND(AUTOEVENTO="Manual",$M178=1),$M178&gt;(ROW(PLE.lastrow)-ROW(PLE.firstrow))),0,IF(OFFSET(PLE!$G$14,$M178,BD$13)="",10^12,OFFSET(PLE!$G$14,$M178,BD$13))))</f>
        <v>1000000000000</v>
      </c>
      <c r="BE178" s="182">
        <f ca="1">IF($D178&lt;&gt;"Serviço",0,IF(OR(AND(AUTOEVENTO="Manual",$M178=1),$M178&gt;(ROW(PLE.lastrow)-ROW(PLE.firstrow))),0,IF(OFFSET(PLE!$G$14,$M178,BE$13)="",10^12,OFFSET(PLE!$G$14,$M178,BE$13))))</f>
        <v>1000000000000</v>
      </c>
      <c r="BF178" s="182">
        <f ca="1">IF($D178&lt;&gt;"Serviço",0,IF(OR(AND(AUTOEVENTO="Manual",$M178=1),$M178&gt;(ROW(PLE.lastrow)-ROW(PLE.firstrow))),0,IF(OFFSET(PLE!$G$14,$M178,BF$13)="",10^12,OFFSET(PLE!$G$14,$M178,BF$13))))</f>
        <v>1000000000000</v>
      </c>
      <c r="BG178" s="182">
        <f ca="1">IF($D178&lt;&gt;"Serviço",0,IF(OR(AND(AUTOEVENTO="Manual",$M178=1),$M178&gt;(ROW(PLE.lastrow)-ROW(PLE.firstrow))),0,IF(OFFSET(PLE!$G$14,$M178,BG$13)="",10^12,OFFSET(PLE!$G$14,$M178,BG$13))))</f>
        <v>1000000000000</v>
      </c>
    </row>
    <row r="179" spans="1:59" ht="25.5" x14ac:dyDescent="0.2">
      <c r="A179" s="7" t="str">
        <f t="shared" ca="1" si="10"/>
        <v>71</v>
      </c>
      <c r="B179" s="7" t="str">
        <f ca="1">OFFSET(ORÇAMENTO!C$15,ROW(B179)-ROW(B$15),0)</f>
        <v>S</v>
      </c>
      <c r="C179" s="7" t="str">
        <f ca="1">OFFSET(ORÇAMENTO!L$15,ROW(C179)-ROW(C$15),0)</f>
        <v>F</v>
      </c>
      <c r="D179" s="118" t="str">
        <f ca="1">OFFSET(ORÇAMENTO!N$15,ROW(D179)-ROW(D$15),0)</f>
        <v>Serviço</v>
      </c>
      <c r="E179" s="119" t="str">
        <f ca="1">OFFSET(ORÇAMENTO!O$15,ROW(E179)-ROW(E$15),0)</f>
        <v>1.6.17.2.</v>
      </c>
      <c r="F179" s="172" t="str">
        <f ca="1">OFFSET(ORÇAMENTO!R$15,ROW(F179)-ROW(F$15),0)</f>
        <v>(abra o arquivo 'Referência 03-2024.xlsm)</v>
      </c>
      <c r="G179" s="173" t="str">
        <f ca="1">IF($D179&lt;&gt;"Serviço","",OFFSET(ORÇAMENTO!S$15,ROW(G179)-ROW(G$15),0))</f>
        <v>-</v>
      </c>
      <c r="H179" s="124">
        <f ca="1">IF($D179&lt;&gt;"Serviço",0,IF(ACOMPANHAMENTO="BM",ROUND(OFFSET(ORÇAMENTO!AJ$15,ROW(H179)-ROW(H$15),0),15-13*ORÇAMENTO!$AF$7),SUMPRODUCT(($Q$12:$AA$12&lt;&gt;"")*ROUND($Q179:$AA179,15-13*ORÇAMENTO!$AF$7))))</f>
        <v>4</v>
      </c>
      <c r="I179" s="561"/>
      <c r="K179" s="174"/>
      <c r="L179" s="175" t="s">
        <v>255</v>
      </c>
      <c r="M179" s="176">
        <f ca="1">IF($D179&lt;&gt;"Serviço","",IF(AUTOEVENTO="manual",$A179,IF(ISERROR(MATCH($A179,$A$15:OFFSET($A179,-1,0),0)),MAX($M$15:OFFSET(M179,-1,0))+1,INDEX($M$15:OFFSET(M179,-1,0),MATCH($A179,$A$15:OFFSET($A179,-1,0),0)))))</f>
        <v>7</v>
      </c>
      <c r="N179" s="177" t="str">
        <f ca="1">IF($D179&lt;&gt;"Serviço","",IF(AUTOEVENTO="Manual",IF($A179=0,"&lt;-- defina o número do agrupador",OFFSET(EVENTOS!$D$14,$A179,0)),OFFSET($F$15,$A179,0)))</f>
        <v>SANITÁRIO PÚBLICO ACESSÍVEL</v>
      </c>
      <c r="O179" s="178"/>
      <c r="Q179" s="178"/>
      <c r="R179" s="179"/>
      <c r="S179" s="179"/>
      <c r="T179" s="179"/>
      <c r="U179" s="179"/>
      <c r="V179" s="179"/>
      <c r="W179" s="179"/>
      <c r="X179" s="179"/>
      <c r="Y179" s="179"/>
      <c r="Z179" s="180"/>
      <c r="AB179" s="544">
        <f ca="1">IF(AND($D179="Serviço",AB$12&lt;&gt;0,$H179&gt;0,OR(AUTOEVENTO&lt;&gt;"manual",$M179&lt;&gt;1)),
IF(Import.TipoArredondamento&lt;&gt;"TransfereGOV",
ROUND(OFFSET($P179,0,AB$13),15-13*ORÇAMENTO!$AF$7)/$H179*OFFSET(ORÇAMENTO!$X$15,ROW(AB179)-ROW(AB$15),0),
ROUND(ROUND(OFFSET($P179,0,AB$13),15-13*ORÇAMENTO!$AF$7)*OFFSET(ORÇAMENTO!$W$15,ROW(AB179)-ROW(AB$15),0),15-13*ORÇAMENTO!$AF$11)),0)</f>
        <v>0</v>
      </c>
      <c r="AC179" s="545">
        <f ca="1">IF(AND($D179="Serviço",AC$12&lt;&gt;0,$H179&gt;0,OR(AUTOEVENTO&lt;&gt;"manual",$M179&lt;&gt;1)),
IF(Import.TipoArredondamento&lt;&gt;"TransfereGOV",
ROUND(OFFSET($P179,0,AC$13),15-13*ORÇAMENTO!$AF$7)/$H179*OFFSET(ORÇAMENTO!$X$15,ROW(AC179)-ROW(AC$15),0),
ROUND(ROUND(OFFSET($P179,0,AC$13),15-13*ORÇAMENTO!$AF$7)*OFFSET(ORÇAMENTO!$W$15,ROW(AC179)-ROW(AC$15),0),15-13*ORÇAMENTO!$AF$11)),0)</f>
        <v>0</v>
      </c>
      <c r="AD179" s="545">
        <f ca="1">IF(AND($D179="Serviço",AD$12&lt;&gt;0,$H179&gt;0,OR(AUTOEVENTO&lt;&gt;"manual",$M179&lt;&gt;1)),
IF(Import.TipoArredondamento&lt;&gt;"TransfereGOV",
ROUND(OFFSET($P179,0,AD$13),15-13*ORÇAMENTO!$AF$7)/$H179*OFFSET(ORÇAMENTO!$X$15,ROW(AD179)-ROW(AD$15),0),
ROUND(ROUND(OFFSET($P179,0,AD$13),15-13*ORÇAMENTO!$AF$7)*OFFSET(ORÇAMENTO!$W$15,ROW(AD179)-ROW(AD$15),0),15-13*ORÇAMENTO!$AF$11)),0)</f>
        <v>0</v>
      </c>
      <c r="AE179" s="545">
        <f ca="1">IF(AND($D179="Serviço",AE$12&lt;&gt;0,$H179&gt;0,OR(AUTOEVENTO&lt;&gt;"manual",$M179&lt;&gt;1)),
IF(Import.TipoArredondamento&lt;&gt;"TransfereGOV",
ROUND(OFFSET($P179,0,AE$13),15-13*ORÇAMENTO!$AF$7)/$H179*OFFSET(ORÇAMENTO!$X$15,ROW(AE179)-ROW(AE$15),0),
ROUND(ROUND(OFFSET($P179,0,AE$13),15-13*ORÇAMENTO!$AF$7)*OFFSET(ORÇAMENTO!$W$15,ROW(AE179)-ROW(AE$15),0),15-13*ORÇAMENTO!$AF$11)),0)</f>
        <v>0</v>
      </c>
      <c r="AF179" s="545">
        <f ca="1">IF(AND($D179="Serviço",AF$12&lt;&gt;0,$H179&gt;0,OR(AUTOEVENTO&lt;&gt;"manual",$M179&lt;&gt;1)),
IF(Import.TipoArredondamento&lt;&gt;"TransfereGOV",
ROUND(OFFSET($P179,0,AF$13),15-13*ORÇAMENTO!$AF$7)/$H179*OFFSET(ORÇAMENTO!$X$15,ROW(AF179)-ROW(AF$15),0),
ROUND(ROUND(OFFSET($P179,0,AF$13),15-13*ORÇAMENTO!$AF$7)*OFFSET(ORÇAMENTO!$W$15,ROW(AF179)-ROW(AF$15),0),15-13*ORÇAMENTO!$AF$11)),0)</f>
        <v>0</v>
      </c>
      <c r="AG179" s="545">
        <f ca="1">IF(AND($D179="Serviço",AG$12&lt;&gt;0,$H179&gt;0,OR(AUTOEVENTO&lt;&gt;"manual",$M179&lt;&gt;1)),
IF(Import.TipoArredondamento&lt;&gt;"TransfereGOV",
ROUND(OFFSET($P179,0,AG$13),15-13*ORÇAMENTO!$AF$7)/$H179*OFFSET(ORÇAMENTO!$X$15,ROW(AG179)-ROW(AG$15),0),
ROUND(ROUND(OFFSET($P179,0,AG$13),15-13*ORÇAMENTO!$AF$7)*OFFSET(ORÇAMENTO!$W$15,ROW(AG179)-ROW(AG$15),0),15-13*ORÇAMENTO!$AF$11)),0)</f>
        <v>0</v>
      </c>
      <c r="AH179" s="545">
        <f ca="1">IF(AND($D179="Serviço",AH$12&lt;&gt;0,$H179&gt;0,OR(AUTOEVENTO&lt;&gt;"manual",$M179&lt;&gt;1)),
IF(Import.TipoArredondamento&lt;&gt;"TransfereGOV",
ROUND(OFFSET($P179,0,AH$13),15-13*ORÇAMENTO!$AF$7)/$H179*OFFSET(ORÇAMENTO!$X$15,ROW(AH179)-ROW(AH$15),0),
ROUND(ROUND(OFFSET($P179,0,AH$13),15-13*ORÇAMENTO!$AF$7)*OFFSET(ORÇAMENTO!$W$15,ROW(AH179)-ROW(AH$15),0),15-13*ORÇAMENTO!$AF$11)),0)</f>
        <v>0</v>
      </c>
      <c r="AI179" s="545">
        <f ca="1">IF(AND($D179="Serviço",AI$12&lt;&gt;0,$H179&gt;0,OR(AUTOEVENTO&lt;&gt;"manual",$M179&lt;&gt;1)),
IF(Import.TipoArredondamento&lt;&gt;"TransfereGOV",
ROUND(OFFSET($P179,0,AI$13),15-13*ORÇAMENTO!$AF$7)/$H179*OFFSET(ORÇAMENTO!$X$15,ROW(AI179)-ROW(AI$15),0),
ROUND(ROUND(OFFSET($P179,0,AI$13),15-13*ORÇAMENTO!$AF$7)*OFFSET(ORÇAMENTO!$W$15,ROW(AI179)-ROW(AI$15),0),15-13*ORÇAMENTO!$AF$11)),0)</f>
        <v>0</v>
      </c>
      <c r="AJ179" s="545">
        <f ca="1">IF(AND($D179="Serviço",AJ$12&lt;&gt;0,$H179&gt;0,OR(AUTOEVENTO&lt;&gt;"manual",$M179&lt;&gt;1)),
IF(Import.TipoArredondamento&lt;&gt;"TransfereGOV",
ROUND(OFFSET($P179,0,AJ$13),15-13*ORÇAMENTO!$AF$7)/$H179*OFFSET(ORÇAMENTO!$X$15,ROW(AJ179)-ROW(AJ$15),0),
ROUND(ROUND(OFFSET($P179,0,AJ$13),15-13*ORÇAMENTO!$AF$7)*OFFSET(ORÇAMENTO!$W$15,ROW(AJ179)-ROW(AJ$15),0),15-13*ORÇAMENTO!$AF$11)),0)</f>
        <v>0</v>
      </c>
      <c r="AK179" s="546">
        <f ca="1">IF(AND($D179="Serviço",AK$12&lt;&gt;0,$H179&gt;0,OR(AUTOEVENTO&lt;&gt;"manual",$M179&lt;&gt;1)),
IF(Import.TipoArredondamento&lt;&gt;"TransfereGOV",
ROUND(OFFSET($P179,0,AK$13),15-13*ORÇAMENTO!$AF$7)/$H179*OFFSET(ORÇAMENTO!$X$15,ROW(AK179)-ROW(AK$15),0),
ROUND(ROUND(OFFSET($P179,0,AK$13),15-13*ORÇAMENTO!$AF$7)*OFFSET(ORÇAMENTO!$W$15,ROW(AK179)-ROW(AK$15),0),15-13*ORÇAMENTO!$AF$11)),0)</f>
        <v>0</v>
      </c>
      <c r="AM179" s="181">
        <f ca="1">IF($D179&lt;&gt;"Serviço",0,IF(AND(AUTOEVENTO="Manual",$M179=1),0,IF(OFFSET(CRONOPLE!$F$14,$M179,AM$13)="",10^12,OFFSET(CRONOPLE!$F$14,$M179,AM$13))))</f>
        <v>1000000000000</v>
      </c>
      <c r="AN179" s="181">
        <f ca="1">IF($D179&lt;&gt;"Serviço",0,IF(AND(AUTOEVENTO="Manual",$M179=1),0,IF(OFFSET(CRONOPLE!$F$14,$M179,AN$13)="",10^12,OFFSET(CRONOPLE!$F$14,$M179,AN$13))))</f>
        <v>1000000000000</v>
      </c>
      <c r="AO179" s="181">
        <f ca="1">IF($D179&lt;&gt;"Serviço",0,IF(AND(AUTOEVENTO="Manual",$M179=1),0,IF(OFFSET(CRONOPLE!$F$14,$M179,AO$13)="",10^12,OFFSET(CRONOPLE!$F$14,$M179,AO$13))))</f>
        <v>1000000000000</v>
      </c>
      <c r="AP179" s="181">
        <f ca="1">IF($D179&lt;&gt;"Serviço",0,IF(AND(AUTOEVENTO="Manual",$M179=1),0,IF(OFFSET(CRONOPLE!$F$14,$M179,AP$13)="",10^12,OFFSET(CRONOPLE!$F$14,$M179,AP$13))))</f>
        <v>1000000000000</v>
      </c>
      <c r="AQ179" s="181">
        <f ca="1">IF($D179&lt;&gt;"Serviço",0,IF(AND(AUTOEVENTO="Manual",$M179=1),0,IF(OFFSET(CRONOPLE!$F$14,$M179,AQ$13)="",10^12,OFFSET(CRONOPLE!$F$14,$M179,AQ$13))))</f>
        <v>1000000000000</v>
      </c>
      <c r="AR179" s="181">
        <f ca="1">IF($D179&lt;&gt;"Serviço",0,IF(AND(AUTOEVENTO="Manual",$M179=1),0,IF(OFFSET(CRONOPLE!$F$14,$M179,AR$13)="",10^12,OFFSET(CRONOPLE!$F$14,$M179,AR$13))))</f>
        <v>1000000000000</v>
      </c>
      <c r="AS179" s="181">
        <f ca="1">IF($D179&lt;&gt;"Serviço",0,IF(AND(AUTOEVENTO="Manual",$M179=1),0,IF(OFFSET(CRONOPLE!$F$14,$M179,AS$13)="",10^12,OFFSET(CRONOPLE!$F$14,$M179,AS$13))))</f>
        <v>1000000000000</v>
      </c>
      <c r="AT179" s="181">
        <f ca="1">IF($D179&lt;&gt;"Serviço",0,IF(AND(AUTOEVENTO="Manual",$M179=1),0,IF(OFFSET(CRONOPLE!$F$14,$M179,AT$13)="",10^12,OFFSET(CRONOPLE!$F$14,$M179,AT$13))))</f>
        <v>1000000000000</v>
      </c>
      <c r="AU179" s="181">
        <f ca="1">IF($D179&lt;&gt;"Serviço",0,IF(AND(AUTOEVENTO="Manual",$M179=1),0,IF(OFFSET(CRONOPLE!$F$14,$M179,AU$13)="",10^12,OFFSET(CRONOPLE!$F$14,$M179,AU$13))))</f>
        <v>1000000000000</v>
      </c>
      <c r="AV179" s="181">
        <f ca="1">IF($D179&lt;&gt;"Serviço",0,IF(AND(AUTOEVENTO="Manual",$M179=1),0,IF(OFFSET(CRONOPLE!$F$14,$M179,AV$13)="",10^12,OFFSET(CRONOPLE!$F$14,$M179,AV$13))))</f>
        <v>1000000000000</v>
      </c>
      <c r="AX179" s="182">
        <f ca="1">IF($D179&lt;&gt;"Serviço",0,IF(OR(AND(AUTOEVENTO="Manual",$M179=1),$M179&gt;(ROW(PLE.lastrow)-ROW(PLE.firstrow))),0,IF(OFFSET(PLE!$G$14,$M179,AX$13)="",10^12,OFFSET(PLE!$G$14,$M179,AX$13))))</f>
        <v>1000000000000</v>
      </c>
      <c r="AY179" s="182">
        <f ca="1">IF($D179&lt;&gt;"Serviço",0,IF(OR(AND(AUTOEVENTO="Manual",$M179=1),$M179&gt;(ROW(PLE.lastrow)-ROW(PLE.firstrow))),0,IF(OFFSET(PLE!$G$14,$M179,AY$13)="",10^12,OFFSET(PLE!$G$14,$M179,AY$13))))</f>
        <v>1000000000000</v>
      </c>
      <c r="AZ179" s="182">
        <f ca="1">IF($D179&lt;&gt;"Serviço",0,IF(OR(AND(AUTOEVENTO="Manual",$M179=1),$M179&gt;(ROW(PLE.lastrow)-ROW(PLE.firstrow))),0,IF(OFFSET(PLE!$G$14,$M179,AZ$13)="",10^12,OFFSET(PLE!$G$14,$M179,AZ$13))))</f>
        <v>1000000000000</v>
      </c>
      <c r="BA179" s="182">
        <f ca="1">IF($D179&lt;&gt;"Serviço",0,IF(OR(AND(AUTOEVENTO="Manual",$M179=1),$M179&gt;(ROW(PLE.lastrow)-ROW(PLE.firstrow))),0,IF(OFFSET(PLE!$G$14,$M179,BA$13)="",10^12,OFFSET(PLE!$G$14,$M179,BA$13))))</f>
        <v>1000000000000</v>
      </c>
      <c r="BB179" s="182">
        <f ca="1">IF($D179&lt;&gt;"Serviço",0,IF(OR(AND(AUTOEVENTO="Manual",$M179=1),$M179&gt;(ROW(PLE.lastrow)-ROW(PLE.firstrow))),0,IF(OFFSET(PLE!$G$14,$M179,BB$13)="",10^12,OFFSET(PLE!$G$14,$M179,BB$13))))</f>
        <v>1000000000000</v>
      </c>
      <c r="BC179" s="182">
        <f ca="1">IF($D179&lt;&gt;"Serviço",0,IF(OR(AND(AUTOEVENTO="Manual",$M179=1),$M179&gt;(ROW(PLE.lastrow)-ROW(PLE.firstrow))),0,IF(OFFSET(PLE!$G$14,$M179,BC$13)="",10^12,OFFSET(PLE!$G$14,$M179,BC$13))))</f>
        <v>1000000000000</v>
      </c>
      <c r="BD179" s="182">
        <f ca="1">IF($D179&lt;&gt;"Serviço",0,IF(OR(AND(AUTOEVENTO="Manual",$M179=1),$M179&gt;(ROW(PLE.lastrow)-ROW(PLE.firstrow))),0,IF(OFFSET(PLE!$G$14,$M179,BD$13)="",10^12,OFFSET(PLE!$G$14,$M179,BD$13))))</f>
        <v>1000000000000</v>
      </c>
      <c r="BE179" s="182">
        <f ca="1">IF($D179&lt;&gt;"Serviço",0,IF(OR(AND(AUTOEVENTO="Manual",$M179=1),$M179&gt;(ROW(PLE.lastrow)-ROW(PLE.firstrow))),0,IF(OFFSET(PLE!$G$14,$M179,BE$13)="",10^12,OFFSET(PLE!$G$14,$M179,BE$13))))</f>
        <v>1000000000000</v>
      </c>
      <c r="BF179" s="182">
        <f ca="1">IF($D179&lt;&gt;"Serviço",0,IF(OR(AND(AUTOEVENTO="Manual",$M179=1),$M179&gt;(ROW(PLE.lastrow)-ROW(PLE.firstrow))),0,IF(OFFSET(PLE!$G$14,$M179,BF$13)="",10^12,OFFSET(PLE!$G$14,$M179,BF$13))))</f>
        <v>1000000000000</v>
      </c>
      <c r="BG179" s="182">
        <f ca="1">IF($D179&lt;&gt;"Serviço",0,IF(OR(AND(AUTOEVENTO="Manual",$M179=1),$M179&gt;(ROW(PLE.lastrow)-ROW(PLE.firstrow))),0,IF(OFFSET(PLE!$G$14,$M179,BG$13)="",10^12,OFFSET(PLE!$G$14,$M179,BG$13))))</f>
        <v>1000000000000</v>
      </c>
    </row>
    <row r="180" spans="1:59" ht="38.25" x14ac:dyDescent="0.2">
      <c r="A180" s="7" t="str">
        <f t="shared" ca="1" si="10"/>
        <v>71</v>
      </c>
      <c r="B180" s="7" t="str">
        <f ca="1">OFFSET(ORÇAMENTO!C$15,ROW(B180)-ROW(B$15),0)</f>
        <v>S</v>
      </c>
      <c r="C180" s="7" t="str">
        <f ca="1">OFFSET(ORÇAMENTO!L$15,ROW(C180)-ROW(C$15),0)</f>
        <v>F</v>
      </c>
      <c r="D180" s="118" t="str">
        <f ca="1">OFFSET(ORÇAMENTO!N$15,ROW(D180)-ROW(D$15),0)</f>
        <v>Serviço</v>
      </c>
      <c r="E180" s="119" t="str">
        <f ca="1">OFFSET(ORÇAMENTO!O$15,ROW(E180)-ROW(E$15),0)</f>
        <v>1.6.17.3.</v>
      </c>
      <c r="F180" s="172" t="str">
        <f ca="1">OFFSET(ORÇAMENTO!R$15,ROW(F180)-ROW(F$15),0)</f>
        <v>(abra o arquivo 'Referência 03-2024.xlsm)</v>
      </c>
      <c r="G180" s="173" t="str">
        <f ca="1">IF($D180&lt;&gt;"Serviço","",OFFSET(ORÇAMENTO!S$15,ROW(G180)-ROW(G$15),0))</f>
        <v>-</v>
      </c>
      <c r="H180" s="124">
        <f ca="1">IF($D180&lt;&gt;"Serviço",0,IF(ACOMPANHAMENTO="BM",ROUND(OFFSET(ORÇAMENTO!AJ$15,ROW(H180)-ROW(H$15),0),15-13*ORÇAMENTO!$AF$7),SUMPRODUCT(($Q$12:$AA$12&lt;&gt;"")*ROUND($Q180:$AA180,15-13*ORÇAMENTO!$AF$7))))</f>
        <v>30</v>
      </c>
      <c r="I180" s="561"/>
      <c r="K180" s="174"/>
      <c r="L180" s="175" t="s">
        <v>255</v>
      </c>
      <c r="M180" s="176">
        <f ca="1">IF($D180&lt;&gt;"Serviço","",IF(AUTOEVENTO="manual",$A180,IF(ISERROR(MATCH($A180,$A$15:OFFSET($A180,-1,0),0)),MAX($M$15:OFFSET(M180,-1,0))+1,INDEX($M$15:OFFSET(M180,-1,0),MATCH($A180,$A$15:OFFSET($A180,-1,0),0)))))</f>
        <v>7</v>
      </c>
      <c r="N180" s="177" t="str">
        <f ca="1">IF($D180&lt;&gt;"Serviço","",IF(AUTOEVENTO="Manual",IF($A180=0,"&lt;-- defina o número do agrupador",OFFSET(EVENTOS!$D$14,$A180,0)),OFFSET($F$15,$A180,0)))</f>
        <v>SANITÁRIO PÚBLICO ACESSÍVEL</v>
      </c>
      <c r="O180" s="178"/>
      <c r="Q180" s="178"/>
      <c r="R180" s="179"/>
      <c r="S180" s="179"/>
      <c r="T180" s="179"/>
      <c r="U180" s="179"/>
      <c r="V180" s="179"/>
      <c r="W180" s="179"/>
      <c r="X180" s="179"/>
      <c r="Y180" s="179"/>
      <c r="Z180" s="180"/>
      <c r="AB180" s="544">
        <f ca="1">IF(AND($D180="Serviço",AB$12&lt;&gt;0,$H180&gt;0,OR(AUTOEVENTO&lt;&gt;"manual",$M180&lt;&gt;1)),
IF(Import.TipoArredondamento&lt;&gt;"TransfereGOV",
ROUND(OFFSET($P180,0,AB$13),15-13*ORÇAMENTO!$AF$7)/$H180*OFFSET(ORÇAMENTO!$X$15,ROW(AB180)-ROW(AB$15),0),
ROUND(ROUND(OFFSET($P180,0,AB$13),15-13*ORÇAMENTO!$AF$7)*OFFSET(ORÇAMENTO!$W$15,ROW(AB180)-ROW(AB$15),0),15-13*ORÇAMENTO!$AF$11)),0)</f>
        <v>0</v>
      </c>
      <c r="AC180" s="545">
        <f ca="1">IF(AND($D180="Serviço",AC$12&lt;&gt;0,$H180&gt;0,OR(AUTOEVENTO&lt;&gt;"manual",$M180&lt;&gt;1)),
IF(Import.TipoArredondamento&lt;&gt;"TransfereGOV",
ROUND(OFFSET($P180,0,AC$13),15-13*ORÇAMENTO!$AF$7)/$H180*OFFSET(ORÇAMENTO!$X$15,ROW(AC180)-ROW(AC$15),0),
ROUND(ROUND(OFFSET($P180,0,AC$13),15-13*ORÇAMENTO!$AF$7)*OFFSET(ORÇAMENTO!$W$15,ROW(AC180)-ROW(AC$15),0),15-13*ORÇAMENTO!$AF$11)),0)</f>
        <v>0</v>
      </c>
      <c r="AD180" s="545">
        <f ca="1">IF(AND($D180="Serviço",AD$12&lt;&gt;0,$H180&gt;0,OR(AUTOEVENTO&lt;&gt;"manual",$M180&lt;&gt;1)),
IF(Import.TipoArredondamento&lt;&gt;"TransfereGOV",
ROUND(OFFSET($P180,0,AD$13),15-13*ORÇAMENTO!$AF$7)/$H180*OFFSET(ORÇAMENTO!$X$15,ROW(AD180)-ROW(AD$15),0),
ROUND(ROUND(OFFSET($P180,0,AD$13),15-13*ORÇAMENTO!$AF$7)*OFFSET(ORÇAMENTO!$W$15,ROW(AD180)-ROW(AD$15),0),15-13*ORÇAMENTO!$AF$11)),0)</f>
        <v>0</v>
      </c>
      <c r="AE180" s="545">
        <f ca="1">IF(AND($D180="Serviço",AE$12&lt;&gt;0,$H180&gt;0,OR(AUTOEVENTO&lt;&gt;"manual",$M180&lt;&gt;1)),
IF(Import.TipoArredondamento&lt;&gt;"TransfereGOV",
ROUND(OFFSET($P180,0,AE$13),15-13*ORÇAMENTO!$AF$7)/$H180*OFFSET(ORÇAMENTO!$X$15,ROW(AE180)-ROW(AE$15),0),
ROUND(ROUND(OFFSET($P180,0,AE$13),15-13*ORÇAMENTO!$AF$7)*OFFSET(ORÇAMENTO!$W$15,ROW(AE180)-ROW(AE$15),0),15-13*ORÇAMENTO!$AF$11)),0)</f>
        <v>0</v>
      </c>
      <c r="AF180" s="545">
        <f ca="1">IF(AND($D180="Serviço",AF$12&lt;&gt;0,$H180&gt;0,OR(AUTOEVENTO&lt;&gt;"manual",$M180&lt;&gt;1)),
IF(Import.TipoArredondamento&lt;&gt;"TransfereGOV",
ROUND(OFFSET($P180,0,AF$13),15-13*ORÇAMENTO!$AF$7)/$H180*OFFSET(ORÇAMENTO!$X$15,ROW(AF180)-ROW(AF$15),0),
ROUND(ROUND(OFFSET($P180,0,AF$13),15-13*ORÇAMENTO!$AF$7)*OFFSET(ORÇAMENTO!$W$15,ROW(AF180)-ROW(AF$15),0),15-13*ORÇAMENTO!$AF$11)),0)</f>
        <v>0</v>
      </c>
      <c r="AG180" s="545">
        <f ca="1">IF(AND($D180="Serviço",AG$12&lt;&gt;0,$H180&gt;0,OR(AUTOEVENTO&lt;&gt;"manual",$M180&lt;&gt;1)),
IF(Import.TipoArredondamento&lt;&gt;"TransfereGOV",
ROUND(OFFSET($P180,0,AG$13),15-13*ORÇAMENTO!$AF$7)/$H180*OFFSET(ORÇAMENTO!$X$15,ROW(AG180)-ROW(AG$15),0),
ROUND(ROUND(OFFSET($P180,0,AG$13),15-13*ORÇAMENTO!$AF$7)*OFFSET(ORÇAMENTO!$W$15,ROW(AG180)-ROW(AG$15),0),15-13*ORÇAMENTO!$AF$11)),0)</f>
        <v>0</v>
      </c>
      <c r="AH180" s="545">
        <f ca="1">IF(AND($D180="Serviço",AH$12&lt;&gt;0,$H180&gt;0,OR(AUTOEVENTO&lt;&gt;"manual",$M180&lt;&gt;1)),
IF(Import.TipoArredondamento&lt;&gt;"TransfereGOV",
ROUND(OFFSET($P180,0,AH$13),15-13*ORÇAMENTO!$AF$7)/$H180*OFFSET(ORÇAMENTO!$X$15,ROW(AH180)-ROW(AH$15),0),
ROUND(ROUND(OFFSET($P180,0,AH$13),15-13*ORÇAMENTO!$AF$7)*OFFSET(ORÇAMENTO!$W$15,ROW(AH180)-ROW(AH$15),0),15-13*ORÇAMENTO!$AF$11)),0)</f>
        <v>0</v>
      </c>
      <c r="AI180" s="545">
        <f ca="1">IF(AND($D180="Serviço",AI$12&lt;&gt;0,$H180&gt;0,OR(AUTOEVENTO&lt;&gt;"manual",$M180&lt;&gt;1)),
IF(Import.TipoArredondamento&lt;&gt;"TransfereGOV",
ROUND(OFFSET($P180,0,AI$13),15-13*ORÇAMENTO!$AF$7)/$H180*OFFSET(ORÇAMENTO!$X$15,ROW(AI180)-ROW(AI$15),0),
ROUND(ROUND(OFFSET($P180,0,AI$13),15-13*ORÇAMENTO!$AF$7)*OFFSET(ORÇAMENTO!$W$15,ROW(AI180)-ROW(AI$15),0),15-13*ORÇAMENTO!$AF$11)),0)</f>
        <v>0</v>
      </c>
      <c r="AJ180" s="545">
        <f ca="1">IF(AND($D180="Serviço",AJ$12&lt;&gt;0,$H180&gt;0,OR(AUTOEVENTO&lt;&gt;"manual",$M180&lt;&gt;1)),
IF(Import.TipoArredondamento&lt;&gt;"TransfereGOV",
ROUND(OFFSET($P180,0,AJ$13),15-13*ORÇAMENTO!$AF$7)/$H180*OFFSET(ORÇAMENTO!$X$15,ROW(AJ180)-ROW(AJ$15),0),
ROUND(ROUND(OFFSET($P180,0,AJ$13),15-13*ORÇAMENTO!$AF$7)*OFFSET(ORÇAMENTO!$W$15,ROW(AJ180)-ROW(AJ$15),0),15-13*ORÇAMENTO!$AF$11)),0)</f>
        <v>0</v>
      </c>
      <c r="AK180" s="546">
        <f ca="1">IF(AND($D180="Serviço",AK$12&lt;&gt;0,$H180&gt;0,OR(AUTOEVENTO&lt;&gt;"manual",$M180&lt;&gt;1)),
IF(Import.TipoArredondamento&lt;&gt;"TransfereGOV",
ROUND(OFFSET($P180,0,AK$13),15-13*ORÇAMENTO!$AF$7)/$H180*OFFSET(ORÇAMENTO!$X$15,ROW(AK180)-ROW(AK$15),0),
ROUND(ROUND(OFFSET($P180,0,AK$13),15-13*ORÇAMENTO!$AF$7)*OFFSET(ORÇAMENTO!$W$15,ROW(AK180)-ROW(AK$15),0),15-13*ORÇAMENTO!$AF$11)),0)</f>
        <v>0</v>
      </c>
      <c r="AM180" s="181">
        <f ca="1">IF($D180&lt;&gt;"Serviço",0,IF(AND(AUTOEVENTO="Manual",$M180=1),0,IF(OFFSET(CRONOPLE!$F$14,$M180,AM$13)="",10^12,OFFSET(CRONOPLE!$F$14,$M180,AM$13))))</f>
        <v>1000000000000</v>
      </c>
      <c r="AN180" s="181">
        <f ca="1">IF($D180&lt;&gt;"Serviço",0,IF(AND(AUTOEVENTO="Manual",$M180=1),0,IF(OFFSET(CRONOPLE!$F$14,$M180,AN$13)="",10^12,OFFSET(CRONOPLE!$F$14,$M180,AN$13))))</f>
        <v>1000000000000</v>
      </c>
      <c r="AO180" s="181">
        <f ca="1">IF($D180&lt;&gt;"Serviço",0,IF(AND(AUTOEVENTO="Manual",$M180=1),0,IF(OFFSET(CRONOPLE!$F$14,$M180,AO$13)="",10^12,OFFSET(CRONOPLE!$F$14,$M180,AO$13))))</f>
        <v>1000000000000</v>
      </c>
      <c r="AP180" s="181">
        <f ca="1">IF($D180&lt;&gt;"Serviço",0,IF(AND(AUTOEVENTO="Manual",$M180=1),0,IF(OFFSET(CRONOPLE!$F$14,$M180,AP$13)="",10^12,OFFSET(CRONOPLE!$F$14,$M180,AP$13))))</f>
        <v>1000000000000</v>
      </c>
      <c r="AQ180" s="181">
        <f ca="1">IF($D180&lt;&gt;"Serviço",0,IF(AND(AUTOEVENTO="Manual",$M180=1),0,IF(OFFSET(CRONOPLE!$F$14,$M180,AQ$13)="",10^12,OFFSET(CRONOPLE!$F$14,$M180,AQ$13))))</f>
        <v>1000000000000</v>
      </c>
      <c r="AR180" s="181">
        <f ca="1">IF($D180&lt;&gt;"Serviço",0,IF(AND(AUTOEVENTO="Manual",$M180=1),0,IF(OFFSET(CRONOPLE!$F$14,$M180,AR$13)="",10^12,OFFSET(CRONOPLE!$F$14,$M180,AR$13))))</f>
        <v>1000000000000</v>
      </c>
      <c r="AS180" s="181">
        <f ca="1">IF($D180&lt;&gt;"Serviço",0,IF(AND(AUTOEVENTO="Manual",$M180=1),0,IF(OFFSET(CRONOPLE!$F$14,$M180,AS$13)="",10^12,OFFSET(CRONOPLE!$F$14,$M180,AS$13))))</f>
        <v>1000000000000</v>
      </c>
      <c r="AT180" s="181">
        <f ca="1">IF($D180&lt;&gt;"Serviço",0,IF(AND(AUTOEVENTO="Manual",$M180=1),0,IF(OFFSET(CRONOPLE!$F$14,$M180,AT$13)="",10^12,OFFSET(CRONOPLE!$F$14,$M180,AT$13))))</f>
        <v>1000000000000</v>
      </c>
      <c r="AU180" s="181">
        <f ca="1">IF($D180&lt;&gt;"Serviço",0,IF(AND(AUTOEVENTO="Manual",$M180=1),0,IF(OFFSET(CRONOPLE!$F$14,$M180,AU$13)="",10^12,OFFSET(CRONOPLE!$F$14,$M180,AU$13))))</f>
        <v>1000000000000</v>
      </c>
      <c r="AV180" s="181">
        <f ca="1">IF($D180&lt;&gt;"Serviço",0,IF(AND(AUTOEVENTO="Manual",$M180=1),0,IF(OFFSET(CRONOPLE!$F$14,$M180,AV$13)="",10^12,OFFSET(CRONOPLE!$F$14,$M180,AV$13))))</f>
        <v>1000000000000</v>
      </c>
      <c r="AX180" s="182">
        <f ca="1">IF($D180&lt;&gt;"Serviço",0,IF(OR(AND(AUTOEVENTO="Manual",$M180=1),$M180&gt;(ROW(PLE.lastrow)-ROW(PLE.firstrow))),0,IF(OFFSET(PLE!$G$14,$M180,AX$13)="",10^12,OFFSET(PLE!$G$14,$M180,AX$13))))</f>
        <v>1000000000000</v>
      </c>
      <c r="AY180" s="182">
        <f ca="1">IF($D180&lt;&gt;"Serviço",0,IF(OR(AND(AUTOEVENTO="Manual",$M180=1),$M180&gt;(ROW(PLE.lastrow)-ROW(PLE.firstrow))),0,IF(OFFSET(PLE!$G$14,$M180,AY$13)="",10^12,OFFSET(PLE!$G$14,$M180,AY$13))))</f>
        <v>1000000000000</v>
      </c>
      <c r="AZ180" s="182">
        <f ca="1">IF($D180&lt;&gt;"Serviço",0,IF(OR(AND(AUTOEVENTO="Manual",$M180=1),$M180&gt;(ROW(PLE.lastrow)-ROW(PLE.firstrow))),0,IF(OFFSET(PLE!$G$14,$M180,AZ$13)="",10^12,OFFSET(PLE!$G$14,$M180,AZ$13))))</f>
        <v>1000000000000</v>
      </c>
      <c r="BA180" s="182">
        <f ca="1">IF($D180&lt;&gt;"Serviço",0,IF(OR(AND(AUTOEVENTO="Manual",$M180=1),$M180&gt;(ROW(PLE.lastrow)-ROW(PLE.firstrow))),0,IF(OFFSET(PLE!$G$14,$M180,BA$13)="",10^12,OFFSET(PLE!$G$14,$M180,BA$13))))</f>
        <v>1000000000000</v>
      </c>
      <c r="BB180" s="182">
        <f ca="1">IF($D180&lt;&gt;"Serviço",0,IF(OR(AND(AUTOEVENTO="Manual",$M180=1),$M180&gt;(ROW(PLE.lastrow)-ROW(PLE.firstrow))),0,IF(OFFSET(PLE!$G$14,$M180,BB$13)="",10^12,OFFSET(PLE!$G$14,$M180,BB$13))))</f>
        <v>1000000000000</v>
      </c>
      <c r="BC180" s="182">
        <f ca="1">IF($D180&lt;&gt;"Serviço",0,IF(OR(AND(AUTOEVENTO="Manual",$M180=1),$M180&gt;(ROW(PLE.lastrow)-ROW(PLE.firstrow))),0,IF(OFFSET(PLE!$G$14,$M180,BC$13)="",10^12,OFFSET(PLE!$G$14,$M180,BC$13))))</f>
        <v>1000000000000</v>
      </c>
      <c r="BD180" s="182">
        <f ca="1">IF($D180&lt;&gt;"Serviço",0,IF(OR(AND(AUTOEVENTO="Manual",$M180=1),$M180&gt;(ROW(PLE.lastrow)-ROW(PLE.firstrow))),0,IF(OFFSET(PLE!$G$14,$M180,BD$13)="",10^12,OFFSET(PLE!$G$14,$M180,BD$13))))</f>
        <v>1000000000000</v>
      </c>
      <c r="BE180" s="182">
        <f ca="1">IF($D180&lt;&gt;"Serviço",0,IF(OR(AND(AUTOEVENTO="Manual",$M180=1),$M180&gt;(ROW(PLE.lastrow)-ROW(PLE.firstrow))),0,IF(OFFSET(PLE!$G$14,$M180,BE$13)="",10^12,OFFSET(PLE!$G$14,$M180,BE$13))))</f>
        <v>1000000000000</v>
      </c>
      <c r="BF180" s="182">
        <f ca="1">IF($D180&lt;&gt;"Serviço",0,IF(OR(AND(AUTOEVENTO="Manual",$M180=1),$M180&gt;(ROW(PLE.lastrow)-ROW(PLE.firstrow))),0,IF(OFFSET(PLE!$G$14,$M180,BF$13)="",10^12,OFFSET(PLE!$G$14,$M180,BF$13))))</f>
        <v>1000000000000</v>
      </c>
      <c r="BG180" s="182">
        <f ca="1">IF($D180&lt;&gt;"Serviço",0,IF(OR(AND(AUTOEVENTO="Manual",$M180=1),$M180&gt;(ROW(PLE.lastrow)-ROW(PLE.firstrow))),0,IF(OFFSET(PLE!$G$14,$M180,BG$13)="",10^12,OFFSET(PLE!$G$14,$M180,BG$13))))</f>
        <v>1000000000000</v>
      </c>
    </row>
    <row r="181" spans="1:59" ht="25.5" x14ac:dyDescent="0.2">
      <c r="A181" s="7" t="str">
        <f t="shared" ca="1" si="10"/>
        <v>71</v>
      </c>
      <c r="B181" s="7" t="str">
        <f ca="1">OFFSET(ORÇAMENTO!C$15,ROW(B181)-ROW(B$15),0)</f>
        <v>S</v>
      </c>
      <c r="C181" s="7" t="str">
        <f ca="1">OFFSET(ORÇAMENTO!L$15,ROW(C181)-ROW(C$15),0)</f>
        <v>F</v>
      </c>
      <c r="D181" s="118" t="str">
        <f ca="1">OFFSET(ORÇAMENTO!N$15,ROW(D181)-ROW(D$15),0)</f>
        <v>Serviço</v>
      </c>
      <c r="E181" s="119" t="str">
        <f ca="1">OFFSET(ORÇAMENTO!O$15,ROW(E181)-ROW(E$15),0)</f>
        <v>1.6.17.4.</v>
      </c>
      <c r="F181" s="172" t="str">
        <f ca="1">OFFSET(ORÇAMENTO!R$15,ROW(F181)-ROW(F$15),0)</f>
        <v>(abra o arquivo 'Referência 03-2024.xlsm)</v>
      </c>
      <c r="G181" s="173" t="str">
        <f ca="1">IF($D181&lt;&gt;"Serviço","",OFFSET(ORÇAMENTO!S$15,ROW(G181)-ROW(G$15),0))</f>
        <v>-</v>
      </c>
      <c r="H181" s="124">
        <f ca="1">IF($D181&lt;&gt;"Serviço",0,IF(ACOMPANHAMENTO="BM",ROUND(OFFSET(ORÇAMENTO!AJ$15,ROW(H181)-ROW(H$15),0),15-13*ORÇAMENTO!$AF$7),SUMPRODUCT(($Q$12:$AA$12&lt;&gt;"")*ROUND($Q181:$AA181,15-13*ORÇAMENTO!$AF$7))))</f>
        <v>2</v>
      </c>
      <c r="I181" s="561"/>
      <c r="K181" s="174"/>
      <c r="L181" s="175" t="s">
        <v>255</v>
      </c>
      <c r="M181" s="176">
        <f ca="1">IF($D181&lt;&gt;"Serviço","",IF(AUTOEVENTO="manual",$A181,IF(ISERROR(MATCH($A181,$A$15:OFFSET($A181,-1,0),0)),MAX($M$15:OFFSET(M181,-1,0))+1,INDEX($M$15:OFFSET(M181,-1,0),MATCH($A181,$A$15:OFFSET($A181,-1,0),0)))))</f>
        <v>7</v>
      </c>
      <c r="N181" s="177" t="str">
        <f ca="1">IF($D181&lt;&gt;"Serviço","",IF(AUTOEVENTO="Manual",IF($A181=0,"&lt;-- defina o número do agrupador",OFFSET(EVENTOS!$D$14,$A181,0)),OFFSET($F$15,$A181,0)))</f>
        <v>SANITÁRIO PÚBLICO ACESSÍVEL</v>
      </c>
      <c r="O181" s="178"/>
      <c r="Q181" s="178"/>
      <c r="R181" s="179"/>
      <c r="S181" s="179"/>
      <c r="T181" s="179"/>
      <c r="U181" s="179"/>
      <c r="V181" s="179"/>
      <c r="W181" s="179"/>
      <c r="X181" s="179"/>
      <c r="Y181" s="179"/>
      <c r="Z181" s="180"/>
      <c r="AB181" s="544">
        <f ca="1">IF(AND($D181="Serviço",AB$12&lt;&gt;0,$H181&gt;0,OR(AUTOEVENTO&lt;&gt;"manual",$M181&lt;&gt;1)),
IF(Import.TipoArredondamento&lt;&gt;"TransfereGOV",
ROUND(OFFSET($P181,0,AB$13),15-13*ORÇAMENTO!$AF$7)/$H181*OFFSET(ORÇAMENTO!$X$15,ROW(AB181)-ROW(AB$15),0),
ROUND(ROUND(OFFSET($P181,0,AB$13),15-13*ORÇAMENTO!$AF$7)*OFFSET(ORÇAMENTO!$W$15,ROW(AB181)-ROW(AB$15),0),15-13*ORÇAMENTO!$AF$11)),0)</f>
        <v>0</v>
      </c>
      <c r="AC181" s="545">
        <f ca="1">IF(AND($D181="Serviço",AC$12&lt;&gt;0,$H181&gt;0,OR(AUTOEVENTO&lt;&gt;"manual",$M181&lt;&gt;1)),
IF(Import.TipoArredondamento&lt;&gt;"TransfereGOV",
ROUND(OFFSET($P181,0,AC$13),15-13*ORÇAMENTO!$AF$7)/$H181*OFFSET(ORÇAMENTO!$X$15,ROW(AC181)-ROW(AC$15),0),
ROUND(ROUND(OFFSET($P181,0,AC$13),15-13*ORÇAMENTO!$AF$7)*OFFSET(ORÇAMENTO!$W$15,ROW(AC181)-ROW(AC$15),0),15-13*ORÇAMENTO!$AF$11)),0)</f>
        <v>0</v>
      </c>
      <c r="AD181" s="545">
        <f ca="1">IF(AND($D181="Serviço",AD$12&lt;&gt;0,$H181&gt;0,OR(AUTOEVENTO&lt;&gt;"manual",$M181&lt;&gt;1)),
IF(Import.TipoArredondamento&lt;&gt;"TransfereGOV",
ROUND(OFFSET($P181,0,AD$13),15-13*ORÇAMENTO!$AF$7)/$H181*OFFSET(ORÇAMENTO!$X$15,ROW(AD181)-ROW(AD$15),0),
ROUND(ROUND(OFFSET($P181,0,AD$13),15-13*ORÇAMENTO!$AF$7)*OFFSET(ORÇAMENTO!$W$15,ROW(AD181)-ROW(AD$15),0),15-13*ORÇAMENTO!$AF$11)),0)</f>
        <v>0</v>
      </c>
      <c r="AE181" s="545">
        <f ca="1">IF(AND($D181="Serviço",AE$12&lt;&gt;0,$H181&gt;0,OR(AUTOEVENTO&lt;&gt;"manual",$M181&lt;&gt;1)),
IF(Import.TipoArredondamento&lt;&gt;"TransfereGOV",
ROUND(OFFSET($P181,0,AE$13),15-13*ORÇAMENTO!$AF$7)/$H181*OFFSET(ORÇAMENTO!$X$15,ROW(AE181)-ROW(AE$15),0),
ROUND(ROUND(OFFSET($P181,0,AE$13),15-13*ORÇAMENTO!$AF$7)*OFFSET(ORÇAMENTO!$W$15,ROW(AE181)-ROW(AE$15),0),15-13*ORÇAMENTO!$AF$11)),0)</f>
        <v>0</v>
      </c>
      <c r="AF181" s="545">
        <f ca="1">IF(AND($D181="Serviço",AF$12&lt;&gt;0,$H181&gt;0,OR(AUTOEVENTO&lt;&gt;"manual",$M181&lt;&gt;1)),
IF(Import.TipoArredondamento&lt;&gt;"TransfereGOV",
ROUND(OFFSET($P181,0,AF$13),15-13*ORÇAMENTO!$AF$7)/$H181*OFFSET(ORÇAMENTO!$X$15,ROW(AF181)-ROW(AF$15),0),
ROUND(ROUND(OFFSET($P181,0,AF$13),15-13*ORÇAMENTO!$AF$7)*OFFSET(ORÇAMENTO!$W$15,ROW(AF181)-ROW(AF$15),0),15-13*ORÇAMENTO!$AF$11)),0)</f>
        <v>0</v>
      </c>
      <c r="AG181" s="545">
        <f ca="1">IF(AND($D181="Serviço",AG$12&lt;&gt;0,$H181&gt;0,OR(AUTOEVENTO&lt;&gt;"manual",$M181&lt;&gt;1)),
IF(Import.TipoArredondamento&lt;&gt;"TransfereGOV",
ROUND(OFFSET($P181,0,AG$13),15-13*ORÇAMENTO!$AF$7)/$H181*OFFSET(ORÇAMENTO!$X$15,ROW(AG181)-ROW(AG$15),0),
ROUND(ROUND(OFFSET($P181,0,AG$13),15-13*ORÇAMENTO!$AF$7)*OFFSET(ORÇAMENTO!$W$15,ROW(AG181)-ROW(AG$15),0),15-13*ORÇAMENTO!$AF$11)),0)</f>
        <v>0</v>
      </c>
      <c r="AH181" s="545">
        <f ca="1">IF(AND($D181="Serviço",AH$12&lt;&gt;0,$H181&gt;0,OR(AUTOEVENTO&lt;&gt;"manual",$M181&lt;&gt;1)),
IF(Import.TipoArredondamento&lt;&gt;"TransfereGOV",
ROUND(OFFSET($P181,0,AH$13),15-13*ORÇAMENTO!$AF$7)/$H181*OFFSET(ORÇAMENTO!$X$15,ROW(AH181)-ROW(AH$15),0),
ROUND(ROUND(OFFSET($P181,0,AH$13),15-13*ORÇAMENTO!$AF$7)*OFFSET(ORÇAMENTO!$W$15,ROW(AH181)-ROW(AH$15),0),15-13*ORÇAMENTO!$AF$11)),0)</f>
        <v>0</v>
      </c>
      <c r="AI181" s="545">
        <f ca="1">IF(AND($D181="Serviço",AI$12&lt;&gt;0,$H181&gt;0,OR(AUTOEVENTO&lt;&gt;"manual",$M181&lt;&gt;1)),
IF(Import.TipoArredondamento&lt;&gt;"TransfereGOV",
ROUND(OFFSET($P181,0,AI$13),15-13*ORÇAMENTO!$AF$7)/$H181*OFFSET(ORÇAMENTO!$X$15,ROW(AI181)-ROW(AI$15),0),
ROUND(ROUND(OFFSET($P181,0,AI$13),15-13*ORÇAMENTO!$AF$7)*OFFSET(ORÇAMENTO!$W$15,ROW(AI181)-ROW(AI$15),0),15-13*ORÇAMENTO!$AF$11)),0)</f>
        <v>0</v>
      </c>
      <c r="AJ181" s="545">
        <f ca="1">IF(AND($D181="Serviço",AJ$12&lt;&gt;0,$H181&gt;0,OR(AUTOEVENTO&lt;&gt;"manual",$M181&lt;&gt;1)),
IF(Import.TipoArredondamento&lt;&gt;"TransfereGOV",
ROUND(OFFSET($P181,0,AJ$13),15-13*ORÇAMENTO!$AF$7)/$H181*OFFSET(ORÇAMENTO!$X$15,ROW(AJ181)-ROW(AJ$15),0),
ROUND(ROUND(OFFSET($P181,0,AJ$13),15-13*ORÇAMENTO!$AF$7)*OFFSET(ORÇAMENTO!$W$15,ROW(AJ181)-ROW(AJ$15),0),15-13*ORÇAMENTO!$AF$11)),0)</f>
        <v>0</v>
      </c>
      <c r="AK181" s="546">
        <f ca="1">IF(AND($D181="Serviço",AK$12&lt;&gt;0,$H181&gt;0,OR(AUTOEVENTO&lt;&gt;"manual",$M181&lt;&gt;1)),
IF(Import.TipoArredondamento&lt;&gt;"TransfereGOV",
ROUND(OFFSET($P181,0,AK$13),15-13*ORÇAMENTO!$AF$7)/$H181*OFFSET(ORÇAMENTO!$X$15,ROW(AK181)-ROW(AK$15),0),
ROUND(ROUND(OFFSET($P181,0,AK$13),15-13*ORÇAMENTO!$AF$7)*OFFSET(ORÇAMENTO!$W$15,ROW(AK181)-ROW(AK$15),0),15-13*ORÇAMENTO!$AF$11)),0)</f>
        <v>0</v>
      </c>
      <c r="AM181" s="181">
        <f ca="1">IF($D181&lt;&gt;"Serviço",0,IF(AND(AUTOEVENTO="Manual",$M181=1),0,IF(OFFSET(CRONOPLE!$F$14,$M181,AM$13)="",10^12,OFFSET(CRONOPLE!$F$14,$M181,AM$13))))</f>
        <v>1000000000000</v>
      </c>
      <c r="AN181" s="181">
        <f ca="1">IF($D181&lt;&gt;"Serviço",0,IF(AND(AUTOEVENTO="Manual",$M181=1),0,IF(OFFSET(CRONOPLE!$F$14,$M181,AN$13)="",10^12,OFFSET(CRONOPLE!$F$14,$M181,AN$13))))</f>
        <v>1000000000000</v>
      </c>
      <c r="AO181" s="181">
        <f ca="1">IF($D181&lt;&gt;"Serviço",0,IF(AND(AUTOEVENTO="Manual",$M181=1),0,IF(OFFSET(CRONOPLE!$F$14,$M181,AO$13)="",10^12,OFFSET(CRONOPLE!$F$14,$M181,AO$13))))</f>
        <v>1000000000000</v>
      </c>
      <c r="AP181" s="181">
        <f ca="1">IF($D181&lt;&gt;"Serviço",0,IF(AND(AUTOEVENTO="Manual",$M181=1),0,IF(OFFSET(CRONOPLE!$F$14,$M181,AP$13)="",10^12,OFFSET(CRONOPLE!$F$14,$M181,AP$13))))</f>
        <v>1000000000000</v>
      </c>
      <c r="AQ181" s="181">
        <f ca="1">IF($D181&lt;&gt;"Serviço",0,IF(AND(AUTOEVENTO="Manual",$M181=1),0,IF(OFFSET(CRONOPLE!$F$14,$M181,AQ$13)="",10^12,OFFSET(CRONOPLE!$F$14,$M181,AQ$13))))</f>
        <v>1000000000000</v>
      </c>
      <c r="AR181" s="181">
        <f ca="1">IF($D181&lt;&gt;"Serviço",0,IF(AND(AUTOEVENTO="Manual",$M181=1),0,IF(OFFSET(CRONOPLE!$F$14,$M181,AR$13)="",10^12,OFFSET(CRONOPLE!$F$14,$M181,AR$13))))</f>
        <v>1000000000000</v>
      </c>
      <c r="AS181" s="181">
        <f ca="1">IF($D181&lt;&gt;"Serviço",0,IF(AND(AUTOEVENTO="Manual",$M181=1),0,IF(OFFSET(CRONOPLE!$F$14,$M181,AS$13)="",10^12,OFFSET(CRONOPLE!$F$14,$M181,AS$13))))</f>
        <v>1000000000000</v>
      </c>
      <c r="AT181" s="181">
        <f ca="1">IF($D181&lt;&gt;"Serviço",0,IF(AND(AUTOEVENTO="Manual",$M181=1),0,IF(OFFSET(CRONOPLE!$F$14,$M181,AT$13)="",10^12,OFFSET(CRONOPLE!$F$14,$M181,AT$13))))</f>
        <v>1000000000000</v>
      </c>
      <c r="AU181" s="181">
        <f ca="1">IF($D181&lt;&gt;"Serviço",0,IF(AND(AUTOEVENTO="Manual",$M181=1),0,IF(OFFSET(CRONOPLE!$F$14,$M181,AU$13)="",10^12,OFFSET(CRONOPLE!$F$14,$M181,AU$13))))</f>
        <v>1000000000000</v>
      </c>
      <c r="AV181" s="181">
        <f ca="1">IF($D181&lt;&gt;"Serviço",0,IF(AND(AUTOEVENTO="Manual",$M181=1),0,IF(OFFSET(CRONOPLE!$F$14,$M181,AV$13)="",10^12,OFFSET(CRONOPLE!$F$14,$M181,AV$13))))</f>
        <v>1000000000000</v>
      </c>
      <c r="AX181" s="182">
        <f ca="1">IF($D181&lt;&gt;"Serviço",0,IF(OR(AND(AUTOEVENTO="Manual",$M181=1),$M181&gt;(ROW(PLE.lastrow)-ROW(PLE.firstrow))),0,IF(OFFSET(PLE!$G$14,$M181,AX$13)="",10^12,OFFSET(PLE!$G$14,$M181,AX$13))))</f>
        <v>1000000000000</v>
      </c>
      <c r="AY181" s="182">
        <f ca="1">IF($D181&lt;&gt;"Serviço",0,IF(OR(AND(AUTOEVENTO="Manual",$M181=1),$M181&gt;(ROW(PLE.lastrow)-ROW(PLE.firstrow))),0,IF(OFFSET(PLE!$G$14,$M181,AY$13)="",10^12,OFFSET(PLE!$G$14,$M181,AY$13))))</f>
        <v>1000000000000</v>
      </c>
      <c r="AZ181" s="182">
        <f ca="1">IF($D181&lt;&gt;"Serviço",0,IF(OR(AND(AUTOEVENTO="Manual",$M181=1),$M181&gt;(ROW(PLE.lastrow)-ROW(PLE.firstrow))),0,IF(OFFSET(PLE!$G$14,$M181,AZ$13)="",10^12,OFFSET(PLE!$G$14,$M181,AZ$13))))</f>
        <v>1000000000000</v>
      </c>
      <c r="BA181" s="182">
        <f ca="1">IF($D181&lt;&gt;"Serviço",0,IF(OR(AND(AUTOEVENTO="Manual",$M181=1),$M181&gt;(ROW(PLE.lastrow)-ROW(PLE.firstrow))),0,IF(OFFSET(PLE!$G$14,$M181,BA$13)="",10^12,OFFSET(PLE!$G$14,$M181,BA$13))))</f>
        <v>1000000000000</v>
      </c>
      <c r="BB181" s="182">
        <f ca="1">IF($D181&lt;&gt;"Serviço",0,IF(OR(AND(AUTOEVENTO="Manual",$M181=1),$M181&gt;(ROW(PLE.lastrow)-ROW(PLE.firstrow))),0,IF(OFFSET(PLE!$G$14,$M181,BB$13)="",10^12,OFFSET(PLE!$G$14,$M181,BB$13))))</f>
        <v>1000000000000</v>
      </c>
      <c r="BC181" s="182">
        <f ca="1">IF($D181&lt;&gt;"Serviço",0,IF(OR(AND(AUTOEVENTO="Manual",$M181=1),$M181&gt;(ROW(PLE.lastrow)-ROW(PLE.firstrow))),0,IF(OFFSET(PLE!$G$14,$M181,BC$13)="",10^12,OFFSET(PLE!$G$14,$M181,BC$13))))</f>
        <v>1000000000000</v>
      </c>
      <c r="BD181" s="182">
        <f ca="1">IF($D181&lt;&gt;"Serviço",0,IF(OR(AND(AUTOEVENTO="Manual",$M181=1),$M181&gt;(ROW(PLE.lastrow)-ROW(PLE.firstrow))),0,IF(OFFSET(PLE!$G$14,$M181,BD$13)="",10^12,OFFSET(PLE!$G$14,$M181,BD$13))))</f>
        <v>1000000000000</v>
      </c>
      <c r="BE181" s="182">
        <f ca="1">IF($D181&lt;&gt;"Serviço",0,IF(OR(AND(AUTOEVENTO="Manual",$M181=1),$M181&gt;(ROW(PLE.lastrow)-ROW(PLE.firstrow))),0,IF(OFFSET(PLE!$G$14,$M181,BE$13)="",10^12,OFFSET(PLE!$G$14,$M181,BE$13))))</f>
        <v>1000000000000</v>
      </c>
      <c r="BF181" s="182">
        <f ca="1">IF($D181&lt;&gt;"Serviço",0,IF(OR(AND(AUTOEVENTO="Manual",$M181=1),$M181&gt;(ROW(PLE.lastrow)-ROW(PLE.firstrow))),0,IF(OFFSET(PLE!$G$14,$M181,BF$13)="",10^12,OFFSET(PLE!$G$14,$M181,BF$13))))</f>
        <v>1000000000000</v>
      </c>
      <c r="BG181" s="182">
        <f ca="1">IF($D181&lt;&gt;"Serviço",0,IF(OR(AND(AUTOEVENTO="Manual",$M181=1),$M181&gt;(ROW(PLE.lastrow)-ROW(PLE.firstrow))),0,IF(OFFSET(PLE!$G$14,$M181,BG$13)="",10^12,OFFSET(PLE!$G$14,$M181,BG$13))))</f>
        <v>1000000000000</v>
      </c>
    </row>
    <row r="182" spans="1:59" ht="25.5" x14ac:dyDescent="0.2">
      <c r="A182" s="7" t="str">
        <f t="shared" ca="1" si="10"/>
        <v>71</v>
      </c>
      <c r="B182" s="7" t="str">
        <f ca="1">OFFSET(ORÇAMENTO!C$15,ROW(B182)-ROW(B$15),0)</f>
        <v>S</v>
      </c>
      <c r="C182" s="7" t="str">
        <f ca="1">OFFSET(ORÇAMENTO!L$15,ROW(C182)-ROW(C$15),0)</f>
        <v>F</v>
      </c>
      <c r="D182" s="118" t="str">
        <f ca="1">OFFSET(ORÇAMENTO!N$15,ROW(D182)-ROW(D$15),0)</f>
        <v>Serviço</v>
      </c>
      <c r="E182" s="119" t="str">
        <f ca="1">OFFSET(ORÇAMENTO!O$15,ROW(E182)-ROW(E$15),0)</f>
        <v>1.6.17.5.</v>
      </c>
      <c r="F182" s="172" t="str">
        <f ca="1">OFFSET(ORÇAMENTO!R$15,ROW(F182)-ROW(F$15),0)</f>
        <v>(abra o arquivo 'Referência 03-2024.xlsm)</v>
      </c>
      <c r="G182" s="173" t="str">
        <f ca="1">IF($D182&lt;&gt;"Serviço","",OFFSET(ORÇAMENTO!S$15,ROW(G182)-ROW(G$15),0))</f>
        <v>-</v>
      </c>
      <c r="H182" s="124">
        <f ca="1">IF($D182&lt;&gt;"Serviço",0,IF(ACOMPANHAMENTO="BM",ROUND(OFFSET(ORÇAMENTO!AJ$15,ROW(H182)-ROW(H$15),0),15-13*ORÇAMENTO!$AF$7),SUMPRODUCT(($Q$12:$AA$12&lt;&gt;"")*ROUND($Q182:$AA182,15-13*ORÇAMENTO!$AF$7))))</f>
        <v>2</v>
      </c>
      <c r="I182" s="561"/>
      <c r="K182" s="174"/>
      <c r="L182" s="175" t="s">
        <v>255</v>
      </c>
      <c r="M182" s="176">
        <f ca="1">IF($D182&lt;&gt;"Serviço","",IF(AUTOEVENTO="manual",$A182,IF(ISERROR(MATCH($A182,$A$15:OFFSET($A182,-1,0),0)),MAX($M$15:OFFSET(M182,-1,0))+1,INDEX($M$15:OFFSET(M182,-1,0),MATCH($A182,$A$15:OFFSET($A182,-1,0),0)))))</f>
        <v>7</v>
      </c>
      <c r="N182" s="177" t="str">
        <f ca="1">IF($D182&lt;&gt;"Serviço","",IF(AUTOEVENTO="Manual",IF($A182=0,"&lt;-- defina o número do agrupador",OFFSET(EVENTOS!$D$14,$A182,0)),OFFSET($F$15,$A182,0)))</f>
        <v>SANITÁRIO PÚBLICO ACESSÍVEL</v>
      </c>
      <c r="O182" s="178"/>
      <c r="Q182" s="178"/>
      <c r="R182" s="179"/>
      <c r="S182" s="179"/>
      <c r="T182" s="179"/>
      <c r="U182" s="179"/>
      <c r="V182" s="179"/>
      <c r="W182" s="179"/>
      <c r="X182" s="179"/>
      <c r="Y182" s="179"/>
      <c r="Z182" s="180"/>
      <c r="AB182" s="544">
        <f ca="1">IF(AND($D182="Serviço",AB$12&lt;&gt;0,$H182&gt;0,OR(AUTOEVENTO&lt;&gt;"manual",$M182&lt;&gt;1)),
IF(Import.TipoArredondamento&lt;&gt;"TransfereGOV",
ROUND(OFFSET($P182,0,AB$13),15-13*ORÇAMENTO!$AF$7)/$H182*OFFSET(ORÇAMENTO!$X$15,ROW(AB182)-ROW(AB$15),0),
ROUND(ROUND(OFFSET($P182,0,AB$13),15-13*ORÇAMENTO!$AF$7)*OFFSET(ORÇAMENTO!$W$15,ROW(AB182)-ROW(AB$15),0),15-13*ORÇAMENTO!$AF$11)),0)</f>
        <v>0</v>
      </c>
      <c r="AC182" s="545">
        <f ca="1">IF(AND($D182="Serviço",AC$12&lt;&gt;0,$H182&gt;0,OR(AUTOEVENTO&lt;&gt;"manual",$M182&lt;&gt;1)),
IF(Import.TipoArredondamento&lt;&gt;"TransfereGOV",
ROUND(OFFSET($P182,0,AC$13),15-13*ORÇAMENTO!$AF$7)/$H182*OFFSET(ORÇAMENTO!$X$15,ROW(AC182)-ROW(AC$15),0),
ROUND(ROUND(OFFSET($P182,0,AC$13),15-13*ORÇAMENTO!$AF$7)*OFFSET(ORÇAMENTO!$W$15,ROW(AC182)-ROW(AC$15),0),15-13*ORÇAMENTO!$AF$11)),0)</f>
        <v>0</v>
      </c>
      <c r="AD182" s="545">
        <f ca="1">IF(AND($D182="Serviço",AD$12&lt;&gt;0,$H182&gt;0,OR(AUTOEVENTO&lt;&gt;"manual",$M182&lt;&gt;1)),
IF(Import.TipoArredondamento&lt;&gt;"TransfereGOV",
ROUND(OFFSET($P182,0,AD$13),15-13*ORÇAMENTO!$AF$7)/$H182*OFFSET(ORÇAMENTO!$X$15,ROW(AD182)-ROW(AD$15),0),
ROUND(ROUND(OFFSET($P182,0,AD$13),15-13*ORÇAMENTO!$AF$7)*OFFSET(ORÇAMENTO!$W$15,ROW(AD182)-ROW(AD$15),0),15-13*ORÇAMENTO!$AF$11)),0)</f>
        <v>0</v>
      </c>
      <c r="AE182" s="545">
        <f ca="1">IF(AND($D182="Serviço",AE$12&lt;&gt;0,$H182&gt;0,OR(AUTOEVENTO&lt;&gt;"manual",$M182&lt;&gt;1)),
IF(Import.TipoArredondamento&lt;&gt;"TransfereGOV",
ROUND(OFFSET($P182,0,AE$13),15-13*ORÇAMENTO!$AF$7)/$H182*OFFSET(ORÇAMENTO!$X$15,ROW(AE182)-ROW(AE$15),0),
ROUND(ROUND(OFFSET($P182,0,AE$13),15-13*ORÇAMENTO!$AF$7)*OFFSET(ORÇAMENTO!$W$15,ROW(AE182)-ROW(AE$15),0),15-13*ORÇAMENTO!$AF$11)),0)</f>
        <v>0</v>
      </c>
      <c r="AF182" s="545">
        <f ca="1">IF(AND($D182="Serviço",AF$12&lt;&gt;0,$H182&gt;0,OR(AUTOEVENTO&lt;&gt;"manual",$M182&lt;&gt;1)),
IF(Import.TipoArredondamento&lt;&gt;"TransfereGOV",
ROUND(OFFSET($P182,0,AF$13),15-13*ORÇAMENTO!$AF$7)/$H182*OFFSET(ORÇAMENTO!$X$15,ROW(AF182)-ROW(AF$15),0),
ROUND(ROUND(OFFSET($P182,0,AF$13),15-13*ORÇAMENTO!$AF$7)*OFFSET(ORÇAMENTO!$W$15,ROW(AF182)-ROW(AF$15),0),15-13*ORÇAMENTO!$AF$11)),0)</f>
        <v>0</v>
      </c>
      <c r="AG182" s="545">
        <f ca="1">IF(AND($D182="Serviço",AG$12&lt;&gt;0,$H182&gt;0,OR(AUTOEVENTO&lt;&gt;"manual",$M182&lt;&gt;1)),
IF(Import.TipoArredondamento&lt;&gt;"TransfereGOV",
ROUND(OFFSET($P182,0,AG$13),15-13*ORÇAMENTO!$AF$7)/$H182*OFFSET(ORÇAMENTO!$X$15,ROW(AG182)-ROW(AG$15),0),
ROUND(ROUND(OFFSET($P182,0,AG$13),15-13*ORÇAMENTO!$AF$7)*OFFSET(ORÇAMENTO!$W$15,ROW(AG182)-ROW(AG$15),0),15-13*ORÇAMENTO!$AF$11)),0)</f>
        <v>0</v>
      </c>
      <c r="AH182" s="545">
        <f ca="1">IF(AND($D182="Serviço",AH$12&lt;&gt;0,$H182&gt;0,OR(AUTOEVENTO&lt;&gt;"manual",$M182&lt;&gt;1)),
IF(Import.TipoArredondamento&lt;&gt;"TransfereGOV",
ROUND(OFFSET($P182,0,AH$13),15-13*ORÇAMENTO!$AF$7)/$H182*OFFSET(ORÇAMENTO!$X$15,ROW(AH182)-ROW(AH$15),0),
ROUND(ROUND(OFFSET($P182,0,AH$13),15-13*ORÇAMENTO!$AF$7)*OFFSET(ORÇAMENTO!$W$15,ROW(AH182)-ROW(AH$15),0),15-13*ORÇAMENTO!$AF$11)),0)</f>
        <v>0</v>
      </c>
      <c r="AI182" s="545">
        <f ca="1">IF(AND($D182="Serviço",AI$12&lt;&gt;0,$H182&gt;0,OR(AUTOEVENTO&lt;&gt;"manual",$M182&lt;&gt;1)),
IF(Import.TipoArredondamento&lt;&gt;"TransfereGOV",
ROUND(OFFSET($P182,0,AI$13),15-13*ORÇAMENTO!$AF$7)/$H182*OFFSET(ORÇAMENTO!$X$15,ROW(AI182)-ROW(AI$15),0),
ROUND(ROUND(OFFSET($P182,0,AI$13),15-13*ORÇAMENTO!$AF$7)*OFFSET(ORÇAMENTO!$W$15,ROW(AI182)-ROW(AI$15),0),15-13*ORÇAMENTO!$AF$11)),0)</f>
        <v>0</v>
      </c>
      <c r="AJ182" s="545">
        <f ca="1">IF(AND($D182="Serviço",AJ$12&lt;&gt;0,$H182&gt;0,OR(AUTOEVENTO&lt;&gt;"manual",$M182&lt;&gt;1)),
IF(Import.TipoArredondamento&lt;&gt;"TransfereGOV",
ROUND(OFFSET($P182,0,AJ$13),15-13*ORÇAMENTO!$AF$7)/$H182*OFFSET(ORÇAMENTO!$X$15,ROW(AJ182)-ROW(AJ$15),0),
ROUND(ROUND(OFFSET($P182,0,AJ$13),15-13*ORÇAMENTO!$AF$7)*OFFSET(ORÇAMENTO!$W$15,ROW(AJ182)-ROW(AJ$15),0),15-13*ORÇAMENTO!$AF$11)),0)</f>
        <v>0</v>
      </c>
      <c r="AK182" s="546">
        <f ca="1">IF(AND($D182="Serviço",AK$12&lt;&gt;0,$H182&gt;0,OR(AUTOEVENTO&lt;&gt;"manual",$M182&lt;&gt;1)),
IF(Import.TipoArredondamento&lt;&gt;"TransfereGOV",
ROUND(OFFSET($P182,0,AK$13),15-13*ORÇAMENTO!$AF$7)/$H182*OFFSET(ORÇAMENTO!$X$15,ROW(AK182)-ROW(AK$15),0),
ROUND(ROUND(OFFSET($P182,0,AK$13),15-13*ORÇAMENTO!$AF$7)*OFFSET(ORÇAMENTO!$W$15,ROW(AK182)-ROW(AK$15),0),15-13*ORÇAMENTO!$AF$11)),0)</f>
        <v>0</v>
      </c>
      <c r="AM182" s="181">
        <f ca="1">IF($D182&lt;&gt;"Serviço",0,IF(AND(AUTOEVENTO="Manual",$M182=1),0,IF(OFFSET(CRONOPLE!$F$14,$M182,AM$13)="",10^12,OFFSET(CRONOPLE!$F$14,$M182,AM$13))))</f>
        <v>1000000000000</v>
      </c>
      <c r="AN182" s="181">
        <f ca="1">IF($D182&lt;&gt;"Serviço",0,IF(AND(AUTOEVENTO="Manual",$M182=1),0,IF(OFFSET(CRONOPLE!$F$14,$M182,AN$13)="",10^12,OFFSET(CRONOPLE!$F$14,$M182,AN$13))))</f>
        <v>1000000000000</v>
      </c>
      <c r="AO182" s="181">
        <f ca="1">IF($D182&lt;&gt;"Serviço",0,IF(AND(AUTOEVENTO="Manual",$M182=1),0,IF(OFFSET(CRONOPLE!$F$14,$M182,AO$13)="",10^12,OFFSET(CRONOPLE!$F$14,$M182,AO$13))))</f>
        <v>1000000000000</v>
      </c>
      <c r="AP182" s="181">
        <f ca="1">IF($D182&lt;&gt;"Serviço",0,IF(AND(AUTOEVENTO="Manual",$M182=1),0,IF(OFFSET(CRONOPLE!$F$14,$M182,AP$13)="",10^12,OFFSET(CRONOPLE!$F$14,$M182,AP$13))))</f>
        <v>1000000000000</v>
      </c>
      <c r="AQ182" s="181">
        <f ca="1">IF($D182&lt;&gt;"Serviço",0,IF(AND(AUTOEVENTO="Manual",$M182=1),0,IF(OFFSET(CRONOPLE!$F$14,$M182,AQ$13)="",10^12,OFFSET(CRONOPLE!$F$14,$M182,AQ$13))))</f>
        <v>1000000000000</v>
      </c>
      <c r="AR182" s="181">
        <f ca="1">IF($D182&lt;&gt;"Serviço",0,IF(AND(AUTOEVENTO="Manual",$M182=1),0,IF(OFFSET(CRONOPLE!$F$14,$M182,AR$13)="",10^12,OFFSET(CRONOPLE!$F$14,$M182,AR$13))))</f>
        <v>1000000000000</v>
      </c>
      <c r="AS182" s="181">
        <f ca="1">IF($D182&lt;&gt;"Serviço",0,IF(AND(AUTOEVENTO="Manual",$M182=1),0,IF(OFFSET(CRONOPLE!$F$14,$M182,AS$13)="",10^12,OFFSET(CRONOPLE!$F$14,$M182,AS$13))))</f>
        <v>1000000000000</v>
      </c>
      <c r="AT182" s="181">
        <f ca="1">IF($D182&lt;&gt;"Serviço",0,IF(AND(AUTOEVENTO="Manual",$M182=1),0,IF(OFFSET(CRONOPLE!$F$14,$M182,AT$13)="",10^12,OFFSET(CRONOPLE!$F$14,$M182,AT$13))))</f>
        <v>1000000000000</v>
      </c>
      <c r="AU182" s="181">
        <f ca="1">IF($D182&lt;&gt;"Serviço",0,IF(AND(AUTOEVENTO="Manual",$M182=1),0,IF(OFFSET(CRONOPLE!$F$14,$M182,AU$13)="",10^12,OFFSET(CRONOPLE!$F$14,$M182,AU$13))))</f>
        <v>1000000000000</v>
      </c>
      <c r="AV182" s="181">
        <f ca="1">IF($D182&lt;&gt;"Serviço",0,IF(AND(AUTOEVENTO="Manual",$M182=1),0,IF(OFFSET(CRONOPLE!$F$14,$M182,AV$13)="",10^12,OFFSET(CRONOPLE!$F$14,$M182,AV$13))))</f>
        <v>1000000000000</v>
      </c>
      <c r="AX182" s="182">
        <f ca="1">IF($D182&lt;&gt;"Serviço",0,IF(OR(AND(AUTOEVENTO="Manual",$M182=1),$M182&gt;(ROW(PLE.lastrow)-ROW(PLE.firstrow))),0,IF(OFFSET(PLE!$G$14,$M182,AX$13)="",10^12,OFFSET(PLE!$G$14,$M182,AX$13))))</f>
        <v>1000000000000</v>
      </c>
      <c r="AY182" s="182">
        <f ca="1">IF($D182&lt;&gt;"Serviço",0,IF(OR(AND(AUTOEVENTO="Manual",$M182=1),$M182&gt;(ROW(PLE.lastrow)-ROW(PLE.firstrow))),0,IF(OFFSET(PLE!$G$14,$M182,AY$13)="",10^12,OFFSET(PLE!$G$14,$M182,AY$13))))</f>
        <v>1000000000000</v>
      </c>
      <c r="AZ182" s="182">
        <f ca="1">IF($D182&lt;&gt;"Serviço",0,IF(OR(AND(AUTOEVENTO="Manual",$M182=1),$M182&gt;(ROW(PLE.lastrow)-ROW(PLE.firstrow))),0,IF(OFFSET(PLE!$G$14,$M182,AZ$13)="",10^12,OFFSET(PLE!$G$14,$M182,AZ$13))))</f>
        <v>1000000000000</v>
      </c>
      <c r="BA182" s="182">
        <f ca="1">IF($D182&lt;&gt;"Serviço",0,IF(OR(AND(AUTOEVENTO="Manual",$M182=1),$M182&gt;(ROW(PLE.lastrow)-ROW(PLE.firstrow))),0,IF(OFFSET(PLE!$G$14,$M182,BA$13)="",10^12,OFFSET(PLE!$G$14,$M182,BA$13))))</f>
        <v>1000000000000</v>
      </c>
      <c r="BB182" s="182">
        <f ca="1">IF($D182&lt;&gt;"Serviço",0,IF(OR(AND(AUTOEVENTO="Manual",$M182=1),$M182&gt;(ROW(PLE.lastrow)-ROW(PLE.firstrow))),0,IF(OFFSET(PLE!$G$14,$M182,BB$13)="",10^12,OFFSET(PLE!$G$14,$M182,BB$13))))</f>
        <v>1000000000000</v>
      </c>
      <c r="BC182" s="182">
        <f ca="1">IF($D182&lt;&gt;"Serviço",0,IF(OR(AND(AUTOEVENTO="Manual",$M182=1),$M182&gt;(ROW(PLE.lastrow)-ROW(PLE.firstrow))),0,IF(OFFSET(PLE!$G$14,$M182,BC$13)="",10^12,OFFSET(PLE!$G$14,$M182,BC$13))))</f>
        <v>1000000000000</v>
      </c>
      <c r="BD182" s="182">
        <f ca="1">IF($D182&lt;&gt;"Serviço",0,IF(OR(AND(AUTOEVENTO="Manual",$M182=1),$M182&gt;(ROW(PLE.lastrow)-ROW(PLE.firstrow))),0,IF(OFFSET(PLE!$G$14,$M182,BD$13)="",10^12,OFFSET(PLE!$G$14,$M182,BD$13))))</f>
        <v>1000000000000</v>
      </c>
      <c r="BE182" s="182">
        <f ca="1">IF($D182&lt;&gt;"Serviço",0,IF(OR(AND(AUTOEVENTO="Manual",$M182=1),$M182&gt;(ROW(PLE.lastrow)-ROW(PLE.firstrow))),0,IF(OFFSET(PLE!$G$14,$M182,BE$13)="",10^12,OFFSET(PLE!$G$14,$M182,BE$13))))</f>
        <v>1000000000000</v>
      </c>
      <c r="BF182" s="182">
        <f ca="1">IF($D182&lt;&gt;"Serviço",0,IF(OR(AND(AUTOEVENTO="Manual",$M182=1),$M182&gt;(ROW(PLE.lastrow)-ROW(PLE.firstrow))),0,IF(OFFSET(PLE!$G$14,$M182,BF$13)="",10^12,OFFSET(PLE!$G$14,$M182,BF$13))))</f>
        <v>1000000000000</v>
      </c>
      <c r="BG182" s="182">
        <f ca="1">IF($D182&lt;&gt;"Serviço",0,IF(OR(AND(AUTOEVENTO="Manual",$M182=1),$M182&gt;(ROW(PLE.lastrow)-ROW(PLE.firstrow))),0,IF(OFFSET(PLE!$G$14,$M182,BG$13)="",10^12,OFFSET(PLE!$G$14,$M182,BG$13))))</f>
        <v>1000000000000</v>
      </c>
    </row>
    <row r="183" spans="1:59" ht="25.5" x14ac:dyDescent="0.2">
      <c r="A183" s="7" t="str">
        <f t="shared" ca="1" si="10"/>
        <v>71</v>
      </c>
      <c r="B183" s="7" t="str">
        <f ca="1">OFFSET(ORÇAMENTO!C$15,ROW(B183)-ROW(B$15),0)</f>
        <v>S</v>
      </c>
      <c r="C183" s="7" t="str">
        <f ca="1">OFFSET(ORÇAMENTO!L$15,ROW(C183)-ROW(C$15),0)</f>
        <v>F</v>
      </c>
      <c r="D183" s="118" t="str">
        <f ca="1">OFFSET(ORÇAMENTO!N$15,ROW(D183)-ROW(D$15),0)</f>
        <v>Serviço</v>
      </c>
      <c r="E183" s="119" t="str">
        <f ca="1">OFFSET(ORÇAMENTO!O$15,ROW(E183)-ROW(E$15),0)</f>
        <v>1.6.17.6.</v>
      </c>
      <c r="F183" s="172" t="str">
        <f ca="1">OFFSET(ORÇAMENTO!R$15,ROW(F183)-ROW(F$15),0)</f>
        <v>(abra o arquivo 'Referência 03-2024.xlsm)</v>
      </c>
      <c r="G183" s="173" t="str">
        <f ca="1">IF($D183&lt;&gt;"Serviço","",OFFSET(ORÇAMENTO!S$15,ROW(G183)-ROW(G$15),0))</f>
        <v>-</v>
      </c>
      <c r="H183" s="124">
        <f ca="1">IF($D183&lt;&gt;"Serviço",0,IF(ACOMPANHAMENTO="BM",ROUND(OFFSET(ORÇAMENTO!AJ$15,ROW(H183)-ROW(H$15),0),15-13*ORÇAMENTO!$AF$7),SUMPRODUCT(($Q$12:$AA$12&lt;&gt;"")*ROUND($Q183:$AA183,15-13*ORÇAMENTO!$AF$7))))</f>
        <v>2</v>
      </c>
      <c r="I183" s="561"/>
      <c r="K183" s="174"/>
      <c r="L183" s="175" t="s">
        <v>255</v>
      </c>
      <c r="M183" s="176">
        <f ca="1">IF($D183&lt;&gt;"Serviço","",IF(AUTOEVENTO="manual",$A183,IF(ISERROR(MATCH($A183,$A$15:OFFSET($A183,-1,0),0)),MAX($M$15:OFFSET(M183,-1,0))+1,INDEX($M$15:OFFSET(M183,-1,0),MATCH($A183,$A$15:OFFSET($A183,-1,0),0)))))</f>
        <v>7</v>
      </c>
      <c r="N183" s="177" t="str">
        <f ca="1">IF($D183&lt;&gt;"Serviço","",IF(AUTOEVENTO="Manual",IF($A183=0,"&lt;-- defina o número do agrupador",OFFSET(EVENTOS!$D$14,$A183,0)),OFFSET($F$15,$A183,0)))</f>
        <v>SANITÁRIO PÚBLICO ACESSÍVEL</v>
      </c>
      <c r="O183" s="178"/>
      <c r="Q183" s="178"/>
      <c r="R183" s="179"/>
      <c r="S183" s="179"/>
      <c r="T183" s="179"/>
      <c r="U183" s="179"/>
      <c r="V183" s="179"/>
      <c r="W183" s="179"/>
      <c r="X183" s="179"/>
      <c r="Y183" s="179"/>
      <c r="Z183" s="180"/>
      <c r="AB183" s="544">
        <f ca="1">IF(AND($D183="Serviço",AB$12&lt;&gt;0,$H183&gt;0,OR(AUTOEVENTO&lt;&gt;"manual",$M183&lt;&gt;1)),
IF(Import.TipoArredondamento&lt;&gt;"TransfereGOV",
ROUND(OFFSET($P183,0,AB$13),15-13*ORÇAMENTO!$AF$7)/$H183*OFFSET(ORÇAMENTO!$X$15,ROW(AB183)-ROW(AB$15),0),
ROUND(ROUND(OFFSET($P183,0,AB$13),15-13*ORÇAMENTO!$AF$7)*OFFSET(ORÇAMENTO!$W$15,ROW(AB183)-ROW(AB$15),0),15-13*ORÇAMENTO!$AF$11)),0)</f>
        <v>0</v>
      </c>
      <c r="AC183" s="545">
        <f ca="1">IF(AND($D183="Serviço",AC$12&lt;&gt;0,$H183&gt;0,OR(AUTOEVENTO&lt;&gt;"manual",$M183&lt;&gt;1)),
IF(Import.TipoArredondamento&lt;&gt;"TransfereGOV",
ROUND(OFFSET($P183,0,AC$13),15-13*ORÇAMENTO!$AF$7)/$H183*OFFSET(ORÇAMENTO!$X$15,ROW(AC183)-ROW(AC$15),0),
ROUND(ROUND(OFFSET($P183,0,AC$13),15-13*ORÇAMENTO!$AF$7)*OFFSET(ORÇAMENTO!$W$15,ROW(AC183)-ROW(AC$15),0),15-13*ORÇAMENTO!$AF$11)),0)</f>
        <v>0</v>
      </c>
      <c r="AD183" s="545">
        <f ca="1">IF(AND($D183="Serviço",AD$12&lt;&gt;0,$H183&gt;0,OR(AUTOEVENTO&lt;&gt;"manual",$M183&lt;&gt;1)),
IF(Import.TipoArredondamento&lt;&gt;"TransfereGOV",
ROUND(OFFSET($P183,0,AD$13),15-13*ORÇAMENTO!$AF$7)/$H183*OFFSET(ORÇAMENTO!$X$15,ROW(AD183)-ROW(AD$15),0),
ROUND(ROUND(OFFSET($P183,0,AD$13),15-13*ORÇAMENTO!$AF$7)*OFFSET(ORÇAMENTO!$W$15,ROW(AD183)-ROW(AD$15),0),15-13*ORÇAMENTO!$AF$11)),0)</f>
        <v>0</v>
      </c>
      <c r="AE183" s="545">
        <f ca="1">IF(AND($D183="Serviço",AE$12&lt;&gt;0,$H183&gt;0,OR(AUTOEVENTO&lt;&gt;"manual",$M183&lt;&gt;1)),
IF(Import.TipoArredondamento&lt;&gt;"TransfereGOV",
ROUND(OFFSET($P183,0,AE$13),15-13*ORÇAMENTO!$AF$7)/$H183*OFFSET(ORÇAMENTO!$X$15,ROW(AE183)-ROW(AE$15),0),
ROUND(ROUND(OFFSET($P183,0,AE$13),15-13*ORÇAMENTO!$AF$7)*OFFSET(ORÇAMENTO!$W$15,ROW(AE183)-ROW(AE$15),0),15-13*ORÇAMENTO!$AF$11)),0)</f>
        <v>0</v>
      </c>
      <c r="AF183" s="545">
        <f ca="1">IF(AND($D183="Serviço",AF$12&lt;&gt;0,$H183&gt;0,OR(AUTOEVENTO&lt;&gt;"manual",$M183&lt;&gt;1)),
IF(Import.TipoArredondamento&lt;&gt;"TransfereGOV",
ROUND(OFFSET($P183,0,AF$13),15-13*ORÇAMENTO!$AF$7)/$H183*OFFSET(ORÇAMENTO!$X$15,ROW(AF183)-ROW(AF$15),0),
ROUND(ROUND(OFFSET($P183,0,AF$13),15-13*ORÇAMENTO!$AF$7)*OFFSET(ORÇAMENTO!$W$15,ROW(AF183)-ROW(AF$15),0),15-13*ORÇAMENTO!$AF$11)),0)</f>
        <v>0</v>
      </c>
      <c r="AG183" s="545">
        <f ca="1">IF(AND($D183="Serviço",AG$12&lt;&gt;0,$H183&gt;0,OR(AUTOEVENTO&lt;&gt;"manual",$M183&lt;&gt;1)),
IF(Import.TipoArredondamento&lt;&gt;"TransfereGOV",
ROUND(OFFSET($P183,0,AG$13),15-13*ORÇAMENTO!$AF$7)/$H183*OFFSET(ORÇAMENTO!$X$15,ROW(AG183)-ROW(AG$15),0),
ROUND(ROUND(OFFSET($P183,0,AG$13),15-13*ORÇAMENTO!$AF$7)*OFFSET(ORÇAMENTO!$W$15,ROW(AG183)-ROW(AG$15),0),15-13*ORÇAMENTO!$AF$11)),0)</f>
        <v>0</v>
      </c>
      <c r="AH183" s="545">
        <f ca="1">IF(AND($D183="Serviço",AH$12&lt;&gt;0,$H183&gt;0,OR(AUTOEVENTO&lt;&gt;"manual",$M183&lt;&gt;1)),
IF(Import.TipoArredondamento&lt;&gt;"TransfereGOV",
ROUND(OFFSET($P183,0,AH$13),15-13*ORÇAMENTO!$AF$7)/$H183*OFFSET(ORÇAMENTO!$X$15,ROW(AH183)-ROW(AH$15),0),
ROUND(ROUND(OFFSET($P183,0,AH$13),15-13*ORÇAMENTO!$AF$7)*OFFSET(ORÇAMENTO!$W$15,ROW(AH183)-ROW(AH$15),0),15-13*ORÇAMENTO!$AF$11)),0)</f>
        <v>0</v>
      </c>
      <c r="AI183" s="545">
        <f ca="1">IF(AND($D183="Serviço",AI$12&lt;&gt;0,$H183&gt;0,OR(AUTOEVENTO&lt;&gt;"manual",$M183&lt;&gt;1)),
IF(Import.TipoArredondamento&lt;&gt;"TransfereGOV",
ROUND(OFFSET($P183,0,AI$13),15-13*ORÇAMENTO!$AF$7)/$H183*OFFSET(ORÇAMENTO!$X$15,ROW(AI183)-ROW(AI$15),0),
ROUND(ROUND(OFFSET($P183,0,AI$13),15-13*ORÇAMENTO!$AF$7)*OFFSET(ORÇAMENTO!$W$15,ROW(AI183)-ROW(AI$15),0),15-13*ORÇAMENTO!$AF$11)),0)</f>
        <v>0</v>
      </c>
      <c r="AJ183" s="545">
        <f ca="1">IF(AND($D183="Serviço",AJ$12&lt;&gt;0,$H183&gt;0,OR(AUTOEVENTO&lt;&gt;"manual",$M183&lt;&gt;1)),
IF(Import.TipoArredondamento&lt;&gt;"TransfereGOV",
ROUND(OFFSET($P183,0,AJ$13),15-13*ORÇAMENTO!$AF$7)/$H183*OFFSET(ORÇAMENTO!$X$15,ROW(AJ183)-ROW(AJ$15),0),
ROUND(ROUND(OFFSET($P183,0,AJ$13),15-13*ORÇAMENTO!$AF$7)*OFFSET(ORÇAMENTO!$W$15,ROW(AJ183)-ROW(AJ$15),0),15-13*ORÇAMENTO!$AF$11)),0)</f>
        <v>0</v>
      </c>
      <c r="AK183" s="546">
        <f ca="1">IF(AND($D183="Serviço",AK$12&lt;&gt;0,$H183&gt;0,OR(AUTOEVENTO&lt;&gt;"manual",$M183&lt;&gt;1)),
IF(Import.TipoArredondamento&lt;&gt;"TransfereGOV",
ROUND(OFFSET($P183,0,AK$13),15-13*ORÇAMENTO!$AF$7)/$H183*OFFSET(ORÇAMENTO!$X$15,ROW(AK183)-ROW(AK$15),0),
ROUND(ROUND(OFFSET($P183,0,AK$13),15-13*ORÇAMENTO!$AF$7)*OFFSET(ORÇAMENTO!$W$15,ROW(AK183)-ROW(AK$15),0),15-13*ORÇAMENTO!$AF$11)),0)</f>
        <v>0</v>
      </c>
      <c r="AM183" s="181">
        <f ca="1">IF($D183&lt;&gt;"Serviço",0,IF(AND(AUTOEVENTO="Manual",$M183=1),0,IF(OFFSET(CRONOPLE!$F$14,$M183,AM$13)="",10^12,OFFSET(CRONOPLE!$F$14,$M183,AM$13))))</f>
        <v>1000000000000</v>
      </c>
      <c r="AN183" s="181">
        <f ca="1">IF($D183&lt;&gt;"Serviço",0,IF(AND(AUTOEVENTO="Manual",$M183=1),0,IF(OFFSET(CRONOPLE!$F$14,$M183,AN$13)="",10^12,OFFSET(CRONOPLE!$F$14,$M183,AN$13))))</f>
        <v>1000000000000</v>
      </c>
      <c r="AO183" s="181">
        <f ca="1">IF($D183&lt;&gt;"Serviço",0,IF(AND(AUTOEVENTO="Manual",$M183=1),0,IF(OFFSET(CRONOPLE!$F$14,$M183,AO$13)="",10^12,OFFSET(CRONOPLE!$F$14,$M183,AO$13))))</f>
        <v>1000000000000</v>
      </c>
      <c r="AP183" s="181">
        <f ca="1">IF($D183&lt;&gt;"Serviço",0,IF(AND(AUTOEVENTO="Manual",$M183=1),0,IF(OFFSET(CRONOPLE!$F$14,$M183,AP$13)="",10^12,OFFSET(CRONOPLE!$F$14,$M183,AP$13))))</f>
        <v>1000000000000</v>
      </c>
      <c r="AQ183" s="181">
        <f ca="1">IF($D183&lt;&gt;"Serviço",0,IF(AND(AUTOEVENTO="Manual",$M183=1),0,IF(OFFSET(CRONOPLE!$F$14,$M183,AQ$13)="",10^12,OFFSET(CRONOPLE!$F$14,$M183,AQ$13))))</f>
        <v>1000000000000</v>
      </c>
      <c r="AR183" s="181">
        <f ca="1">IF($D183&lt;&gt;"Serviço",0,IF(AND(AUTOEVENTO="Manual",$M183=1),0,IF(OFFSET(CRONOPLE!$F$14,$M183,AR$13)="",10^12,OFFSET(CRONOPLE!$F$14,$M183,AR$13))))</f>
        <v>1000000000000</v>
      </c>
      <c r="AS183" s="181">
        <f ca="1">IF($D183&lt;&gt;"Serviço",0,IF(AND(AUTOEVENTO="Manual",$M183=1),0,IF(OFFSET(CRONOPLE!$F$14,$M183,AS$13)="",10^12,OFFSET(CRONOPLE!$F$14,$M183,AS$13))))</f>
        <v>1000000000000</v>
      </c>
      <c r="AT183" s="181">
        <f ca="1">IF($D183&lt;&gt;"Serviço",0,IF(AND(AUTOEVENTO="Manual",$M183=1),0,IF(OFFSET(CRONOPLE!$F$14,$M183,AT$13)="",10^12,OFFSET(CRONOPLE!$F$14,$M183,AT$13))))</f>
        <v>1000000000000</v>
      </c>
      <c r="AU183" s="181">
        <f ca="1">IF($D183&lt;&gt;"Serviço",0,IF(AND(AUTOEVENTO="Manual",$M183=1),0,IF(OFFSET(CRONOPLE!$F$14,$M183,AU$13)="",10^12,OFFSET(CRONOPLE!$F$14,$M183,AU$13))))</f>
        <v>1000000000000</v>
      </c>
      <c r="AV183" s="181">
        <f ca="1">IF($D183&lt;&gt;"Serviço",0,IF(AND(AUTOEVENTO="Manual",$M183=1),0,IF(OFFSET(CRONOPLE!$F$14,$M183,AV$13)="",10^12,OFFSET(CRONOPLE!$F$14,$M183,AV$13))))</f>
        <v>1000000000000</v>
      </c>
      <c r="AX183" s="182">
        <f ca="1">IF($D183&lt;&gt;"Serviço",0,IF(OR(AND(AUTOEVENTO="Manual",$M183=1),$M183&gt;(ROW(PLE.lastrow)-ROW(PLE.firstrow))),0,IF(OFFSET(PLE!$G$14,$M183,AX$13)="",10^12,OFFSET(PLE!$G$14,$M183,AX$13))))</f>
        <v>1000000000000</v>
      </c>
      <c r="AY183" s="182">
        <f ca="1">IF($D183&lt;&gt;"Serviço",0,IF(OR(AND(AUTOEVENTO="Manual",$M183=1),$M183&gt;(ROW(PLE.lastrow)-ROW(PLE.firstrow))),0,IF(OFFSET(PLE!$G$14,$M183,AY$13)="",10^12,OFFSET(PLE!$G$14,$M183,AY$13))))</f>
        <v>1000000000000</v>
      </c>
      <c r="AZ183" s="182">
        <f ca="1">IF($D183&lt;&gt;"Serviço",0,IF(OR(AND(AUTOEVENTO="Manual",$M183=1),$M183&gt;(ROW(PLE.lastrow)-ROW(PLE.firstrow))),0,IF(OFFSET(PLE!$G$14,$M183,AZ$13)="",10^12,OFFSET(PLE!$G$14,$M183,AZ$13))))</f>
        <v>1000000000000</v>
      </c>
      <c r="BA183" s="182">
        <f ca="1">IF($D183&lt;&gt;"Serviço",0,IF(OR(AND(AUTOEVENTO="Manual",$M183=1),$M183&gt;(ROW(PLE.lastrow)-ROW(PLE.firstrow))),0,IF(OFFSET(PLE!$G$14,$M183,BA$13)="",10^12,OFFSET(PLE!$G$14,$M183,BA$13))))</f>
        <v>1000000000000</v>
      </c>
      <c r="BB183" s="182">
        <f ca="1">IF($D183&lt;&gt;"Serviço",0,IF(OR(AND(AUTOEVENTO="Manual",$M183=1),$M183&gt;(ROW(PLE.lastrow)-ROW(PLE.firstrow))),0,IF(OFFSET(PLE!$G$14,$M183,BB$13)="",10^12,OFFSET(PLE!$G$14,$M183,BB$13))))</f>
        <v>1000000000000</v>
      </c>
      <c r="BC183" s="182">
        <f ca="1">IF($D183&lt;&gt;"Serviço",0,IF(OR(AND(AUTOEVENTO="Manual",$M183=1),$M183&gt;(ROW(PLE.lastrow)-ROW(PLE.firstrow))),0,IF(OFFSET(PLE!$G$14,$M183,BC$13)="",10^12,OFFSET(PLE!$G$14,$M183,BC$13))))</f>
        <v>1000000000000</v>
      </c>
      <c r="BD183" s="182">
        <f ca="1">IF($D183&lt;&gt;"Serviço",0,IF(OR(AND(AUTOEVENTO="Manual",$M183=1),$M183&gt;(ROW(PLE.lastrow)-ROW(PLE.firstrow))),0,IF(OFFSET(PLE!$G$14,$M183,BD$13)="",10^12,OFFSET(PLE!$G$14,$M183,BD$13))))</f>
        <v>1000000000000</v>
      </c>
      <c r="BE183" s="182">
        <f ca="1">IF($D183&lt;&gt;"Serviço",0,IF(OR(AND(AUTOEVENTO="Manual",$M183=1),$M183&gt;(ROW(PLE.lastrow)-ROW(PLE.firstrow))),0,IF(OFFSET(PLE!$G$14,$M183,BE$13)="",10^12,OFFSET(PLE!$G$14,$M183,BE$13))))</f>
        <v>1000000000000</v>
      </c>
      <c r="BF183" s="182">
        <f ca="1">IF($D183&lt;&gt;"Serviço",0,IF(OR(AND(AUTOEVENTO="Manual",$M183=1),$M183&gt;(ROW(PLE.lastrow)-ROW(PLE.firstrow))),0,IF(OFFSET(PLE!$G$14,$M183,BF$13)="",10^12,OFFSET(PLE!$G$14,$M183,BF$13))))</f>
        <v>1000000000000</v>
      </c>
      <c r="BG183" s="182">
        <f ca="1">IF($D183&lt;&gt;"Serviço",0,IF(OR(AND(AUTOEVENTO="Manual",$M183=1),$M183&gt;(ROW(PLE.lastrow)-ROW(PLE.firstrow))),0,IF(OFFSET(PLE!$G$14,$M183,BG$13)="",10^12,OFFSET(PLE!$G$14,$M183,BG$13))))</f>
        <v>1000000000000</v>
      </c>
    </row>
    <row r="184" spans="1:59" ht="38.25" x14ac:dyDescent="0.2">
      <c r="A184" s="7" t="str">
        <f t="shared" ca="1" si="10"/>
        <v>71</v>
      </c>
      <c r="B184" s="7" t="str">
        <f ca="1">OFFSET(ORÇAMENTO!C$15,ROW(B184)-ROW(B$15),0)</f>
        <v>S</v>
      </c>
      <c r="C184" s="7" t="str">
        <f ca="1">OFFSET(ORÇAMENTO!L$15,ROW(C184)-ROW(C$15),0)</f>
        <v>F</v>
      </c>
      <c r="D184" s="118" t="str">
        <f ca="1">OFFSET(ORÇAMENTO!N$15,ROW(D184)-ROW(D$15),0)</f>
        <v>Serviço</v>
      </c>
      <c r="E184" s="119" t="str">
        <f ca="1">OFFSET(ORÇAMENTO!O$15,ROW(E184)-ROW(E$15),0)</f>
        <v>1.6.17.7.</v>
      </c>
      <c r="F184" s="172" t="str">
        <f ca="1">OFFSET(ORÇAMENTO!R$15,ROW(F184)-ROW(F$15),0)</f>
        <v>(abra o arquivo 'Referência 03-2024.xlsm)</v>
      </c>
      <c r="G184" s="173" t="str">
        <f ca="1">IF($D184&lt;&gt;"Serviço","",OFFSET(ORÇAMENTO!S$15,ROW(G184)-ROW(G$15),0))</f>
        <v>-</v>
      </c>
      <c r="H184" s="124">
        <f ca="1">IF($D184&lt;&gt;"Serviço",0,IF(ACOMPANHAMENTO="BM",ROUND(OFFSET(ORÇAMENTO!AJ$15,ROW(H184)-ROW(H$15),0),15-13*ORÇAMENTO!$AF$7),SUMPRODUCT(($Q$12:$AA$12&lt;&gt;"")*ROUND($Q184:$AA184,15-13*ORÇAMENTO!$AF$7))))</f>
        <v>90</v>
      </c>
      <c r="I184" s="561"/>
      <c r="K184" s="174"/>
      <c r="L184" s="175" t="s">
        <v>255</v>
      </c>
      <c r="M184" s="176">
        <f ca="1">IF($D184&lt;&gt;"Serviço","",IF(AUTOEVENTO="manual",$A184,IF(ISERROR(MATCH($A184,$A$15:OFFSET($A184,-1,0),0)),MAX($M$15:OFFSET(M184,-1,0))+1,INDEX($M$15:OFFSET(M184,-1,0),MATCH($A184,$A$15:OFFSET($A184,-1,0),0)))))</f>
        <v>7</v>
      </c>
      <c r="N184" s="177" t="str">
        <f ca="1">IF($D184&lt;&gt;"Serviço","",IF(AUTOEVENTO="Manual",IF($A184=0,"&lt;-- defina o número do agrupador",OFFSET(EVENTOS!$D$14,$A184,0)),OFFSET($F$15,$A184,0)))</f>
        <v>SANITÁRIO PÚBLICO ACESSÍVEL</v>
      </c>
      <c r="O184" s="178"/>
      <c r="Q184" s="178"/>
      <c r="R184" s="179"/>
      <c r="S184" s="179"/>
      <c r="T184" s="179"/>
      <c r="U184" s="179"/>
      <c r="V184" s="179"/>
      <c r="W184" s="179"/>
      <c r="X184" s="179"/>
      <c r="Y184" s="179"/>
      <c r="Z184" s="180"/>
      <c r="AB184" s="544">
        <f ca="1">IF(AND($D184="Serviço",AB$12&lt;&gt;0,$H184&gt;0,OR(AUTOEVENTO&lt;&gt;"manual",$M184&lt;&gt;1)),
IF(Import.TipoArredondamento&lt;&gt;"TransfereGOV",
ROUND(OFFSET($P184,0,AB$13),15-13*ORÇAMENTO!$AF$7)/$H184*OFFSET(ORÇAMENTO!$X$15,ROW(AB184)-ROW(AB$15),0),
ROUND(ROUND(OFFSET($P184,0,AB$13),15-13*ORÇAMENTO!$AF$7)*OFFSET(ORÇAMENTO!$W$15,ROW(AB184)-ROW(AB$15),0),15-13*ORÇAMENTO!$AF$11)),0)</f>
        <v>0</v>
      </c>
      <c r="AC184" s="545">
        <f ca="1">IF(AND($D184="Serviço",AC$12&lt;&gt;0,$H184&gt;0,OR(AUTOEVENTO&lt;&gt;"manual",$M184&lt;&gt;1)),
IF(Import.TipoArredondamento&lt;&gt;"TransfereGOV",
ROUND(OFFSET($P184,0,AC$13),15-13*ORÇAMENTO!$AF$7)/$H184*OFFSET(ORÇAMENTO!$X$15,ROW(AC184)-ROW(AC$15),0),
ROUND(ROUND(OFFSET($P184,0,AC$13),15-13*ORÇAMENTO!$AF$7)*OFFSET(ORÇAMENTO!$W$15,ROW(AC184)-ROW(AC$15),0),15-13*ORÇAMENTO!$AF$11)),0)</f>
        <v>0</v>
      </c>
      <c r="AD184" s="545">
        <f ca="1">IF(AND($D184="Serviço",AD$12&lt;&gt;0,$H184&gt;0,OR(AUTOEVENTO&lt;&gt;"manual",$M184&lt;&gt;1)),
IF(Import.TipoArredondamento&lt;&gt;"TransfereGOV",
ROUND(OFFSET($P184,0,AD$13),15-13*ORÇAMENTO!$AF$7)/$H184*OFFSET(ORÇAMENTO!$X$15,ROW(AD184)-ROW(AD$15),0),
ROUND(ROUND(OFFSET($P184,0,AD$13),15-13*ORÇAMENTO!$AF$7)*OFFSET(ORÇAMENTO!$W$15,ROW(AD184)-ROW(AD$15),0),15-13*ORÇAMENTO!$AF$11)),0)</f>
        <v>0</v>
      </c>
      <c r="AE184" s="545">
        <f ca="1">IF(AND($D184="Serviço",AE$12&lt;&gt;0,$H184&gt;0,OR(AUTOEVENTO&lt;&gt;"manual",$M184&lt;&gt;1)),
IF(Import.TipoArredondamento&lt;&gt;"TransfereGOV",
ROUND(OFFSET($P184,0,AE$13),15-13*ORÇAMENTO!$AF$7)/$H184*OFFSET(ORÇAMENTO!$X$15,ROW(AE184)-ROW(AE$15),0),
ROUND(ROUND(OFFSET($P184,0,AE$13),15-13*ORÇAMENTO!$AF$7)*OFFSET(ORÇAMENTO!$W$15,ROW(AE184)-ROW(AE$15),0),15-13*ORÇAMENTO!$AF$11)),0)</f>
        <v>0</v>
      </c>
      <c r="AF184" s="545">
        <f ca="1">IF(AND($D184="Serviço",AF$12&lt;&gt;0,$H184&gt;0,OR(AUTOEVENTO&lt;&gt;"manual",$M184&lt;&gt;1)),
IF(Import.TipoArredondamento&lt;&gt;"TransfereGOV",
ROUND(OFFSET($P184,0,AF$13),15-13*ORÇAMENTO!$AF$7)/$H184*OFFSET(ORÇAMENTO!$X$15,ROW(AF184)-ROW(AF$15),0),
ROUND(ROUND(OFFSET($P184,0,AF$13),15-13*ORÇAMENTO!$AF$7)*OFFSET(ORÇAMENTO!$W$15,ROW(AF184)-ROW(AF$15),0),15-13*ORÇAMENTO!$AF$11)),0)</f>
        <v>0</v>
      </c>
      <c r="AG184" s="545">
        <f ca="1">IF(AND($D184="Serviço",AG$12&lt;&gt;0,$H184&gt;0,OR(AUTOEVENTO&lt;&gt;"manual",$M184&lt;&gt;1)),
IF(Import.TipoArredondamento&lt;&gt;"TransfereGOV",
ROUND(OFFSET($P184,0,AG$13),15-13*ORÇAMENTO!$AF$7)/$H184*OFFSET(ORÇAMENTO!$X$15,ROW(AG184)-ROW(AG$15),0),
ROUND(ROUND(OFFSET($P184,0,AG$13),15-13*ORÇAMENTO!$AF$7)*OFFSET(ORÇAMENTO!$W$15,ROW(AG184)-ROW(AG$15),0),15-13*ORÇAMENTO!$AF$11)),0)</f>
        <v>0</v>
      </c>
      <c r="AH184" s="545">
        <f ca="1">IF(AND($D184="Serviço",AH$12&lt;&gt;0,$H184&gt;0,OR(AUTOEVENTO&lt;&gt;"manual",$M184&lt;&gt;1)),
IF(Import.TipoArredondamento&lt;&gt;"TransfereGOV",
ROUND(OFFSET($P184,0,AH$13),15-13*ORÇAMENTO!$AF$7)/$H184*OFFSET(ORÇAMENTO!$X$15,ROW(AH184)-ROW(AH$15),0),
ROUND(ROUND(OFFSET($P184,0,AH$13),15-13*ORÇAMENTO!$AF$7)*OFFSET(ORÇAMENTO!$W$15,ROW(AH184)-ROW(AH$15),0),15-13*ORÇAMENTO!$AF$11)),0)</f>
        <v>0</v>
      </c>
      <c r="AI184" s="545">
        <f ca="1">IF(AND($D184="Serviço",AI$12&lt;&gt;0,$H184&gt;0,OR(AUTOEVENTO&lt;&gt;"manual",$M184&lt;&gt;1)),
IF(Import.TipoArredondamento&lt;&gt;"TransfereGOV",
ROUND(OFFSET($P184,0,AI$13),15-13*ORÇAMENTO!$AF$7)/$H184*OFFSET(ORÇAMENTO!$X$15,ROW(AI184)-ROW(AI$15),0),
ROUND(ROUND(OFFSET($P184,0,AI$13),15-13*ORÇAMENTO!$AF$7)*OFFSET(ORÇAMENTO!$W$15,ROW(AI184)-ROW(AI$15),0),15-13*ORÇAMENTO!$AF$11)),0)</f>
        <v>0</v>
      </c>
      <c r="AJ184" s="545">
        <f ca="1">IF(AND($D184="Serviço",AJ$12&lt;&gt;0,$H184&gt;0,OR(AUTOEVENTO&lt;&gt;"manual",$M184&lt;&gt;1)),
IF(Import.TipoArredondamento&lt;&gt;"TransfereGOV",
ROUND(OFFSET($P184,0,AJ$13),15-13*ORÇAMENTO!$AF$7)/$H184*OFFSET(ORÇAMENTO!$X$15,ROW(AJ184)-ROW(AJ$15),0),
ROUND(ROUND(OFFSET($P184,0,AJ$13),15-13*ORÇAMENTO!$AF$7)*OFFSET(ORÇAMENTO!$W$15,ROW(AJ184)-ROW(AJ$15),0),15-13*ORÇAMENTO!$AF$11)),0)</f>
        <v>0</v>
      </c>
      <c r="AK184" s="546">
        <f ca="1">IF(AND($D184="Serviço",AK$12&lt;&gt;0,$H184&gt;0,OR(AUTOEVENTO&lt;&gt;"manual",$M184&lt;&gt;1)),
IF(Import.TipoArredondamento&lt;&gt;"TransfereGOV",
ROUND(OFFSET($P184,0,AK$13),15-13*ORÇAMENTO!$AF$7)/$H184*OFFSET(ORÇAMENTO!$X$15,ROW(AK184)-ROW(AK$15),0),
ROUND(ROUND(OFFSET($P184,0,AK$13),15-13*ORÇAMENTO!$AF$7)*OFFSET(ORÇAMENTO!$W$15,ROW(AK184)-ROW(AK$15),0),15-13*ORÇAMENTO!$AF$11)),0)</f>
        <v>0</v>
      </c>
      <c r="AM184" s="181">
        <f ca="1">IF($D184&lt;&gt;"Serviço",0,IF(AND(AUTOEVENTO="Manual",$M184=1),0,IF(OFFSET(CRONOPLE!$F$14,$M184,AM$13)="",10^12,OFFSET(CRONOPLE!$F$14,$M184,AM$13))))</f>
        <v>1000000000000</v>
      </c>
      <c r="AN184" s="181">
        <f ca="1">IF($D184&lt;&gt;"Serviço",0,IF(AND(AUTOEVENTO="Manual",$M184=1),0,IF(OFFSET(CRONOPLE!$F$14,$M184,AN$13)="",10^12,OFFSET(CRONOPLE!$F$14,$M184,AN$13))))</f>
        <v>1000000000000</v>
      </c>
      <c r="AO184" s="181">
        <f ca="1">IF($D184&lt;&gt;"Serviço",0,IF(AND(AUTOEVENTO="Manual",$M184=1),0,IF(OFFSET(CRONOPLE!$F$14,$M184,AO$13)="",10^12,OFFSET(CRONOPLE!$F$14,$M184,AO$13))))</f>
        <v>1000000000000</v>
      </c>
      <c r="AP184" s="181">
        <f ca="1">IF($D184&lt;&gt;"Serviço",0,IF(AND(AUTOEVENTO="Manual",$M184=1),0,IF(OFFSET(CRONOPLE!$F$14,$M184,AP$13)="",10^12,OFFSET(CRONOPLE!$F$14,$M184,AP$13))))</f>
        <v>1000000000000</v>
      </c>
      <c r="AQ184" s="181">
        <f ca="1">IF($D184&lt;&gt;"Serviço",0,IF(AND(AUTOEVENTO="Manual",$M184=1),0,IF(OFFSET(CRONOPLE!$F$14,$M184,AQ$13)="",10^12,OFFSET(CRONOPLE!$F$14,$M184,AQ$13))))</f>
        <v>1000000000000</v>
      </c>
      <c r="AR184" s="181">
        <f ca="1">IF($D184&lt;&gt;"Serviço",0,IF(AND(AUTOEVENTO="Manual",$M184=1),0,IF(OFFSET(CRONOPLE!$F$14,$M184,AR$13)="",10^12,OFFSET(CRONOPLE!$F$14,$M184,AR$13))))</f>
        <v>1000000000000</v>
      </c>
      <c r="AS184" s="181">
        <f ca="1">IF($D184&lt;&gt;"Serviço",0,IF(AND(AUTOEVENTO="Manual",$M184=1),0,IF(OFFSET(CRONOPLE!$F$14,$M184,AS$13)="",10^12,OFFSET(CRONOPLE!$F$14,$M184,AS$13))))</f>
        <v>1000000000000</v>
      </c>
      <c r="AT184" s="181">
        <f ca="1">IF($D184&lt;&gt;"Serviço",0,IF(AND(AUTOEVENTO="Manual",$M184=1),0,IF(OFFSET(CRONOPLE!$F$14,$M184,AT$13)="",10^12,OFFSET(CRONOPLE!$F$14,$M184,AT$13))))</f>
        <v>1000000000000</v>
      </c>
      <c r="AU184" s="181">
        <f ca="1">IF($D184&lt;&gt;"Serviço",0,IF(AND(AUTOEVENTO="Manual",$M184=1),0,IF(OFFSET(CRONOPLE!$F$14,$M184,AU$13)="",10^12,OFFSET(CRONOPLE!$F$14,$M184,AU$13))))</f>
        <v>1000000000000</v>
      </c>
      <c r="AV184" s="181">
        <f ca="1">IF($D184&lt;&gt;"Serviço",0,IF(AND(AUTOEVENTO="Manual",$M184=1),0,IF(OFFSET(CRONOPLE!$F$14,$M184,AV$13)="",10^12,OFFSET(CRONOPLE!$F$14,$M184,AV$13))))</f>
        <v>1000000000000</v>
      </c>
      <c r="AX184" s="182">
        <f ca="1">IF($D184&lt;&gt;"Serviço",0,IF(OR(AND(AUTOEVENTO="Manual",$M184=1),$M184&gt;(ROW(PLE.lastrow)-ROW(PLE.firstrow))),0,IF(OFFSET(PLE!$G$14,$M184,AX$13)="",10^12,OFFSET(PLE!$G$14,$M184,AX$13))))</f>
        <v>1000000000000</v>
      </c>
      <c r="AY184" s="182">
        <f ca="1">IF($D184&lt;&gt;"Serviço",0,IF(OR(AND(AUTOEVENTO="Manual",$M184=1),$M184&gt;(ROW(PLE.lastrow)-ROW(PLE.firstrow))),0,IF(OFFSET(PLE!$G$14,$M184,AY$13)="",10^12,OFFSET(PLE!$G$14,$M184,AY$13))))</f>
        <v>1000000000000</v>
      </c>
      <c r="AZ184" s="182">
        <f ca="1">IF($D184&lt;&gt;"Serviço",0,IF(OR(AND(AUTOEVENTO="Manual",$M184=1),$M184&gt;(ROW(PLE.lastrow)-ROW(PLE.firstrow))),0,IF(OFFSET(PLE!$G$14,$M184,AZ$13)="",10^12,OFFSET(PLE!$G$14,$M184,AZ$13))))</f>
        <v>1000000000000</v>
      </c>
      <c r="BA184" s="182">
        <f ca="1">IF($D184&lt;&gt;"Serviço",0,IF(OR(AND(AUTOEVENTO="Manual",$M184=1),$M184&gt;(ROW(PLE.lastrow)-ROW(PLE.firstrow))),0,IF(OFFSET(PLE!$G$14,$M184,BA$13)="",10^12,OFFSET(PLE!$G$14,$M184,BA$13))))</f>
        <v>1000000000000</v>
      </c>
      <c r="BB184" s="182">
        <f ca="1">IF($D184&lt;&gt;"Serviço",0,IF(OR(AND(AUTOEVENTO="Manual",$M184=1),$M184&gt;(ROW(PLE.lastrow)-ROW(PLE.firstrow))),0,IF(OFFSET(PLE!$G$14,$M184,BB$13)="",10^12,OFFSET(PLE!$G$14,$M184,BB$13))))</f>
        <v>1000000000000</v>
      </c>
      <c r="BC184" s="182">
        <f ca="1">IF($D184&lt;&gt;"Serviço",0,IF(OR(AND(AUTOEVENTO="Manual",$M184=1),$M184&gt;(ROW(PLE.lastrow)-ROW(PLE.firstrow))),0,IF(OFFSET(PLE!$G$14,$M184,BC$13)="",10^12,OFFSET(PLE!$G$14,$M184,BC$13))))</f>
        <v>1000000000000</v>
      </c>
      <c r="BD184" s="182">
        <f ca="1">IF($D184&lt;&gt;"Serviço",0,IF(OR(AND(AUTOEVENTO="Manual",$M184=1),$M184&gt;(ROW(PLE.lastrow)-ROW(PLE.firstrow))),0,IF(OFFSET(PLE!$G$14,$M184,BD$13)="",10^12,OFFSET(PLE!$G$14,$M184,BD$13))))</f>
        <v>1000000000000</v>
      </c>
      <c r="BE184" s="182">
        <f ca="1">IF($D184&lt;&gt;"Serviço",0,IF(OR(AND(AUTOEVENTO="Manual",$M184=1),$M184&gt;(ROW(PLE.lastrow)-ROW(PLE.firstrow))),0,IF(OFFSET(PLE!$G$14,$M184,BE$13)="",10^12,OFFSET(PLE!$G$14,$M184,BE$13))))</f>
        <v>1000000000000</v>
      </c>
      <c r="BF184" s="182">
        <f ca="1">IF($D184&lt;&gt;"Serviço",0,IF(OR(AND(AUTOEVENTO="Manual",$M184=1),$M184&gt;(ROW(PLE.lastrow)-ROW(PLE.firstrow))),0,IF(OFFSET(PLE!$G$14,$M184,BF$13)="",10^12,OFFSET(PLE!$G$14,$M184,BF$13))))</f>
        <v>1000000000000</v>
      </c>
      <c r="BG184" s="182">
        <f ca="1">IF($D184&lt;&gt;"Serviço",0,IF(OR(AND(AUTOEVENTO="Manual",$M184=1),$M184&gt;(ROW(PLE.lastrow)-ROW(PLE.firstrow))),0,IF(OFFSET(PLE!$G$14,$M184,BG$13)="",10^12,OFFSET(PLE!$G$14,$M184,BG$13))))</f>
        <v>1000000000000</v>
      </c>
    </row>
    <row r="185" spans="1:59" ht="38.25" x14ac:dyDescent="0.2">
      <c r="A185" s="7" t="str">
        <f t="shared" ca="1" si="10"/>
        <v>71</v>
      </c>
      <c r="B185" s="7" t="str">
        <f ca="1">OFFSET(ORÇAMENTO!C$15,ROW(B185)-ROW(B$15),0)</f>
        <v>S</v>
      </c>
      <c r="C185" s="7" t="str">
        <f ca="1">OFFSET(ORÇAMENTO!L$15,ROW(C185)-ROW(C$15),0)</f>
        <v>F</v>
      </c>
      <c r="D185" s="118" t="str">
        <f ca="1">OFFSET(ORÇAMENTO!N$15,ROW(D185)-ROW(D$15),0)</f>
        <v>Serviço</v>
      </c>
      <c r="E185" s="119" t="str">
        <f ca="1">OFFSET(ORÇAMENTO!O$15,ROW(E185)-ROW(E$15),0)</f>
        <v>1.6.17.8.</v>
      </c>
      <c r="F185" s="172" t="str">
        <f ca="1">OFFSET(ORÇAMENTO!R$15,ROW(F185)-ROW(F$15),0)</f>
        <v>(abra o arquivo 'Referência 03-2024.xlsm)</v>
      </c>
      <c r="G185" s="173" t="str">
        <f ca="1">IF($D185&lt;&gt;"Serviço","",OFFSET(ORÇAMENTO!S$15,ROW(G185)-ROW(G$15),0))</f>
        <v>-</v>
      </c>
      <c r="H185" s="124">
        <f ca="1">IF($D185&lt;&gt;"Serviço",0,IF(ACOMPANHAMENTO="BM",ROUND(OFFSET(ORÇAMENTO!AJ$15,ROW(H185)-ROW(H$15),0),15-13*ORÇAMENTO!$AF$7),SUMPRODUCT(($Q$12:$AA$12&lt;&gt;"")*ROUND($Q185:$AA185,15-13*ORÇAMENTO!$AF$7))))</f>
        <v>2</v>
      </c>
      <c r="I185" s="561"/>
      <c r="K185" s="174"/>
      <c r="L185" s="175" t="s">
        <v>255</v>
      </c>
      <c r="M185" s="176">
        <f ca="1">IF($D185&lt;&gt;"Serviço","",IF(AUTOEVENTO="manual",$A185,IF(ISERROR(MATCH($A185,$A$15:OFFSET($A185,-1,0),0)),MAX($M$15:OFFSET(M185,-1,0))+1,INDEX($M$15:OFFSET(M185,-1,0),MATCH($A185,$A$15:OFFSET($A185,-1,0),0)))))</f>
        <v>7</v>
      </c>
      <c r="N185" s="177" t="str">
        <f ca="1">IF($D185&lt;&gt;"Serviço","",IF(AUTOEVENTO="Manual",IF($A185=0,"&lt;-- defina o número do agrupador",OFFSET(EVENTOS!$D$14,$A185,0)),OFFSET($F$15,$A185,0)))</f>
        <v>SANITÁRIO PÚBLICO ACESSÍVEL</v>
      </c>
      <c r="O185" s="178"/>
      <c r="Q185" s="178"/>
      <c r="R185" s="179"/>
      <c r="S185" s="179"/>
      <c r="T185" s="179"/>
      <c r="U185" s="179"/>
      <c r="V185" s="179"/>
      <c r="W185" s="179"/>
      <c r="X185" s="179"/>
      <c r="Y185" s="179"/>
      <c r="Z185" s="180"/>
      <c r="AB185" s="544">
        <f ca="1">IF(AND($D185="Serviço",AB$12&lt;&gt;0,$H185&gt;0,OR(AUTOEVENTO&lt;&gt;"manual",$M185&lt;&gt;1)),
IF(Import.TipoArredondamento&lt;&gt;"TransfereGOV",
ROUND(OFFSET($P185,0,AB$13),15-13*ORÇAMENTO!$AF$7)/$H185*OFFSET(ORÇAMENTO!$X$15,ROW(AB185)-ROW(AB$15),0),
ROUND(ROUND(OFFSET($P185,0,AB$13),15-13*ORÇAMENTO!$AF$7)*OFFSET(ORÇAMENTO!$W$15,ROW(AB185)-ROW(AB$15),0),15-13*ORÇAMENTO!$AF$11)),0)</f>
        <v>0</v>
      </c>
      <c r="AC185" s="545">
        <f ca="1">IF(AND($D185="Serviço",AC$12&lt;&gt;0,$H185&gt;0,OR(AUTOEVENTO&lt;&gt;"manual",$M185&lt;&gt;1)),
IF(Import.TipoArredondamento&lt;&gt;"TransfereGOV",
ROUND(OFFSET($P185,0,AC$13),15-13*ORÇAMENTO!$AF$7)/$H185*OFFSET(ORÇAMENTO!$X$15,ROW(AC185)-ROW(AC$15),0),
ROUND(ROUND(OFFSET($P185,0,AC$13),15-13*ORÇAMENTO!$AF$7)*OFFSET(ORÇAMENTO!$W$15,ROW(AC185)-ROW(AC$15),0),15-13*ORÇAMENTO!$AF$11)),0)</f>
        <v>0</v>
      </c>
      <c r="AD185" s="545">
        <f ca="1">IF(AND($D185="Serviço",AD$12&lt;&gt;0,$H185&gt;0,OR(AUTOEVENTO&lt;&gt;"manual",$M185&lt;&gt;1)),
IF(Import.TipoArredondamento&lt;&gt;"TransfereGOV",
ROUND(OFFSET($P185,0,AD$13),15-13*ORÇAMENTO!$AF$7)/$H185*OFFSET(ORÇAMENTO!$X$15,ROW(AD185)-ROW(AD$15),0),
ROUND(ROUND(OFFSET($P185,0,AD$13),15-13*ORÇAMENTO!$AF$7)*OFFSET(ORÇAMENTO!$W$15,ROW(AD185)-ROW(AD$15),0),15-13*ORÇAMENTO!$AF$11)),0)</f>
        <v>0</v>
      </c>
      <c r="AE185" s="545">
        <f ca="1">IF(AND($D185="Serviço",AE$12&lt;&gt;0,$H185&gt;0,OR(AUTOEVENTO&lt;&gt;"manual",$M185&lt;&gt;1)),
IF(Import.TipoArredondamento&lt;&gt;"TransfereGOV",
ROUND(OFFSET($P185,0,AE$13),15-13*ORÇAMENTO!$AF$7)/$H185*OFFSET(ORÇAMENTO!$X$15,ROW(AE185)-ROW(AE$15),0),
ROUND(ROUND(OFFSET($P185,0,AE$13),15-13*ORÇAMENTO!$AF$7)*OFFSET(ORÇAMENTO!$W$15,ROW(AE185)-ROW(AE$15),0),15-13*ORÇAMENTO!$AF$11)),0)</f>
        <v>0</v>
      </c>
      <c r="AF185" s="545">
        <f ca="1">IF(AND($D185="Serviço",AF$12&lt;&gt;0,$H185&gt;0,OR(AUTOEVENTO&lt;&gt;"manual",$M185&lt;&gt;1)),
IF(Import.TipoArredondamento&lt;&gt;"TransfereGOV",
ROUND(OFFSET($P185,0,AF$13),15-13*ORÇAMENTO!$AF$7)/$H185*OFFSET(ORÇAMENTO!$X$15,ROW(AF185)-ROW(AF$15),0),
ROUND(ROUND(OFFSET($P185,0,AF$13),15-13*ORÇAMENTO!$AF$7)*OFFSET(ORÇAMENTO!$W$15,ROW(AF185)-ROW(AF$15),0),15-13*ORÇAMENTO!$AF$11)),0)</f>
        <v>0</v>
      </c>
      <c r="AG185" s="545">
        <f ca="1">IF(AND($D185="Serviço",AG$12&lt;&gt;0,$H185&gt;0,OR(AUTOEVENTO&lt;&gt;"manual",$M185&lt;&gt;1)),
IF(Import.TipoArredondamento&lt;&gt;"TransfereGOV",
ROUND(OFFSET($P185,0,AG$13),15-13*ORÇAMENTO!$AF$7)/$H185*OFFSET(ORÇAMENTO!$X$15,ROW(AG185)-ROW(AG$15),0),
ROUND(ROUND(OFFSET($P185,0,AG$13),15-13*ORÇAMENTO!$AF$7)*OFFSET(ORÇAMENTO!$W$15,ROW(AG185)-ROW(AG$15),0),15-13*ORÇAMENTO!$AF$11)),0)</f>
        <v>0</v>
      </c>
      <c r="AH185" s="545">
        <f ca="1">IF(AND($D185="Serviço",AH$12&lt;&gt;0,$H185&gt;0,OR(AUTOEVENTO&lt;&gt;"manual",$M185&lt;&gt;1)),
IF(Import.TipoArredondamento&lt;&gt;"TransfereGOV",
ROUND(OFFSET($P185,0,AH$13),15-13*ORÇAMENTO!$AF$7)/$H185*OFFSET(ORÇAMENTO!$X$15,ROW(AH185)-ROW(AH$15),0),
ROUND(ROUND(OFFSET($P185,0,AH$13),15-13*ORÇAMENTO!$AF$7)*OFFSET(ORÇAMENTO!$W$15,ROW(AH185)-ROW(AH$15),0),15-13*ORÇAMENTO!$AF$11)),0)</f>
        <v>0</v>
      </c>
      <c r="AI185" s="545">
        <f ca="1">IF(AND($D185="Serviço",AI$12&lt;&gt;0,$H185&gt;0,OR(AUTOEVENTO&lt;&gt;"manual",$M185&lt;&gt;1)),
IF(Import.TipoArredondamento&lt;&gt;"TransfereGOV",
ROUND(OFFSET($P185,0,AI$13),15-13*ORÇAMENTO!$AF$7)/$H185*OFFSET(ORÇAMENTO!$X$15,ROW(AI185)-ROW(AI$15),0),
ROUND(ROUND(OFFSET($P185,0,AI$13),15-13*ORÇAMENTO!$AF$7)*OFFSET(ORÇAMENTO!$W$15,ROW(AI185)-ROW(AI$15),0),15-13*ORÇAMENTO!$AF$11)),0)</f>
        <v>0</v>
      </c>
      <c r="AJ185" s="545">
        <f ca="1">IF(AND($D185="Serviço",AJ$12&lt;&gt;0,$H185&gt;0,OR(AUTOEVENTO&lt;&gt;"manual",$M185&lt;&gt;1)),
IF(Import.TipoArredondamento&lt;&gt;"TransfereGOV",
ROUND(OFFSET($P185,0,AJ$13),15-13*ORÇAMENTO!$AF$7)/$H185*OFFSET(ORÇAMENTO!$X$15,ROW(AJ185)-ROW(AJ$15),0),
ROUND(ROUND(OFFSET($P185,0,AJ$13),15-13*ORÇAMENTO!$AF$7)*OFFSET(ORÇAMENTO!$W$15,ROW(AJ185)-ROW(AJ$15),0),15-13*ORÇAMENTO!$AF$11)),0)</f>
        <v>0</v>
      </c>
      <c r="AK185" s="546">
        <f ca="1">IF(AND($D185="Serviço",AK$12&lt;&gt;0,$H185&gt;0,OR(AUTOEVENTO&lt;&gt;"manual",$M185&lt;&gt;1)),
IF(Import.TipoArredondamento&lt;&gt;"TransfereGOV",
ROUND(OFFSET($P185,0,AK$13),15-13*ORÇAMENTO!$AF$7)/$H185*OFFSET(ORÇAMENTO!$X$15,ROW(AK185)-ROW(AK$15),0),
ROUND(ROUND(OFFSET($P185,0,AK$13),15-13*ORÇAMENTO!$AF$7)*OFFSET(ORÇAMENTO!$W$15,ROW(AK185)-ROW(AK$15),0),15-13*ORÇAMENTO!$AF$11)),0)</f>
        <v>0</v>
      </c>
      <c r="AM185" s="181">
        <f ca="1">IF($D185&lt;&gt;"Serviço",0,IF(AND(AUTOEVENTO="Manual",$M185=1),0,IF(OFFSET(CRONOPLE!$F$14,$M185,AM$13)="",10^12,OFFSET(CRONOPLE!$F$14,$M185,AM$13))))</f>
        <v>1000000000000</v>
      </c>
      <c r="AN185" s="181">
        <f ca="1">IF($D185&lt;&gt;"Serviço",0,IF(AND(AUTOEVENTO="Manual",$M185=1),0,IF(OFFSET(CRONOPLE!$F$14,$M185,AN$13)="",10^12,OFFSET(CRONOPLE!$F$14,$M185,AN$13))))</f>
        <v>1000000000000</v>
      </c>
      <c r="AO185" s="181">
        <f ca="1">IF($D185&lt;&gt;"Serviço",0,IF(AND(AUTOEVENTO="Manual",$M185=1),0,IF(OFFSET(CRONOPLE!$F$14,$M185,AO$13)="",10^12,OFFSET(CRONOPLE!$F$14,$M185,AO$13))))</f>
        <v>1000000000000</v>
      </c>
      <c r="AP185" s="181">
        <f ca="1">IF($D185&lt;&gt;"Serviço",0,IF(AND(AUTOEVENTO="Manual",$M185=1),0,IF(OFFSET(CRONOPLE!$F$14,$M185,AP$13)="",10^12,OFFSET(CRONOPLE!$F$14,$M185,AP$13))))</f>
        <v>1000000000000</v>
      </c>
      <c r="AQ185" s="181">
        <f ca="1">IF($D185&lt;&gt;"Serviço",0,IF(AND(AUTOEVENTO="Manual",$M185=1),0,IF(OFFSET(CRONOPLE!$F$14,$M185,AQ$13)="",10^12,OFFSET(CRONOPLE!$F$14,$M185,AQ$13))))</f>
        <v>1000000000000</v>
      </c>
      <c r="AR185" s="181">
        <f ca="1">IF($D185&lt;&gt;"Serviço",0,IF(AND(AUTOEVENTO="Manual",$M185=1),0,IF(OFFSET(CRONOPLE!$F$14,$M185,AR$13)="",10^12,OFFSET(CRONOPLE!$F$14,$M185,AR$13))))</f>
        <v>1000000000000</v>
      </c>
      <c r="AS185" s="181">
        <f ca="1">IF($D185&lt;&gt;"Serviço",0,IF(AND(AUTOEVENTO="Manual",$M185=1),0,IF(OFFSET(CRONOPLE!$F$14,$M185,AS$13)="",10^12,OFFSET(CRONOPLE!$F$14,$M185,AS$13))))</f>
        <v>1000000000000</v>
      </c>
      <c r="AT185" s="181">
        <f ca="1">IF($D185&lt;&gt;"Serviço",0,IF(AND(AUTOEVENTO="Manual",$M185=1),0,IF(OFFSET(CRONOPLE!$F$14,$M185,AT$13)="",10^12,OFFSET(CRONOPLE!$F$14,$M185,AT$13))))</f>
        <v>1000000000000</v>
      </c>
      <c r="AU185" s="181">
        <f ca="1">IF($D185&lt;&gt;"Serviço",0,IF(AND(AUTOEVENTO="Manual",$M185=1),0,IF(OFFSET(CRONOPLE!$F$14,$M185,AU$13)="",10^12,OFFSET(CRONOPLE!$F$14,$M185,AU$13))))</f>
        <v>1000000000000</v>
      </c>
      <c r="AV185" s="181">
        <f ca="1">IF($D185&lt;&gt;"Serviço",0,IF(AND(AUTOEVENTO="Manual",$M185=1),0,IF(OFFSET(CRONOPLE!$F$14,$M185,AV$13)="",10^12,OFFSET(CRONOPLE!$F$14,$M185,AV$13))))</f>
        <v>1000000000000</v>
      </c>
      <c r="AX185" s="182">
        <f ca="1">IF($D185&lt;&gt;"Serviço",0,IF(OR(AND(AUTOEVENTO="Manual",$M185=1),$M185&gt;(ROW(PLE.lastrow)-ROW(PLE.firstrow))),0,IF(OFFSET(PLE!$G$14,$M185,AX$13)="",10^12,OFFSET(PLE!$G$14,$M185,AX$13))))</f>
        <v>1000000000000</v>
      </c>
      <c r="AY185" s="182">
        <f ca="1">IF($D185&lt;&gt;"Serviço",0,IF(OR(AND(AUTOEVENTO="Manual",$M185=1),$M185&gt;(ROW(PLE.lastrow)-ROW(PLE.firstrow))),0,IF(OFFSET(PLE!$G$14,$M185,AY$13)="",10^12,OFFSET(PLE!$G$14,$M185,AY$13))))</f>
        <v>1000000000000</v>
      </c>
      <c r="AZ185" s="182">
        <f ca="1">IF($D185&lt;&gt;"Serviço",0,IF(OR(AND(AUTOEVENTO="Manual",$M185=1),$M185&gt;(ROW(PLE.lastrow)-ROW(PLE.firstrow))),0,IF(OFFSET(PLE!$G$14,$M185,AZ$13)="",10^12,OFFSET(PLE!$G$14,$M185,AZ$13))))</f>
        <v>1000000000000</v>
      </c>
      <c r="BA185" s="182">
        <f ca="1">IF($D185&lt;&gt;"Serviço",0,IF(OR(AND(AUTOEVENTO="Manual",$M185=1),$M185&gt;(ROW(PLE.lastrow)-ROW(PLE.firstrow))),0,IF(OFFSET(PLE!$G$14,$M185,BA$13)="",10^12,OFFSET(PLE!$G$14,$M185,BA$13))))</f>
        <v>1000000000000</v>
      </c>
      <c r="BB185" s="182">
        <f ca="1">IF($D185&lt;&gt;"Serviço",0,IF(OR(AND(AUTOEVENTO="Manual",$M185=1),$M185&gt;(ROW(PLE.lastrow)-ROW(PLE.firstrow))),0,IF(OFFSET(PLE!$G$14,$M185,BB$13)="",10^12,OFFSET(PLE!$G$14,$M185,BB$13))))</f>
        <v>1000000000000</v>
      </c>
      <c r="BC185" s="182">
        <f ca="1">IF($D185&lt;&gt;"Serviço",0,IF(OR(AND(AUTOEVENTO="Manual",$M185=1),$M185&gt;(ROW(PLE.lastrow)-ROW(PLE.firstrow))),0,IF(OFFSET(PLE!$G$14,$M185,BC$13)="",10^12,OFFSET(PLE!$G$14,$M185,BC$13))))</f>
        <v>1000000000000</v>
      </c>
      <c r="BD185" s="182">
        <f ca="1">IF($D185&lt;&gt;"Serviço",0,IF(OR(AND(AUTOEVENTO="Manual",$M185=1),$M185&gt;(ROW(PLE.lastrow)-ROW(PLE.firstrow))),0,IF(OFFSET(PLE!$G$14,$M185,BD$13)="",10^12,OFFSET(PLE!$G$14,$M185,BD$13))))</f>
        <v>1000000000000</v>
      </c>
      <c r="BE185" s="182">
        <f ca="1">IF($D185&lt;&gt;"Serviço",0,IF(OR(AND(AUTOEVENTO="Manual",$M185=1),$M185&gt;(ROW(PLE.lastrow)-ROW(PLE.firstrow))),0,IF(OFFSET(PLE!$G$14,$M185,BE$13)="",10^12,OFFSET(PLE!$G$14,$M185,BE$13))))</f>
        <v>1000000000000</v>
      </c>
      <c r="BF185" s="182">
        <f ca="1">IF($D185&lt;&gt;"Serviço",0,IF(OR(AND(AUTOEVENTO="Manual",$M185=1),$M185&gt;(ROW(PLE.lastrow)-ROW(PLE.firstrow))),0,IF(OFFSET(PLE!$G$14,$M185,BF$13)="",10^12,OFFSET(PLE!$G$14,$M185,BF$13))))</f>
        <v>1000000000000</v>
      </c>
      <c r="BG185" s="182">
        <f ca="1">IF($D185&lt;&gt;"Serviço",0,IF(OR(AND(AUTOEVENTO="Manual",$M185=1),$M185&gt;(ROW(PLE.lastrow)-ROW(PLE.firstrow))),0,IF(OFFSET(PLE!$G$14,$M185,BG$13)="",10^12,OFFSET(PLE!$G$14,$M185,BG$13))))</f>
        <v>1000000000000</v>
      </c>
    </row>
    <row r="186" spans="1:59" ht="38.25" x14ac:dyDescent="0.2">
      <c r="A186" s="7" t="str">
        <f t="shared" ca="1" si="10"/>
        <v>71</v>
      </c>
      <c r="B186" s="7" t="str">
        <f ca="1">OFFSET(ORÇAMENTO!C$15,ROW(B186)-ROW(B$15),0)</f>
        <v>S</v>
      </c>
      <c r="C186" s="7" t="str">
        <f ca="1">OFFSET(ORÇAMENTO!L$15,ROW(C186)-ROW(C$15),0)</f>
        <v>F</v>
      </c>
      <c r="D186" s="118" t="str">
        <f ca="1">OFFSET(ORÇAMENTO!N$15,ROW(D186)-ROW(D$15),0)</f>
        <v>Serviço</v>
      </c>
      <c r="E186" s="119" t="str">
        <f ca="1">OFFSET(ORÇAMENTO!O$15,ROW(E186)-ROW(E$15),0)</f>
        <v>1.6.17.9.</v>
      </c>
      <c r="F186" s="172" t="str">
        <f ca="1">OFFSET(ORÇAMENTO!R$15,ROW(F186)-ROW(F$15),0)</f>
        <v>(abra o arquivo 'Referência 03-2024.xlsm)</v>
      </c>
      <c r="G186" s="173" t="str">
        <f ca="1">IF($D186&lt;&gt;"Serviço","",OFFSET(ORÇAMENTO!S$15,ROW(G186)-ROW(G$15),0))</f>
        <v>-</v>
      </c>
      <c r="H186" s="124">
        <f ca="1">IF($D186&lt;&gt;"Serviço",0,IF(ACOMPANHAMENTO="BM",ROUND(OFFSET(ORÇAMENTO!AJ$15,ROW(H186)-ROW(H$15),0),15-13*ORÇAMENTO!$AF$7),SUMPRODUCT(($Q$12:$AA$12&lt;&gt;"")*ROUND($Q186:$AA186,15-13*ORÇAMENTO!$AF$7))))</f>
        <v>4</v>
      </c>
      <c r="I186" s="561"/>
      <c r="K186" s="174"/>
      <c r="L186" s="175" t="s">
        <v>255</v>
      </c>
      <c r="M186" s="176">
        <f ca="1">IF($D186&lt;&gt;"Serviço","",IF(AUTOEVENTO="manual",$A186,IF(ISERROR(MATCH($A186,$A$15:OFFSET($A186,-1,0),0)),MAX($M$15:OFFSET(M186,-1,0))+1,INDEX($M$15:OFFSET(M186,-1,0),MATCH($A186,$A$15:OFFSET($A186,-1,0),0)))))</f>
        <v>7</v>
      </c>
      <c r="N186" s="177" t="str">
        <f ca="1">IF($D186&lt;&gt;"Serviço","",IF(AUTOEVENTO="Manual",IF($A186=0,"&lt;-- defina o número do agrupador",OFFSET(EVENTOS!$D$14,$A186,0)),OFFSET($F$15,$A186,0)))</f>
        <v>SANITÁRIO PÚBLICO ACESSÍVEL</v>
      </c>
      <c r="O186" s="178"/>
      <c r="Q186" s="178"/>
      <c r="R186" s="179"/>
      <c r="S186" s="179"/>
      <c r="T186" s="179"/>
      <c r="U186" s="179"/>
      <c r="V186" s="179"/>
      <c r="W186" s="179"/>
      <c r="X186" s="179"/>
      <c r="Y186" s="179"/>
      <c r="Z186" s="180"/>
      <c r="AB186" s="544">
        <f ca="1">IF(AND($D186="Serviço",AB$12&lt;&gt;0,$H186&gt;0,OR(AUTOEVENTO&lt;&gt;"manual",$M186&lt;&gt;1)),
IF(Import.TipoArredondamento&lt;&gt;"TransfereGOV",
ROUND(OFFSET($P186,0,AB$13),15-13*ORÇAMENTO!$AF$7)/$H186*OFFSET(ORÇAMENTO!$X$15,ROW(AB186)-ROW(AB$15),0),
ROUND(ROUND(OFFSET($P186,0,AB$13),15-13*ORÇAMENTO!$AF$7)*OFFSET(ORÇAMENTO!$W$15,ROW(AB186)-ROW(AB$15),0),15-13*ORÇAMENTO!$AF$11)),0)</f>
        <v>0</v>
      </c>
      <c r="AC186" s="545">
        <f ca="1">IF(AND($D186="Serviço",AC$12&lt;&gt;0,$H186&gt;0,OR(AUTOEVENTO&lt;&gt;"manual",$M186&lt;&gt;1)),
IF(Import.TipoArredondamento&lt;&gt;"TransfereGOV",
ROUND(OFFSET($P186,0,AC$13),15-13*ORÇAMENTO!$AF$7)/$H186*OFFSET(ORÇAMENTO!$X$15,ROW(AC186)-ROW(AC$15),0),
ROUND(ROUND(OFFSET($P186,0,AC$13),15-13*ORÇAMENTO!$AF$7)*OFFSET(ORÇAMENTO!$W$15,ROW(AC186)-ROW(AC$15),0),15-13*ORÇAMENTO!$AF$11)),0)</f>
        <v>0</v>
      </c>
      <c r="AD186" s="545">
        <f ca="1">IF(AND($D186="Serviço",AD$12&lt;&gt;0,$H186&gt;0,OR(AUTOEVENTO&lt;&gt;"manual",$M186&lt;&gt;1)),
IF(Import.TipoArredondamento&lt;&gt;"TransfereGOV",
ROUND(OFFSET($P186,0,AD$13),15-13*ORÇAMENTO!$AF$7)/$H186*OFFSET(ORÇAMENTO!$X$15,ROW(AD186)-ROW(AD$15),0),
ROUND(ROUND(OFFSET($P186,0,AD$13),15-13*ORÇAMENTO!$AF$7)*OFFSET(ORÇAMENTO!$W$15,ROW(AD186)-ROW(AD$15),0),15-13*ORÇAMENTO!$AF$11)),0)</f>
        <v>0</v>
      </c>
      <c r="AE186" s="545">
        <f ca="1">IF(AND($D186="Serviço",AE$12&lt;&gt;0,$H186&gt;0,OR(AUTOEVENTO&lt;&gt;"manual",$M186&lt;&gt;1)),
IF(Import.TipoArredondamento&lt;&gt;"TransfereGOV",
ROUND(OFFSET($P186,0,AE$13),15-13*ORÇAMENTO!$AF$7)/$H186*OFFSET(ORÇAMENTO!$X$15,ROW(AE186)-ROW(AE$15),0),
ROUND(ROUND(OFFSET($P186,0,AE$13),15-13*ORÇAMENTO!$AF$7)*OFFSET(ORÇAMENTO!$W$15,ROW(AE186)-ROW(AE$15),0),15-13*ORÇAMENTO!$AF$11)),0)</f>
        <v>0</v>
      </c>
      <c r="AF186" s="545">
        <f ca="1">IF(AND($D186="Serviço",AF$12&lt;&gt;0,$H186&gt;0,OR(AUTOEVENTO&lt;&gt;"manual",$M186&lt;&gt;1)),
IF(Import.TipoArredondamento&lt;&gt;"TransfereGOV",
ROUND(OFFSET($P186,0,AF$13),15-13*ORÇAMENTO!$AF$7)/$H186*OFFSET(ORÇAMENTO!$X$15,ROW(AF186)-ROW(AF$15),0),
ROUND(ROUND(OFFSET($P186,0,AF$13),15-13*ORÇAMENTO!$AF$7)*OFFSET(ORÇAMENTO!$W$15,ROW(AF186)-ROW(AF$15),0),15-13*ORÇAMENTO!$AF$11)),0)</f>
        <v>0</v>
      </c>
      <c r="AG186" s="545">
        <f ca="1">IF(AND($D186="Serviço",AG$12&lt;&gt;0,$H186&gt;0,OR(AUTOEVENTO&lt;&gt;"manual",$M186&lt;&gt;1)),
IF(Import.TipoArredondamento&lt;&gt;"TransfereGOV",
ROUND(OFFSET($P186,0,AG$13),15-13*ORÇAMENTO!$AF$7)/$H186*OFFSET(ORÇAMENTO!$X$15,ROW(AG186)-ROW(AG$15),0),
ROUND(ROUND(OFFSET($P186,0,AG$13),15-13*ORÇAMENTO!$AF$7)*OFFSET(ORÇAMENTO!$W$15,ROW(AG186)-ROW(AG$15),0),15-13*ORÇAMENTO!$AF$11)),0)</f>
        <v>0</v>
      </c>
      <c r="AH186" s="545">
        <f ca="1">IF(AND($D186="Serviço",AH$12&lt;&gt;0,$H186&gt;0,OR(AUTOEVENTO&lt;&gt;"manual",$M186&lt;&gt;1)),
IF(Import.TipoArredondamento&lt;&gt;"TransfereGOV",
ROUND(OFFSET($P186,0,AH$13),15-13*ORÇAMENTO!$AF$7)/$H186*OFFSET(ORÇAMENTO!$X$15,ROW(AH186)-ROW(AH$15),0),
ROUND(ROUND(OFFSET($P186,0,AH$13),15-13*ORÇAMENTO!$AF$7)*OFFSET(ORÇAMENTO!$W$15,ROW(AH186)-ROW(AH$15),0),15-13*ORÇAMENTO!$AF$11)),0)</f>
        <v>0</v>
      </c>
      <c r="AI186" s="545">
        <f ca="1">IF(AND($D186="Serviço",AI$12&lt;&gt;0,$H186&gt;0,OR(AUTOEVENTO&lt;&gt;"manual",$M186&lt;&gt;1)),
IF(Import.TipoArredondamento&lt;&gt;"TransfereGOV",
ROUND(OFFSET($P186,0,AI$13),15-13*ORÇAMENTO!$AF$7)/$H186*OFFSET(ORÇAMENTO!$X$15,ROW(AI186)-ROW(AI$15),0),
ROUND(ROUND(OFFSET($P186,0,AI$13),15-13*ORÇAMENTO!$AF$7)*OFFSET(ORÇAMENTO!$W$15,ROW(AI186)-ROW(AI$15),0),15-13*ORÇAMENTO!$AF$11)),0)</f>
        <v>0</v>
      </c>
      <c r="AJ186" s="545">
        <f ca="1">IF(AND($D186="Serviço",AJ$12&lt;&gt;0,$H186&gt;0,OR(AUTOEVENTO&lt;&gt;"manual",$M186&lt;&gt;1)),
IF(Import.TipoArredondamento&lt;&gt;"TransfereGOV",
ROUND(OFFSET($P186,0,AJ$13),15-13*ORÇAMENTO!$AF$7)/$H186*OFFSET(ORÇAMENTO!$X$15,ROW(AJ186)-ROW(AJ$15),0),
ROUND(ROUND(OFFSET($P186,0,AJ$13),15-13*ORÇAMENTO!$AF$7)*OFFSET(ORÇAMENTO!$W$15,ROW(AJ186)-ROW(AJ$15),0),15-13*ORÇAMENTO!$AF$11)),0)</f>
        <v>0</v>
      </c>
      <c r="AK186" s="546">
        <f ca="1">IF(AND($D186="Serviço",AK$12&lt;&gt;0,$H186&gt;0,OR(AUTOEVENTO&lt;&gt;"manual",$M186&lt;&gt;1)),
IF(Import.TipoArredondamento&lt;&gt;"TransfereGOV",
ROUND(OFFSET($P186,0,AK$13),15-13*ORÇAMENTO!$AF$7)/$H186*OFFSET(ORÇAMENTO!$X$15,ROW(AK186)-ROW(AK$15),0),
ROUND(ROUND(OFFSET($P186,0,AK$13),15-13*ORÇAMENTO!$AF$7)*OFFSET(ORÇAMENTO!$W$15,ROW(AK186)-ROW(AK$15),0),15-13*ORÇAMENTO!$AF$11)),0)</f>
        <v>0</v>
      </c>
      <c r="AM186" s="181">
        <f ca="1">IF($D186&lt;&gt;"Serviço",0,IF(AND(AUTOEVENTO="Manual",$M186=1),0,IF(OFFSET(CRONOPLE!$F$14,$M186,AM$13)="",10^12,OFFSET(CRONOPLE!$F$14,$M186,AM$13))))</f>
        <v>1000000000000</v>
      </c>
      <c r="AN186" s="181">
        <f ca="1">IF($D186&lt;&gt;"Serviço",0,IF(AND(AUTOEVENTO="Manual",$M186=1),0,IF(OFFSET(CRONOPLE!$F$14,$M186,AN$13)="",10^12,OFFSET(CRONOPLE!$F$14,$M186,AN$13))))</f>
        <v>1000000000000</v>
      </c>
      <c r="AO186" s="181">
        <f ca="1">IF($D186&lt;&gt;"Serviço",0,IF(AND(AUTOEVENTO="Manual",$M186=1),0,IF(OFFSET(CRONOPLE!$F$14,$M186,AO$13)="",10^12,OFFSET(CRONOPLE!$F$14,$M186,AO$13))))</f>
        <v>1000000000000</v>
      </c>
      <c r="AP186" s="181">
        <f ca="1">IF($D186&lt;&gt;"Serviço",0,IF(AND(AUTOEVENTO="Manual",$M186=1),0,IF(OFFSET(CRONOPLE!$F$14,$M186,AP$13)="",10^12,OFFSET(CRONOPLE!$F$14,$M186,AP$13))))</f>
        <v>1000000000000</v>
      </c>
      <c r="AQ186" s="181">
        <f ca="1">IF($D186&lt;&gt;"Serviço",0,IF(AND(AUTOEVENTO="Manual",$M186=1),0,IF(OFFSET(CRONOPLE!$F$14,$M186,AQ$13)="",10^12,OFFSET(CRONOPLE!$F$14,$M186,AQ$13))))</f>
        <v>1000000000000</v>
      </c>
      <c r="AR186" s="181">
        <f ca="1">IF($D186&lt;&gt;"Serviço",0,IF(AND(AUTOEVENTO="Manual",$M186=1),0,IF(OFFSET(CRONOPLE!$F$14,$M186,AR$13)="",10^12,OFFSET(CRONOPLE!$F$14,$M186,AR$13))))</f>
        <v>1000000000000</v>
      </c>
      <c r="AS186" s="181">
        <f ca="1">IF($D186&lt;&gt;"Serviço",0,IF(AND(AUTOEVENTO="Manual",$M186=1),0,IF(OFFSET(CRONOPLE!$F$14,$M186,AS$13)="",10^12,OFFSET(CRONOPLE!$F$14,$M186,AS$13))))</f>
        <v>1000000000000</v>
      </c>
      <c r="AT186" s="181">
        <f ca="1">IF($D186&lt;&gt;"Serviço",0,IF(AND(AUTOEVENTO="Manual",$M186=1),0,IF(OFFSET(CRONOPLE!$F$14,$M186,AT$13)="",10^12,OFFSET(CRONOPLE!$F$14,$M186,AT$13))))</f>
        <v>1000000000000</v>
      </c>
      <c r="AU186" s="181">
        <f ca="1">IF($D186&lt;&gt;"Serviço",0,IF(AND(AUTOEVENTO="Manual",$M186=1),0,IF(OFFSET(CRONOPLE!$F$14,$M186,AU$13)="",10^12,OFFSET(CRONOPLE!$F$14,$M186,AU$13))))</f>
        <v>1000000000000</v>
      </c>
      <c r="AV186" s="181">
        <f ca="1">IF($D186&lt;&gt;"Serviço",0,IF(AND(AUTOEVENTO="Manual",$M186=1),0,IF(OFFSET(CRONOPLE!$F$14,$M186,AV$13)="",10^12,OFFSET(CRONOPLE!$F$14,$M186,AV$13))))</f>
        <v>1000000000000</v>
      </c>
      <c r="AX186" s="182">
        <f ca="1">IF($D186&lt;&gt;"Serviço",0,IF(OR(AND(AUTOEVENTO="Manual",$M186=1),$M186&gt;(ROW(PLE.lastrow)-ROW(PLE.firstrow))),0,IF(OFFSET(PLE!$G$14,$M186,AX$13)="",10^12,OFFSET(PLE!$G$14,$M186,AX$13))))</f>
        <v>1000000000000</v>
      </c>
      <c r="AY186" s="182">
        <f ca="1">IF($D186&lt;&gt;"Serviço",0,IF(OR(AND(AUTOEVENTO="Manual",$M186=1),$M186&gt;(ROW(PLE.lastrow)-ROW(PLE.firstrow))),0,IF(OFFSET(PLE!$G$14,$M186,AY$13)="",10^12,OFFSET(PLE!$G$14,$M186,AY$13))))</f>
        <v>1000000000000</v>
      </c>
      <c r="AZ186" s="182">
        <f ca="1">IF($D186&lt;&gt;"Serviço",0,IF(OR(AND(AUTOEVENTO="Manual",$M186=1),$M186&gt;(ROW(PLE.lastrow)-ROW(PLE.firstrow))),0,IF(OFFSET(PLE!$G$14,$M186,AZ$13)="",10^12,OFFSET(PLE!$G$14,$M186,AZ$13))))</f>
        <v>1000000000000</v>
      </c>
      <c r="BA186" s="182">
        <f ca="1">IF($D186&lt;&gt;"Serviço",0,IF(OR(AND(AUTOEVENTO="Manual",$M186=1),$M186&gt;(ROW(PLE.lastrow)-ROW(PLE.firstrow))),0,IF(OFFSET(PLE!$G$14,$M186,BA$13)="",10^12,OFFSET(PLE!$G$14,$M186,BA$13))))</f>
        <v>1000000000000</v>
      </c>
      <c r="BB186" s="182">
        <f ca="1">IF($D186&lt;&gt;"Serviço",0,IF(OR(AND(AUTOEVENTO="Manual",$M186=1),$M186&gt;(ROW(PLE.lastrow)-ROW(PLE.firstrow))),0,IF(OFFSET(PLE!$G$14,$M186,BB$13)="",10^12,OFFSET(PLE!$G$14,$M186,BB$13))))</f>
        <v>1000000000000</v>
      </c>
      <c r="BC186" s="182">
        <f ca="1">IF($D186&lt;&gt;"Serviço",0,IF(OR(AND(AUTOEVENTO="Manual",$M186=1),$M186&gt;(ROW(PLE.lastrow)-ROW(PLE.firstrow))),0,IF(OFFSET(PLE!$G$14,$M186,BC$13)="",10^12,OFFSET(PLE!$G$14,$M186,BC$13))))</f>
        <v>1000000000000</v>
      </c>
      <c r="BD186" s="182">
        <f ca="1">IF($D186&lt;&gt;"Serviço",0,IF(OR(AND(AUTOEVENTO="Manual",$M186=1),$M186&gt;(ROW(PLE.lastrow)-ROW(PLE.firstrow))),0,IF(OFFSET(PLE!$G$14,$M186,BD$13)="",10^12,OFFSET(PLE!$G$14,$M186,BD$13))))</f>
        <v>1000000000000</v>
      </c>
      <c r="BE186" s="182">
        <f ca="1">IF($D186&lt;&gt;"Serviço",0,IF(OR(AND(AUTOEVENTO="Manual",$M186=1),$M186&gt;(ROW(PLE.lastrow)-ROW(PLE.firstrow))),0,IF(OFFSET(PLE!$G$14,$M186,BE$13)="",10^12,OFFSET(PLE!$G$14,$M186,BE$13))))</f>
        <v>1000000000000</v>
      </c>
      <c r="BF186" s="182">
        <f ca="1">IF($D186&lt;&gt;"Serviço",0,IF(OR(AND(AUTOEVENTO="Manual",$M186=1),$M186&gt;(ROW(PLE.lastrow)-ROW(PLE.firstrow))),0,IF(OFFSET(PLE!$G$14,$M186,BF$13)="",10^12,OFFSET(PLE!$G$14,$M186,BF$13))))</f>
        <v>1000000000000</v>
      </c>
      <c r="BG186" s="182">
        <f ca="1">IF($D186&lt;&gt;"Serviço",0,IF(OR(AND(AUTOEVENTO="Manual",$M186=1),$M186&gt;(ROW(PLE.lastrow)-ROW(PLE.firstrow))),0,IF(OFFSET(PLE!$G$14,$M186,BG$13)="",10^12,OFFSET(PLE!$G$14,$M186,BG$13))))</f>
        <v>1000000000000</v>
      </c>
    </row>
    <row r="187" spans="1:59" ht="25.5" x14ac:dyDescent="0.2">
      <c r="A187" s="7" t="str">
        <f t="shared" ca="1" si="10"/>
        <v>71</v>
      </c>
      <c r="B187" s="7" t="str">
        <f ca="1">OFFSET(ORÇAMENTO!C$15,ROW(B187)-ROW(B$15),0)</f>
        <v>S</v>
      </c>
      <c r="C187" s="7" t="str">
        <f ca="1">OFFSET(ORÇAMENTO!L$15,ROW(C187)-ROW(C$15),0)</f>
        <v>F</v>
      </c>
      <c r="D187" s="118" t="str">
        <f ca="1">OFFSET(ORÇAMENTO!N$15,ROW(D187)-ROW(D$15),0)</f>
        <v>Serviço</v>
      </c>
      <c r="E187" s="119" t="str">
        <f ca="1">OFFSET(ORÇAMENTO!O$15,ROW(E187)-ROW(E$15),0)</f>
        <v>1.6.17.10.</v>
      </c>
      <c r="F187" s="172" t="str">
        <f ca="1">OFFSET(ORÇAMENTO!R$15,ROW(F187)-ROW(F$15),0)</f>
        <v>(abra o arquivo 'Referência 03-2024.xlsm)</v>
      </c>
      <c r="G187" s="173" t="str">
        <f ca="1">IF($D187&lt;&gt;"Serviço","",OFFSET(ORÇAMENTO!S$15,ROW(G187)-ROW(G$15),0))</f>
        <v>-</v>
      </c>
      <c r="H187" s="124">
        <f ca="1">IF($D187&lt;&gt;"Serviço",0,IF(ACOMPANHAMENTO="BM",ROUND(OFFSET(ORÇAMENTO!AJ$15,ROW(H187)-ROW(H$15),0),15-13*ORÇAMENTO!$AF$7),SUMPRODUCT(($Q$12:$AA$12&lt;&gt;"")*ROUND($Q187:$AA187,15-13*ORÇAMENTO!$AF$7))))</f>
        <v>1</v>
      </c>
      <c r="I187" s="561"/>
      <c r="K187" s="174"/>
      <c r="L187" s="175" t="s">
        <v>255</v>
      </c>
      <c r="M187" s="176">
        <f ca="1">IF($D187&lt;&gt;"Serviço","",IF(AUTOEVENTO="manual",$A187,IF(ISERROR(MATCH($A187,$A$15:OFFSET($A187,-1,0),0)),MAX($M$15:OFFSET(M187,-1,0))+1,INDEX($M$15:OFFSET(M187,-1,0),MATCH($A187,$A$15:OFFSET($A187,-1,0),0)))))</f>
        <v>7</v>
      </c>
      <c r="N187" s="177" t="str">
        <f ca="1">IF($D187&lt;&gt;"Serviço","",IF(AUTOEVENTO="Manual",IF($A187=0,"&lt;-- defina o número do agrupador",OFFSET(EVENTOS!$D$14,$A187,0)),OFFSET($F$15,$A187,0)))</f>
        <v>SANITÁRIO PÚBLICO ACESSÍVEL</v>
      </c>
      <c r="O187" s="178"/>
      <c r="Q187" s="178"/>
      <c r="R187" s="179"/>
      <c r="S187" s="179"/>
      <c r="T187" s="179"/>
      <c r="U187" s="179"/>
      <c r="V187" s="179"/>
      <c r="W187" s="179"/>
      <c r="X187" s="179"/>
      <c r="Y187" s="179"/>
      <c r="Z187" s="180"/>
      <c r="AB187" s="544">
        <f ca="1">IF(AND($D187="Serviço",AB$12&lt;&gt;0,$H187&gt;0,OR(AUTOEVENTO&lt;&gt;"manual",$M187&lt;&gt;1)),
IF(Import.TipoArredondamento&lt;&gt;"TransfereGOV",
ROUND(OFFSET($P187,0,AB$13),15-13*ORÇAMENTO!$AF$7)/$H187*OFFSET(ORÇAMENTO!$X$15,ROW(AB187)-ROW(AB$15),0),
ROUND(ROUND(OFFSET($P187,0,AB$13),15-13*ORÇAMENTO!$AF$7)*OFFSET(ORÇAMENTO!$W$15,ROW(AB187)-ROW(AB$15),0),15-13*ORÇAMENTO!$AF$11)),0)</f>
        <v>0</v>
      </c>
      <c r="AC187" s="545">
        <f ca="1">IF(AND($D187="Serviço",AC$12&lt;&gt;0,$H187&gt;0,OR(AUTOEVENTO&lt;&gt;"manual",$M187&lt;&gt;1)),
IF(Import.TipoArredondamento&lt;&gt;"TransfereGOV",
ROUND(OFFSET($P187,0,AC$13),15-13*ORÇAMENTO!$AF$7)/$H187*OFFSET(ORÇAMENTO!$X$15,ROW(AC187)-ROW(AC$15),0),
ROUND(ROUND(OFFSET($P187,0,AC$13),15-13*ORÇAMENTO!$AF$7)*OFFSET(ORÇAMENTO!$W$15,ROW(AC187)-ROW(AC$15),0),15-13*ORÇAMENTO!$AF$11)),0)</f>
        <v>0</v>
      </c>
      <c r="AD187" s="545">
        <f ca="1">IF(AND($D187="Serviço",AD$12&lt;&gt;0,$H187&gt;0,OR(AUTOEVENTO&lt;&gt;"manual",$M187&lt;&gt;1)),
IF(Import.TipoArredondamento&lt;&gt;"TransfereGOV",
ROUND(OFFSET($P187,0,AD$13),15-13*ORÇAMENTO!$AF$7)/$H187*OFFSET(ORÇAMENTO!$X$15,ROW(AD187)-ROW(AD$15),0),
ROUND(ROUND(OFFSET($P187,0,AD$13),15-13*ORÇAMENTO!$AF$7)*OFFSET(ORÇAMENTO!$W$15,ROW(AD187)-ROW(AD$15),0),15-13*ORÇAMENTO!$AF$11)),0)</f>
        <v>0</v>
      </c>
      <c r="AE187" s="545">
        <f ca="1">IF(AND($D187="Serviço",AE$12&lt;&gt;0,$H187&gt;0,OR(AUTOEVENTO&lt;&gt;"manual",$M187&lt;&gt;1)),
IF(Import.TipoArredondamento&lt;&gt;"TransfereGOV",
ROUND(OFFSET($P187,0,AE$13),15-13*ORÇAMENTO!$AF$7)/$H187*OFFSET(ORÇAMENTO!$X$15,ROW(AE187)-ROW(AE$15),0),
ROUND(ROUND(OFFSET($P187,0,AE$13),15-13*ORÇAMENTO!$AF$7)*OFFSET(ORÇAMENTO!$W$15,ROW(AE187)-ROW(AE$15),0),15-13*ORÇAMENTO!$AF$11)),0)</f>
        <v>0</v>
      </c>
      <c r="AF187" s="545">
        <f ca="1">IF(AND($D187="Serviço",AF$12&lt;&gt;0,$H187&gt;0,OR(AUTOEVENTO&lt;&gt;"manual",$M187&lt;&gt;1)),
IF(Import.TipoArredondamento&lt;&gt;"TransfereGOV",
ROUND(OFFSET($P187,0,AF$13),15-13*ORÇAMENTO!$AF$7)/$H187*OFFSET(ORÇAMENTO!$X$15,ROW(AF187)-ROW(AF$15),0),
ROUND(ROUND(OFFSET($P187,0,AF$13),15-13*ORÇAMENTO!$AF$7)*OFFSET(ORÇAMENTO!$W$15,ROW(AF187)-ROW(AF$15),0),15-13*ORÇAMENTO!$AF$11)),0)</f>
        <v>0</v>
      </c>
      <c r="AG187" s="545">
        <f ca="1">IF(AND($D187="Serviço",AG$12&lt;&gt;0,$H187&gt;0,OR(AUTOEVENTO&lt;&gt;"manual",$M187&lt;&gt;1)),
IF(Import.TipoArredondamento&lt;&gt;"TransfereGOV",
ROUND(OFFSET($P187,0,AG$13),15-13*ORÇAMENTO!$AF$7)/$H187*OFFSET(ORÇAMENTO!$X$15,ROW(AG187)-ROW(AG$15),0),
ROUND(ROUND(OFFSET($P187,0,AG$13),15-13*ORÇAMENTO!$AF$7)*OFFSET(ORÇAMENTO!$W$15,ROW(AG187)-ROW(AG$15),0),15-13*ORÇAMENTO!$AF$11)),0)</f>
        <v>0</v>
      </c>
      <c r="AH187" s="545">
        <f ca="1">IF(AND($D187="Serviço",AH$12&lt;&gt;0,$H187&gt;0,OR(AUTOEVENTO&lt;&gt;"manual",$M187&lt;&gt;1)),
IF(Import.TipoArredondamento&lt;&gt;"TransfereGOV",
ROUND(OFFSET($P187,0,AH$13),15-13*ORÇAMENTO!$AF$7)/$H187*OFFSET(ORÇAMENTO!$X$15,ROW(AH187)-ROW(AH$15),0),
ROUND(ROUND(OFFSET($P187,0,AH$13),15-13*ORÇAMENTO!$AF$7)*OFFSET(ORÇAMENTO!$W$15,ROW(AH187)-ROW(AH$15),0),15-13*ORÇAMENTO!$AF$11)),0)</f>
        <v>0</v>
      </c>
      <c r="AI187" s="545">
        <f ca="1">IF(AND($D187="Serviço",AI$12&lt;&gt;0,$H187&gt;0,OR(AUTOEVENTO&lt;&gt;"manual",$M187&lt;&gt;1)),
IF(Import.TipoArredondamento&lt;&gt;"TransfereGOV",
ROUND(OFFSET($P187,0,AI$13),15-13*ORÇAMENTO!$AF$7)/$H187*OFFSET(ORÇAMENTO!$X$15,ROW(AI187)-ROW(AI$15),0),
ROUND(ROUND(OFFSET($P187,0,AI$13),15-13*ORÇAMENTO!$AF$7)*OFFSET(ORÇAMENTO!$W$15,ROW(AI187)-ROW(AI$15),0),15-13*ORÇAMENTO!$AF$11)),0)</f>
        <v>0</v>
      </c>
      <c r="AJ187" s="545">
        <f ca="1">IF(AND($D187="Serviço",AJ$12&lt;&gt;0,$H187&gt;0,OR(AUTOEVENTO&lt;&gt;"manual",$M187&lt;&gt;1)),
IF(Import.TipoArredondamento&lt;&gt;"TransfereGOV",
ROUND(OFFSET($P187,0,AJ$13),15-13*ORÇAMENTO!$AF$7)/$H187*OFFSET(ORÇAMENTO!$X$15,ROW(AJ187)-ROW(AJ$15),0),
ROUND(ROUND(OFFSET($P187,0,AJ$13),15-13*ORÇAMENTO!$AF$7)*OFFSET(ORÇAMENTO!$W$15,ROW(AJ187)-ROW(AJ$15),0),15-13*ORÇAMENTO!$AF$11)),0)</f>
        <v>0</v>
      </c>
      <c r="AK187" s="546">
        <f ca="1">IF(AND($D187="Serviço",AK$12&lt;&gt;0,$H187&gt;0,OR(AUTOEVENTO&lt;&gt;"manual",$M187&lt;&gt;1)),
IF(Import.TipoArredondamento&lt;&gt;"TransfereGOV",
ROUND(OFFSET($P187,0,AK$13),15-13*ORÇAMENTO!$AF$7)/$H187*OFFSET(ORÇAMENTO!$X$15,ROW(AK187)-ROW(AK$15),0),
ROUND(ROUND(OFFSET($P187,0,AK$13),15-13*ORÇAMENTO!$AF$7)*OFFSET(ORÇAMENTO!$W$15,ROW(AK187)-ROW(AK$15),0),15-13*ORÇAMENTO!$AF$11)),0)</f>
        <v>0</v>
      </c>
      <c r="AM187" s="181">
        <f ca="1">IF($D187&lt;&gt;"Serviço",0,IF(AND(AUTOEVENTO="Manual",$M187=1),0,IF(OFFSET(CRONOPLE!$F$14,$M187,AM$13)="",10^12,OFFSET(CRONOPLE!$F$14,$M187,AM$13))))</f>
        <v>1000000000000</v>
      </c>
      <c r="AN187" s="181">
        <f ca="1">IF($D187&lt;&gt;"Serviço",0,IF(AND(AUTOEVENTO="Manual",$M187=1),0,IF(OFFSET(CRONOPLE!$F$14,$M187,AN$13)="",10^12,OFFSET(CRONOPLE!$F$14,$M187,AN$13))))</f>
        <v>1000000000000</v>
      </c>
      <c r="AO187" s="181">
        <f ca="1">IF($D187&lt;&gt;"Serviço",0,IF(AND(AUTOEVENTO="Manual",$M187=1),0,IF(OFFSET(CRONOPLE!$F$14,$M187,AO$13)="",10^12,OFFSET(CRONOPLE!$F$14,$M187,AO$13))))</f>
        <v>1000000000000</v>
      </c>
      <c r="AP187" s="181">
        <f ca="1">IF($D187&lt;&gt;"Serviço",0,IF(AND(AUTOEVENTO="Manual",$M187=1),0,IF(OFFSET(CRONOPLE!$F$14,$M187,AP$13)="",10^12,OFFSET(CRONOPLE!$F$14,$M187,AP$13))))</f>
        <v>1000000000000</v>
      </c>
      <c r="AQ187" s="181">
        <f ca="1">IF($D187&lt;&gt;"Serviço",0,IF(AND(AUTOEVENTO="Manual",$M187=1),0,IF(OFFSET(CRONOPLE!$F$14,$M187,AQ$13)="",10^12,OFFSET(CRONOPLE!$F$14,$M187,AQ$13))))</f>
        <v>1000000000000</v>
      </c>
      <c r="AR187" s="181">
        <f ca="1">IF($D187&lt;&gt;"Serviço",0,IF(AND(AUTOEVENTO="Manual",$M187=1),0,IF(OFFSET(CRONOPLE!$F$14,$M187,AR$13)="",10^12,OFFSET(CRONOPLE!$F$14,$M187,AR$13))))</f>
        <v>1000000000000</v>
      </c>
      <c r="AS187" s="181">
        <f ca="1">IF($D187&lt;&gt;"Serviço",0,IF(AND(AUTOEVENTO="Manual",$M187=1),0,IF(OFFSET(CRONOPLE!$F$14,$M187,AS$13)="",10^12,OFFSET(CRONOPLE!$F$14,$M187,AS$13))))</f>
        <v>1000000000000</v>
      </c>
      <c r="AT187" s="181">
        <f ca="1">IF($D187&lt;&gt;"Serviço",0,IF(AND(AUTOEVENTO="Manual",$M187=1),0,IF(OFFSET(CRONOPLE!$F$14,$M187,AT$13)="",10^12,OFFSET(CRONOPLE!$F$14,$M187,AT$13))))</f>
        <v>1000000000000</v>
      </c>
      <c r="AU187" s="181">
        <f ca="1">IF($D187&lt;&gt;"Serviço",0,IF(AND(AUTOEVENTO="Manual",$M187=1),0,IF(OFFSET(CRONOPLE!$F$14,$M187,AU$13)="",10^12,OFFSET(CRONOPLE!$F$14,$M187,AU$13))))</f>
        <v>1000000000000</v>
      </c>
      <c r="AV187" s="181">
        <f ca="1">IF($D187&lt;&gt;"Serviço",0,IF(AND(AUTOEVENTO="Manual",$M187=1),0,IF(OFFSET(CRONOPLE!$F$14,$M187,AV$13)="",10^12,OFFSET(CRONOPLE!$F$14,$M187,AV$13))))</f>
        <v>1000000000000</v>
      </c>
      <c r="AX187" s="182">
        <f ca="1">IF($D187&lt;&gt;"Serviço",0,IF(OR(AND(AUTOEVENTO="Manual",$M187=1),$M187&gt;(ROW(PLE.lastrow)-ROW(PLE.firstrow))),0,IF(OFFSET(PLE!$G$14,$M187,AX$13)="",10^12,OFFSET(PLE!$G$14,$M187,AX$13))))</f>
        <v>1000000000000</v>
      </c>
      <c r="AY187" s="182">
        <f ca="1">IF($D187&lt;&gt;"Serviço",0,IF(OR(AND(AUTOEVENTO="Manual",$M187=1),$M187&gt;(ROW(PLE.lastrow)-ROW(PLE.firstrow))),0,IF(OFFSET(PLE!$G$14,$M187,AY$13)="",10^12,OFFSET(PLE!$G$14,$M187,AY$13))))</f>
        <v>1000000000000</v>
      </c>
      <c r="AZ187" s="182">
        <f ca="1">IF($D187&lt;&gt;"Serviço",0,IF(OR(AND(AUTOEVENTO="Manual",$M187=1),$M187&gt;(ROW(PLE.lastrow)-ROW(PLE.firstrow))),0,IF(OFFSET(PLE!$G$14,$M187,AZ$13)="",10^12,OFFSET(PLE!$G$14,$M187,AZ$13))))</f>
        <v>1000000000000</v>
      </c>
      <c r="BA187" s="182">
        <f ca="1">IF($D187&lt;&gt;"Serviço",0,IF(OR(AND(AUTOEVENTO="Manual",$M187=1),$M187&gt;(ROW(PLE.lastrow)-ROW(PLE.firstrow))),0,IF(OFFSET(PLE!$G$14,$M187,BA$13)="",10^12,OFFSET(PLE!$G$14,$M187,BA$13))))</f>
        <v>1000000000000</v>
      </c>
      <c r="BB187" s="182">
        <f ca="1">IF($D187&lt;&gt;"Serviço",0,IF(OR(AND(AUTOEVENTO="Manual",$M187=1),$M187&gt;(ROW(PLE.lastrow)-ROW(PLE.firstrow))),0,IF(OFFSET(PLE!$G$14,$M187,BB$13)="",10^12,OFFSET(PLE!$G$14,$M187,BB$13))))</f>
        <v>1000000000000</v>
      </c>
      <c r="BC187" s="182">
        <f ca="1">IF($D187&lt;&gt;"Serviço",0,IF(OR(AND(AUTOEVENTO="Manual",$M187=1),$M187&gt;(ROW(PLE.lastrow)-ROW(PLE.firstrow))),0,IF(OFFSET(PLE!$G$14,$M187,BC$13)="",10^12,OFFSET(PLE!$G$14,$M187,BC$13))))</f>
        <v>1000000000000</v>
      </c>
      <c r="BD187" s="182">
        <f ca="1">IF($D187&lt;&gt;"Serviço",0,IF(OR(AND(AUTOEVENTO="Manual",$M187=1),$M187&gt;(ROW(PLE.lastrow)-ROW(PLE.firstrow))),0,IF(OFFSET(PLE!$G$14,$M187,BD$13)="",10^12,OFFSET(PLE!$G$14,$M187,BD$13))))</f>
        <v>1000000000000</v>
      </c>
      <c r="BE187" s="182">
        <f ca="1">IF($D187&lt;&gt;"Serviço",0,IF(OR(AND(AUTOEVENTO="Manual",$M187=1),$M187&gt;(ROW(PLE.lastrow)-ROW(PLE.firstrow))),0,IF(OFFSET(PLE!$G$14,$M187,BE$13)="",10^12,OFFSET(PLE!$G$14,$M187,BE$13))))</f>
        <v>1000000000000</v>
      </c>
      <c r="BF187" s="182">
        <f ca="1">IF($D187&lt;&gt;"Serviço",0,IF(OR(AND(AUTOEVENTO="Manual",$M187=1),$M187&gt;(ROW(PLE.lastrow)-ROW(PLE.firstrow))),0,IF(OFFSET(PLE!$G$14,$M187,BF$13)="",10^12,OFFSET(PLE!$G$14,$M187,BF$13))))</f>
        <v>1000000000000</v>
      </c>
      <c r="BG187" s="182">
        <f ca="1">IF($D187&lt;&gt;"Serviço",0,IF(OR(AND(AUTOEVENTO="Manual",$M187=1),$M187&gt;(ROW(PLE.lastrow)-ROW(PLE.firstrow))),0,IF(OFFSET(PLE!$G$14,$M187,BG$13)="",10^12,OFFSET(PLE!$G$14,$M187,BG$13))))</f>
        <v>1000000000000</v>
      </c>
    </row>
    <row r="188" spans="1:59" ht="12.75" x14ac:dyDescent="0.2">
      <c r="A188" s="7" t="str">
        <f t="shared" ca="1" si="10"/>
        <v>71</v>
      </c>
      <c r="B188" s="7">
        <f ca="1">OFFSET(ORÇAMENTO!C$15,ROW(B188)-ROW(B$15),0)</f>
        <v>3</v>
      </c>
      <c r="C188" s="7" t="str">
        <f ca="1">OFFSET(ORÇAMENTO!L$15,ROW(C188)-ROW(C$15),0)</f>
        <v>F</v>
      </c>
      <c r="D188" s="118" t="str">
        <f ca="1">OFFSET(ORÇAMENTO!N$15,ROW(D188)-ROW(D$15),0)</f>
        <v>Nível 3</v>
      </c>
      <c r="E188" s="119" t="str">
        <f ca="1">OFFSET(ORÇAMENTO!O$15,ROW(E188)-ROW(E$15),0)</f>
        <v>1.6.18.</v>
      </c>
      <c r="F188" s="172" t="str">
        <f ca="1">OFFSET(ORÇAMENTO!R$15,ROW(F188)-ROW(F$15),0)</f>
        <v>INSTALAÇÕES DE MONITORAMENTO</v>
      </c>
      <c r="G188" s="173" t="str">
        <f ca="1">IF($D188&lt;&gt;"Serviço","",OFFSET(ORÇAMENTO!S$15,ROW(G188)-ROW(G$15),0))</f>
        <v/>
      </c>
      <c r="H188" s="124">
        <f ca="1">IF($D188&lt;&gt;"Serviço",0,IF(ACOMPANHAMENTO="BM",ROUND(OFFSET(ORÇAMENTO!AJ$15,ROW(H188)-ROW(H$15),0),15-13*ORÇAMENTO!$AF$7),SUMPRODUCT(($Q$12:$AA$12&lt;&gt;"")*ROUND($Q188:$AA188,15-13*ORÇAMENTO!$AF$7))))</f>
        <v>0</v>
      </c>
      <c r="I188" s="561"/>
      <c r="K188" s="174"/>
      <c r="L188" s="175" t="s">
        <v>255</v>
      </c>
      <c r="M188" s="176" t="str">
        <f ca="1">IF($D188&lt;&gt;"Serviço","",IF(AUTOEVENTO="manual",$A188,IF(ISERROR(MATCH($A188,$A$15:OFFSET($A188,-1,0),0)),MAX($M$15:OFFSET(M188,-1,0))+1,INDEX($M$15:OFFSET(M188,-1,0),MATCH($A188,$A$15:OFFSET($A188,-1,0),0)))))</f>
        <v/>
      </c>
      <c r="N188" s="177" t="str">
        <f ca="1">IF($D188&lt;&gt;"Serviço","",IF(AUTOEVENTO="Manual",IF($A188=0,"&lt;-- defina o número do agrupador",OFFSET(EVENTOS!$D$14,$A188,0)),OFFSET($F$15,$A188,0)))</f>
        <v/>
      </c>
      <c r="O188" s="178"/>
      <c r="Q188" s="178"/>
      <c r="R188" s="179"/>
      <c r="S188" s="179"/>
      <c r="T188" s="179"/>
      <c r="U188" s="179"/>
      <c r="V188" s="179"/>
      <c r="W188" s="179"/>
      <c r="X188" s="179"/>
      <c r="Y188" s="179"/>
      <c r="Z188" s="180"/>
      <c r="AB188" s="544">
        <f ca="1">IF(AND($D188="Serviço",AB$12&lt;&gt;0,$H188&gt;0,OR(AUTOEVENTO&lt;&gt;"manual",$M188&lt;&gt;1)),
IF(Import.TipoArredondamento&lt;&gt;"TransfereGOV",
ROUND(OFFSET($P188,0,AB$13),15-13*ORÇAMENTO!$AF$7)/$H188*OFFSET(ORÇAMENTO!$X$15,ROW(AB188)-ROW(AB$15),0),
ROUND(ROUND(OFFSET($P188,0,AB$13),15-13*ORÇAMENTO!$AF$7)*OFFSET(ORÇAMENTO!$W$15,ROW(AB188)-ROW(AB$15),0),15-13*ORÇAMENTO!$AF$11)),0)</f>
        <v>0</v>
      </c>
      <c r="AC188" s="545">
        <f ca="1">IF(AND($D188="Serviço",AC$12&lt;&gt;0,$H188&gt;0,OR(AUTOEVENTO&lt;&gt;"manual",$M188&lt;&gt;1)),
IF(Import.TipoArredondamento&lt;&gt;"TransfereGOV",
ROUND(OFFSET($P188,0,AC$13),15-13*ORÇAMENTO!$AF$7)/$H188*OFFSET(ORÇAMENTO!$X$15,ROW(AC188)-ROW(AC$15),0),
ROUND(ROUND(OFFSET($P188,0,AC$13),15-13*ORÇAMENTO!$AF$7)*OFFSET(ORÇAMENTO!$W$15,ROW(AC188)-ROW(AC$15),0),15-13*ORÇAMENTO!$AF$11)),0)</f>
        <v>0</v>
      </c>
      <c r="AD188" s="545">
        <f ca="1">IF(AND($D188="Serviço",AD$12&lt;&gt;0,$H188&gt;0,OR(AUTOEVENTO&lt;&gt;"manual",$M188&lt;&gt;1)),
IF(Import.TipoArredondamento&lt;&gt;"TransfereGOV",
ROUND(OFFSET($P188,0,AD$13),15-13*ORÇAMENTO!$AF$7)/$H188*OFFSET(ORÇAMENTO!$X$15,ROW(AD188)-ROW(AD$15),0),
ROUND(ROUND(OFFSET($P188,0,AD$13),15-13*ORÇAMENTO!$AF$7)*OFFSET(ORÇAMENTO!$W$15,ROW(AD188)-ROW(AD$15),0),15-13*ORÇAMENTO!$AF$11)),0)</f>
        <v>0</v>
      </c>
      <c r="AE188" s="545">
        <f ca="1">IF(AND($D188="Serviço",AE$12&lt;&gt;0,$H188&gt;0,OR(AUTOEVENTO&lt;&gt;"manual",$M188&lt;&gt;1)),
IF(Import.TipoArredondamento&lt;&gt;"TransfereGOV",
ROUND(OFFSET($P188,0,AE$13),15-13*ORÇAMENTO!$AF$7)/$H188*OFFSET(ORÇAMENTO!$X$15,ROW(AE188)-ROW(AE$15),0),
ROUND(ROUND(OFFSET($P188,0,AE$13),15-13*ORÇAMENTO!$AF$7)*OFFSET(ORÇAMENTO!$W$15,ROW(AE188)-ROW(AE$15),0),15-13*ORÇAMENTO!$AF$11)),0)</f>
        <v>0</v>
      </c>
      <c r="AF188" s="545">
        <f ca="1">IF(AND($D188="Serviço",AF$12&lt;&gt;0,$H188&gt;0,OR(AUTOEVENTO&lt;&gt;"manual",$M188&lt;&gt;1)),
IF(Import.TipoArredondamento&lt;&gt;"TransfereGOV",
ROUND(OFFSET($P188,0,AF$13),15-13*ORÇAMENTO!$AF$7)/$H188*OFFSET(ORÇAMENTO!$X$15,ROW(AF188)-ROW(AF$15),0),
ROUND(ROUND(OFFSET($P188,0,AF$13),15-13*ORÇAMENTO!$AF$7)*OFFSET(ORÇAMENTO!$W$15,ROW(AF188)-ROW(AF$15),0),15-13*ORÇAMENTO!$AF$11)),0)</f>
        <v>0</v>
      </c>
      <c r="AG188" s="545">
        <f ca="1">IF(AND($D188="Serviço",AG$12&lt;&gt;0,$H188&gt;0,OR(AUTOEVENTO&lt;&gt;"manual",$M188&lt;&gt;1)),
IF(Import.TipoArredondamento&lt;&gt;"TransfereGOV",
ROUND(OFFSET($P188,0,AG$13),15-13*ORÇAMENTO!$AF$7)/$H188*OFFSET(ORÇAMENTO!$X$15,ROW(AG188)-ROW(AG$15),0),
ROUND(ROUND(OFFSET($P188,0,AG$13),15-13*ORÇAMENTO!$AF$7)*OFFSET(ORÇAMENTO!$W$15,ROW(AG188)-ROW(AG$15),0),15-13*ORÇAMENTO!$AF$11)),0)</f>
        <v>0</v>
      </c>
      <c r="AH188" s="545">
        <f ca="1">IF(AND($D188="Serviço",AH$12&lt;&gt;0,$H188&gt;0,OR(AUTOEVENTO&lt;&gt;"manual",$M188&lt;&gt;1)),
IF(Import.TipoArredondamento&lt;&gt;"TransfereGOV",
ROUND(OFFSET($P188,0,AH$13),15-13*ORÇAMENTO!$AF$7)/$H188*OFFSET(ORÇAMENTO!$X$15,ROW(AH188)-ROW(AH$15),0),
ROUND(ROUND(OFFSET($P188,0,AH$13),15-13*ORÇAMENTO!$AF$7)*OFFSET(ORÇAMENTO!$W$15,ROW(AH188)-ROW(AH$15),0),15-13*ORÇAMENTO!$AF$11)),0)</f>
        <v>0</v>
      </c>
      <c r="AI188" s="545">
        <f ca="1">IF(AND($D188="Serviço",AI$12&lt;&gt;0,$H188&gt;0,OR(AUTOEVENTO&lt;&gt;"manual",$M188&lt;&gt;1)),
IF(Import.TipoArredondamento&lt;&gt;"TransfereGOV",
ROUND(OFFSET($P188,0,AI$13),15-13*ORÇAMENTO!$AF$7)/$H188*OFFSET(ORÇAMENTO!$X$15,ROW(AI188)-ROW(AI$15),0),
ROUND(ROUND(OFFSET($P188,0,AI$13),15-13*ORÇAMENTO!$AF$7)*OFFSET(ORÇAMENTO!$W$15,ROW(AI188)-ROW(AI$15),0),15-13*ORÇAMENTO!$AF$11)),0)</f>
        <v>0</v>
      </c>
      <c r="AJ188" s="545">
        <f ca="1">IF(AND($D188="Serviço",AJ$12&lt;&gt;0,$H188&gt;0,OR(AUTOEVENTO&lt;&gt;"manual",$M188&lt;&gt;1)),
IF(Import.TipoArredondamento&lt;&gt;"TransfereGOV",
ROUND(OFFSET($P188,0,AJ$13),15-13*ORÇAMENTO!$AF$7)/$H188*OFFSET(ORÇAMENTO!$X$15,ROW(AJ188)-ROW(AJ$15),0),
ROUND(ROUND(OFFSET($P188,0,AJ$13),15-13*ORÇAMENTO!$AF$7)*OFFSET(ORÇAMENTO!$W$15,ROW(AJ188)-ROW(AJ$15),0),15-13*ORÇAMENTO!$AF$11)),0)</f>
        <v>0</v>
      </c>
      <c r="AK188" s="546">
        <f ca="1">IF(AND($D188="Serviço",AK$12&lt;&gt;0,$H188&gt;0,OR(AUTOEVENTO&lt;&gt;"manual",$M188&lt;&gt;1)),
IF(Import.TipoArredondamento&lt;&gt;"TransfereGOV",
ROUND(OFFSET($P188,0,AK$13),15-13*ORÇAMENTO!$AF$7)/$H188*OFFSET(ORÇAMENTO!$X$15,ROW(AK188)-ROW(AK$15),0),
ROUND(ROUND(OFFSET($P188,0,AK$13),15-13*ORÇAMENTO!$AF$7)*OFFSET(ORÇAMENTO!$W$15,ROW(AK188)-ROW(AK$15),0),15-13*ORÇAMENTO!$AF$11)),0)</f>
        <v>0</v>
      </c>
      <c r="AM188" s="181">
        <f ca="1">IF($D188&lt;&gt;"Serviço",0,IF(AND(AUTOEVENTO="Manual",$M188=1),0,IF(OFFSET(CRONOPLE!$F$14,$M188,AM$13)="",10^12,OFFSET(CRONOPLE!$F$14,$M188,AM$13))))</f>
        <v>0</v>
      </c>
      <c r="AN188" s="181">
        <f ca="1">IF($D188&lt;&gt;"Serviço",0,IF(AND(AUTOEVENTO="Manual",$M188=1),0,IF(OFFSET(CRONOPLE!$F$14,$M188,AN$13)="",10^12,OFFSET(CRONOPLE!$F$14,$M188,AN$13))))</f>
        <v>0</v>
      </c>
      <c r="AO188" s="181">
        <f ca="1">IF($D188&lt;&gt;"Serviço",0,IF(AND(AUTOEVENTO="Manual",$M188=1),0,IF(OFFSET(CRONOPLE!$F$14,$M188,AO$13)="",10^12,OFFSET(CRONOPLE!$F$14,$M188,AO$13))))</f>
        <v>0</v>
      </c>
      <c r="AP188" s="181">
        <f ca="1">IF($D188&lt;&gt;"Serviço",0,IF(AND(AUTOEVENTO="Manual",$M188=1),0,IF(OFFSET(CRONOPLE!$F$14,$M188,AP$13)="",10^12,OFFSET(CRONOPLE!$F$14,$M188,AP$13))))</f>
        <v>0</v>
      </c>
      <c r="AQ188" s="181">
        <f ca="1">IF($D188&lt;&gt;"Serviço",0,IF(AND(AUTOEVENTO="Manual",$M188=1),0,IF(OFFSET(CRONOPLE!$F$14,$M188,AQ$13)="",10^12,OFFSET(CRONOPLE!$F$14,$M188,AQ$13))))</f>
        <v>0</v>
      </c>
      <c r="AR188" s="181">
        <f ca="1">IF($D188&lt;&gt;"Serviço",0,IF(AND(AUTOEVENTO="Manual",$M188=1),0,IF(OFFSET(CRONOPLE!$F$14,$M188,AR$13)="",10^12,OFFSET(CRONOPLE!$F$14,$M188,AR$13))))</f>
        <v>0</v>
      </c>
      <c r="AS188" s="181">
        <f ca="1">IF($D188&lt;&gt;"Serviço",0,IF(AND(AUTOEVENTO="Manual",$M188=1),0,IF(OFFSET(CRONOPLE!$F$14,$M188,AS$13)="",10^12,OFFSET(CRONOPLE!$F$14,$M188,AS$13))))</f>
        <v>0</v>
      </c>
      <c r="AT188" s="181">
        <f ca="1">IF($D188&lt;&gt;"Serviço",0,IF(AND(AUTOEVENTO="Manual",$M188=1),0,IF(OFFSET(CRONOPLE!$F$14,$M188,AT$13)="",10^12,OFFSET(CRONOPLE!$F$14,$M188,AT$13))))</f>
        <v>0</v>
      </c>
      <c r="AU188" s="181">
        <f ca="1">IF($D188&lt;&gt;"Serviço",0,IF(AND(AUTOEVENTO="Manual",$M188=1),0,IF(OFFSET(CRONOPLE!$F$14,$M188,AU$13)="",10^12,OFFSET(CRONOPLE!$F$14,$M188,AU$13))))</f>
        <v>0</v>
      </c>
      <c r="AV188" s="181">
        <f ca="1">IF($D188&lt;&gt;"Serviço",0,IF(AND(AUTOEVENTO="Manual",$M188=1),0,IF(OFFSET(CRONOPLE!$F$14,$M188,AV$13)="",10^12,OFFSET(CRONOPLE!$F$14,$M188,AV$13))))</f>
        <v>0</v>
      </c>
      <c r="AX188" s="182">
        <f ca="1">IF($D188&lt;&gt;"Serviço",0,IF(OR(AND(AUTOEVENTO="Manual",$M188=1),$M188&gt;(ROW(PLE.lastrow)-ROW(PLE.firstrow))),0,IF(OFFSET(PLE!$G$14,$M188,AX$13)="",10^12,OFFSET(PLE!$G$14,$M188,AX$13))))</f>
        <v>0</v>
      </c>
      <c r="AY188" s="182">
        <f ca="1">IF($D188&lt;&gt;"Serviço",0,IF(OR(AND(AUTOEVENTO="Manual",$M188=1),$M188&gt;(ROW(PLE.lastrow)-ROW(PLE.firstrow))),0,IF(OFFSET(PLE!$G$14,$M188,AY$13)="",10^12,OFFSET(PLE!$G$14,$M188,AY$13))))</f>
        <v>0</v>
      </c>
      <c r="AZ188" s="182">
        <f ca="1">IF($D188&lt;&gt;"Serviço",0,IF(OR(AND(AUTOEVENTO="Manual",$M188=1),$M188&gt;(ROW(PLE.lastrow)-ROW(PLE.firstrow))),0,IF(OFFSET(PLE!$G$14,$M188,AZ$13)="",10^12,OFFSET(PLE!$G$14,$M188,AZ$13))))</f>
        <v>0</v>
      </c>
      <c r="BA188" s="182">
        <f ca="1">IF($D188&lt;&gt;"Serviço",0,IF(OR(AND(AUTOEVENTO="Manual",$M188=1),$M188&gt;(ROW(PLE.lastrow)-ROW(PLE.firstrow))),0,IF(OFFSET(PLE!$G$14,$M188,BA$13)="",10^12,OFFSET(PLE!$G$14,$M188,BA$13))))</f>
        <v>0</v>
      </c>
      <c r="BB188" s="182">
        <f ca="1">IF($D188&lt;&gt;"Serviço",0,IF(OR(AND(AUTOEVENTO="Manual",$M188=1),$M188&gt;(ROW(PLE.lastrow)-ROW(PLE.firstrow))),0,IF(OFFSET(PLE!$G$14,$M188,BB$13)="",10^12,OFFSET(PLE!$G$14,$M188,BB$13))))</f>
        <v>0</v>
      </c>
      <c r="BC188" s="182">
        <f ca="1">IF($D188&lt;&gt;"Serviço",0,IF(OR(AND(AUTOEVENTO="Manual",$M188=1),$M188&gt;(ROW(PLE.lastrow)-ROW(PLE.firstrow))),0,IF(OFFSET(PLE!$G$14,$M188,BC$13)="",10^12,OFFSET(PLE!$G$14,$M188,BC$13))))</f>
        <v>0</v>
      </c>
      <c r="BD188" s="182">
        <f ca="1">IF($D188&lt;&gt;"Serviço",0,IF(OR(AND(AUTOEVENTO="Manual",$M188=1),$M188&gt;(ROW(PLE.lastrow)-ROW(PLE.firstrow))),0,IF(OFFSET(PLE!$G$14,$M188,BD$13)="",10^12,OFFSET(PLE!$G$14,$M188,BD$13))))</f>
        <v>0</v>
      </c>
      <c r="BE188" s="182">
        <f ca="1">IF($D188&lt;&gt;"Serviço",0,IF(OR(AND(AUTOEVENTO="Manual",$M188=1),$M188&gt;(ROW(PLE.lastrow)-ROW(PLE.firstrow))),0,IF(OFFSET(PLE!$G$14,$M188,BE$13)="",10^12,OFFSET(PLE!$G$14,$M188,BE$13))))</f>
        <v>0</v>
      </c>
      <c r="BF188" s="182">
        <f ca="1">IF($D188&lt;&gt;"Serviço",0,IF(OR(AND(AUTOEVENTO="Manual",$M188=1),$M188&gt;(ROW(PLE.lastrow)-ROW(PLE.firstrow))),0,IF(OFFSET(PLE!$G$14,$M188,BF$13)="",10^12,OFFSET(PLE!$G$14,$M188,BF$13))))</f>
        <v>0</v>
      </c>
      <c r="BG188" s="182">
        <f ca="1">IF($D188&lt;&gt;"Serviço",0,IF(OR(AND(AUTOEVENTO="Manual",$M188=1),$M188&gt;(ROW(PLE.lastrow)-ROW(PLE.firstrow))),0,IF(OFFSET(PLE!$G$14,$M188,BG$13)="",10^12,OFFSET(PLE!$G$14,$M188,BG$13))))</f>
        <v>0</v>
      </c>
    </row>
    <row r="189" spans="1:59" ht="25.5" x14ac:dyDescent="0.2">
      <c r="A189" s="7" t="str">
        <f t="shared" ca="1" si="10"/>
        <v>71</v>
      </c>
      <c r="B189" s="7" t="str">
        <f ca="1">OFFSET(ORÇAMENTO!C$15,ROW(B189)-ROW(B$15),0)</f>
        <v>S</v>
      </c>
      <c r="C189" s="7" t="str">
        <f ca="1">OFFSET(ORÇAMENTO!L$15,ROW(C189)-ROW(C$15),0)</f>
        <v>F</v>
      </c>
      <c r="D189" s="118" t="str">
        <f ca="1">OFFSET(ORÇAMENTO!N$15,ROW(D189)-ROW(D$15),0)</f>
        <v>Serviço</v>
      </c>
      <c r="E189" s="119" t="str">
        <f ca="1">OFFSET(ORÇAMENTO!O$15,ROW(E189)-ROW(E$15),0)</f>
        <v>1.6.18.1.</v>
      </c>
      <c r="F189" s="172" t="str">
        <f ca="1">OFFSET(ORÇAMENTO!R$15,ROW(F189)-ROW(F$15),0)</f>
        <v>(abra o arquivo 'Referência 03-2024.xlsm)</v>
      </c>
      <c r="G189" s="173" t="str">
        <f ca="1">IF($D189&lt;&gt;"Serviço","",OFFSET(ORÇAMENTO!S$15,ROW(G189)-ROW(G$15),0))</f>
        <v>-</v>
      </c>
      <c r="H189" s="124">
        <f ca="1">IF($D189&lt;&gt;"Serviço",0,IF(ACOMPANHAMENTO="BM",ROUND(OFFSET(ORÇAMENTO!AJ$15,ROW(H189)-ROW(H$15),0),15-13*ORÇAMENTO!$AF$7),SUMPRODUCT(($Q$12:$AA$12&lt;&gt;"")*ROUND($Q189:$AA189,15-13*ORÇAMENTO!$AF$7))))</f>
        <v>3</v>
      </c>
      <c r="I189" s="561"/>
      <c r="K189" s="174"/>
      <c r="L189" s="175" t="s">
        <v>255</v>
      </c>
      <c r="M189" s="176">
        <f ca="1">IF($D189&lt;&gt;"Serviço","",IF(AUTOEVENTO="manual",$A189,IF(ISERROR(MATCH($A189,$A$15:OFFSET($A189,-1,0),0)),MAX($M$15:OFFSET(M189,-1,0))+1,INDEX($M$15:OFFSET(M189,-1,0),MATCH($A189,$A$15:OFFSET($A189,-1,0),0)))))</f>
        <v>7</v>
      </c>
      <c r="N189" s="177" t="str">
        <f ca="1">IF($D189&lt;&gt;"Serviço","",IF(AUTOEVENTO="Manual",IF($A189=0,"&lt;-- defina o número do agrupador",OFFSET(EVENTOS!$D$14,$A189,0)),OFFSET($F$15,$A189,0)))</f>
        <v>SANITÁRIO PÚBLICO ACESSÍVEL</v>
      </c>
      <c r="O189" s="178"/>
      <c r="Q189" s="178"/>
      <c r="R189" s="179"/>
      <c r="S189" s="179"/>
      <c r="T189" s="179"/>
      <c r="U189" s="179"/>
      <c r="V189" s="179"/>
      <c r="W189" s="179"/>
      <c r="X189" s="179"/>
      <c r="Y189" s="179"/>
      <c r="Z189" s="180"/>
      <c r="AB189" s="544">
        <f ca="1">IF(AND($D189="Serviço",AB$12&lt;&gt;0,$H189&gt;0,OR(AUTOEVENTO&lt;&gt;"manual",$M189&lt;&gt;1)),
IF(Import.TipoArredondamento&lt;&gt;"TransfereGOV",
ROUND(OFFSET($P189,0,AB$13),15-13*ORÇAMENTO!$AF$7)/$H189*OFFSET(ORÇAMENTO!$X$15,ROW(AB189)-ROW(AB$15),0),
ROUND(ROUND(OFFSET($P189,0,AB$13),15-13*ORÇAMENTO!$AF$7)*OFFSET(ORÇAMENTO!$W$15,ROW(AB189)-ROW(AB$15),0),15-13*ORÇAMENTO!$AF$11)),0)</f>
        <v>0</v>
      </c>
      <c r="AC189" s="545">
        <f ca="1">IF(AND($D189="Serviço",AC$12&lt;&gt;0,$H189&gt;0,OR(AUTOEVENTO&lt;&gt;"manual",$M189&lt;&gt;1)),
IF(Import.TipoArredondamento&lt;&gt;"TransfereGOV",
ROUND(OFFSET($P189,0,AC$13),15-13*ORÇAMENTO!$AF$7)/$H189*OFFSET(ORÇAMENTO!$X$15,ROW(AC189)-ROW(AC$15),0),
ROUND(ROUND(OFFSET($P189,0,AC$13),15-13*ORÇAMENTO!$AF$7)*OFFSET(ORÇAMENTO!$W$15,ROW(AC189)-ROW(AC$15),0),15-13*ORÇAMENTO!$AF$11)),0)</f>
        <v>0</v>
      </c>
      <c r="AD189" s="545">
        <f ca="1">IF(AND($D189="Serviço",AD$12&lt;&gt;0,$H189&gt;0,OR(AUTOEVENTO&lt;&gt;"manual",$M189&lt;&gt;1)),
IF(Import.TipoArredondamento&lt;&gt;"TransfereGOV",
ROUND(OFFSET($P189,0,AD$13),15-13*ORÇAMENTO!$AF$7)/$H189*OFFSET(ORÇAMENTO!$X$15,ROW(AD189)-ROW(AD$15),0),
ROUND(ROUND(OFFSET($P189,0,AD$13),15-13*ORÇAMENTO!$AF$7)*OFFSET(ORÇAMENTO!$W$15,ROW(AD189)-ROW(AD$15),0),15-13*ORÇAMENTO!$AF$11)),0)</f>
        <v>0</v>
      </c>
      <c r="AE189" s="545">
        <f ca="1">IF(AND($D189="Serviço",AE$12&lt;&gt;0,$H189&gt;0,OR(AUTOEVENTO&lt;&gt;"manual",$M189&lt;&gt;1)),
IF(Import.TipoArredondamento&lt;&gt;"TransfereGOV",
ROUND(OFFSET($P189,0,AE$13),15-13*ORÇAMENTO!$AF$7)/$H189*OFFSET(ORÇAMENTO!$X$15,ROW(AE189)-ROW(AE$15),0),
ROUND(ROUND(OFFSET($P189,0,AE$13),15-13*ORÇAMENTO!$AF$7)*OFFSET(ORÇAMENTO!$W$15,ROW(AE189)-ROW(AE$15),0),15-13*ORÇAMENTO!$AF$11)),0)</f>
        <v>0</v>
      </c>
      <c r="AF189" s="545">
        <f ca="1">IF(AND($D189="Serviço",AF$12&lt;&gt;0,$H189&gt;0,OR(AUTOEVENTO&lt;&gt;"manual",$M189&lt;&gt;1)),
IF(Import.TipoArredondamento&lt;&gt;"TransfereGOV",
ROUND(OFFSET($P189,0,AF$13),15-13*ORÇAMENTO!$AF$7)/$H189*OFFSET(ORÇAMENTO!$X$15,ROW(AF189)-ROW(AF$15),0),
ROUND(ROUND(OFFSET($P189,0,AF$13),15-13*ORÇAMENTO!$AF$7)*OFFSET(ORÇAMENTO!$W$15,ROW(AF189)-ROW(AF$15),0),15-13*ORÇAMENTO!$AF$11)),0)</f>
        <v>0</v>
      </c>
      <c r="AG189" s="545">
        <f ca="1">IF(AND($D189="Serviço",AG$12&lt;&gt;0,$H189&gt;0,OR(AUTOEVENTO&lt;&gt;"manual",$M189&lt;&gt;1)),
IF(Import.TipoArredondamento&lt;&gt;"TransfereGOV",
ROUND(OFFSET($P189,0,AG$13),15-13*ORÇAMENTO!$AF$7)/$H189*OFFSET(ORÇAMENTO!$X$15,ROW(AG189)-ROW(AG$15),0),
ROUND(ROUND(OFFSET($P189,0,AG$13),15-13*ORÇAMENTO!$AF$7)*OFFSET(ORÇAMENTO!$W$15,ROW(AG189)-ROW(AG$15),0),15-13*ORÇAMENTO!$AF$11)),0)</f>
        <v>0</v>
      </c>
      <c r="AH189" s="545">
        <f ca="1">IF(AND($D189="Serviço",AH$12&lt;&gt;0,$H189&gt;0,OR(AUTOEVENTO&lt;&gt;"manual",$M189&lt;&gt;1)),
IF(Import.TipoArredondamento&lt;&gt;"TransfereGOV",
ROUND(OFFSET($P189,0,AH$13),15-13*ORÇAMENTO!$AF$7)/$H189*OFFSET(ORÇAMENTO!$X$15,ROW(AH189)-ROW(AH$15),0),
ROUND(ROUND(OFFSET($P189,0,AH$13),15-13*ORÇAMENTO!$AF$7)*OFFSET(ORÇAMENTO!$W$15,ROW(AH189)-ROW(AH$15),0),15-13*ORÇAMENTO!$AF$11)),0)</f>
        <v>0</v>
      </c>
      <c r="AI189" s="545">
        <f ca="1">IF(AND($D189="Serviço",AI$12&lt;&gt;0,$H189&gt;0,OR(AUTOEVENTO&lt;&gt;"manual",$M189&lt;&gt;1)),
IF(Import.TipoArredondamento&lt;&gt;"TransfereGOV",
ROUND(OFFSET($P189,0,AI$13),15-13*ORÇAMENTO!$AF$7)/$H189*OFFSET(ORÇAMENTO!$X$15,ROW(AI189)-ROW(AI$15),0),
ROUND(ROUND(OFFSET($P189,0,AI$13),15-13*ORÇAMENTO!$AF$7)*OFFSET(ORÇAMENTO!$W$15,ROW(AI189)-ROW(AI$15),0),15-13*ORÇAMENTO!$AF$11)),0)</f>
        <v>0</v>
      </c>
      <c r="AJ189" s="545">
        <f ca="1">IF(AND($D189="Serviço",AJ$12&lt;&gt;0,$H189&gt;0,OR(AUTOEVENTO&lt;&gt;"manual",$M189&lt;&gt;1)),
IF(Import.TipoArredondamento&lt;&gt;"TransfereGOV",
ROUND(OFFSET($P189,0,AJ$13),15-13*ORÇAMENTO!$AF$7)/$H189*OFFSET(ORÇAMENTO!$X$15,ROW(AJ189)-ROW(AJ$15),0),
ROUND(ROUND(OFFSET($P189,0,AJ$13),15-13*ORÇAMENTO!$AF$7)*OFFSET(ORÇAMENTO!$W$15,ROW(AJ189)-ROW(AJ$15),0),15-13*ORÇAMENTO!$AF$11)),0)</f>
        <v>0</v>
      </c>
      <c r="AK189" s="546">
        <f ca="1">IF(AND($D189="Serviço",AK$12&lt;&gt;0,$H189&gt;0,OR(AUTOEVENTO&lt;&gt;"manual",$M189&lt;&gt;1)),
IF(Import.TipoArredondamento&lt;&gt;"TransfereGOV",
ROUND(OFFSET($P189,0,AK$13),15-13*ORÇAMENTO!$AF$7)/$H189*OFFSET(ORÇAMENTO!$X$15,ROW(AK189)-ROW(AK$15),0),
ROUND(ROUND(OFFSET($P189,0,AK$13),15-13*ORÇAMENTO!$AF$7)*OFFSET(ORÇAMENTO!$W$15,ROW(AK189)-ROW(AK$15),0),15-13*ORÇAMENTO!$AF$11)),0)</f>
        <v>0</v>
      </c>
      <c r="AM189" s="181">
        <f ca="1">IF($D189&lt;&gt;"Serviço",0,IF(AND(AUTOEVENTO="Manual",$M189=1),0,IF(OFFSET(CRONOPLE!$F$14,$M189,AM$13)="",10^12,OFFSET(CRONOPLE!$F$14,$M189,AM$13))))</f>
        <v>1000000000000</v>
      </c>
      <c r="AN189" s="181">
        <f ca="1">IF($D189&lt;&gt;"Serviço",0,IF(AND(AUTOEVENTO="Manual",$M189=1),0,IF(OFFSET(CRONOPLE!$F$14,$M189,AN$13)="",10^12,OFFSET(CRONOPLE!$F$14,$M189,AN$13))))</f>
        <v>1000000000000</v>
      </c>
      <c r="AO189" s="181">
        <f ca="1">IF($D189&lt;&gt;"Serviço",0,IF(AND(AUTOEVENTO="Manual",$M189=1),0,IF(OFFSET(CRONOPLE!$F$14,$M189,AO$13)="",10^12,OFFSET(CRONOPLE!$F$14,$M189,AO$13))))</f>
        <v>1000000000000</v>
      </c>
      <c r="AP189" s="181">
        <f ca="1">IF($D189&lt;&gt;"Serviço",0,IF(AND(AUTOEVENTO="Manual",$M189=1),0,IF(OFFSET(CRONOPLE!$F$14,$M189,AP$13)="",10^12,OFFSET(CRONOPLE!$F$14,$M189,AP$13))))</f>
        <v>1000000000000</v>
      </c>
      <c r="AQ189" s="181">
        <f ca="1">IF($D189&lt;&gt;"Serviço",0,IF(AND(AUTOEVENTO="Manual",$M189=1),0,IF(OFFSET(CRONOPLE!$F$14,$M189,AQ$13)="",10^12,OFFSET(CRONOPLE!$F$14,$M189,AQ$13))))</f>
        <v>1000000000000</v>
      </c>
      <c r="AR189" s="181">
        <f ca="1">IF($D189&lt;&gt;"Serviço",0,IF(AND(AUTOEVENTO="Manual",$M189=1),0,IF(OFFSET(CRONOPLE!$F$14,$M189,AR$13)="",10^12,OFFSET(CRONOPLE!$F$14,$M189,AR$13))))</f>
        <v>1000000000000</v>
      </c>
      <c r="AS189" s="181">
        <f ca="1">IF($D189&lt;&gt;"Serviço",0,IF(AND(AUTOEVENTO="Manual",$M189=1),0,IF(OFFSET(CRONOPLE!$F$14,$M189,AS$13)="",10^12,OFFSET(CRONOPLE!$F$14,$M189,AS$13))))</f>
        <v>1000000000000</v>
      </c>
      <c r="AT189" s="181">
        <f ca="1">IF($D189&lt;&gt;"Serviço",0,IF(AND(AUTOEVENTO="Manual",$M189=1),0,IF(OFFSET(CRONOPLE!$F$14,$M189,AT$13)="",10^12,OFFSET(CRONOPLE!$F$14,$M189,AT$13))))</f>
        <v>1000000000000</v>
      </c>
      <c r="AU189" s="181">
        <f ca="1">IF($D189&lt;&gt;"Serviço",0,IF(AND(AUTOEVENTO="Manual",$M189=1),0,IF(OFFSET(CRONOPLE!$F$14,$M189,AU$13)="",10^12,OFFSET(CRONOPLE!$F$14,$M189,AU$13))))</f>
        <v>1000000000000</v>
      </c>
      <c r="AV189" s="181">
        <f ca="1">IF($D189&lt;&gt;"Serviço",0,IF(AND(AUTOEVENTO="Manual",$M189=1),0,IF(OFFSET(CRONOPLE!$F$14,$M189,AV$13)="",10^12,OFFSET(CRONOPLE!$F$14,$M189,AV$13))))</f>
        <v>1000000000000</v>
      </c>
      <c r="AX189" s="182">
        <f ca="1">IF($D189&lt;&gt;"Serviço",0,IF(OR(AND(AUTOEVENTO="Manual",$M189=1),$M189&gt;(ROW(PLE.lastrow)-ROW(PLE.firstrow))),0,IF(OFFSET(PLE!$G$14,$M189,AX$13)="",10^12,OFFSET(PLE!$G$14,$M189,AX$13))))</f>
        <v>1000000000000</v>
      </c>
      <c r="AY189" s="182">
        <f ca="1">IF($D189&lt;&gt;"Serviço",0,IF(OR(AND(AUTOEVENTO="Manual",$M189=1),$M189&gt;(ROW(PLE.lastrow)-ROW(PLE.firstrow))),0,IF(OFFSET(PLE!$G$14,$M189,AY$13)="",10^12,OFFSET(PLE!$G$14,$M189,AY$13))))</f>
        <v>1000000000000</v>
      </c>
      <c r="AZ189" s="182">
        <f ca="1">IF($D189&lt;&gt;"Serviço",0,IF(OR(AND(AUTOEVENTO="Manual",$M189=1),$M189&gt;(ROW(PLE.lastrow)-ROW(PLE.firstrow))),0,IF(OFFSET(PLE!$G$14,$M189,AZ$13)="",10^12,OFFSET(PLE!$G$14,$M189,AZ$13))))</f>
        <v>1000000000000</v>
      </c>
      <c r="BA189" s="182">
        <f ca="1">IF($D189&lt;&gt;"Serviço",0,IF(OR(AND(AUTOEVENTO="Manual",$M189=1),$M189&gt;(ROW(PLE.lastrow)-ROW(PLE.firstrow))),0,IF(OFFSET(PLE!$G$14,$M189,BA$13)="",10^12,OFFSET(PLE!$G$14,$M189,BA$13))))</f>
        <v>1000000000000</v>
      </c>
      <c r="BB189" s="182">
        <f ca="1">IF($D189&lt;&gt;"Serviço",0,IF(OR(AND(AUTOEVENTO="Manual",$M189=1),$M189&gt;(ROW(PLE.lastrow)-ROW(PLE.firstrow))),0,IF(OFFSET(PLE!$G$14,$M189,BB$13)="",10^12,OFFSET(PLE!$G$14,$M189,BB$13))))</f>
        <v>1000000000000</v>
      </c>
      <c r="BC189" s="182">
        <f ca="1">IF($D189&lt;&gt;"Serviço",0,IF(OR(AND(AUTOEVENTO="Manual",$M189=1),$M189&gt;(ROW(PLE.lastrow)-ROW(PLE.firstrow))),0,IF(OFFSET(PLE!$G$14,$M189,BC$13)="",10^12,OFFSET(PLE!$G$14,$M189,BC$13))))</f>
        <v>1000000000000</v>
      </c>
      <c r="BD189" s="182">
        <f ca="1">IF($D189&lt;&gt;"Serviço",0,IF(OR(AND(AUTOEVENTO="Manual",$M189=1),$M189&gt;(ROW(PLE.lastrow)-ROW(PLE.firstrow))),0,IF(OFFSET(PLE!$G$14,$M189,BD$13)="",10^12,OFFSET(PLE!$G$14,$M189,BD$13))))</f>
        <v>1000000000000</v>
      </c>
      <c r="BE189" s="182">
        <f ca="1">IF($D189&lt;&gt;"Serviço",0,IF(OR(AND(AUTOEVENTO="Manual",$M189=1),$M189&gt;(ROW(PLE.lastrow)-ROW(PLE.firstrow))),0,IF(OFFSET(PLE!$G$14,$M189,BE$13)="",10^12,OFFSET(PLE!$G$14,$M189,BE$13))))</f>
        <v>1000000000000</v>
      </c>
      <c r="BF189" s="182">
        <f ca="1">IF($D189&lt;&gt;"Serviço",0,IF(OR(AND(AUTOEVENTO="Manual",$M189=1),$M189&gt;(ROW(PLE.lastrow)-ROW(PLE.firstrow))),0,IF(OFFSET(PLE!$G$14,$M189,BF$13)="",10^12,OFFSET(PLE!$G$14,$M189,BF$13))))</f>
        <v>1000000000000</v>
      </c>
      <c r="BG189" s="182">
        <f ca="1">IF($D189&lt;&gt;"Serviço",0,IF(OR(AND(AUTOEVENTO="Manual",$M189=1),$M189&gt;(ROW(PLE.lastrow)-ROW(PLE.firstrow))),0,IF(OFFSET(PLE!$G$14,$M189,BG$13)="",10^12,OFFSET(PLE!$G$14,$M189,BG$13))))</f>
        <v>1000000000000</v>
      </c>
    </row>
    <row r="190" spans="1:59" ht="38.25" x14ac:dyDescent="0.2">
      <c r="A190" s="7" t="str">
        <f t="shared" ca="1" si="10"/>
        <v>71</v>
      </c>
      <c r="B190" s="7" t="str">
        <f ca="1">OFFSET(ORÇAMENTO!C$15,ROW(B190)-ROW(B$15),0)</f>
        <v>S</v>
      </c>
      <c r="C190" s="7" t="str">
        <f ca="1">OFFSET(ORÇAMENTO!L$15,ROW(C190)-ROW(C$15),0)</f>
        <v>F</v>
      </c>
      <c r="D190" s="118" t="str">
        <f ca="1">OFFSET(ORÇAMENTO!N$15,ROW(D190)-ROW(D$15),0)</f>
        <v>Serviço</v>
      </c>
      <c r="E190" s="119" t="str">
        <f ca="1">OFFSET(ORÇAMENTO!O$15,ROW(E190)-ROW(E$15),0)</f>
        <v>1.6.18.2.</v>
      </c>
      <c r="F190" s="172" t="str">
        <f ca="1">OFFSET(ORÇAMENTO!R$15,ROW(F190)-ROW(F$15),0)</f>
        <v>(abra o arquivo 'Referência 03-2024.xlsm)</v>
      </c>
      <c r="G190" s="173" t="str">
        <f ca="1">IF($D190&lt;&gt;"Serviço","",OFFSET(ORÇAMENTO!S$15,ROW(G190)-ROW(G$15),0))</f>
        <v>-</v>
      </c>
      <c r="H190" s="124">
        <f ca="1">IF($D190&lt;&gt;"Serviço",0,IF(ACOMPANHAMENTO="BM",ROUND(OFFSET(ORÇAMENTO!AJ$15,ROW(H190)-ROW(H$15),0),15-13*ORÇAMENTO!$AF$7),SUMPRODUCT(($Q$12:$AA$12&lt;&gt;"")*ROUND($Q190:$AA190,15-13*ORÇAMENTO!$AF$7))))</f>
        <v>15</v>
      </c>
      <c r="I190" s="561"/>
      <c r="K190" s="174"/>
      <c r="L190" s="175" t="s">
        <v>255</v>
      </c>
      <c r="M190" s="176">
        <f ca="1">IF($D190&lt;&gt;"Serviço","",IF(AUTOEVENTO="manual",$A190,IF(ISERROR(MATCH($A190,$A$15:OFFSET($A190,-1,0),0)),MAX($M$15:OFFSET(M190,-1,0))+1,INDEX($M$15:OFFSET(M190,-1,0),MATCH($A190,$A$15:OFFSET($A190,-1,0),0)))))</f>
        <v>7</v>
      </c>
      <c r="N190" s="177" t="str">
        <f ca="1">IF($D190&lt;&gt;"Serviço","",IF(AUTOEVENTO="Manual",IF($A190=0,"&lt;-- defina o número do agrupador",OFFSET(EVENTOS!$D$14,$A190,0)),OFFSET($F$15,$A190,0)))</f>
        <v>SANITÁRIO PÚBLICO ACESSÍVEL</v>
      </c>
      <c r="O190" s="178"/>
      <c r="Q190" s="178"/>
      <c r="R190" s="179"/>
      <c r="S190" s="179"/>
      <c r="T190" s="179"/>
      <c r="U190" s="179"/>
      <c r="V190" s="179"/>
      <c r="W190" s="179"/>
      <c r="X190" s="179"/>
      <c r="Y190" s="179"/>
      <c r="Z190" s="180"/>
      <c r="AB190" s="544">
        <f ca="1">IF(AND($D190="Serviço",AB$12&lt;&gt;0,$H190&gt;0,OR(AUTOEVENTO&lt;&gt;"manual",$M190&lt;&gt;1)),
IF(Import.TipoArredondamento&lt;&gt;"TransfereGOV",
ROUND(OFFSET($P190,0,AB$13),15-13*ORÇAMENTO!$AF$7)/$H190*OFFSET(ORÇAMENTO!$X$15,ROW(AB190)-ROW(AB$15),0),
ROUND(ROUND(OFFSET($P190,0,AB$13),15-13*ORÇAMENTO!$AF$7)*OFFSET(ORÇAMENTO!$W$15,ROW(AB190)-ROW(AB$15),0),15-13*ORÇAMENTO!$AF$11)),0)</f>
        <v>0</v>
      </c>
      <c r="AC190" s="545">
        <f ca="1">IF(AND($D190="Serviço",AC$12&lt;&gt;0,$H190&gt;0,OR(AUTOEVENTO&lt;&gt;"manual",$M190&lt;&gt;1)),
IF(Import.TipoArredondamento&lt;&gt;"TransfereGOV",
ROUND(OFFSET($P190,0,AC$13),15-13*ORÇAMENTO!$AF$7)/$H190*OFFSET(ORÇAMENTO!$X$15,ROW(AC190)-ROW(AC$15),0),
ROUND(ROUND(OFFSET($P190,0,AC$13),15-13*ORÇAMENTO!$AF$7)*OFFSET(ORÇAMENTO!$W$15,ROW(AC190)-ROW(AC$15),0),15-13*ORÇAMENTO!$AF$11)),0)</f>
        <v>0</v>
      </c>
      <c r="AD190" s="545">
        <f ca="1">IF(AND($D190="Serviço",AD$12&lt;&gt;0,$H190&gt;0,OR(AUTOEVENTO&lt;&gt;"manual",$M190&lt;&gt;1)),
IF(Import.TipoArredondamento&lt;&gt;"TransfereGOV",
ROUND(OFFSET($P190,0,AD$13),15-13*ORÇAMENTO!$AF$7)/$H190*OFFSET(ORÇAMENTO!$X$15,ROW(AD190)-ROW(AD$15),0),
ROUND(ROUND(OFFSET($P190,0,AD$13),15-13*ORÇAMENTO!$AF$7)*OFFSET(ORÇAMENTO!$W$15,ROW(AD190)-ROW(AD$15),0),15-13*ORÇAMENTO!$AF$11)),0)</f>
        <v>0</v>
      </c>
      <c r="AE190" s="545">
        <f ca="1">IF(AND($D190="Serviço",AE$12&lt;&gt;0,$H190&gt;0,OR(AUTOEVENTO&lt;&gt;"manual",$M190&lt;&gt;1)),
IF(Import.TipoArredondamento&lt;&gt;"TransfereGOV",
ROUND(OFFSET($P190,0,AE$13),15-13*ORÇAMENTO!$AF$7)/$H190*OFFSET(ORÇAMENTO!$X$15,ROW(AE190)-ROW(AE$15),0),
ROUND(ROUND(OFFSET($P190,0,AE$13),15-13*ORÇAMENTO!$AF$7)*OFFSET(ORÇAMENTO!$W$15,ROW(AE190)-ROW(AE$15),0),15-13*ORÇAMENTO!$AF$11)),0)</f>
        <v>0</v>
      </c>
      <c r="AF190" s="545">
        <f ca="1">IF(AND($D190="Serviço",AF$12&lt;&gt;0,$H190&gt;0,OR(AUTOEVENTO&lt;&gt;"manual",$M190&lt;&gt;1)),
IF(Import.TipoArredondamento&lt;&gt;"TransfereGOV",
ROUND(OFFSET($P190,0,AF$13),15-13*ORÇAMENTO!$AF$7)/$H190*OFFSET(ORÇAMENTO!$X$15,ROW(AF190)-ROW(AF$15),0),
ROUND(ROUND(OFFSET($P190,0,AF$13),15-13*ORÇAMENTO!$AF$7)*OFFSET(ORÇAMENTO!$W$15,ROW(AF190)-ROW(AF$15),0),15-13*ORÇAMENTO!$AF$11)),0)</f>
        <v>0</v>
      </c>
      <c r="AG190" s="545">
        <f ca="1">IF(AND($D190="Serviço",AG$12&lt;&gt;0,$H190&gt;0,OR(AUTOEVENTO&lt;&gt;"manual",$M190&lt;&gt;1)),
IF(Import.TipoArredondamento&lt;&gt;"TransfereGOV",
ROUND(OFFSET($P190,0,AG$13),15-13*ORÇAMENTO!$AF$7)/$H190*OFFSET(ORÇAMENTO!$X$15,ROW(AG190)-ROW(AG$15),0),
ROUND(ROUND(OFFSET($P190,0,AG$13),15-13*ORÇAMENTO!$AF$7)*OFFSET(ORÇAMENTO!$W$15,ROW(AG190)-ROW(AG$15),0),15-13*ORÇAMENTO!$AF$11)),0)</f>
        <v>0</v>
      </c>
      <c r="AH190" s="545">
        <f ca="1">IF(AND($D190="Serviço",AH$12&lt;&gt;0,$H190&gt;0,OR(AUTOEVENTO&lt;&gt;"manual",$M190&lt;&gt;1)),
IF(Import.TipoArredondamento&lt;&gt;"TransfereGOV",
ROUND(OFFSET($P190,0,AH$13),15-13*ORÇAMENTO!$AF$7)/$H190*OFFSET(ORÇAMENTO!$X$15,ROW(AH190)-ROW(AH$15),0),
ROUND(ROUND(OFFSET($P190,0,AH$13),15-13*ORÇAMENTO!$AF$7)*OFFSET(ORÇAMENTO!$W$15,ROW(AH190)-ROW(AH$15),0),15-13*ORÇAMENTO!$AF$11)),0)</f>
        <v>0</v>
      </c>
      <c r="AI190" s="545">
        <f ca="1">IF(AND($D190="Serviço",AI$12&lt;&gt;0,$H190&gt;0,OR(AUTOEVENTO&lt;&gt;"manual",$M190&lt;&gt;1)),
IF(Import.TipoArredondamento&lt;&gt;"TransfereGOV",
ROUND(OFFSET($P190,0,AI$13),15-13*ORÇAMENTO!$AF$7)/$H190*OFFSET(ORÇAMENTO!$X$15,ROW(AI190)-ROW(AI$15),0),
ROUND(ROUND(OFFSET($P190,0,AI$13),15-13*ORÇAMENTO!$AF$7)*OFFSET(ORÇAMENTO!$W$15,ROW(AI190)-ROW(AI$15),0),15-13*ORÇAMENTO!$AF$11)),0)</f>
        <v>0</v>
      </c>
      <c r="AJ190" s="545">
        <f ca="1">IF(AND($D190="Serviço",AJ$12&lt;&gt;0,$H190&gt;0,OR(AUTOEVENTO&lt;&gt;"manual",$M190&lt;&gt;1)),
IF(Import.TipoArredondamento&lt;&gt;"TransfereGOV",
ROUND(OFFSET($P190,0,AJ$13),15-13*ORÇAMENTO!$AF$7)/$H190*OFFSET(ORÇAMENTO!$X$15,ROW(AJ190)-ROW(AJ$15),0),
ROUND(ROUND(OFFSET($P190,0,AJ$13),15-13*ORÇAMENTO!$AF$7)*OFFSET(ORÇAMENTO!$W$15,ROW(AJ190)-ROW(AJ$15),0),15-13*ORÇAMENTO!$AF$11)),0)</f>
        <v>0</v>
      </c>
      <c r="AK190" s="546">
        <f ca="1">IF(AND($D190="Serviço",AK$12&lt;&gt;0,$H190&gt;0,OR(AUTOEVENTO&lt;&gt;"manual",$M190&lt;&gt;1)),
IF(Import.TipoArredondamento&lt;&gt;"TransfereGOV",
ROUND(OFFSET($P190,0,AK$13),15-13*ORÇAMENTO!$AF$7)/$H190*OFFSET(ORÇAMENTO!$X$15,ROW(AK190)-ROW(AK$15),0),
ROUND(ROUND(OFFSET($P190,0,AK$13),15-13*ORÇAMENTO!$AF$7)*OFFSET(ORÇAMENTO!$W$15,ROW(AK190)-ROW(AK$15),0),15-13*ORÇAMENTO!$AF$11)),0)</f>
        <v>0</v>
      </c>
      <c r="AM190" s="181">
        <f ca="1">IF($D190&lt;&gt;"Serviço",0,IF(AND(AUTOEVENTO="Manual",$M190=1),0,IF(OFFSET(CRONOPLE!$F$14,$M190,AM$13)="",10^12,OFFSET(CRONOPLE!$F$14,$M190,AM$13))))</f>
        <v>1000000000000</v>
      </c>
      <c r="AN190" s="181">
        <f ca="1">IF($D190&lt;&gt;"Serviço",0,IF(AND(AUTOEVENTO="Manual",$M190=1),0,IF(OFFSET(CRONOPLE!$F$14,$M190,AN$13)="",10^12,OFFSET(CRONOPLE!$F$14,$M190,AN$13))))</f>
        <v>1000000000000</v>
      </c>
      <c r="AO190" s="181">
        <f ca="1">IF($D190&lt;&gt;"Serviço",0,IF(AND(AUTOEVENTO="Manual",$M190=1),0,IF(OFFSET(CRONOPLE!$F$14,$M190,AO$13)="",10^12,OFFSET(CRONOPLE!$F$14,$M190,AO$13))))</f>
        <v>1000000000000</v>
      </c>
      <c r="AP190" s="181">
        <f ca="1">IF($D190&lt;&gt;"Serviço",0,IF(AND(AUTOEVENTO="Manual",$M190=1),0,IF(OFFSET(CRONOPLE!$F$14,$M190,AP$13)="",10^12,OFFSET(CRONOPLE!$F$14,$M190,AP$13))))</f>
        <v>1000000000000</v>
      </c>
      <c r="AQ190" s="181">
        <f ca="1">IF($D190&lt;&gt;"Serviço",0,IF(AND(AUTOEVENTO="Manual",$M190=1),0,IF(OFFSET(CRONOPLE!$F$14,$M190,AQ$13)="",10^12,OFFSET(CRONOPLE!$F$14,$M190,AQ$13))))</f>
        <v>1000000000000</v>
      </c>
      <c r="AR190" s="181">
        <f ca="1">IF($D190&lt;&gt;"Serviço",0,IF(AND(AUTOEVENTO="Manual",$M190=1),0,IF(OFFSET(CRONOPLE!$F$14,$M190,AR$13)="",10^12,OFFSET(CRONOPLE!$F$14,$M190,AR$13))))</f>
        <v>1000000000000</v>
      </c>
      <c r="AS190" s="181">
        <f ca="1">IF($D190&lt;&gt;"Serviço",0,IF(AND(AUTOEVENTO="Manual",$M190=1),0,IF(OFFSET(CRONOPLE!$F$14,$M190,AS$13)="",10^12,OFFSET(CRONOPLE!$F$14,$M190,AS$13))))</f>
        <v>1000000000000</v>
      </c>
      <c r="AT190" s="181">
        <f ca="1">IF($D190&lt;&gt;"Serviço",0,IF(AND(AUTOEVENTO="Manual",$M190=1),0,IF(OFFSET(CRONOPLE!$F$14,$M190,AT$13)="",10^12,OFFSET(CRONOPLE!$F$14,$M190,AT$13))))</f>
        <v>1000000000000</v>
      </c>
      <c r="AU190" s="181">
        <f ca="1">IF($D190&lt;&gt;"Serviço",0,IF(AND(AUTOEVENTO="Manual",$M190=1),0,IF(OFFSET(CRONOPLE!$F$14,$M190,AU$13)="",10^12,OFFSET(CRONOPLE!$F$14,$M190,AU$13))))</f>
        <v>1000000000000</v>
      </c>
      <c r="AV190" s="181">
        <f ca="1">IF($D190&lt;&gt;"Serviço",0,IF(AND(AUTOEVENTO="Manual",$M190=1),0,IF(OFFSET(CRONOPLE!$F$14,$M190,AV$13)="",10^12,OFFSET(CRONOPLE!$F$14,$M190,AV$13))))</f>
        <v>1000000000000</v>
      </c>
      <c r="AX190" s="182">
        <f ca="1">IF($D190&lt;&gt;"Serviço",0,IF(OR(AND(AUTOEVENTO="Manual",$M190=1),$M190&gt;(ROW(PLE.lastrow)-ROW(PLE.firstrow))),0,IF(OFFSET(PLE!$G$14,$M190,AX$13)="",10^12,OFFSET(PLE!$G$14,$M190,AX$13))))</f>
        <v>1000000000000</v>
      </c>
      <c r="AY190" s="182">
        <f ca="1">IF($D190&lt;&gt;"Serviço",0,IF(OR(AND(AUTOEVENTO="Manual",$M190=1),$M190&gt;(ROW(PLE.lastrow)-ROW(PLE.firstrow))),0,IF(OFFSET(PLE!$G$14,$M190,AY$13)="",10^12,OFFSET(PLE!$G$14,$M190,AY$13))))</f>
        <v>1000000000000</v>
      </c>
      <c r="AZ190" s="182">
        <f ca="1">IF($D190&lt;&gt;"Serviço",0,IF(OR(AND(AUTOEVENTO="Manual",$M190=1),$M190&gt;(ROW(PLE.lastrow)-ROW(PLE.firstrow))),0,IF(OFFSET(PLE!$G$14,$M190,AZ$13)="",10^12,OFFSET(PLE!$G$14,$M190,AZ$13))))</f>
        <v>1000000000000</v>
      </c>
      <c r="BA190" s="182">
        <f ca="1">IF($D190&lt;&gt;"Serviço",0,IF(OR(AND(AUTOEVENTO="Manual",$M190=1),$M190&gt;(ROW(PLE.lastrow)-ROW(PLE.firstrow))),0,IF(OFFSET(PLE!$G$14,$M190,BA$13)="",10^12,OFFSET(PLE!$G$14,$M190,BA$13))))</f>
        <v>1000000000000</v>
      </c>
      <c r="BB190" s="182">
        <f ca="1">IF($D190&lt;&gt;"Serviço",0,IF(OR(AND(AUTOEVENTO="Manual",$M190=1),$M190&gt;(ROW(PLE.lastrow)-ROW(PLE.firstrow))),0,IF(OFFSET(PLE!$G$14,$M190,BB$13)="",10^12,OFFSET(PLE!$G$14,$M190,BB$13))))</f>
        <v>1000000000000</v>
      </c>
      <c r="BC190" s="182">
        <f ca="1">IF($D190&lt;&gt;"Serviço",0,IF(OR(AND(AUTOEVENTO="Manual",$M190=1),$M190&gt;(ROW(PLE.lastrow)-ROW(PLE.firstrow))),0,IF(OFFSET(PLE!$G$14,$M190,BC$13)="",10^12,OFFSET(PLE!$G$14,$M190,BC$13))))</f>
        <v>1000000000000</v>
      </c>
      <c r="BD190" s="182">
        <f ca="1">IF($D190&lt;&gt;"Serviço",0,IF(OR(AND(AUTOEVENTO="Manual",$M190=1),$M190&gt;(ROW(PLE.lastrow)-ROW(PLE.firstrow))),0,IF(OFFSET(PLE!$G$14,$M190,BD$13)="",10^12,OFFSET(PLE!$G$14,$M190,BD$13))))</f>
        <v>1000000000000</v>
      </c>
      <c r="BE190" s="182">
        <f ca="1">IF($D190&lt;&gt;"Serviço",0,IF(OR(AND(AUTOEVENTO="Manual",$M190=1),$M190&gt;(ROW(PLE.lastrow)-ROW(PLE.firstrow))),0,IF(OFFSET(PLE!$G$14,$M190,BE$13)="",10^12,OFFSET(PLE!$G$14,$M190,BE$13))))</f>
        <v>1000000000000</v>
      </c>
      <c r="BF190" s="182">
        <f ca="1">IF($D190&lt;&gt;"Serviço",0,IF(OR(AND(AUTOEVENTO="Manual",$M190=1),$M190&gt;(ROW(PLE.lastrow)-ROW(PLE.firstrow))),0,IF(OFFSET(PLE!$G$14,$M190,BF$13)="",10^12,OFFSET(PLE!$G$14,$M190,BF$13))))</f>
        <v>1000000000000</v>
      </c>
      <c r="BG190" s="182">
        <f ca="1">IF($D190&lt;&gt;"Serviço",0,IF(OR(AND(AUTOEVENTO="Manual",$M190=1),$M190&gt;(ROW(PLE.lastrow)-ROW(PLE.firstrow))),0,IF(OFFSET(PLE!$G$14,$M190,BG$13)="",10^12,OFFSET(PLE!$G$14,$M190,BG$13))))</f>
        <v>1000000000000</v>
      </c>
    </row>
    <row r="191" spans="1:59" ht="38.25" x14ac:dyDescent="0.2">
      <c r="A191" s="7" t="str">
        <f t="shared" ca="1" si="10"/>
        <v>71</v>
      </c>
      <c r="B191" s="7" t="str">
        <f ca="1">OFFSET(ORÇAMENTO!C$15,ROW(B191)-ROW(B$15),0)</f>
        <v>S</v>
      </c>
      <c r="C191" s="7" t="str">
        <f ca="1">OFFSET(ORÇAMENTO!L$15,ROW(C191)-ROW(C$15),0)</f>
        <v>F</v>
      </c>
      <c r="D191" s="118" t="str">
        <f ca="1">OFFSET(ORÇAMENTO!N$15,ROW(D191)-ROW(D$15),0)</f>
        <v>Serviço</v>
      </c>
      <c r="E191" s="119" t="str">
        <f ca="1">OFFSET(ORÇAMENTO!O$15,ROW(E191)-ROW(E$15),0)</f>
        <v>1.6.18.3.</v>
      </c>
      <c r="F191" s="172" t="str">
        <f ca="1">OFFSET(ORÇAMENTO!R$15,ROW(F191)-ROW(F$15),0)</f>
        <v>(abra o arquivo 'Referência 03-2024.xlsm)</v>
      </c>
      <c r="G191" s="173" t="str">
        <f ca="1">IF($D191&lt;&gt;"Serviço","",OFFSET(ORÇAMENTO!S$15,ROW(G191)-ROW(G$15),0))</f>
        <v>-</v>
      </c>
      <c r="H191" s="124">
        <f ca="1">IF($D191&lt;&gt;"Serviço",0,IF(ACOMPANHAMENTO="BM",ROUND(OFFSET(ORÇAMENTO!AJ$15,ROW(H191)-ROW(H$15),0),15-13*ORÇAMENTO!$AF$7),SUMPRODUCT(($Q$12:$AA$12&lt;&gt;"")*ROUND($Q191:$AA191,15-13*ORÇAMENTO!$AF$7))))</f>
        <v>1</v>
      </c>
      <c r="I191" s="561"/>
      <c r="K191" s="174"/>
      <c r="L191" s="175" t="s">
        <v>255</v>
      </c>
      <c r="M191" s="176">
        <f ca="1">IF($D191&lt;&gt;"Serviço","",IF(AUTOEVENTO="manual",$A191,IF(ISERROR(MATCH($A191,$A$15:OFFSET($A191,-1,0),0)),MAX($M$15:OFFSET(M191,-1,0))+1,INDEX($M$15:OFFSET(M191,-1,0),MATCH($A191,$A$15:OFFSET($A191,-1,0),0)))))</f>
        <v>7</v>
      </c>
      <c r="N191" s="177" t="str">
        <f ca="1">IF($D191&lt;&gt;"Serviço","",IF(AUTOEVENTO="Manual",IF($A191=0,"&lt;-- defina o número do agrupador",OFFSET(EVENTOS!$D$14,$A191,0)),OFFSET($F$15,$A191,0)))</f>
        <v>SANITÁRIO PÚBLICO ACESSÍVEL</v>
      </c>
      <c r="O191" s="178"/>
      <c r="Q191" s="178"/>
      <c r="R191" s="179"/>
      <c r="S191" s="179"/>
      <c r="T191" s="179"/>
      <c r="U191" s="179"/>
      <c r="V191" s="179"/>
      <c r="W191" s="179"/>
      <c r="X191" s="179"/>
      <c r="Y191" s="179"/>
      <c r="Z191" s="180"/>
      <c r="AB191" s="544">
        <f ca="1">IF(AND($D191="Serviço",AB$12&lt;&gt;0,$H191&gt;0,OR(AUTOEVENTO&lt;&gt;"manual",$M191&lt;&gt;1)),
IF(Import.TipoArredondamento&lt;&gt;"TransfereGOV",
ROUND(OFFSET($P191,0,AB$13),15-13*ORÇAMENTO!$AF$7)/$H191*OFFSET(ORÇAMENTO!$X$15,ROW(AB191)-ROW(AB$15),0),
ROUND(ROUND(OFFSET($P191,0,AB$13),15-13*ORÇAMENTO!$AF$7)*OFFSET(ORÇAMENTO!$W$15,ROW(AB191)-ROW(AB$15),0),15-13*ORÇAMENTO!$AF$11)),0)</f>
        <v>0</v>
      </c>
      <c r="AC191" s="545">
        <f ca="1">IF(AND($D191="Serviço",AC$12&lt;&gt;0,$H191&gt;0,OR(AUTOEVENTO&lt;&gt;"manual",$M191&lt;&gt;1)),
IF(Import.TipoArredondamento&lt;&gt;"TransfereGOV",
ROUND(OFFSET($P191,0,AC$13),15-13*ORÇAMENTO!$AF$7)/$H191*OFFSET(ORÇAMENTO!$X$15,ROW(AC191)-ROW(AC$15),0),
ROUND(ROUND(OFFSET($P191,0,AC$13),15-13*ORÇAMENTO!$AF$7)*OFFSET(ORÇAMENTO!$W$15,ROW(AC191)-ROW(AC$15),0),15-13*ORÇAMENTO!$AF$11)),0)</f>
        <v>0</v>
      </c>
      <c r="AD191" s="545">
        <f ca="1">IF(AND($D191="Serviço",AD$12&lt;&gt;0,$H191&gt;0,OR(AUTOEVENTO&lt;&gt;"manual",$M191&lt;&gt;1)),
IF(Import.TipoArredondamento&lt;&gt;"TransfereGOV",
ROUND(OFFSET($P191,0,AD$13),15-13*ORÇAMENTO!$AF$7)/$H191*OFFSET(ORÇAMENTO!$X$15,ROW(AD191)-ROW(AD$15),0),
ROUND(ROUND(OFFSET($P191,0,AD$13),15-13*ORÇAMENTO!$AF$7)*OFFSET(ORÇAMENTO!$W$15,ROW(AD191)-ROW(AD$15),0),15-13*ORÇAMENTO!$AF$11)),0)</f>
        <v>0</v>
      </c>
      <c r="AE191" s="545">
        <f ca="1">IF(AND($D191="Serviço",AE$12&lt;&gt;0,$H191&gt;0,OR(AUTOEVENTO&lt;&gt;"manual",$M191&lt;&gt;1)),
IF(Import.TipoArredondamento&lt;&gt;"TransfereGOV",
ROUND(OFFSET($P191,0,AE$13),15-13*ORÇAMENTO!$AF$7)/$H191*OFFSET(ORÇAMENTO!$X$15,ROW(AE191)-ROW(AE$15),0),
ROUND(ROUND(OFFSET($P191,0,AE$13),15-13*ORÇAMENTO!$AF$7)*OFFSET(ORÇAMENTO!$W$15,ROW(AE191)-ROW(AE$15),0),15-13*ORÇAMENTO!$AF$11)),0)</f>
        <v>0</v>
      </c>
      <c r="AF191" s="545">
        <f ca="1">IF(AND($D191="Serviço",AF$12&lt;&gt;0,$H191&gt;0,OR(AUTOEVENTO&lt;&gt;"manual",$M191&lt;&gt;1)),
IF(Import.TipoArredondamento&lt;&gt;"TransfereGOV",
ROUND(OFFSET($P191,0,AF$13),15-13*ORÇAMENTO!$AF$7)/$H191*OFFSET(ORÇAMENTO!$X$15,ROW(AF191)-ROW(AF$15),0),
ROUND(ROUND(OFFSET($P191,0,AF$13),15-13*ORÇAMENTO!$AF$7)*OFFSET(ORÇAMENTO!$W$15,ROW(AF191)-ROW(AF$15),0),15-13*ORÇAMENTO!$AF$11)),0)</f>
        <v>0</v>
      </c>
      <c r="AG191" s="545">
        <f ca="1">IF(AND($D191="Serviço",AG$12&lt;&gt;0,$H191&gt;0,OR(AUTOEVENTO&lt;&gt;"manual",$M191&lt;&gt;1)),
IF(Import.TipoArredondamento&lt;&gt;"TransfereGOV",
ROUND(OFFSET($P191,0,AG$13),15-13*ORÇAMENTO!$AF$7)/$H191*OFFSET(ORÇAMENTO!$X$15,ROW(AG191)-ROW(AG$15),0),
ROUND(ROUND(OFFSET($P191,0,AG$13),15-13*ORÇAMENTO!$AF$7)*OFFSET(ORÇAMENTO!$W$15,ROW(AG191)-ROW(AG$15),0),15-13*ORÇAMENTO!$AF$11)),0)</f>
        <v>0</v>
      </c>
      <c r="AH191" s="545">
        <f ca="1">IF(AND($D191="Serviço",AH$12&lt;&gt;0,$H191&gt;0,OR(AUTOEVENTO&lt;&gt;"manual",$M191&lt;&gt;1)),
IF(Import.TipoArredondamento&lt;&gt;"TransfereGOV",
ROUND(OFFSET($P191,0,AH$13),15-13*ORÇAMENTO!$AF$7)/$H191*OFFSET(ORÇAMENTO!$X$15,ROW(AH191)-ROW(AH$15),0),
ROUND(ROUND(OFFSET($P191,0,AH$13),15-13*ORÇAMENTO!$AF$7)*OFFSET(ORÇAMENTO!$W$15,ROW(AH191)-ROW(AH$15),0),15-13*ORÇAMENTO!$AF$11)),0)</f>
        <v>0</v>
      </c>
      <c r="AI191" s="545">
        <f ca="1">IF(AND($D191="Serviço",AI$12&lt;&gt;0,$H191&gt;0,OR(AUTOEVENTO&lt;&gt;"manual",$M191&lt;&gt;1)),
IF(Import.TipoArredondamento&lt;&gt;"TransfereGOV",
ROUND(OFFSET($P191,0,AI$13),15-13*ORÇAMENTO!$AF$7)/$H191*OFFSET(ORÇAMENTO!$X$15,ROW(AI191)-ROW(AI$15),0),
ROUND(ROUND(OFFSET($P191,0,AI$13),15-13*ORÇAMENTO!$AF$7)*OFFSET(ORÇAMENTO!$W$15,ROW(AI191)-ROW(AI$15),0),15-13*ORÇAMENTO!$AF$11)),0)</f>
        <v>0</v>
      </c>
      <c r="AJ191" s="545">
        <f ca="1">IF(AND($D191="Serviço",AJ$12&lt;&gt;0,$H191&gt;0,OR(AUTOEVENTO&lt;&gt;"manual",$M191&lt;&gt;1)),
IF(Import.TipoArredondamento&lt;&gt;"TransfereGOV",
ROUND(OFFSET($P191,0,AJ$13),15-13*ORÇAMENTO!$AF$7)/$H191*OFFSET(ORÇAMENTO!$X$15,ROW(AJ191)-ROW(AJ$15),0),
ROUND(ROUND(OFFSET($P191,0,AJ$13),15-13*ORÇAMENTO!$AF$7)*OFFSET(ORÇAMENTO!$W$15,ROW(AJ191)-ROW(AJ$15),0),15-13*ORÇAMENTO!$AF$11)),0)</f>
        <v>0</v>
      </c>
      <c r="AK191" s="546">
        <f ca="1">IF(AND($D191="Serviço",AK$12&lt;&gt;0,$H191&gt;0,OR(AUTOEVENTO&lt;&gt;"manual",$M191&lt;&gt;1)),
IF(Import.TipoArredondamento&lt;&gt;"TransfereGOV",
ROUND(OFFSET($P191,0,AK$13),15-13*ORÇAMENTO!$AF$7)/$H191*OFFSET(ORÇAMENTO!$X$15,ROW(AK191)-ROW(AK$15),0),
ROUND(ROUND(OFFSET($P191,0,AK$13),15-13*ORÇAMENTO!$AF$7)*OFFSET(ORÇAMENTO!$W$15,ROW(AK191)-ROW(AK$15),0),15-13*ORÇAMENTO!$AF$11)),0)</f>
        <v>0</v>
      </c>
      <c r="AM191" s="181">
        <f ca="1">IF($D191&lt;&gt;"Serviço",0,IF(AND(AUTOEVENTO="Manual",$M191=1),0,IF(OFFSET(CRONOPLE!$F$14,$M191,AM$13)="",10^12,OFFSET(CRONOPLE!$F$14,$M191,AM$13))))</f>
        <v>1000000000000</v>
      </c>
      <c r="AN191" s="181">
        <f ca="1">IF($D191&lt;&gt;"Serviço",0,IF(AND(AUTOEVENTO="Manual",$M191=1),0,IF(OFFSET(CRONOPLE!$F$14,$M191,AN$13)="",10^12,OFFSET(CRONOPLE!$F$14,$M191,AN$13))))</f>
        <v>1000000000000</v>
      </c>
      <c r="AO191" s="181">
        <f ca="1">IF($D191&lt;&gt;"Serviço",0,IF(AND(AUTOEVENTO="Manual",$M191=1),0,IF(OFFSET(CRONOPLE!$F$14,$M191,AO$13)="",10^12,OFFSET(CRONOPLE!$F$14,$M191,AO$13))))</f>
        <v>1000000000000</v>
      </c>
      <c r="AP191" s="181">
        <f ca="1">IF($D191&lt;&gt;"Serviço",0,IF(AND(AUTOEVENTO="Manual",$M191=1),0,IF(OFFSET(CRONOPLE!$F$14,$M191,AP$13)="",10^12,OFFSET(CRONOPLE!$F$14,$M191,AP$13))))</f>
        <v>1000000000000</v>
      </c>
      <c r="AQ191" s="181">
        <f ca="1">IF($D191&lt;&gt;"Serviço",0,IF(AND(AUTOEVENTO="Manual",$M191=1),0,IF(OFFSET(CRONOPLE!$F$14,$M191,AQ$13)="",10^12,OFFSET(CRONOPLE!$F$14,$M191,AQ$13))))</f>
        <v>1000000000000</v>
      </c>
      <c r="AR191" s="181">
        <f ca="1">IF($D191&lt;&gt;"Serviço",0,IF(AND(AUTOEVENTO="Manual",$M191=1),0,IF(OFFSET(CRONOPLE!$F$14,$M191,AR$13)="",10^12,OFFSET(CRONOPLE!$F$14,$M191,AR$13))))</f>
        <v>1000000000000</v>
      </c>
      <c r="AS191" s="181">
        <f ca="1">IF($D191&lt;&gt;"Serviço",0,IF(AND(AUTOEVENTO="Manual",$M191=1),0,IF(OFFSET(CRONOPLE!$F$14,$M191,AS$13)="",10^12,OFFSET(CRONOPLE!$F$14,$M191,AS$13))))</f>
        <v>1000000000000</v>
      </c>
      <c r="AT191" s="181">
        <f ca="1">IF($D191&lt;&gt;"Serviço",0,IF(AND(AUTOEVENTO="Manual",$M191=1),0,IF(OFFSET(CRONOPLE!$F$14,$M191,AT$13)="",10^12,OFFSET(CRONOPLE!$F$14,$M191,AT$13))))</f>
        <v>1000000000000</v>
      </c>
      <c r="AU191" s="181">
        <f ca="1">IF($D191&lt;&gt;"Serviço",0,IF(AND(AUTOEVENTO="Manual",$M191=1),0,IF(OFFSET(CRONOPLE!$F$14,$M191,AU$13)="",10^12,OFFSET(CRONOPLE!$F$14,$M191,AU$13))))</f>
        <v>1000000000000</v>
      </c>
      <c r="AV191" s="181">
        <f ca="1">IF($D191&lt;&gt;"Serviço",0,IF(AND(AUTOEVENTO="Manual",$M191=1),0,IF(OFFSET(CRONOPLE!$F$14,$M191,AV$13)="",10^12,OFFSET(CRONOPLE!$F$14,$M191,AV$13))))</f>
        <v>1000000000000</v>
      </c>
      <c r="AX191" s="182">
        <f ca="1">IF($D191&lt;&gt;"Serviço",0,IF(OR(AND(AUTOEVENTO="Manual",$M191=1),$M191&gt;(ROW(PLE.lastrow)-ROW(PLE.firstrow))),0,IF(OFFSET(PLE!$G$14,$M191,AX$13)="",10^12,OFFSET(PLE!$G$14,$M191,AX$13))))</f>
        <v>1000000000000</v>
      </c>
      <c r="AY191" s="182">
        <f ca="1">IF($D191&lt;&gt;"Serviço",0,IF(OR(AND(AUTOEVENTO="Manual",$M191=1),$M191&gt;(ROW(PLE.lastrow)-ROW(PLE.firstrow))),0,IF(OFFSET(PLE!$G$14,$M191,AY$13)="",10^12,OFFSET(PLE!$G$14,$M191,AY$13))))</f>
        <v>1000000000000</v>
      </c>
      <c r="AZ191" s="182">
        <f ca="1">IF($D191&lt;&gt;"Serviço",0,IF(OR(AND(AUTOEVENTO="Manual",$M191=1),$M191&gt;(ROW(PLE.lastrow)-ROW(PLE.firstrow))),0,IF(OFFSET(PLE!$G$14,$M191,AZ$13)="",10^12,OFFSET(PLE!$G$14,$M191,AZ$13))))</f>
        <v>1000000000000</v>
      </c>
      <c r="BA191" s="182">
        <f ca="1">IF($D191&lt;&gt;"Serviço",0,IF(OR(AND(AUTOEVENTO="Manual",$M191=1),$M191&gt;(ROW(PLE.lastrow)-ROW(PLE.firstrow))),0,IF(OFFSET(PLE!$G$14,$M191,BA$13)="",10^12,OFFSET(PLE!$G$14,$M191,BA$13))))</f>
        <v>1000000000000</v>
      </c>
      <c r="BB191" s="182">
        <f ca="1">IF($D191&lt;&gt;"Serviço",0,IF(OR(AND(AUTOEVENTO="Manual",$M191=1),$M191&gt;(ROW(PLE.lastrow)-ROW(PLE.firstrow))),0,IF(OFFSET(PLE!$G$14,$M191,BB$13)="",10^12,OFFSET(PLE!$G$14,$M191,BB$13))))</f>
        <v>1000000000000</v>
      </c>
      <c r="BC191" s="182">
        <f ca="1">IF($D191&lt;&gt;"Serviço",0,IF(OR(AND(AUTOEVENTO="Manual",$M191=1),$M191&gt;(ROW(PLE.lastrow)-ROW(PLE.firstrow))),0,IF(OFFSET(PLE!$G$14,$M191,BC$13)="",10^12,OFFSET(PLE!$G$14,$M191,BC$13))))</f>
        <v>1000000000000</v>
      </c>
      <c r="BD191" s="182">
        <f ca="1">IF($D191&lt;&gt;"Serviço",0,IF(OR(AND(AUTOEVENTO="Manual",$M191=1),$M191&gt;(ROW(PLE.lastrow)-ROW(PLE.firstrow))),0,IF(OFFSET(PLE!$G$14,$M191,BD$13)="",10^12,OFFSET(PLE!$G$14,$M191,BD$13))))</f>
        <v>1000000000000</v>
      </c>
      <c r="BE191" s="182">
        <f ca="1">IF($D191&lt;&gt;"Serviço",0,IF(OR(AND(AUTOEVENTO="Manual",$M191=1),$M191&gt;(ROW(PLE.lastrow)-ROW(PLE.firstrow))),0,IF(OFFSET(PLE!$G$14,$M191,BE$13)="",10^12,OFFSET(PLE!$G$14,$M191,BE$13))))</f>
        <v>1000000000000</v>
      </c>
      <c r="BF191" s="182">
        <f ca="1">IF($D191&lt;&gt;"Serviço",0,IF(OR(AND(AUTOEVENTO="Manual",$M191=1),$M191&gt;(ROW(PLE.lastrow)-ROW(PLE.firstrow))),0,IF(OFFSET(PLE!$G$14,$M191,BF$13)="",10^12,OFFSET(PLE!$G$14,$M191,BF$13))))</f>
        <v>1000000000000</v>
      </c>
      <c r="BG191" s="182">
        <f ca="1">IF($D191&lt;&gt;"Serviço",0,IF(OR(AND(AUTOEVENTO="Manual",$M191=1),$M191&gt;(ROW(PLE.lastrow)-ROW(PLE.firstrow))),0,IF(OFFSET(PLE!$G$14,$M191,BG$13)="",10^12,OFFSET(PLE!$G$14,$M191,BG$13))))</f>
        <v>1000000000000</v>
      </c>
    </row>
    <row r="192" spans="1:59" ht="12.75" x14ac:dyDescent="0.2">
      <c r="A192" s="7" t="str">
        <f t="shared" ca="1" si="10"/>
        <v>177.</v>
      </c>
      <c r="B192" s="7">
        <f ca="1">OFFSET(ORÇAMENTO!C$15,ROW(B192)-ROW(B$15),0)</f>
        <v>2</v>
      </c>
      <c r="C192" s="7" t="str">
        <f ca="1">OFFSET(ORÇAMENTO!L$15,ROW(C192)-ROW(C$15),0)</f>
        <v>F</v>
      </c>
      <c r="D192" s="118" t="str">
        <f ca="1">OFFSET(ORÇAMENTO!N$15,ROW(D192)-ROW(D$15),0)</f>
        <v>Nível 2</v>
      </c>
      <c r="E192" s="119" t="str">
        <f ca="1">OFFSET(ORÇAMENTO!O$15,ROW(E192)-ROW(E$15),0)</f>
        <v>1.7.</v>
      </c>
      <c r="F192" s="172" t="str">
        <f ca="1">OFFSET(ORÇAMENTO!R$15,ROW(F192)-ROW(F$15),0)</f>
        <v>PASSEIO PÚBLICO E PAVIMENTAÇÃO INTERNA</v>
      </c>
      <c r="G192" s="173" t="str">
        <f ca="1">IF($D192&lt;&gt;"Serviço","",OFFSET(ORÇAMENTO!S$15,ROW(G192)-ROW(G$15),0))</f>
        <v/>
      </c>
      <c r="H192" s="124">
        <f ca="1">IF($D192&lt;&gt;"Serviço",0,IF(ACOMPANHAMENTO="BM",ROUND(OFFSET(ORÇAMENTO!AJ$15,ROW(H192)-ROW(H$15),0),15-13*ORÇAMENTO!$AF$7),SUMPRODUCT(($Q$12:$AA$12&lt;&gt;"")*ROUND($Q192:$AA192,15-13*ORÇAMENTO!$AF$7))))</f>
        <v>0</v>
      </c>
      <c r="I192" s="561"/>
      <c r="K192" s="174"/>
      <c r="L192" s="175" t="s">
        <v>255</v>
      </c>
      <c r="M192" s="176" t="str">
        <f ca="1">IF($D192&lt;&gt;"Serviço","",IF(AUTOEVENTO="manual",$A192,IF(ISERROR(MATCH($A192,$A$15:OFFSET($A192,-1,0),0)),MAX($M$15:OFFSET(M192,-1,0))+1,INDEX($M$15:OFFSET(M192,-1,0),MATCH($A192,$A$15:OFFSET($A192,-1,0),0)))))</f>
        <v/>
      </c>
      <c r="N192" s="177" t="str">
        <f ca="1">IF($D192&lt;&gt;"Serviço","",IF(AUTOEVENTO="Manual",IF($A192=0,"&lt;-- defina o número do agrupador",OFFSET(EVENTOS!$D$14,$A192,0)),OFFSET($F$15,$A192,0)))</f>
        <v/>
      </c>
      <c r="O192" s="178"/>
      <c r="Q192" s="178"/>
      <c r="R192" s="179"/>
      <c r="S192" s="179"/>
      <c r="T192" s="179"/>
      <c r="U192" s="179"/>
      <c r="V192" s="179"/>
      <c r="W192" s="179"/>
      <c r="X192" s="179"/>
      <c r="Y192" s="179"/>
      <c r="Z192" s="180"/>
      <c r="AB192" s="544">
        <f ca="1">IF(AND($D192="Serviço",AB$12&lt;&gt;0,$H192&gt;0,OR(AUTOEVENTO&lt;&gt;"manual",$M192&lt;&gt;1)),
IF(Import.TipoArredondamento&lt;&gt;"TransfereGOV",
ROUND(OFFSET($P192,0,AB$13),15-13*ORÇAMENTO!$AF$7)/$H192*OFFSET(ORÇAMENTO!$X$15,ROW(AB192)-ROW(AB$15),0),
ROUND(ROUND(OFFSET($P192,0,AB$13),15-13*ORÇAMENTO!$AF$7)*OFFSET(ORÇAMENTO!$W$15,ROW(AB192)-ROW(AB$15),0),15-13*ORÇAMENTO!$AF$11)),0)</f>
        <v>0</v>
      </c>
      <c r="AC192" s="545">
        <f ca="1">IF(AND($D192="Serviço",AC$12&lt;&gt;0,$H192&gt;0,OR(AUTOEVENTO&lt;&gt;"manual",$M192&lt;&gt;1)),
IF(Import.TipoArredondamento&lt;&gt;"TransfereGOV",
ROUND(OFFSET($P192,0,AC$13),15-13*ORÇAMENTO!$AF$7)/$H192*OFFSET(ORÇAMENTO!$X$15,ROW(AC192)-ROW(AC$15),0),
ROUND(ROUND(OFFSET($P192,0,AC$13),15-13*ORÇAMENTO!$AF$7)*OFFSET(ORÇAMENTO!$W$15,ROW(AC192)-ROW(AC$15),0),15-13*ORÇAMENTO!$AF$11)),0)</f>
        <v>0</v>
      </c>
      <c r="AD192" s="545">
        <f ca="1">IF(AND($D192="Serviço",AD$12&lt;&gt;0,$H192&gt;0,OR(AUTOEVENTO&lt;&gt;"manual",$M192&lt;&gt;1)),
IF(Import.TipoArredondamento&lt;&gt;"TransfereGOV",
ROUND(OFFSET($P192,0,AD$13),15-13*ORÇAMENTO!$AF$7)/$H192*OFFSET(ORÇAMENTO!$X$15,ROW(AD192)-ROW(AD$15),0),
ROUND(ROUND(OFFSET($P192,0,AD$13),15-13*ORÇAMENTO!$AF$7)*OFFSET(ORÇAMENTO!$W$15,ROW(AD192)-ROW(AD$15),0),15-13*ORÇAMENTO!$AF$11)),0)</f>
        <v>0</v>
      </c>
      <c r="AE192" s="545">
        <f ca="1">IF(AND($D192="Serviço",AE$12&lt;&gt;0,$H192&gt;0,OR(AUTOEVENTO&lt;&gt;"manual",$M192&lt;&gt;1)),
IF(Import.TipoArredondamento&lt;&gt;"TransfereGOV",
ROUND(OFFSET($P192,0,AE$13),15-13*ORÇAMENTO!$AF$7)/$H192*OFFSET(ORÇAMENTO!$X$15,ROW(AE192)-ROW(AE$15),0),
ROUND(ROUND(OFFSET($P192,0,AE$13),15-13*ORÇAMENTO!$AF$7)*OFFSET(ORÇAMENTO!$W$15,ROW(AE192)-ROW(AE$15),0),15-13*ORÇAMENTO!$AF$11)),0)</f>
        <v>0</v>
      </c>
      <c r="AF192" s="545">
        <f ca="1">IF(AND($D192="Serviço",AF$12&lt;&gt;0,$H192&gt;0,OR(AUTOEVENTO&lt;&gt;"manual",$M192&lt;&gt;1)),
IF(Import.TipoArredondamento&lt;&gt;"TransfereGOV",
ROUND(OFFSET($P192,0,AF$13),15-13*ORÇAMENTO!$AF$7)/$H192*OFFSET(ORÇAMENTO!$X$15,ROW(AF192)-ROW(AF$15),0),
ROUND(ROUND(OFFSET($P192,0,AF$13),15-13*ORÇAMENTO!$AF$7)*OFFSET(ORÇAMENTO!$W$15,ROW(AF192)-ROW(AF$15),0),15-13*ORÇAMENTO!$AF$11)),0)</f>
        <v>0</v>
      </c>
      <c r="AG192" s="545">
        <f ca="1">IF(AND($D192="Serviço",AG$12&lt;&gt;0,$H192&gt;0,OR(AUTOEVENTO&lt;&gt;"manual",$M192&lt;&gt;1)),
IF(Import.TipoArredondamento&lt;&gt;"TransfereGOV",
ROUND(OFFSET($P192,0,AG$13),15-13*ORÇAMENTO!$AF$7)/$H192*OFFSET(ORÇAMENTO!$X$15,ROW(AG192)-ROW(AG$15),0),
ROUND(ROUND(OFFSET($P192,0,AG$13),15-13*ORÇAMENTO!$AF$7)*OFFSET(ORÇAMENTO!$W$15,ROW(AG192)-ROW(AG$15),0),15-13*ORÇAMENTO!$AF$11)),0)</f>
        <v>0</v>
      </c>
      <c r="AH192" s="545">
        <f ca="1">IF(AND($D192="Serviço",AH$12&lt;&gt;0,$H192&gt;0,OR(AUTOEVENTO&lt;&gt;"manual",$M192&lt;&gt;1)),
IF(Import.TipoArredondamento&lt;&gt;"TransfereGOV",
ROUND(OFFSET($P192,0,AH$13),15-13*ORÇAMENTO!$AF$7)/$H192*OFFSET(ORÇAMENTO!$X$15,ROW(AH192)-ROW(AH$15),0),
ROUND(ROUND(OFFSET($P192,0,AH$13),15-13*ORÇAMENTO!$AF$7)*OFFSET(ORÇAMENTO!$W$15,ROW(AH192)-ROW(AH$15),0),15-13*ORÇAMENTO!$AF$11)),0)</f>
        <v>0</v>
      </c>
      <c r="AI192" s="545">
        <f ca="1">IF(AND($D192="Serviço",AI$12&lt;&gt;0,$H192&gt;0,OR(AUTOEVENTO&lt;&gt;"manual",$M192&lt;&gt;1)),
IF(Import.TipoArredondamento&lt;&gt;"TransfereGOV",
ROUND(OFFSET($P192,0,AI$13),15-13*ORÇAMENTO!$AF$7)/$H192*OFFSET(ORÇAMENTO!$X$15,ROW(AI192)-ROW(AI$15),0),
ROUND(ROUND(OFFSET($P192,0,AI$13),15-13*ORÇAMENTO!$AF$7)*OFFSET(ORÇAMENTO!$W$15,ROW(AI192)-ROW(AI$15),0),15-13*ORÇAMENTO!$AF$11)),0)</f>
        <v>0</v>
      </c>
      <c r="AJ192" s="545">
        <f ca="1">IF(AND($D192="Serviço",AJ$12&lt;&gt;0,$H192&gt;0,OR(AUTOEVENTO&lt;&gt;"manual",$M192&lt;&gt;1)),
IF(Import.TipoArredondamento&lt;&gt;"TransfereGOV",
ROUND(OFFSET($P192,0,AJ$13),15-13*ORÇAMENTO!$AF$7)/$H192*OFFSET(ORÇAMENTO!$X$15,ROW(AJ192)-ROW(AJ$15),0),
ROUND(ROUND(OFFSET($P192,0,AJ$13),15-13*ORÇAMENTO!$AF$7)*OFFSET(ORÇAMENTO!$W$15,ROW(AJ192)-ROW(AJ$15),0),15-13*ORÇAMENTO!$AF$11)),0)</f>
        <v>0</v>
      </c>
      <c r="AK192" s="546">
        <f ca="1">IF(AND($D192="Serviço",AK$12&lt;&gt;0,$H192&gt;0,OR(AUTOEVENTO&lt;&gt;"manual",$M192&lt;&gt;1)),
IF(Import.TipoArredondamento&lt;&gt;"TransfereGOV",
ROUND(OFFSET($P192,0,AK$13),15-13*ORÇAMENTO!$AF$7)/$H192*OFFSET(ORÇAMENTO!$X$15,ROW(AK192)-ROW(AK$15),0),
ROUND(ROUND(OFFSET($P192,0,AK$13),15-13*ORÇAMENTO!$AF$7)*OFFSET(ORÇAMENTO!$W$15,ROW(AK192)-ROW(AK$15),0),15-13*ORÇAMENTO!$AF$11)),0)</f>
        <v>0</v>
      </c>
      <c r="AM192" s="181">
        <f ca="1">IF($D192&lt;&gt;"Serviço",0,IF(AND(AUTOEVENTO="Manual",$M192=1),0,IF(OFFSET(CRONOPLE!$F$14,$M192,AM$13)="",10^12,OFFSET(CRONOPLE!$F$14,$M192,AM$13))))</f>
        <v>0</v>
      </c>
      <c r="AN192" s="181">
        <f ca="1">IF($D192&lt;&gt;"Serviço",0,IF(AND(AUTOEVENTO="Manual",$M192=1),0,IF(OFFSET(CRONOPLE!$F$14,$M192,AN$13)="",10^12,OFFSET(CRONOPLE!$F$14,$M192,AN$13))))</f>
        <v>0</v>
      </c>
      <c r="AO192" s="181">
        <f ca="1">IF($D192&lt;&gt;"Serviço",0,IF(AND(AUTOEVENTO="Manual",$M192=1),0,IF(OFFSET(CRONOPLE!$F$14,$M192,AO$13)="",10^12,OFFSET(CRONOPLE!$F$14,$M192,AO$13))))</f>
        <v>0</v>
      </c>
      <c r="AP192" s="181">
        <f ca="1">IF($D192&lt;&gt;"Serviço",0,IF(AND(AUTOEVENTO="Manual",$M192=1),0,IF(OFFSET(CRONOPLE!$F$14,$M192,AP$13)="",10^12,OFFSET(CRONOPLE!$F$14,$M192,AP$13))))</f>
        <v>0</v>
      </c>
      <c r="AQ192" s="181">
        <f ca="1">IF($D192&lt;&gt;"Serviço",0,IF(AND(AUTOEVENTO="Manual",$M192=1),0,IF(OFFSET(CRONOPLE!$F$14,$M192,AQ$13)="",10^12,OFFSET(CRONOPLE!$F$14,$M192,AQ$13))))</f>
        <v>0</v>
      </c>
      <c r="AR192" s="181">
        <f ca="1">IF($D192&lt;&gt;"Serviço",0,IF(AND(AUTOEVENTO="Manual",$M192=1),0,IF(OFFSET(CRONOPLE!$F$14,$M192,AR$13)="",10^12,OFFSET(CRONOPLE!$F$14,$M192,AR$13))))</f>
        <v>0</v>
      </c>
      <c r="AS192" s="181">
        <f ca="1">IF($D192&lt;&gt;"Serviço",0,IF(AND(AUTOEVENTO="Manual",$M192=1),0,IF(OFFSET(CRONOPLE!$F$14,$M192,AS$13)="",10^12,OFFSET(CRONOPLE!$F$14,$M192,AS$13))))</f>
        <v>0</v>
      </c>
      <c r="AT192" s="181">
        <f ca="1">IF($D192&lt;&gt;"Serviço",0,IF(AND(AUTOEVENTO="Manual",$M192=1),0,IF(OFFSET(CRONOPLE!$F$14,$M192,AT$13)="",10^12,OFFSET(CRONOPLE!$F$14,$M192,AT$13))))</f>
        <v>0</v>
      </c>
      <c r="AU192" s="181">
        <f ca="1">IF($D192&lt;&gt;"Serviço",0,IF(AND(AUTOEVENTO="Manual",$M192=1),0,IF(OFFSET(CRONOPLE!$F$14,$M192,AU$13)="",10^12,OFFSET(CRONOPLE!$F$14,$M192,AU$13))))</f>
        <v>0</v>
      </c>
      <c r="AV192" s="181">
        <f ca="1">IF($D192&lt;&gt;"Serviço",0,IF(AND(AUTOEVENTO="Manual",$M192=1),0,IF(OFFSET(CRONOPLE!$F$14,$M192,AV$13)="",10^12,OFFSET(CRONOPLE!$F$14,$M192,AV$13))))</f>
        <v>0</v>
      </c>
      <c r="AX192" s="182">
        <f ca="1">IF($D192&lt;&gt;"Serviço",0,IF(OR(AND(AUTOEVENTO="Manual",$M192=1),$M192&gt;(ROW(PLE.lastrow)-ROW(PLE.firstrow))),0,IF(OFFSET(PLE!$G$14,$M192,AX$13)="",10^12,OFFSET(PLE!$G$14,$M192,AX$13))))</f>
        <v>0</v>
      </c>
      <c r="AY192" s="182">
        <f ca="1">IF($D192&lt;&gt;"Serviço",0,IF(OR(AND(AUTOEVENTO="Manual",$M192=1),$M192&gt;(ROW(PLE.lastrow)-ROW(PLE.firstrow))),0,IF(OFFSET(PLE!$G$14,$M192,AY$13)="",10^12,OFFSET(PLE!$G$14,$M192,AY$13))))</f>
        <v>0</v>
      </c>
      <c r="AZ192" s="182">
        <f ca="1">IF($D192&lt;&gt;"Serviço",0,IF(OR(AND(AUTOEVENTO="Manual",$M192=1),$M192&gt;(ROW(PLE.lastrow)-ROW(PLE.firstrow))),0,IF(OFFSET(PLE!$G$14,$M192,AZ$13)="",10^12,OFFSET(PLE!$G$14,$M192,AZ$13))))</f>
        <v>0</v>
      </c>
      <c r="BA192" s="182">
        <f ca="1">IF($D192&lt;&gt;"Serviço",0,IF(OR(AND(AUTOEVENTO="Manual",$M192=1),$M192&gt;(ROW(PLE.lastrow)-ROW(PLE.firstrow))),0,IF(OFFSET(PLE!$G$14,$M192,BA$13)="",10^12,OFFSET(PLE!$G$14,$M192,BA$13))))</f>
        <v>0</v>
      </c>
      <c r="BB192" s="182">
        <f ca="1">IF($D192&lt;&gt;"Serviço",0,IF(OR(AND(AUTOEVENTO="Manual",$M192=1),$M192&gt;(ROW(PLE.lastrow)-ROW(PLE.firstrow))),0,IF(OFFSET(PLE!$G$14,$M192,BB$13)="",10^12,OFFSET(PLE!$G$14,$M192,BB$13))))</f>
        <v>0</v>
      </c>
      <c r="BC192" s="182">
        <f ca="1">IF($D192&lt;&gt;"Serviço",0,IF(OR(AND(AUTOEVENTO="Manual",$M192=1),$M192&gt;(ROW(PLE.lastrow)-ROW(PLE.firstrow))),0,IF(OFFSET(PLE!$G$14,$M192,BC$13)="",10^12,OFFSET(PLE!$G$14,$M192,BC$13))))</f>
        <v>0</v>
      </c>
      <c r="BD192" s="182">
        <f ca="1">IF($D192&lt;&gt;"Serviço",0,IF(OR(AND(AUTOEVENTO="Manual",$M192=1),$M192&gt;(ROW(PLE.lastrow)-ROW(PLE.firstrow))),0,IF(OFFSET(PLE!$G$14,$M192,BD$13)="",10^12,OFFSET(PLE!$G$14,$M192,BD$13))))</f>
        <v>0</v>
      </c>
      <c r="BE192" s="182">
        <f ca="1">IF($D192&lt;&gt;"Serviço",0,IF(OR(AND(AUTOEVENTO="Manual",$M192=1),$M192&gt;(ROW(PLE.lastrow)-ROW(PLE.firstrow))),0,IF(OFFSET(PLE!$G$14,$M192,BE$13)="",10^12,OFFSET(PLE!$G$14,$M192,BE$13))))</f>
        <v>0</v>
      </c>
      <c r="BF192" s="182">
        <f ca="1">IF($D192&lt;&gt;"Serviço",0,IF(OR(AND(AUTOEVENTO="Manual",$M192=1),$M192&gt;(ROW(PLE.lastrow)-ROW(PLE.firstrow))),0,IF(OFFSET(PLE!$G$14,$M192,BF$13)="",10^12,OFFSET(PLE!$G$14,$M192,BF$13))))</f>
        <v>0</v>
      </c>
      <c r="BG192" s="182">
        <f ca="1">IF($D192&lt;&gt;"Serviço",0,IF(OR(AND(AUTOEVENTO="Manual",$M192=1),$M192&gt;(ROW(PLE.lastrow)-ROW(PLE.firstrow))),0,IF(OFFSET(PLE!$G$14,$M192,BG$13)="",10^12,OFFSET(PLE!$G$14,$M192,BG$13))))</f>
        <v>0</v>
      </c>
    </row>
    <row r="193" spans="1:59" ht="38.25" x14ac:dyDescent="0.2">
      <c r="A193" s="7" t="str">
        <f t="shared" ca="1" si="10"/>
        <v>177</v>
      </c>
      <c r="B193" s="7" t="str">
        <f ca="1">OFFSET(ORÇAMENTO!C$15,ROW(B193)-ROW(B$15),0)</f>
        <v>S</v>
      </c>
      <c r="C193" s="7" t="str">
        <f ca="1">OFFSET(ORÇAMENTO!L$15,ROW(C193)-ROW(C$15),0)</f>
        <v>F</v>
      </c>
      <c r="D193" s="118" t="str">
        <f ca="1">OFFSET(ORÇAMENTO!N$15,ROW(D193)-ROW(D$15),0)</f>
        <v>Serviço</v>
      </c>
      <c r="E193" s="119" t="str">
        <f ca="1">OFFSET(ORÇAMENTO!O$15,ROW(E193)-ROW(E$15),0)</f>
        <v>1.7.0.1.</v>
      </c>
      <c r="F193" s="172" t="str">
        <f ca="1">OFFSET(ORÇAMENTO!R$15,ROW(F193)-ROW(F$15),0)</f>
        <v>(abra o arquivo 'Referência 03-2024.xlsm)</v>
      </c>
      <c r="G193" s="173" t="str">
        <f ca="1">IF($D193&lt;&gt;"Serviço","",OFFSET(ORÇAMENTO!S$15,ROW(G193)-ROW(G$15),0))</f>
        <v>-</v>
      </c>
      <c r="H193" s="124">
        <f ca="1">IF($D193&lt;&gt;"Serviço",0,IF(ACOMPANHAMENTO="BM",ROUND(OFFSET(ORÇAMENTO!AJ$15,ROW(H193)-ROW(H$15),0),15-13*ORÇAMENTO!$AF$7),SUMPRODUCT(($Q$12:$AA$12&lt;&gt;"")*ROUND($Q193:$AA193,15-13*ORÇAMENTO!$AF$7))))</f>
        <v>428.8</v>
      </c>
      <c r="I193" s="561"/>
      <c r="K193" s="174"/>
      <c r="L193" s="175" t="s">
        <v>255</v>
      </c>
      <c r="M193" s="176">
        <f ca="1">IF($D193&lt;&gt;"Serviço","",IF(AUTOEVENTO="manual",$A193,IF(ISERROR(MATCH($A193,$A$15:OFFSET($A193,-1,0),0)),MAX($M$15:OFFSET(M193,-1,0))+1,INDEX($M$15:OFFSET(M193,-1,0),MATCH($A193,$A$15:OFFSET($A193,-1,0),0)))))</f>
        <v>8</v>
      </c>
      <c r="N193" s="177" t="str">
        <f ca="1">IF($D193&lt;&gt;"Serviço","",IF(AUTOEVENTO="Manual",IF($A193=0,"&lt;-- defina o número do agrupador",OFFSET(EVENTOS!$D$14,$A193,0)),OFFSET($F$15,$A193,0)))</f>
        <v>PASSEIO PÚBLICO E PAVIMENTAÇÃO INTERNA</v>
      </c>
      <c r="O193" s="178"/>
      <c r="Q193" s="178"/>
      <c r="R193" s="179"/>
      <c r="S193" s="179"/>
      <c r="T193" s="179"/>
      <c r="U193" s="179"/>
      <c r="V193" s="179"/>
      <c r="W193" s="179"/>
      <c r="X193" s="179"/>
      <c r="Y193" s="179"/>
      <c r="Z193" s="180"/>
      <c r="AB193" s="544">
        <f ca="1">IF(AND($D193="Serviço",AB$12&lt;&gt;0,$H193&gt;0,OR(AUTOEVENTO&lt;&gt;"manual",$M193&lt;&gt;1)),
IF(Import.TipoArredondamento&lt;&gt;"TransfereGOV",
ROUND(OFFSET($P193,0,AB$13),15-13*ORÇAMENTO!$AF$7)/$H193*OFFSET(ORÇAMENTO!$X$15,ROW(AB193)-ROW(AB$15),0),
ROUND(ROUND(OFFSET($P193,0,AB$13),15-13*ORÇAMENTO!$AF$7)*OFFSET(ORÇAMENTO!$W$15,ROW(AB193)-ROW(AB$15),0),15-13*ORÇAMENTO!$AF$11)),0)</f>
        <v>0</v>
      </c>
      <c r="AC193" s="545">
        <f ca="1">IF(AND($D193="Serviço",AC$12&lt;&gt;0,$H193&gt;0,OR(AUTOEVENTO&lt;&gt;"manual",$M193&lt;&gt;1)),
IF(Import.TipoArredondamento&lt;&gt;"TransfereGOV",
ROUND(OFFSET($P193,0,AC$13),15-13*ORÇAMENTO!$AF$7)/$H193*OFFSET(ORÇAMENTO!$X$15,ROW(AC193)-ROW(AC$15),0),
ROUND(ROUND(OFFSET($P193,0,AC$13),15-13*ORÇAMENTO!$AF$7)*OFFSET(ORÇAMENTO!$W$15,ROW(AC193)-ROW(AC$15),0),15-13*ORÇAMENTO!$AF$11)),0)</f>
        <v>0</v>
      </c>
      <c r="AD193" s="545">
        <f ca="1">IF(AND($D193="Serviço",AD$12&lt;&gt;0,$H193&gt;0,OR(AUTOEVENTO&lt;&gt;"manual",$M193&lt;&gt;1)),
IF(Import.TipoArredondamento&lt;&gt;"TransfereGOV",
ROUND(OFFSET($P193,0,AD$13),15-13*ORÇAMENTO!$AF$7)/$H193*OFFSET(ORÇAMENTO!$X$15,ROW(AD193)-ROW(AD$15),0),
ROUND(ROUND(OFFSET($P193,0,AD$13),15-13*ORÇAMENTO!$AF$7)*OFFSET(ORÇAMENTO!$W$15,ROW(AD193)-ROW(AD$15),0),15-13*ORÇAMENTO!$AF$11)),0)</f>
        <v>0</v>
      </c>
      <c r="AE193" s="545">
        <f ca="1">IF(AND($D193="Serviço",AE$12&lt;&gt;0,$H193&gt;0,OR(AUTOEVENTO&lt;&gt;"manual",$M193&lt;&gt;1)),
IF(Import.TipoArredondamento&lt;&gt;"TransfereGOV",
ROUND(OFFSET($P193,0,AE$13),15-13*ORÇAMENTO!$AF$7)/$H193*OFFSET(ORÇAMENTO!$X$15,ROW(AE193)-ROW(AE$15),0),
ROUND(ROUND(OFFSET($P193,0,AE$13),15-13*ORÇAMENTO!$AF$7)*OFFSET(ORÇAMENTO!$W$15,ROW(AE193)-ROW(AE$15),0),15-13*ORÇAMENTO!$AF$11)),0)</f>
        <v>0</v>
      </c>
      <c r="AF193" s="545">
        <f ca="1">IF(AND($D193="Serviço",AF$12&lt;&gt;0,$H193&gt;0,OR(AUTOEVENTO&lt;&gt;"manual",$M193&lt;&gt;1)),
IF(Import.TipoArredondamento&lt;&gt;"TransfereGOV",
ROUND(OFFSET($P193,0,AF$13),15-13*ORÇAMENTO!$AF$7)/$H193*OFFSET(ORÇAMENTO!$X$15,ROW(AF193)-ROW(AF$15),0),
ROUND(ROUND(OFFSET($P193,0,AF$13),15-13*ORÇAMENTO!$AF$7)*OFFSET(ORÇAMENTO!$W$15,ROW(AF193)-ROW(AF$15),0),15-13*ORÇAMENTO!$AF$11)),0)</f>
        <v>0</v>
      </c>
      <c r="AG193" s="545">
        <f ca="1">IF(AND($D193="Serviço",AG$12&lt;&gt;0,$H193&gt;0,OR(AUTOEVENTO&lt;&gt;"manual",$M193&lt;&gt;1)),
IF(Import.TipoArredondamento&lt;&gt;"TransfereGOV",
ROUND(OFFSET($P193,0,AG$13),15-13*ORÇAMENTO!$AF$7)/$H193*OFFSET(ORÇAMENTO!$X$15,ROW(AG193)-ROW(AG$15),0),
ROUND(ROUND(OFFSET($P193,0,AG$13),15-13*ORÇAMENTO!$AF$7)*OFFSET(ORÇAMENTO!$W$15,ROW(AG193)-ROW(AG$15),0),15-13*ORÇAMENTO!$AF$11)),0)</f>
        <v>0</v>
      </c>
      <c r="AH193" s="545">
        <f ca="1">IF(AND($D193="Serviço",AH$12&lt;&gt;0,$H193&gt;0,OR(AUTOEVENTO&lt;&gt;"manual",$M193&lt;&gt;1)),
IF(Import.TipoArredondamento&lt;&gt;"TransfereGOV",
ROUND(OFFSET($P193,0,AH$13),15-13*ORÇAMENTO!$AF$7)/$H193*OFFSET(ORÇAMENTO!$X$15,ROW(AH193)-ROW(AH$15),0),
ROUND(ROUND(OFFSET($P193,0,AH$13),15-13*ORÇAMENTO!$AF$7)*OFFSET(ORÇAMENTO!$W$15,ROW(AH193)-ROW(AH$15),0),15-13*ORÇAMENTO!$AF$11)),0)</f>
        <v>0</v>
      </c>
      <c r="AI193" s="545">
        <f ca="1">IF(AND($D193="Serviço",AI$12&lt;&gt;0,$H193&gt;0,OR(AUTOEVENTO&lt;&gt;"manual",$M193&lt;&gt;1)),
IF(Import.TipoArredondamento&lt;&gt;"TransfereGOV",
ROUND(OFFSET($P193,0,AI$13),15-13*ORÇAMENTO!$AF$7)/$H193*OFFSET(ORÇAMENTO!$X$15,ROW(AI193)-ROW(AI$15),0),
ROUND(ROUND(OFFSET($P193,0,AI$13),15-13*ORÇAMENTO!$AF$7)*OFFSET(ORÇAMENTO!$W$15,ROW(AI193)-ROW(AI$15),0),15-13*ORÇAMENTO!$AF$11)),0)</f>
        <v>0</v>
      </c>
      <c r="AJ193" s="545">
        <f ca="1">IF(AND($D193="Serviço",AJ$12&lt;&gt;0,$H193&gt;0,OR(AUTOEVENTO&lt;&gt;"manual",$M193&lt;&gt;1)),
IF(Import.TipoArredondamento&lt;&gt;"TransfereGOV",
ROUND(OFFSET($P193,0,AJ$13),15-13*ORÇAMENTO!$AF$7)/$H193*OFFSET(ORÇAMENTO!$X$15,ROW(AJ193)-ROW(AJ$15),0),
ROUND(ROUND(OFFSET($P193,0,AJ$13),15-13*ORÇAMENTO!$AF$7)*OFFSET(ORÇAMENTO!$W$15,ROW(AJ193)-ROW(AJ$15),0),15-13*ORÇAMENTO!$AF$11)),0)</f>
        <v>0</v>
      </c>
      <c r="AK193" s="546">
        <f ca="1">IF(AND($D193="Serviço",AK$12&lt;&gt;0,$H193&gt;0,OR(AUTOEVENTO&lt;&gt;"manual",$M193&lt;&gt;1)),
IF(Import.TipoArredondamento&lt;&gt;"TransfereGOV",
ROUND(OFFSET($P193,0,AK$13),15-13*ORÇAMENTO!$AF$7)/$H193*OFFSET(ORÇAMENTO!$X$15,ROW(AK193)-ROW(AK$15),0),
ROUND(ROUND(OFFSET($P193,0,AK$13),15-13*ORÇAMENTO!$AF$7)*OFFSET(ORÇAMENTO!$W$15,ROW(AK193)-ROW(AK$15),0),15-13*ORÇAMENTO!$AF$11)),0)</f>
        <v>0</v>
      </c>
      <c r="AM193" s="181">
        <f ca="1">IF($D193&lt;&gt;"Serviço",0,IF(AND(AUTOEVENTO="Manual",$M193=1),0,IF(OFFSET(CRONOPLE!$F$14,$M193,AM$13)="",10^12,OFFSET(CRONOPLE!$F$14,$M193,AM$13))))</f>
        <v>1000000000000</v>
      </c>
      <c r="AN193" s="181">
        <f ca="1">IF($D193&lt;&gt;"Serviço",0,IF(AND(AUTOEVENTO="Manual",$M193=1),0,IF(OFFSET(CRONOPLE!$F$14,$M193,AN$13)="",10^12,OFFSET(CRONOPLE!$F$14,$M193,AN$13))))</f>
        <v>1000000000000</v>
      </c>
      <c r="AO193" s="181">
        <f ca="1">IF($D193&lt;&gt;"Serviço",0,IF(AND(AUTOEVENTO="Manual",$M193=1),0,IF(OFFSET(CRONOPLE!$F$14,$M193,AO$13)="",10^12,OFFSET(CRONOPLE!$F$14,$M193,AO$13))))</f>
        <v>1000000000000</v>
      </c>
      <c r="AP193" s="181">
        <f ca="1">IF($D193&lt;&gt;"Serviço",0,IF(AND(AUTOEVENTO="Manual",$M193=1),0,IF(OFFSET(CRONOPLE!$F$14,$M193,AP$13)="",10^12,OFFSET(CRONOPLE!$F$14,$M193,AP$13))))</f>
        <v>1000000000000</v>
      </c>
      <c r="AQ193" s="181">
        <f ca="1">IF($D193&lt;&gt;"Serviço",0,IF(AND(AUTOEVENTO="Manual",$M193=1),0,IF(OFFSET(CRONOPLE!$F$14,$M193,AQ$13)="",10^12,OFFSET(CRONOPLE!$F$14,$M193,AQ$13))))</f>
        <v>1000000000000</v>
      </c>
      <c r="AR193" s="181">
        <f ca="1">IF($D193&lt;&gt;"Serviço",0,IF(AND(AUTOEVENTO="Manual",$M193=1),0,IF(OFFSET(CRONOPLE!$F$14,$M193,AR$13)="",10^12,OFFSET(CRONOPLE!$F$14,$M193,AR$13))))</f>
        <v>1000000000000</v>
      </c>
      <c r="AS193" s="181">
        <f ca="1">IF($D193&lt;&gt;"Serviço",0,IF(AND(AUTOEVENTO="Manual",$M193=1),0,IF(OFFSET(CRONOPLE!$F$14,$M193,AS$13)="",10^12,OFFSET(CRONOPLE!$F$14,$M193,AS$13))))</f>
        <v>1000000000000</v>
      </c>
      <c r="AT193" s="181">
        <f ca="1">IF($D193&lt;&gt;"Serviço",0,IF(AND(AUTOEVENTO="Manual",$M193=1),0,IF(OFFSET(CRONOPLE!$F$14,$M193,AT$13)="",10^12,OFFSET(CRONOPLE!$F$14,$M193,AT$13))))</f>
        <v>1000000000000</v>
      </c>
      <c r="AU193" s="181">
        <f ca="1">IF($D193&lt;&gt;"Serviço",0,IF(AND(AUTOEVENTO="Manual",$M193=1),0,IF(OFFSET(CRONOPLE!$F$14,$M193,AU$13)="",10^12,OFFSET(CRONOPLE!$F$14,$M193,AU$13))))</f>
        <v>1000000000000</v>
      </c>
      <c r="AV193" s="181">
        <f ca="1">IF($D193&lt;&gt;"Serviço",0,IF(AND(AUTOEVENTO="Manual",$M193=1),0,IF(OFFSET(CRONOPLE!$F$14,$M193,AV$13)="",10^12,OFFSET(CRONOPLE!$F$14,$M193,AV$13))))</f>
        <v>1000000000000</v>
      </c>
      <c r="AX193" s="182">
        <f ca="1">IF($D193&lt;&gt;"Serviço",0,IF(OR(AND(AUTOEVENTO="Manual",$M193=1),$M193&gt;(ROW(PLE.lastrow)-ROW(PLE.firstrow))),0,IF(OFFSET(PLE!$G$14,$M193,AX$13)="",10^12,OFFSET(PLE!$G$14,$M193,AX$13))))</f>
        <v>1000000000000</v>
      </c>
      <c r="AY193" s="182">
        <f ca="1">IF($D193&lt;&gt;"Serviço",0,IF(OR(AND(AUTOEVENTO="Manual",$M193=1),$M193&gt;(ROW(PLE.lastrow)-ROW(PLE.firstrow))),0,IF(OFFSET(PLE!$G$14,$M193,AY$13)="",10^12,OFFSET(PLE!$G$14,$M193,AY$13))))</f>
        <v>1000000000000</v>
      </c>
      <c r="AZ193" s="182">
        <f ca="1">IF($D193&lt;&gt;"Serviço",0,IF(OR(AND(AUTOEVENTO="Manual",$M193=1),$M193&gt;(ROW(PLE.lastrow)-ROW(PLE.firstrow))),0,IF(OFFSET(PLE!$G$14,$M193,AZ$13)="",10^12,OFFSET(PLE!$G$14,$M193,AZ$13))))</f>
        <v>1000000000000</v>
      </c>
      <c r="BA193" s="182">
        <f ca="1">IF($D193&lt;&gt;"Serviço",0,IF(OR(AND(AUTOEVENTO="Manual",$M193=1),$M193&gt;(ROW(PLE.lastrow)-ROW(PLE.firstrow))),0,IF(OFFSET(PLE!$G$14,$M193,BA$13)="",10^12,OFFSET(PLE!$G$14,$M193,BA$13))))</f>
        <v>1000000000000</v>
      </c>
      <c r="BB193" s="182">
        <f ca="1">IF($D193&lt;&gt;"Serviço",0,IF(OR(AND(AUTOEVENTO="Manual",$M193=1),$M193&gt;(ROW(PLE.lastrow)-ROW(PLE.firstrow))),0,IF(OFFSET(PLE!$G$14,$M193,BB$13)="",10^12,OFFSET(PLE!$G$14,$M193,BB$13))))</f>
        <v>1000000000000</v>
      </c>
      <c r="BC193" s="182">
        <f ca="1">IF($D193&lt;&gt;"Serviço",0,IF(OR(AND(AUTOEVENTO="Manual",$M193=1),$M193&gt;(ROW(PLE.lastrow)-ROW(PLE.firstrow))),0,IF(OFFSET(PLE!$G$14,$M193,BC$13)="",10^12,OFFSET(PLE!$G$14,$M193,BC$13))))</f>
        <v>1000000000000</v>
      </c>
      <c r="BD193" s="182">
        <f ca="1">IF($D193&lt;&gt;"Serviço",0,IF(OR(AND(AUTOEVENTO="Manual",$M193=1),$M193&gt;(ROW(PLE.lastrow)-ROW(PLE.firstrow))),0,IF(OFFSET(PLE!$G$14,$M193,BD$13)="",10^12,OFFSET(PLE!$G$14,$M193,BD$13))))</f>
        <v>1000000000000</v>
      </c>
      <c r="BE193" s="182">
        <f ca="1">IF($D193&lt;&gt;"Serviço",0,IF(OR(AND(AUTOEVENTO="Manual",$M193=1),$M193&gt;(ROW(PLE.lastrow)-ROW(PLE.firstrow))),0,IF(OFFSET(PLE!$G$14,$M193,BE$13)="",10^12,OFFSET(PLE!$G$14,$M193,BE$13))))</f>
        <v>1000000000000</v>
      </c>
      <c r="BF193" s="182">
        <f ca="1">IF($D193&lt;&gt;"Serviço",0,IF(OR(AND(AUTOEVENTO="Manual",$M193=1),$M193&gt;(ROW(PLE.lastrow)-ROW(PLE.firstrow))),0,IF(OFFSET(PLE!$G$14,$M193,BF$13)="",10^12,OFFSET(PLE!$G$14,$M193,BF$13))))</f>
        <v>1000000000000</v>
      </c>
      <c r="BG193" s="182">
        <f ca="1">IF($D193&lt;&gt;"Serviço",0,IF(OR(AND(AUTOEVENTO="Manual",$M193=1),$M193&gt;(ROW(PLE.lastrow)-ROW(PLE.firstrow))),0,IF(OFFSET(PLE!$G$14,$M193,BG$13)="",10^12,OFFSET(PLE!$G$14,$M193,BG$13))))</f>
        <v>1000000000000</v>
      </c>
    </row>
    <row r="194" spans="1:59" ht="38.25" x14ac:dyDescent="0.2">
      <c r="A194" s="7" t="str">
        <f t="shared" ca="1" si="10"/>
        <v>177</v>
      </c>
      <c r="B194" s="7" t="str">
        <f ca="1">OFFSET(ORÇAMENTO!C$15,ROW(B194)-ROW(B$15),0)</f>
        <v>S</v>
      </c>
      <c r="C194" s="7" t="str">
        <f ca="1">OFFSET(ORÇAMENTO!L$15,ROW(C194)-ROW(C$15),0)</f>
        <v>F</v>
      </c>
      <c r="D194" s="118" t="str">
        <f ca="1">OFFSET(ORÇAMENTO!N$15,ROW(D194)-ROW(D$15),0)</f>
        <v>Serviço</v>
      </c>
      <c r="E194" s="119" t="str">
        <f ca="1">OFFSET(ORÇAMENTO!O$15,ROW(E194)-ROW(E$15),0)</f>
        <v>1.7.0.2.</v>
      </c>
      <c r="F194" s="172" t="str">
        <f ca="1">OFFSET(ORÇAMENTO!R$15,ROW(F194)-ROW(F$15),0)</f>
        <v>(abra o arquivo 'Referência 03-2024.xlsm)</v>
      </c>
      <c r="G194" s="173" t="str">
        <f ca="1">IF($D194&lt;&gt;"Serviço","",OFFSET(ORÇAMENTO!S$15,ROW(G194)-ROW(G$15),0))</f>
        <v>-</v>
      </c>
      <c r="H194" s="124">
        <f ca="1">IF($D194&lt;&gt;"Serviço",0,IF(ACOMPANHAMENTO="BM",ROUND(OFFSET(ORÇAMENTO!AJ$15,ROW(H194)-ROW(H$15),0),15-13*ORÇAMENTO!$AF$7),SUMPRODUCT(($Q$12:$AA$12&lt;&gt;"")*ROUND($Q194:$AA194,15-13*ORÇAMENTO!$AF$7))))</f>
        <v>428.8</v>
      </c>
      <c r="I194" s="561"/>
      <c r="K194" s="174"/>
      <c r="L194" s="175" t="s">
        <v>255</v>
      </c>
      <c r="M194" s="176">
        <f ca="1">IF($D194&lt;&gt;"Serviço","",IF(AUTOEVENTO="manual",$A194,IF(ISERROR(MATCH($A194,$A$15:OFFSET($A194,-1,0),0)),MAX($M$15:OFFSET(M194,-1,0))+1,INDEX($M$15:OFFSET(M194,-1,0),MATCH($A194,$A$15:OFFSET($A194,-1,0),0)))))</f>
        <v>8</v>
      </c>
      <c r="N194" s="177" t="str">
        <f ca="1">IF($D194&lt;&gt;"Serviço","",IF(AUTOEVENTO="Manual",IF($A194=0,"&lt;-- defina o número do agrupador",OFFSET(EVENTOS!$D$14,$A194,0)),OFFSET($F$15,$A194,0)))</f>
        <v>PASSEIO PÚBLICO E PAVIMENTAÇÃO INTERNA</v>
      </c>
      <c r="O194" s="178"/>
      <c r="Q194" s="178"/>
      <c r="R194" s="179"/>
      <c r="S194" s="179"/>
      <c r="T194" s="179"/>
      <c r="U194" s="179"/>
      <c r="V194" s="179"/>
      <c r="W194" s="179"/>
      <c r="X194" s="179"/>
      <c r="Y194" s="179"/>
      <c r="Z194" s="180"/>
      <c r="AB194" s="544">
        <f ca="1">IF(AND($D194="Serviço",AB$12&lt;&gt;0,$H194&gt;0,OR(AUTOEVENTO&lt;&gt;"manual",$M194&lt;&gt;1)),
IF(Import.TipoArredondamento&lt;&gt;"TransfereGOV",
ROUND(OFFSET($P194,0,AB$13),15-13*ORÇAMENTO!$AF$7)/$H194*OFFSET(ORÇAMENTO!$X$15,ROW(AB194)-ROW(AB$15),0),
ROUND(ROUND(OFFSET($P194,0,AB$13),15-13*ORÇAMENTO!$AF$7)*OFFSET(ORÇAMENTO!$W$15,ROW(AB194)-ROW(AB$15),0),15-13*ORÇAMENTO!$AF$11)),0)</f>
        <v>0</v>
      </c>
      <c r="AC194" s="545">
        <f ca="1">IF(AND($D194="Serviço",AC$12&lt;&gt;0,$H194&gt;0,OR(AUTOEVENTO&lt;&gt;"manual",$M194&lt;&gt;1)),
IF(Import.TipoArredondamento&lt;&gt;"TransfereGOV",
ROUND(OFFSET($P194,0,AC$13),15-13*ORÇAMENTO!$AF$7)/$H194*OFFSET(ORÇAMENTO!$X$15,ROW(AC194)-ROW(AC$15),0),
ROUND(ROUND(OFFSET($P194,0,AC$13),15-13*ORÇAMENTO!$AF$7)*OFFSET(ORÇAMENTO!$W$15,ROW(AC194)-ROW(AC$15),0),15-13*ORÇAMENTO!$AF$11)),0)</f>
        <v>0</v>
      </c>
      <c r="AD194" s="545">
        <f ca="1">IF(AND($D194="Serviço",AD$12&lt;&gt;0,$H194&gt;0,OR(AUTOEVENTO&lt;&gt;"manual",$M194&lt;&gt;1)),
IF(Import.TipoArredondamento&lt;&gt;"TransfereGOV",
ROUND(OFFSET($P194,0,AD$13),15-13*ORÇAMENTO!$AF$7)/$H194*OFFSET(ORÇAMENTO!$X$15,ROW(AD194)-ROW(AD$15),0),
ROUND(ROUND(OFFSET($P194,0,AD$13),15-13*ORÇAMENTO!$AF$7)*OFFSET(ORÇAMENTO!$W$15,ROW(AD194)-ROW(AD$15),0),15-13*ORÇAMENTO!$AF$11)),0)</f>
        <v>0</v>
      </c>
      <c r="AE194" s="545">
        <f ca="1">IF(AND($D194="Serviço",AE$12&lt;&gt;0,$H194&gt;0,OR(AUTOEVENTO&lt;&gt;"manual",$M194&lt;&gt;1)),
IF(Import.TipoArredondamento&lt;&gt;"TransfereGOV",
ROUND(OFFSET($P194,0,AE$13),15-13*ORÇAMENTO!$AF$7)/$H194*OFFSET(ORÇAMENTO!$X$15,ROW(AE194)-ROW(AE$15),0),
ROUND(ROUND(OFFSET($P194,0,AE$13),15-13*ORÇAMENTO!$AF$7)*OFFSET(ORÇAMENTO!$W$15,ROW(AE194)-ROW(AE$15),0),15-13*ORÇAMENTO!$AF$11)),0)</f>
        <v>0</v>
      </c>
      <c r="AF194" s="545">
        <f ca="1">IF(AND($D194="Serviço",AF$12&lt;&gt;0,$H194&gt;0,OR(AUTOEVENTO&lt;&gt;"manual",$M194&lt;&gt;1)),
IF(Import.TipoArredondamento&lt;&gt;"TransfereGOV",
ROUND(OFFSET($P194,0,AF$13),15-13*ORÇAMENTO!$AF$7)/$H194*OFFSET(ORÇAMENTO!$X$15,ROW(AF194)-ROW(AF$15),0),
ROUND(ROUND(OFFSET($P194,0,AF$13),15-13*ORÇAMENTO!$AF$7)*OFFSET(ORÇAMENTO!$W$15,ROW(AF194)-ROW(AF$15),0),15-13*ORÇAMENTO!$AF$11)),0)</f>
        <v>0</v>
      </c>
      <c r="AG194" s="545">
        <f ca="1">IF(AND($D194="Serviço",AG$12&lt;&gt;0,$H194&gt;0,OR(AUTOEVENTO&lt;&gt;"manual",$M194&lt;&gt;1)),
IF(Import.TipoArredondamento&lt;&gt;"TransfereGOV",
ROUND(OFFSET($P194,0,AG$13),15-13*ORÇAMENTO!$AF$7)/$H194*OFFSET(ORÇAMENTO!$X$15,ROW(AG194)-ROW(AG$15),0),
ROUND(ROUND(OFFSET($P194,0,AG$13),15-13*ORÇAMENTO!$AF$7)*OFFSET(ORÇAMENTO!$W$15,ROW(AG194)-ROW(AG$15),0),15-13*ORÇAMENTO!$AF$11)),0)</f>
        <v>0</v>
      </c>
      <c r="AH194" s="545">
        <f ca="1">IF(AND($D194="Serviço",AH$12&lt;&gt;0,$H194&gt;0,OR(AUTOEVENTO&lt;&gt;"manual",$M194&lt;&gt;1)),
IF(Import.TipoArredondamento&lt;&gt;"TransfereGOV",
ROUND(OFFSET($P194,0,AH$13),15-13*ORÇAMENTO!$AF$7)/$H194*OFFSET(ORÇAMENTO!$X$15,ROW(AH194)-ROW(AH$15),0),
ROUND(ROUND(OFFSET($P194,0,AH$13),15-13*ORÇAMENTO!$AF$7)*OFFSET(ORÇAMENTO!$W$15,ROW(AH194)-ROW(AH$15),0),15-13*ORÇAMENTO!$AF$11)),0)</f>
        <v>0</v>
      </c>
      <c r="AI194" s="545">
        <f ca="1">IF(AND($D194="Serviço",AI$12&lt;&gt;0,$H194&gt;0,OR(AUTOEVENTO&lt;&gt;"manual",$M194&lt;&gt;1)),
IF(Import.TipoArredondamento&lt;&gt;"TransfereGOV",
ROUND(OFFSET($P194,0,AI$13),15-13*ORÇAMENTO!$AF$7)/$H194*OFFSET(ORÇAMENTO!$X$15,ROW(AI194)-ROW(AI$15),0),
ROUND(ROUND(OFFSET($P194,0,AI$13),15-13*ORÇAMENTO!$AF$7)*OFFSET(ORÇAMENTO!$W$15,ROW(AI194)-ROW(AI$15),0),15-13*ORÇAMENTO!$AF$11)),0)</f>
        <v>0</v>
      </c>
      <c r="AJ194" s="545">
        <f ca="1">IF(AND($D194="Serviço",AJ$12&lt;&gt;0,$H194&gt;0,OR(AUTOEVENTO&lt;&gt;"manual",$M194&lt;&gt;1)),
IF(Import.TipoArredondamento&lt;&gt;"TransfereGOV",
ROUND(OFFSET($P194,0,AJ$13),15-13*ORÇAMENTO!$AF$7)/$H194*OFFSET(ORÇAMENTO!$X$15,ROW(AJ194)-ROW(AJ$15),0),
ROUND(ROUND(OFFSET($P194,0,AJ$13),15-13*ORÇAMENTO!$AF$7)*OFFSET(ORÇAMENTO!$W$15,ROW(AJ194)-ROW(AJ$15),0),15-13*ORÇAMENTO!$AF$11)),0)</f>
        <v>0</v>
      </c>
      <c r="AK194" s="546">
        <f ca="1">IF(AND($D194="Serviço",AK$12&lt;&gt;0,$H194&gt;0,OR(AUTOEVENTO&lt;&gt;"manual",$M194&lt;&gt;1)),
IF(Import.TipoArredondamento&lt;&gt;"TransfereGOV",
ROUND(OFFSET($P194,0,AK$13),15-13*ORÇAMENTO!$AF$7)/$H194*OFFSET(ORÇAMENTO!$X$15,ROW(AK194)-ROW(AK$15),0),
ROUND(ROUND(OFFSET($P194,0,AK$13),15-13*ORÇAMENTO!$AF$7)*OFFSET(ORÇAMENTO!$W$15,ROW(AK194)-ROW(AK$15),0),15-13*ORÇAMENTO!$AF$11)),0)</f>
        <v>0</v>
      </c>
      <c r="AM194" s="181">
        <f ca="1">IF($D194&lt;&gt;"Serviço",0,IF(AND(AUTOEVENTO="Manual",$M194=1),0,IF(OFFSET(CRONOPLE!$F$14,$M194,AM$13)="",10^12,OFFSET(CRONOPLE!$F$14,$M194,AM$13))))</f>
        <v>1000000000000</v>
      </c>
      <c r="AN194" s="181">
        <f ca="1">IF($D194&lt;&gt;"Serviço",0,IF(AND(AUTOEVENTO="Manual",$M194=1),0,IF(OFFSET(CRONOPLE!$F$14,$M194,AN$13)="",10^12,OFFSET(CRONOPLE!$F$14,$M194,AN$13))))</f>
        <v>1000000000000</v>
      </c>
      <c r="AO194" s="181">
        <f ca="1">IF($D194&lt;&gt;"Serviço",0,IF(AND(AUTOEVENTO="Manual",$M194=1),0,IF(OFFSET(CRONOPLE!$F$14,$M194,AO$13)="",10^12,OFFSET(CRONOPLE!$F$14,$M194,AO$13))))</f>
        <v>1000000000000</v>
      </c>
      <c r="AP194" s="181">
        <f ca="1">IF($D194&lt;&gt;"Serviço",0,IF(AND(AUTOEVENTO="Manual",$M194=1),0,IF(OFFSET(CRONOPLE!$F$14,$M194,AP$13)="",10^12,OFFSET(CRONOPLE!$F$14,$M194,AP$13))))</f>
        <v>1000000000000</v>
      </c>
      <c r="AQ194" s="181">
        <f ca="1">IF($D194&lt;&gt;"Serviço",0,IF(AND(AUTOEVENTO="Manual",$M194=1),0,IF(OFFSET(CRONOPLE!$F$14,$M194,AQ$13)="",10^12,OFFSET(CRONOPLE!$F$14,$M194,AQ$13))))</f>
        <v>1000000000000</v>
      </c>
      <c r="AR194" s="181">
        <f ca="1">IF($D194&lt;&gt;"Serviço",0,IF(AND(AUTOEVENTO="Manual",$M194=1),0,IF(OFFSET(CRONOPLE!$F$14,$M194,AR$13)="",10^12,OFFSET(CRONOPLE!$F$14,$M194,AR$13))))</f>
        <v>1000000000000</v>
      </c>
      <c r="AS194" s="181">
        <f ca="1">IF($D194&lt;&gt;"Serviço",0,IF(AND(AUTOEVENTO="Manual",$M194=1),0,IF(OFFSET(CRONOPLE!$F$14,$M194,AS$13)="",10^12,OFFSET(CRONOPLE!$F$14,$M194,AS$13))))</f>
        <v>1000000000000</v>
      </c>
      <c r="AT194" s="181">
        <f ca="1">IF($D194&lt;&gt;"Serviço",0,IF(AND(AUTOEVENTO="Manual",$M194=1),0,IF(OFFSET(CRONOPLE!$F$14,$M194,AT$13)="",10^12,OFFSET(CRONOPLE!$F$14,$M194,AT$13))))</f>
        <v>1000000000000</v>
      </c>
      <c r="AU194" s="181">
        <f ca="1">IF($D194&lt;&gt;"Serviço",0,IF(AND(AUTOEVENTO="Manual",$M194=1),0,IF(OFFSET(CRONOPLE!$F$14,$M194,AU$13)="",10^12,OFFSET(CRONOPLE!$F$14,$M194,AU$13))))</f>
        <v>1000000000000</v>
      </c>
      <c r="AV194" s="181">
        <f ca="1">IF($D194&lt;&gt;"Serviço",0,IF(AND(AUTOEVENTO="Manual",$M194=1),0,IF(OFFSET(CRONOPLE!$F$14,$M194,AV$13)="",10^12,OFFSET(CRONOPLE!$F$14,$M194,AV$13))))</f>
        <v>1000000000000</v>
      </c>
      <c r="AX194" s="182">
        <f ca="1">IF($D194&lt;&gt;"Serviço",0,IF(OR(AND(AUTOEVENTO="Manual",$M194=1),$M194&gt;(ROW(PLE.lastrow)-ROW(PLE.firstrow))),0,IF(OFFSET(PLE!$G$14,$M194,AX$13)="",10^12,OFFSET(PLE!$G$14,$M194,AX$13))))</f>
        <v>1000000000000</v>
      </c>
      <c r="AY194" s="182">
        <f ca="1">IF($D194&lt;&gt;"Serviço",0,IF(OR(AND(AUTOEVENTO="Manual",$M194=1),$M194&gt;(ROW(PLE.lastrow)-ROW(PLE.firstrow))),0,IF(OFFSET(PLE!$G$14,$M194,AY$13)="",10^12,OFFSET(PLE!$G$14,$M194,AY$13))))</f>
        <v>1000000000000</v>
      </c>
      <c r="AZ194" s="182">
        <f ca="1">IF($D194&lt;&gt;"Serviço",0,IF(OR(AND(AUTOEVENTO="Manual",$M194=1),$M194&gt;(ROW(PLE.lastrow)-ROW(PLE.firstrow))),0,IF(OFFSET(PLE!$G$14,$M194,AZ$13)="",10^12,OFFSET(PLE!$G$14,$M194,AZ$13))))</f>
        <v>1000000000000</v>
      </c>
      <c r="BA194" s="182">
        <f ca="1">IF($D194&lt;&gt;"Serviço",0,IF(OR(AND(AUTOEVENTO="Manual",$M194=1),$M194&gt;(ROW(PLE.lastrow)-ROW(PLE.firstrow))),0,IF(OFFSET(PLE!$G$14,$M194,BA$13)="",10^12,OFFSET(PLE!$G$14,$M194,BA$13))))</f>
        <v>1000000000000</v>
      </c>
      <c r="BB194" s="182">
        <f ca="1">IF($D194&lt;&gt;"Serviço",0,IF(OR(AND(AUTOEVENTO="Manual",$M194=1),$M194&gt;(ROW(PLE.lastrow)-ROW(PLE.firstrow))),0,IF(OFFSET(PLE!$G$14,$M194,BB$13)="",10^12,OFFSET(PLE!$G$14,$M194,BB$13))))</f>
        <v>1000000000000</v>
      </c>
      <c r="BC194" s="182">
        <f ca="1">IF($D194&lt;&gt;"Serviço",0,IF(OR(AND(AUTOEVENTO="Manual",$M194=1),$M194&gt;(ROW(PLE.lastrow)-ROW(PLE.firstrow))),0,IF(OFFSET(PLE!$G$14,$M194,BC$13)="",10^12,OFFSET(PLE!$G$14,$M194,BC$13))))</f>
        <v>1000000000000</v>
      </c>
      <c r="BD194" s="182">
        <f ca="1">IF($D194&lt;&gt;"Serviço",0,IF(OR(AND(AUTOEVENTO="Manual",$M194=1),$M194&gt;(ROW(PLE.lastrow)-ROW(PLE.firstrow))),0,IF(OFFSET(PLE!$G$14,$M194,BD$13)="",10^12,OFFSET(PLE!$G$14,$M194,BD$13))))</f>
        <v>1000000000000</v>
      </c>
      <c r="BE194" s="182">
        <f ca="1">IF($D194&lt;&gt;"Serviço",0,IF(OR(AND(AUTOEVENTO="Manual",$M194=1),$M194&gt;(ROW(PLE.lastrow)-ROW(PLE.firstrow))),0,IF(OFFSET(PLE!$G$14,$M194,BE$13)="",10^12,OFFSET(PLE!$G$14,$M194,BE$13))))</f>
        <v>1000000000000</v>
      </c>
      <c r="BF194" s="182">
        <f ca="1">IF($D194&lt;&gt;"Serviço",0,IF(OR(AND(AUTOEVENTO="Manual",$M194=1),$M194&gt;(ROW(PLE.lastrow)-ROW(PLE.firstrow))),0,IF(OFFSET(PLE!$G$14,$M194,BF$13)="",10^12,OFFSET(PLE!$G$14,$M194,BF$13))))</f>
        <v>1000000000000</v>
      </c>
      <c r="BG194" s="182">
        <f ca="1">IF($D194&lt;&gt;"Serviço",0,IF(OR(AND(AUTOEVENTO="Manual",$M194=1),$M194&gt;(ROW(PLE.lastrow)-ROW(PLE.firstrow))),0,IF(OFFSET(PLE!$G$14,$M194,BG$13)="",10^12,OFFSET(PLE!$G$14,$M194,BG$13))))</f>
        <v>1000000000000</v>
      </c>
    </row>
    <row r="195" spans="1:59" ht="25.5" x14ac:dyDescent="0.2">
      <c r="A195" s="7" t="str">
        <f t="shared" ca="1" si="10"/>
        <v>177</v>
      </c>
      <c r="B195" s="7" t="str">
        <f ca="1">OFFSET(ORÇAMENTO!C$15,ROW(B195)-ROW(B$15),0)</f>
        <v>S</v>
      </c>
      <c r="C195" s="7" t="str">
        <f ca="1">OFFSET(ORÇAMENTO!L$15,ROW(C195)-ROW(C$15),0)</f>
        <v>F</v>
      </c>
      <c r="D195" s="118" t="str">
        <f ca="1">OFFSET(ORÇAMENTO!N$15,ROW(D195)-ROW(D$15),0)</f>
        <v>Serviço</v>
      </c>
      <c r="E195" s="119" t="str">
        <f ca="1">OFFSET(ORÇAMENTO!O$15,ROW(E195)-ROW(E$15),0)</f>
        <v>1.7.0.3.</v>
      </c>
      <c r="F195" s="172" t="str">
        <f ca="1">OFFSET(ORÇAMENTO!R$15,ROW(F195)-ROW(F$15),0)</f>
        <v>(abra o arquivo 'Referência 03-2024.xlsm)</v>
      </c>
      <c r="G195" s="173" t="str">
        <f ca="1">IF($D195&lt;&gt;"Serviço","",OFFSET(ORÇAMENTO!S$15,ROW(G195)-ROW(G$15),0))</f>
        <v>-</v>
      </c>
      <c r="H195" s="124">
        <f ca="1">IF($D195&lt;&gt;"Serviço",0,IF(ACOMPANHAMENTO="BM",ROUND(OFFSET(ORÇAMENTO!AJ$15,ROW(H195)-ROW(H$15),0),15-13*ORÇAMENTO!$AF$7),SUMPRODUCT(($Q$12:$AA$12&lt;&gt;"")*ROUND($Q195:$AA195,15-13*ORÇAMENTO!$AF$7))))</f>
        <v>8.8000000000000007</v>
      </c>
      <c r="I195" s="561"/>
      <c r="K195" s="174"/>
      <c r="L195" s="175" t="s">
        <v>255</v>
      </c>
      <c r="M195" s="176">
        <f ca="1">IF($D195&lt;&gt;"Serviço","",IF(AUTOEVENTO="manual",$A195,IF(ISERROR(MATCH($A195,$A$15:OFFSET($A195,-1,0),0)),MAX($M$15:OFFSET(M195,-1,0))+1,INDEX($M$15:OFFSET(M195,-1,0),MATCH($A195,$A$15:OFFSET($A195,-1,0),0)))))</f>
        <v>8</v>
      </c>
      <c r="N195" s="177" t="str">
        <f ca="1">IF($D195&lt;&gt;"Serviço","",IF(AUTOEVENTO="Manual",IF($A195=0,"&lt;-- defina o número do agrupador",OFFSET(EVENTOS!$D$14,$A195,0)),OFFSET($F$15,$A195,0)))</f>
        <v>PASSEIO PÚBLICO E PAVIMENTAÇÃO INTERNA</v>
      </c>
      <c r="O195" s="178"/>
      <c r="Q195" s="178"/>
      <c r="R195" s="179"/>
      <c r="S195" s="179"/>
      <c r="T195" s="179"/>
      <c r="U195" s="179"/>
      <c r="V195" s="179"/>
      <c r="W195" s="179"/>
      <c r="X195" s="179"/>
      <c r="Y195" s="179"/>
      <c r="Z195" s="180"/>
      <c r="AB195" s="544">
        <f ca="1">IF(AND($D195="Serviço",AB$12&lt;&gt;0,$H195&gt;0,OR(AUTOEVENTO&lt;&gt;"manual",$M195&lt;&gt;1)),
IF(Import.TipoArredondamento&lt;&gt;"TransfereGOV",
ROUND(OFFSET($P195,0,AB$13),15-13*ORÇAMENTO!$AF$7)/$H195*OFFSET(ORÇAMENTO!$X$15,ROW(AB195)-ROW(AB$15),0),
ROUND(ROUND(OFFSET($P195,0,AB$13),15-13*ORÇAMENTO!$AF$7)*OFFSET(ORÇAMENTO!$W$15,ROW(AB195)-ROW(AB$15),0),15-13*ORÇAMENTO!$AF$11)),0)</f>
        <v>0</v>
      </c>
      <c r="AC195" s="545">
        <f ca="1">IF(AND($D195="Serviço",AC$12&lt;&gt;0,$H195&gt;0,OR(AUTOEVENTO&lt;&gt;"manual",$M195&lt;&gt;1)),
IF(Import.TipoArredondamento&lt;&gt;"TransfereGOV",
ROUND(OFFSET($P195,0,AC$13),15-13*ORÇAMENTO!$AF$7)/$H195*OFFSET(ORÇAMENTO!$X$15,ROW(AC195)-ROW(AC$15),0),
ROUND(ROUND(OFFSET($P195,0,AC$13),15-13*ORÇAMENTO!$AF$7)*OFFSET(ORÇAMENTO!$W$15,ROW(AC195)-ROW(AC$15),0),15-13*ORÇAMENTO!$AF$11)),0)</f>
        <v>0</v>
      </c>
      <c r="AD195" s="545">
        <f ca="1">IF(AND($D195="Serviço",AD$12&lt;&gt;0,$H195&gt;0,OR(AUTOEVENTO&lt;&gt;"manual",$M195&lt;&gt;1)),
IF(Import.TipoArredondamento&lt;&gt;"TransfereGOV",
ROUND(OFFSET($P195,0,AD$13),15-13*ORÇAMENTO!$AF$7)/$H195*OFFSET(ORÇAMENTO!$X$15,ROW(AD195)-ROW(AD$15),0),
ROUND(ROUND(OFFSET($P195,0,AD$13),15-13*ORÇAMENTO!$AF$7)*OFFSET(ORÇAMENTO!$W$15,ROW(AD195)-ROW(AD$15),0),15-13*ORÇAMENTO!$AF$11)),0)</f>
        <v>0</v>
      </c>
      <c r="AE195" s="545">
        <f ca="1">IF(AND($D195="Serviço",AE$12&lt;&gt;0,$H195&gt;0,OR(AUTOEVENTO&lt;&gt;"manual",$M195&lt;&gt;1)),
IF(Import.TipoArredondamento&lt;&gt;"TransfereGOV",
ROUND(OFFSET($P195,0,AE$13),15-13*ORÇAMENTO!$AF$7)/$H195*OFFSET(ORÇAMENTO!$X$15,ROW(AE195)-ROW(AE$15),0),
ROUND(ROUND(OFFSET($P195,0,AE$13),15-13*ORÇAMENTO!$AF$7)*OFFSET(ORÇAMENTO!$W$15,ROW(AE195)-ROW(AE$15),0),15-13*ORÇAMENTO!$AF$11)),0)</f>
        <v>0</v>
      </c>
      <c r="AF195" s="545">
        <f ca="1">IF(AND($D195="Serviço",AF$12&lt;&gt;0,$H195&gt;0,OR(AUTOEVENTO&lt;&gt;"manual",$M195&lt;&gt;1)),
IF(Import.TipoArredondamento&lt;&gt;"TransfereGOV",
ROUND(OFFSET($P195,0,AF$13),15-13*ORÇAMENTO!$AF$7)/$H195*OFFSET(ORÇAMENTO!$X$15,ROW(AF195)-ROW(AF$15),0),
ROUND(ROUND(OFFSET($P195,0,AF$13),15-13*ORÇAMENTO!$AF$7)*OFFSET(ORÇAMENTO!$W$15,ROW(AF195)-ROW(AF$15),0),15-13*ORÇAMENTO!$AF$11)),0)</f>
        <v>0</v>
      </c>
      <c r="AG195" s="545">
        <f ca="1">IF(AND($D195="Serviço",AG$12&lt;&gt;0,$H195&gt;0,OR(AUTOEVENTO&lt;&gt;"manual",$M195&lt;&gt;1)),
IF(Import.TipoArredondamento&lt;&gt;"TransfereGOV",
ROUND(OFFSET($P195,0,AG$13),15-13*ORÇAMENTO!$AF$7)/$H195*OFFSET(ORÇAMENTO!$X$15,ROW(AG195)-ROW(AG$15),0),
ROUND(ROUND(OFFSET($P195,0,AG$13),15-13*ORÇAMENTO!$AF$7)*OFFSET(ORÇAMENTO!$W$15,ROW(AG195)-ROW(AG$15),0),15-13*ORÇAMENTO!$AF$11)),0)</f>
        <v>0</v>
      </c>
      <c r="AH195" s="545">
        <f ca="1">IF(AND($D195="Serviço",AH$12&lt;&gt;0,$H195&gt;0,OR(AUTOEVENTO&lt;&gt;"manual",$M195&lt;&gt;1)),
IF(Import.TipoArredondamento&lt;&gt;"TransfereGOV",
ROUND(OFFSET($P195,0,AH$13),15-13*ORÇAMENTO!$AF$7)/$H195*OFFSET(ORÇAMENTO!$X$15,ROW(AH195)-ROW(AH$15),0),
ROUND(ROUND(OFFSET($P195,0,AH$13),15-13*ORÇAMENTO!$AF$7)*OFFSET(ORÇAMENTO!$W$15,ROW(AH195)-ROW(AH$15),0),15-13*ORÇAMENTO!$AF$11)),0)</f>
        <v>0</v>
      </c>
      <c r="AI195" s="545">
        <f ca="1">IF(AND($D195="Serviço",AI$12&lt;&gt;0,$H195&gt;0,OR(AUTOEVENTO&lt;&gt;"manual",$M195&lt;&gt;1)),
IF(Import.TipoArredondamento&lt;&gt;"TransfereGOV",
ROUND(OFFSET($P195,0,AI$13),15-13*ORÇAMENTO!$AF$7)/$H195*OFFSET(ORÇAMENTO!$X$15,ROW(AI195)-ROW(AI$15),0),
ROUND(ROUND(OFFSET($P195,0,AI$13),15-13*ORÇAMENTO!$AF$7)*OFFSET(ORÇAMENTO!$W$15,ROW(AI195)-ROW(AI$15),0),15-13*ORÇAMENTO!$AF$11)),0)</f>
        <v>0</v>
      </c>
      <c r="AJ195" s="545">
        <f ca="1">IF(AND($D195="Serviço",AJ$12&lt;&gt;0,$H195&gt;0,OR(AUTOEVENTO&lt;&gt;"manual",$M195&lt;&gt;1)),
IF(Import.TipoArredondamento&lt;&gt;"TransfereGOV",
ROUND(OFFSET($P195,0,AJ$13),15-13*ORÇAMENTO!$AF$7)/$H195*OFFSET(ORÇAMENTO!$X$15,ROW(AJ195)-ROW(AJ$15),0),
ROUND(ROUND(OFFSET($P195,0,AJ$13),15-13*ORÇAMENTO!$AF$7)*OFFSET(ORÇAMENTO!$W$15,ROW(AJ195)-ROW(AJ$15),0),15-13*ORÇAMENTO!$AF$11)),0)</f>
        <v>0</v>
      </c>
      <c r="AK195" s="546">
        <f ca="1">IF(AND($D195="Serviço",AK$12&lt;&gt;0,$H195&gt;0,OR(AUTOEVENTO&lt;&gt;"manual",$M195&lt;&gt;1)),
IF(Import.TipoArredondamento&lt;&gt;"TransfereGOV",
ROUND(OFFSET($P195,0,AK$13),15-13*ORÇAMENTO!$AF$7)/$H195*OFFSET(ORÇAMENTO!$X$15,ROW(AK195)-ROW(AK$15),0),
ROUND(ROUND(OFFSET($P195,0,AK$13),15-13*ORÇAMENTO!$AF$7)*OFFSET(ORÇAMENTO!$W$15,ROW(AK195)-ROW(AK$15),0),15-13*ORÇAMENTO!$AF$11)),0)</f>
        <v>0</v>
      </c>
      <c r="AM195" s="181">
        <f ca="1">IF($D195&lt;&gt;"Serviço",0,IF(AND(AUTOEVENTO="Manual",$M195=1),0,IF(OFFSET(CRONOPLE!$F$14,$M195,AM$13)="",10^12,OFFSET(CRONOPLE!$F$14,$M195,AM$13))))</f>
        <v>1000000000000</v>
      </c>
      <c r="AN195" s="181">
        <f ca="1">IF($D195&lt;&gt;"Serviço",0,IF(AND(AUTOEVENTO="Manual",$M195=1),0,IF(OFFSET(CRONOPLE!$F$14,$M195,AN$13)="",10^12,OFFSET(CRONOPLE!$F$14,$M195,AN$13))))</f>
        <v>1000000000000</v>
      </c>
      <c r="AO195" s="181">
        <f ca="1">IF($D195&lt;&gt;"Serviço",0,IF(AND(AUTOEVENTO="Manual",$M195=1),0,IF(OFFSET(CRONOPLE!$F$14,$M195,AO$13)="",10^12,OFFSET(CRONOPLE!$F$14,$M195,AO$13))))</f>
        <v>1000000000000</v>
      </c>
      <c r="AP195" s="181">
        <f ca="1">IF($D195&lt;&gt;"Serviço",0,IF(AND(AUTOEVENTO="Manual",$M195=1),0,IF(OFFSET(CRONOPLE!$F$14,$M195,AP$13)="",10^12,OFFSET(CRONOPLE!$F$14,$M195,AP$13))))</f>
        <v>1000000000000</v>
      </c>
      <c r="AQ195" s="181">
        <f ca="1">IF($D195&lt;&gt;"Serviço",0,IF(AND(AUTOEVENTO="Manual",$M195=1),0,IF(OFFSET(CRONOPLE!$F$14,$M195,AQ$13)="",10^12,OFFSET(CRONOPLE!$F$14,$M195,AQ$13))))</f>
        <v>1000000000000</v>
      </c>
      <c r="AR195" s="181">
        <f ca="1">IF($D195&lt;&gt;"Serviço",0,IF(AND(AUTOEVENTO="Manual",$M195=1),0,IF(OFFSET(CRONOPLE!$F$14,$M195,AR$13)="",10^12,OFFSET(CRONOPLE!$F$14,$M195,AR$13))))</f>
        <v>1000000000000</v>
      </c>
      <c r="AS195" s="181">
        <f ca="1">IF($D195&lt;&gt;"Serviço",0,IF(AND(AUTOEVENTO="Manual",$M195=1),0,IF(OFFSET(CRONOPLE!$F$14,$M195,AS$13)="",10^12,OFFSET(CRONOPLE!$F$14,$M195,AS$13))))</f>
        <v>1000000000000</v>
      </c>
      <c r="AT195" s="181">
        <f ca="1">IF($D195&lt;&gt;"Serviço",0,IF(AND(AUTOEVENTO="Manual",$M195=1),0,IF(OFFSET(CRONOPLE!$F$14,$M195,AT$13)="",10^12,OFFSET(CRONOPLE!$F$14,$M195,AT$13))))</f>
        <v>1000000000000</v>
      </c>
      <c r="AU195" s="181">
        <f ca="1">IF($D195&lt;&gt;"Serviço",0,IF(AND(AUTOEVENTO="Manual",$M195=1),0,IF(OFFSET(CRONOPLE!$F$14,$M195,AU$13)="",10^12,OFFSET(CRONOPLE!$F$14,$M195,AU$13))))</f>
        <v>1000000000000</v>
      </c>
      <c r="AV195" s="181">
        <f ca="1">IF($D195&lt;&gt;"Serviço",0,IF(AND(AUTOEVENTO="Manual",$M195=1),0,IF(OFFSET(CRONOPLE!$F$14,$M195,AV$13)="",10^12,OFFSET(CRONOPLE!$F$14,$M195,AV$13))))</f>
        <v>1000000000000</v>
      </c>
      <c r="AX195" s="182">
        <f ca="1">IF($D195&lt;&gt;"Serviço",0,IF(OR(AND(AUTOEVENTO="Manual",$M195=1),$M195&gt;(ROW(PLE.lastrow)-ROW(PLE.firstrow))),0,IF(OFFSET(PLE!$G$14,$M195,AX$13)="",10^12,OFFSET(PLE!$G$14,$M195,AX$13))))</f>
        <v>1000000000000</v>
      </c>
      <c r="AY195" s="182">
        <f ca="1">IF($D195&lt;&gt;"Serviço",0,IF(OR(AND(AUTOEVENTO="Manual",$M195=1),$M195&gt;(ROW(PLE.lastrow)-ROW(PLE.firstrow))),0,IF(OFFSET(PLE!$G$14,$M195,AY$13)="",10^12,OFFSET(PLE!$G$14,$M195,AY$13))))</f>
        <v>1000000000000</v>
      </c>
      <c r="AZ195" s="182">
        <f ca="1">IF($D195&lt;&gt;"Serviço",0,IF(OR(AND(AUTOEVENTO="Manual",$M195=1),$M195&gt;(ROW(PLE.lastrow)-ROW(PLE.firstrow))),0,IF(OFFSET(PLE!$G$14,$M195,AZ$13)="",10^12,OFFSET(PLE!$G$14,$M195,AZ$13))))</f>
        <v>1000000000000</v>
      </c>
      <c r="BA195" s="182">
        <f ca="1">IF($D195&lt;&gt;"Serviço",0,IF(OR(AND(AUTOEVENTO="Manual",$M195=1),$M195&gt;(ROW(PLE.lastrow)-ROW(PLE.firstrow))),0,IF(OFFSET(PLE!$G$14,$M195,BA$13)="",10^12,OFFSET(PLE!$G$14,$M195,BA$13))))</f>
        <v>1000000000000</v>
      </c>
      <c r="BB195" s="182">
        <f ca="1">IF($D195&lt;&gt;"Serviço",0,IF(OR(AND(AUTOEVENTO="Manual",$M195=1),$M195&gt;(ROW(PLE.lastrow)-ROW(PLE.firstrow))),0,IF(OFFSET(PLE!$G$14,$M195,BB$13)="",10^12,OFFSET(PLE!$G$14,$M195,BB$13))))</f>
        <v>1000000000000</v>
      </c>
      <c r="BC195" s="182">
        <f ca="1">IF($D195&lt;&gt;"Serviço",0,IF(OR(AND(AUTOEVENTO="Manual",$M195=1),$M195&gt;(ROW(PLE.lastrow)-ROW(PLE.firstrow))),0,IF(OFFSET(PLE!$G$14,$M195,BC$13)="",10^12,OFFSET(PLE!$G$14,$M195,BC$13))))</f>
        <v>1000000000000</v>
      </c>
      <c r="BD195" s="182">
        <f ca="1">IF($D195&lt;&gt;"Serviço",0,IF(OR(AND(AUTOEVENTO="Manual",$M195=1),$M195&gt;(ROW(PLE.lastrow)-ROW(PLE.firstrow))),0,IF(OFFSET(PLE!$G$14,$M195,BD$13)="",10^12,OFFSET(PLE!$G$14,$M195,BD$13))))</f>
        <v>1000000000000</v>
      </c>
      <c r="BE195" s="182">
        <f ca="1">IF($D195&lt;&gt;"Serviço",0,IF(OR(AND(AUTOEVENTO="Manual",$M195=1),$M195&gt;(ROW(PLE.lastrow)-ROW(PLE.firstrow))),0,IF(OFFSET(PLE!$G$14,$M195,BE$13)="",10^12,OFFSET(PLE!$G$14,$M195,BE$13))))</f>
        <v>1000000000000</v>
      </c>
      <c r="BF195" s="182">
        <f ca="1">IF($D195&lt;&gt;"Serviço",0,IF(OR(AND(AUTOEVENTO="Manual",$M195=1),$M195&gt;(ROW(PLE.lastrow)-ROW(PLE.firstrow))),0,IF(OFFSET(PLE!$G$14,$M195,BF$13)="",10^12,OFFSET(PLE!$G$14,$M195,BF$13))))</f>
        <v>1000000000000</v>
      </c>
      <c r="BG195" s="182">
        <f ca="1">IF($D195&lt;&gt;"Serviço",0,IF(OR(AND(AUTOEVENTO="Manual",$M195=1),$M195&gt;(ROW(PLE.lastrow)-ROW(PLE.firstrow))),0,IF(OFFSET(PLE!$G$14,$M195,BG$13)="",10^12,OFFSET(PLE!$G$14,$M195,BG$13))))</f>
        <v>1000000000000</v>
      </c>
    </row>
    <row r="196" spans="1:59" ht="25.5" x14ac:dyDescent="0.2">
      <c r="A196" s="7" t="str">
        <f t="shared" ca="1" si="10"/>
        <v>177</v>
      </c>
      <c r="B196" s="7" t="str">
        <f ca="1">OFFSET(ORÇAMENTO!C$15,ROW(B196)-ROW(B$15),0)</f>
        <v>S</v>
      </c>
      <c r="C196" s="7" t="str">
        <f ca="1">OFFSET(ORÇAMENTO!L$15,ROW(C196)-ROW(C$15),0)</f>
        <v>F</v>
      </c>
      <c r="D196" s="118" t="str">
        <f ca="1">OFFSET(ORÇAMENTO!N$15,ROW(D196)-ROW(D$15),0)</f>
        <v>Serviço</v>
      </c>
      <c r="E196" s="119" t="str">
        <f ca="1">OFFSET(ORÇAMENTO!O$15,ROW(E196)-ROW(E$15),0)</f>
        <v>1.7.0.4.</v>
      </c>
      <c r="F196" s="172" t="str">
        <f ca="1">OFFSET(ORÇAMENTO!R$15,ROW(F196)-ROW(F$15),0)</f>
        <v>(abra o arquivo 'Referência 03-2024.xlsm)</v>
      </c>
      <c r="G196" s="173" t="str">
        <f ca="1">IF($D196&lt;&gt;"Serviço","",OFFSET(ORÇAMENTO!S$15,ROW(G196)-ROW(G$15),0))</f>
        <v>-</v>
      </c>
      <c r="H196" s="124">
        <f ca="1">IF($D196&lt;&gt;"Serviço",0,IF(ACOMPANHAMENTO="BM",ROUND(OFFSET(ORÇAMENTO!AJ$15,ROW(H196)-ROW(H$15),0),15-13*ORÇAMENTO!$AF$7),SUMPRODUCT(($Q$12:$AA$12&lt;&gt;"")*ROUND($Q196:$AA196,15-13*ORÇAMENTO!$AF$7))))</f>
        <v>4.4000000000000004</v>
      </c>
      <c r="I196" s="561"/>
      <c r="K196" s="174"/>
      <c r="L196" s="175" t="s">
        <v>255</v>
      </c>
      <c r="M196" s="176">
        <f ca="1">IF($D196&lt;&gt;"Serviço","",IF(AUTOEVENTO="manual",$A196,IF(ISERROR(MATCH($A196,$A$15:OFFSET($A196,-1,0),0)),MAX($M$15:OFFSET(M196,-1,0))+1,INDEX($M$15:OFFSET(M196,-1,0),MATCH($A196,$A$15:OFFSET($A196,-1,0),0)))))</f>
        <v>8</v>
      </c>
      <c r="N196" s="177" t="str">
        <f ca="1">IF($D196&lt;&gt;"Serviço","",IF(AUTOEVENTO="Manual",IF($A196=0,"&lt;-- defina o número do agrupador",OFFSET(EVENTOS!$D$14,$A196,0)),OFFSET($F$15,$A196,0)))</f>
        <v>PASSEIO PÚBLICO E PAVIMENTAÇÃO INTERNA</v>
      </c>
      <c r="O196" s="178"/>
      <c r="Q196" s="178"/>
      <c r="R196" s="179"/>
      <c r="S196" s="179"/>
      <c r="T196" s="179"/>
      <c r="U196" s="179"/>
      <c r="V196" s="179"/>
      <c r="W196" s="179"/>
      <c r="X196" s="179"/>
      <c r="Y196" s="179"/>
      <c r="Z196" s="180"/>
      <c r="AB196" s="544">
        <f ca="1">IF(AND($D196="Serviço",AB$12&lt;&gt;0,$H196&gt;0,OR(AUTOEVENTO&lt;&gt;"manual",$M196&lt;&gt;1)),
IF(Import.TipoArredondamento&lt;&gt;"TransfereGOV",
ROUND(OFFSET($P196,0,AB$13),15-13*ORÇAMENTO!$AF$7)/$H196*OFFSET(ORÇAMENTO!$X$15,ROW(AB196)-ROW(AB$15),0),
ROUND(ROUND(OFFSET($P196,0,AB$13),15-13*ORÇAMENTO!$AF$7)*OFFSET(ORÇAMENTO!$W$15,ROW(AB196)-ROW(AB$15),0),15-13*ORÇAMENTO!$AF$11)),0)</f>
        <v>0</v>
      </c>
      <c r="AC196" s="545">
        <f ca="1">IF(AND($D196="Serviço",AC$12&lt;&gt;0,$H196&gt;0,OR(AUTOEVENTO&lt;&gt;"manual",$M196&lt;&gt;1)),
IF(Import.TipoArredondamento&lt;&gt;"TransfereGOV",
ROUND(OFFSET($P196,0,AC$13),15-13*ORÇAMENTO!$AF$7)/$H196*OFFSET(ORÇAMENTO!$X$15,ROW(AC196)-ROW(AC$15),0),
ROUND(ROUND(OFFSET($P196,0,AC$13),15-13*ORÇAMENTO!$AF$7)*OFFSET(ORÇAMENTO!$W$15,ROW(AC196)-ROW(AC$15),0),15-13*ORÇAMENTO!$AF$11)),0)</f>
        <v>0</v>
      </c>
      <c r="AD196" s="545">
        <f ca="1">IF(AND($D196="Serviço",AD$12&lt;&gt;0,$H196&gt;0,OR(AUTOEVENTO&lt;&gt;"manual",$M196&lt;&gt;1)),
IF(Import.TipoArredondamento&lt;&gt;"TransfereGOV",
ROUND(OFFSET($P196,0,AD$13),15-13*ORÇAMENTO!$AF$7)/$H196*OFFSET(ORÇAMENTO!$X$15,ROW(AD196)-ROW(AD$15),0),
ROUND(ROUND(OFFSET($P196,0,AD$13),15-13*ORÇAMENTO!$AF$7)*OFFSET(ORÇAMENTO!$W$15,ROW(AD196)-ROW(AD$15),0),15-13*ORÇAMENTO!$AF$11)),0)</f>
        <v>0</v>
      </c>
      <c r="AE196" s="545">
        <f ca="1">IF(AND($D196="Serviço",AE$12&lt;&gt;0,$H196&gt;0,OR(AUTOEVENTO&lt;&gt;"manual",$M196&lt;&gt;1)),
IF(Import.TipoArredondamento&lt;&gt;"TransfereGOV",
ROUND(OFFSET($P196,0,AE$13),15-13*ORÇAMENTO!$AF$7)/$H196*OFFSET(ORÇAMENTO!$X$15,ROW(AE196)-ROW(AE$15),0),
ROUND(ROUND(OFFSET($P196,0,AE$13),15-13*ORÇAMENTO!$AF$7)*OFFSET(ORÇAMENTO!$W$15,ROW(AE196)-ROW(AE$15),0),15-13*ORÇAMENTO!$AF$11)),0)</f>
        <v>0</v>
      </c>
      <c r="AF196" s="545">
        <f ca="1">IF(AND($D196="Serviço",AF$12&lt;&gt;0,$H196&gt;0,OR(AUTOEVENTO&lt;&gt;"manual",$M196&lt;&gt;1)),
IF(Import.TipoArredondamento&lt;&gt;"TransfereGOV",
ROUND(OFFSET($P196,0,AF$13),15-13*ORÇAMENTO!$AF$7)/$H196*OFFSET(ORÇAMENTO!$X$15,ROW(AF196)-ROW(AF$15),0),
ROUND(ROUND(OFFSET($P196,0,AF$13),15-13*ORÇAMENTO!$AF$7)*OFFSET(ORÇAMENTO!$W$15,ROW(AF196)-ROW(AF$15),0),15-13*ORÇAMENTO!$AF$11)),0)</f>
        <v>0</v>
      </c>
      <c r="AG196" s="545">
        <f ca="1">IF(AND($D196="Serviço",AG$12&lt;&gt;0,$H196&gt;0,OR(AUTOEVENTO&lt;&gt;"manual",$M196&lt;&gt;1)),
IF(Import.TipoArredondamento&lt;&gt;"TransfereGOV",
ROUND(OFFSET($P196,0,AG$13),15-13*ORÇAMENTO!$AF$7)/$H196*OFFSET(ORÇAMENTO!$X$15,ROW(AG196)-ROW(AG$15),0),
ROUND(ROUND(OFFSET($P196,0,AG$13),15-13*ORÇAMENTO!$AF$7)*OFFSET(ORÇAMENTO!$W$15,ROW(AG196)-ROW(AG$15),0),15-13*ORÇAMENTO!$AF$11)),0)</f>
        <v>0</v>
      </c>
      <c r="AH196" s="545">
        <f ca="1">IF(AND($D196="Serviço",AH$12&lt;&gt;0,$H196&gt;0,OR(AUTOEVENTO&lt;&gt;"manual",$M196&lt;&gt;1)),
IF(Import.TipoArredondamento&lt;&gt;"TransfereGOV",
ROUND(OFFSET($P196,0,AH$13),15-13*ORÇAMENTO!$AF$7)/$H196*OFFSET(ORÇAMENTO!$X$15,ROW(AH196)-ROW(AH$15),0),
ROUND(ROUND(OFFSET($P196,0,AH$13),15-13*ORÇAMENTO!$AF$7)*OFFSET(ORÇAMENTO!$W$15,ROW(AH196)-ROW(AH$15),0),15-13*ORÇAMENTO!$AF$11)),0)</f>
        <v>0</v>
      </c>
      <c r="AI196" s="545">
        <f ca="1">IF(AND($D196="Serviço",AI$12&lt;&gt;0,$H196&gt;0,OR(AUTOEVENTO&lt;&gt;"manual",$M196&lt;&gt;1)),
IF(Import.TipoArredondamento&lt;&gt;"TransfereGOV",
ROUND(OFFSET($P196,0,AI$13),15-13*ORÇAMENTO!$AF$7)/$H196*OFFSET(ORÇAMENTO!$X$15,ROW(AI196)-ROW(AI$15),0),
ROUND(ROUND(OFFSET($P196,0,AI$13),15-13*ORÇAMENTO!$AF$7)*OFFSET(ORÇAMENTO!$W$15,ROW(AI196)-ROW(AI$15),0),15-13*ORÇAMENTO!$AF$11)),0)</f>
        <v>0</v>
      </c>
      <c r="AJ196" s="545">
        <f ca="1">IF(AND($D196="Serviço",AJ$12&lt;&gt;0,$H196&gt;0,OR(AUTOEVENTO&lt;&gt;"manual",$M196&lt;&gt;1)),
IF(Import.TipoArredondamento&lt;&gt;"TransfereGOV",
ROUND(OFFSET($P196,0,AJ$13),15-13*ORÇAMENTO!$AF$7)/$H196*OFFSET(ORÇAMENTO!$X$15,ROW(AJ196)-ROW(AJ$15),0),
ROUND(ROUND(OFFSET($P196,0,AJ$13),15-13*ORÇAMENTO!$AF$7)*OFFSET(ORÇAMENTO!$W$15,ROW(AJ196)-ROW(AJ$15),0),15-13*ORÇAMENTO!$AF$11)),0)</f>
        <v>0</v>
      </c>
      <c r="AK196" s="546">
        <f ca="1">IF(AND($D196="Serviço",AK$12&lt;&gt;0,$H196&gt;0,OR(AUTOEVENTO&lt;&gt;"manual",$M196&lt;&gt;1)),
IF(Import.TipoArredondamento&lt;&gt;"TransfereGOV",
ROUND(OFFSET($P196,0,AK$13),15-13*ORÇAMENTO!$AF$7)/$H196*OFFSET(ORÇAMENTO!$X$15,ROW(AK196)-ROW(AK$15),0),
ROUND(ROUND(OFFSET($P196,0,AK$13),15-13*ORÇAMENTO!$AF$7)*OFFSET(ORÇAMENTO!$W$15,ROW(AK196)-ROW(AK$15),0),15-13*ORÇAMENTO!$AF$11)),0)</f>
        <v>0</v>
      </c>
      <c r="AM196" s="181">
        <f ca="1">IF($D196&lt;&gt;"Serviço",0,IF(AND(AUTOEVENTO="Manual",$M196=1),0,IF(OFFSET(CRONOPLE!$F$14,$M196,AM$13)="",10^12,OFFSET(CRONOPLE!$F$14,$M196,AM$13))))</f>
        <v>1000000000000</v>
      </c>
      <c r="AN196" s="181">
        <f ca="1">IF($D196&lt;&gt;"Serviço",0,IF(AND(AUTOEVENTO="Manual",$M196=1),0,IF(OFFSET(CRONOPLE!$F$14,$M196,AN$13)="",10^12,OFFSET(CRONOPLE!$F$14,$M196,AN$13))))</f>
        <v>1000000000000</v>
      </c>
      <c r="AO196" s="181">
        <f ca="1">IF($D196&lt;&gt;"Serviço",0,IF(AND(AUTOEVENTO="Manual",$M196=1),0,IF(OFFSET(CRONOPLE!$F$14,$M196,AO$13)="",10^12,OFFSET(CRONOPLE!$F$14,$M196,AO$13))))</f>
        <v>1000000000000</v>
      </c>
      <c r="AP196" s="181">
        <f ca="1">IF($D196&lt;&gt;"Serviço",0,IF(AND(AUTOEVENTO="Manual",$M196=1),0,IF(OFFSET(CRONOPLE!$F$14,$M196,AP$13)="",10^12,OFFSET(CRONOPLE!$F$14,$M196,AP$13))))</f>
        <v>1000000000000</v>
      </c>
      <c r="AQ196" s="181">
        <f ca="1">IF($D196&lt;&gt;"Serviço",0,IF(AND(AUTOEVENTO="Manual",$M196=1),0,IF(OFFSET(CRONOPLE!$F$14,$M196,AQ$13)="",10^12,OFFSET(CRONOPLE!$F$14,$M196,AQ$13))))</f>
        <v>1000000000000</v>
      </c>
      <c r="AR196" s="181">
        <f ca="1">IF($D196&lt;&gt;"Serviço",0,IF(AND(AUTOEVENTO="Manual",$M196=1),0,IF(OFFSET(CRONOPLE!$F$14,$M196,AR$13)="",10^12,OFFSET(CRONOPLE!$F$14,$M196,AR$13))))</f>
        <v>1000000000000</v>
      </c>
      <c r="AS196" s="181">
        <f ca="1">IF($D196&lt;&gt;"Serviço",0,IF(AND(AUTOEVENTO="Manual",$M196=1),0,IF(OFFSET(CRONOPLE!$F$14,$M196,AS$13)="",10^12,OFFSET(CRONOPLE!$F$14,$M196,AS$13))))</f>
        <v>1000000000000</v>
      </c>
      <c r="AT196" s="181">
        <f ca="1">IF($D196&lt;&gt;"Serviço",0,IF(AND(AUTOEVENTO="Manual",$M196=1),0,IF(OFFSET(CRONOPLE!$F$14,$M196,AT$13)="",10^12,OFFSET(CRONOPLE!$F$14,$M196,AT$13))))</f>
        <v>1000000000000</v>
      </c>
      <c r="AU196" s="181">
        <f ca="1">IF($D196&lt;&gt;"Serviço",0,IF(AND(AUTOEVENTO="Manual",$M196=1),0,IF(OFFSET(CRONOPLE!$F$14,$M196,AU$13)="",10^12,OFFSET(CRONOPLE!$F$14,$M196,AU$13))))</f>
        <v>1000000000000</v>
      </c>
      <c r="AV196" s="181">
        <f ca="1">IF($D196&lt;&gt;"Serviço",0,IF(AND(AUTOEVENTO="Manual",$M196=1),0,IF(OFFSET(CRONOPLE!$F$14,$M196,AV$13)="",10^12,OFFSET(CRONOPLE!$F$14,$M196,AV$13))))</f>
        <v>1000000000000</v>
      </c>
      <c r="AX196" s="182">
        <f ca="1">IF($D196&lt;&gt;"Serviço",0,IF(OR(AND(AUTOEVENTO="Manual",$M196=1),$M196&gt;(ROW(PLE.lastrow)-ROW(PLE.firstrow))),0,IF(OFFSET(PLE!$G$14,$M196,AX$13)="",10^12,OFFSET(PLE!$G$14,$M196,AX$13))))</f>
        <v>1000000000000</v>
      </c>
      <c r="AY196" s="182">
        <f ca="1">IF($D196&lt;&gt;"Serviço",0,IF(OR(AND(AUTOEVENTO="Manual",$M196=1),$M196&gt;(ROW(PLE.lastrow)-ROW(PLE.firstrow))),0,IF(OFFSET(PLE!$G$14,$M196,AY$13)="",10^12,OFFSET(PLE!$G$14,$M196,AY$13))))</f>
        <v>1000000000000</v>
      </c>
      <c r="AZ196" s="182">
        <f ca="1">IF($D196&lt;&gt;"Serviço",0,IF(OR(AND(AUTOEVENTO="Manual",$M196=1),$M196&gt;(ROW(PLE.lastrow)-ROW(PLE.firstrow))),0,IF(OFFSET(PLE!$G$14,$M196,AZ$13)="",10^12,OFFSET(PLE!$G$14,$M196,AZ$13))))</f>
        <v>1000000000000</v>
      </c>
      <c r="BA196" s="182">
        <f ca="1">IF($D196&lt;&gt;"Serviço",0,IF(OR(AND(AUTOEVENTO="Manual",$M196=1),$M196&gt;(ROW(PLE.lastrow)-ROW(PLE.firstrow))),0,IF(OFFSET(PLE!$G$14,$M196,BA$13)="",10^12,OFFSET(PLE!$G$14,$M196,BA$13))))</f>
        <v>1000000000000</v>
      </c>
      <c r="BB196" s="182">
        <f ca="1">IF($D196&lt;&gt;"Serviço",0,IF(OR(AND(AUTOEVENTO="Manual",$M196=1),$M196&gt;(ROW(PLE.lastrow)-ROW(PLE.firstrow))),0,IF(OFFSET(PLE!$G$14,$M196,BB$13)="",10^12,OFFSET(PLE!$G$14,$M196,BB$13))))</f>
        <v>1000000000000</v>
      </c>
      <c r="BC196" s="182">
        <f ca="1">IF($D196&lt;&gt;"Serviço",0,IF(OR(AND(AUTOEVENTO="Manual",$M196=1),$M196&gt;(ROW(PLE.lastrow)-ROW(PLE.firstrow))),0,IF(OFFSET(PLE!$G$14,$M196,BC$13)="",10^12,OFFSET(PLE!$G$14,$M196,BC$13))))</f>
        <v>1000000000000</v>
      </c>
      <c r="BD196" s="182">
        <f ca="1">IF($D196&lt;&gt;"Serviço",0,IF(OR(AND(AUTOEVENTO="Manual",$M196=1),$M196&gt;(ROW(PLE.lastrow)-ROW(PLE.firstrow))),0,IF(OFFSET(PLE!$G$14,$M196,BD$13)="",10^12,OFFSET(PLE!$G$14,$M196,BD$13))))</f>
        <v>1000000000000</v>
      </c>
      <c r="BE196" s="182">
        <f ca="1">IF($D196&lt;&gt;"Serviço",0,IF(OR(AND(AUTOEVENTO="Manual",$M196=1),$M196&gt;(ROW(PLE.lastrow)-ROW(PLE.firstrow))),0,IF(OFFSET(PLE!$G$14,$M196,BE$13)="",10^12,OFFSET(PLE!$G$14,$M196,BE$13))))</f>
        <v>1000000000000</v>
      </c>
      <c r="BF196" s="182">
        <f ca="1">IF($D196&lt;&gt;"Serviço",0,IF(OR(AND(AUTOEVENTO="Manual",$M196=1),$M196&gt;(ROW(PLE.lastrow)-ROW(PLE.firstrow))),0,IF(OFFSET(PLE!$G$14,$M196,BF$13)="",10^12,OFFSET(PLE!$G$14,$M196,BF$13))))</f>
        <v>1000000000000</v>
      </c>
      <c r="BG196" s="182">
        <f ca="1">IF($D196&lt;&gt;"Serviço",0,IF(OR(AND(AUTOEVENTO="Manual",$M196=1),$M196&gt;(ROW(PLE.lastrow)-ROW(PLE.firstrow))),0,IF(OFFSET(PLE!$G$14,$M196,BG$13)="",10^12,OFFSET(PLE!$G$14,$M196,BG$13))))</f>
        <v>1000000000000</v>
      </c>
    </row>
    <row r="197" spans="1:59" ht="25.5" x14ac:dyDescent="0.2">
      <c r="A197" s="7" t="str">
        <f t="shared" ca="1" si="10"/>
        <v>177</v>
      </c>
      <c r="B197" s="7" t="str">
        <f ca="1">OFFSET(ORÇAMENTO!C$15,ROW(B197)-ROW(B$15),0)</f>
        <v>S</v>
      </c>
      <c r="C197" s="7" t="str">
        <f ca="1">OFFSET(ORÇAMENTO!L$15,ROW(C197)-ROW(C$15),0)</f>
        <v>F</v>
      </c>
      <c r="D197" s="118" t="str">
        <f ca="1">OFFSET(ORÇAMENTO!N$15,ROW(D197)-ROW(D$15),0)</f>
        <v>Serviço</v>
      </c>
      <c r="E197" s="119" t="str">
        <f ca="1">OFFSET(ORÇAMENTO!O$15,ROW(E197)-ROW(E$15),0)</f>
        <v>1.7.0.5.</v>
      </c>
      <c r="F197" s="172" t="str">
        <f ca="1">OFFSET(ORÇAMENTO!R$15,ROW(F197)-ROW(F$15),0)</f>
        <v>(abra o arquivo 'Referência 03-2024.xlsm)</v>
      </c>
      <c r="G197" s="173" t="str">
        <f ca="1">IF($D197&lt;&gt;"Serviço","",OFFSET(ORÇAMENTO!S$15,ROW(G197)-ROW(G$15),0))</f>
        <v>-</v>
      </c>
      <c r="H197" s="124">
        <f ca="1">IF($D197&lt;&gt;"Serviço",0,IF(ACOMPANHAMENTO="BM",ROUND(OFFSET(ORÇAMENTO!AJ$15,ROW(H197)-ROW(H$15),0),15-13*ORÇAMENTO!$AF$7),SUMPRODUCT(($Q$12:$AA$12&lt;&gt;"")*ROUND($Q197:$AA197,15-13*ORÇAMENTO!$AF$7))))</f>
        <v>98</v>
      </c>
      <c r="I197" s="561"/>
      <c r="K197" s="174"/>
      <c r="L197" s="175" t="s">
        <v>255</v>
      </c>
      <c r="M197" s="176">
        <f ca="1">IF($D197&lt;&gt;"Serviço","",IF(AUTOEVENTO="manual",$A197,IF(ISERROR(MATCH($A197,$A$15:OFFSET($A197,-1,0),0)),MAX($M$15:OFFSET(M197,-1,0))+1,INDEX($M$15:OFFSET(M197,-1,0),MATCH($A197,$A$15:OFFSET($A197,-1,0),0)))))</f>
        <v>8</v>
      </c>
      <c r="N197" s="177" t="str">
        <f ca="1">IF($D197&lt;&gt;"Serviço","",IF(AUTOEVENTO="Manual",IF($A197=0,"&lt;-- defina o número do agrupador",OFFSET(EVENTOS!$D$14,$A197,0)),OFFSET($F$15,$A197,0)))</f>
        <v>PASSEIO PÚBLICO E PAVIMENTAÇÃO INTERNA</v>
      </c>
      <c r="O197" s="178"/>
      <c r="Q197" s="178"/>
      <c r="R197" s="179"/>
      <c r="S197" s="179"/>
      <c r="T197" s="179"/>
      <c r="U197" s="179"/>
      <c r="V197" s="179"/>
      <c r="W197" s="179"/>
      <c r="X197" s="179"/>
      <c r="Y197" s="179"/>
      <c r="Z197" s="180"/>
      <c r="AB197" s="544">
        <f ca="1">IF(AND($D197="Serviço",AB$12&lt;&gt;0,$H197&gt;0,OR(AUTOEVENTO&lt;&gt;"manual",$M197&lt;&gt;1)),
IF(Import.TipoArredondamento&lt;&gt;"TransfereGOV",
ROUND(OFFSET($P197,0,AB$13),15-13*ORÇAMENTO!$AF$7)/$H197*OFFSET(ORÇAMENTO!$X$15,ROW(AB197)-ROW(AB$15),0),
ROUND(ROUND(OFFSET($P197,0,AB$13),15-13*ORÇAMENTO!$AF$7)*OFFSET(ORÇAMENTO!$W$15,ROW(AB197)-ROW(AB$15),0),15-13*ORÇAMENTO!$AF$11)),0)</f>
        <v>0</v>
      </c>
      <c r="AC197" s="545">
        <f ca="1">IF(AND($D197="Serviço",AC$12&lt;&gt;0,$H197&gt;0,OR(AUTOEVENTO&lt;&gt;"manual",$M197&lt;&gt;1)),
IF(Import.TipoArredondamento&lt;&gt;"TransfereGOV",
ROUND(OFFSET($P197,0,AC$13),15-13*ORÇAMENTO!$AF$7)/$H197*OFFSET(ORÇAMENTO!$X$15,ROW(AC197)-ROW(AC$15),0),
ROUND(ROUND(OFFSET($P197,0,AC$13),15-13*ORÇAMENTO!$AF$7)*OFFSET(ORÇAMENTO!$W$15,ROW(AC197)-ROW(AC$15),0),15-13*ORÇAMENTO!$AF$11)),0)</f>
        <v>0</v>
      </c>
      <c r="AD197" s="545">
        <f ca="1">IF(AND($D197="Serviço",AD$12&lt;&gt;0,$H197&gt;0,OR(AUTOEVENTO&lt;&gt;"manual",$M197&lt;&gt;1)),
IF(Import.TipoArredondamento&lt;&gt;"TransfereGOV",
ROUND(OFFSET($P197,0,AD$13),15-13*ORÇAMENTO!$AF$7)/$H197*OFFSET(ORÇAMENTO!$X$15,ROW(AD197)-ROW(AD$15),0),
ROUND(ROUND(OFFSET($P197,0,AD$13),15-13*ORÇAMENTO!$AF$7)*OFFSET(ORÇAMENTO!$W$15,ROW(AD197)-ROW(AD$15),0),15-13*ORÇAMENTO!$AF$11)),0)</f>
        <v>0</v>
      </c>
      <c r="AE197" s="545">
        <f ca="1">IF(AND($D197="Serviço",AE$12&lt;&gt;0,$H197&gt;0,OR(AUTOEVENTO&lt;&gt;"manual",$M197&lt;&gt;1)),
IF(Import.TipoArredondamento&lt;&gt;"TransfereGOV",
ROUND(OFFSET($P197,0,AE$13),15-13*ORÇAMENTO!$AF$7)/$H197*OFFSET(ORÇAMENTO!$X$15,ROW(AE197)-ROW(AE$15),0),
ROUND(ROUND(OFFSET($P197,0,AE$13),15-13*ORÇAMENTO!$AF$7)*OFFSET(ORÇAMENTO!$W$15,ROW(AE197)-ROW(AE$15),0),15-13*ORÇAMENTO!$AF$11)),0)</f>
        <v>0</v>
      </c>
      <c r="AF197" s="545">
        <f ca="1">IF(AND($D197="Serviço",AF$12&lt;&gt;0,$H197&gt;0,OR(AUTOEVENTO&lt;&gt;"manual",$M197&lt;&gt;1)),
IF(Import.TipoArredondamento&lt;&gt;"TransfereGOV",
ROUND(OFFSET($P197,0,AF$13),15-13*ORÇAMENTO!$AF$7)/$H197*OFFSET(ORÇAMENTO!$X$15,ROW(AF197)-ROW(AF$15),0),
ROUND(ROUND(OFFSET($P197,0,AF$13),15-13*ORÇAMENTO!$AF$7)*OFFSET(ORÇAMENTO!$W$15,ROW(AF197)-ROW(AF$15),0),15-13*ORÇAMENTO!$AF$11)),0)</f>
        <v>0</v>
      </c>
      <c r="AG197" s="545">
        <f ca="1">IF(AND($D197="Serviço",AG$12&lt;&gt;0,$H197&gt;0,OR(AUTOEVENTO&lt;&gt;"manual",$M197&lt;&gt;1)),
IF(Import.TipoArredondamento&lt;&gt;"TransfereGOV",
ROUND(OFFSET($P197,0,AG$13),15-13*ORÇAMENTO!$AF$7)/$H197*OFFSET(ORÇAMENTO!$X$15,ROW(AG197)-ROW(AG$15),0),
ROUND(ROUND(OFFSET($P197,0,AG$13),15-13*ORÇAMENTO!$AF$7)*OFFSET(ORÇAMENTO!$W$15,ROW(AG197)-ROW(AG$15),0),15-13*ORÇAMENTO!$AF$11)),0)</f>
        <v>0</v>
      </c>
      <c r="AH197" s="545">
        <f ca="1">IF(AND($D197="Serviço",AH$12&lt;&gt;0,$H197&gt;0,OR(AUTOEVENTO&lt;&gt;"manual",$M197&lt;&gt;1)),
IF(Import.TipoArredondamento&lt;&gt;"TransfereGOV",
ROUND(OFFSET($P197,0,AH$13),15-13*ORÇAMENTO!$AF$7)/$H197*OFFSET(ORÇAMENTO!$X$15,ROW(AH197)-ROW(AH$15),0),
ROUND(ROUND(OFFSET($P197,0,AH$13),15-13*ORÇAMENTO!$AF$7)*OFFSET(ORÇAMENTO!$W$15,ROW(AH197)-ROW(AH$15),0),15-13*ORÇAMENTO!$AF$11)),0)</f>
        <v>0</v>
      </c>
      <c r="AI197" s="545">
        <f ca="1">IF(AND($D197="Serviço",AI$12&lt;&gt;0,$H197&gt;0,OR(AUTOEVENTO&lt;&gt;"manual",$M197&lt;&gt;1)),
IF(Import.TipoArredondamento&lt;&gt;"TransfereGOV",
ROUND(OFFSET($P197,0,AI$13),15-13*ORÇAMENTO!$AF$7)/$H197*OFFSET(ORÇAMENTO!$X$15,ROW(AI197)-ROW(AI$15),0),
ROUND(ROUND(OFFSET($P197,0,AI$13),15-13*ORÇAMENTO!$AF$7)*OFFSET(ORÇAMENTO!$W$15,ROW(AI197)-ROW(AI$15),0),15-13*ORÇAMENTO!$AF$11)),0)</f>
        <v>0</v>
      </c>
      <c r="AJ197" s="545">
        <f ca="1">IF(AND($D197="Serviço",AJ$12&lt;&gt;0,$H197&gt;0,OR(AUTOEVENTO&lt;&gt;"manual",$M197&lt;&gt;1)),
IF(Import.TipoArredondamento&lt;&gt;"TransfereGOV",
ROUND(OFFSET($P197,0,AJ$13),15-13*ORÇAMENTO!$AF$7)/$H197*OFFSET(ORÇAMENTO!$X$15,ROW(AJ197)-ROW(AJ$15),0),
ROUND(ROUND(OFFSET($P197,0,AJ$13),15-13*ORÇAMENTO!$AF$7)*OFFSET(ORÇAMENTO!$W$15,ROW(AJ197)-ROW(AJ$15),0),15-13*ORÇAMENTO!$AF$11)),0)</f>
        <v>0</v>
      </c>
      <c r="AK197" s="546">
        <f ca="1">IF(AND($D197="Serviço",AK$12&lt;&gt;0,$H197&gt;0,OR(AUTOEVENTO&lt;&gt;"manual",$M197&lt;&gt;1)),
IF(Import.TipoArredondamento&lt;&gt;"TransfereGOV",
ROUND(OFFSET($P197,0,AK$13),15-13*ORÇAMENTO!$AF$7)/$H197*OFFSET(ORÇAMENTO!$X$15,ROW(AK197)-ROW(AK$15),0),
ROUND(ROUND(OFFSET($P197,0,AK$13),15-13*ORÇAMENTO!$AF$7)*OFFSET(ORÇAMENTO!$W$15,ROW(AK197)-ROW(AK$15),0),15-13*ORÇAMENTO!$AF$11)),0)</f>
        <v>0</v>
      </c>
      <c r="AM197" s="181">
        <f ca="1">IF($D197&lt;&gt;"Serviço",0,IF(AND(AUTOEVENTO="Manual",$M197=1),0,IF(OFFSET(CRONOPLE!$F$14,$M197,AM$13)="",10^12,OFFSET(CRONOPLE!$F$14,$M197,AM$13))))</f>
        <v>1000000000000</v>
      </c>
      <c r="AN197" s="181">
        <f ca="1">IF($D197&lt;&gt;"Serviço",0,IF(AND(AUTOEVENTO="Manual",$M197=1),0,IF(OFFSET(CRONOPLE!$F$14,$M197,AN$13)="",10^12,OFFSET(CRONOPLE!$F$14,$M197,AN$13))))</f>
        <v>1000000000000</v>
      </c>
      <c r="AO197" s="181">
        <f ca="1">IF($D197&lt;&gt;"Serviço",0,IF(AND(AUTOEVENTO="Manual",$M197=1),0,IF(OFFSET(CRONOPLE!$F$14,$M197,AO$13)="",10^12,OFFSET(CRONOPLE!$F$14,$M197,AO$13))))</f>
        <v>1000000000000</v>
      </c>
      <c r="AP197" s="181">
        <f ca="1">IF($D197&lt;&gt;"Serviço",0,IF(AND(AUTOEVENTO="Manual",$M197=1),0,IF(OFFSET(CRONOPLE!$F$14,$M197,AP$13)="",10^12,OFFSET(CRONOPLE!$F$14,$M197,AP$13))))</f>
        <v>1000000000000</v>
      </c>
      <c r="AQ197" s="181">
        <f ca="1">IF($D197&lt;&gt;"Serviço",0,IF(AND(AUTOEVENTO="Manual",$M197=1),0,IF(OFFSET(CRONOPLE!$F$14,$M197,AQ$13)="",10^12,OFFSET(CRONOPLE!$F$14,$M197,AQ$13))))</f>
        <v>1000000000000</v>
      </c>
      <c r="AR197" s="181">
        <f ca="1">IF($D197&lt;&gt;"Serviço",0,IF(AND(AUTOEVENTO="Manual",$M197=1),0,IF(OFFSET(CRONOPLE!$F$14,$M197,AR$13)="",10^12,OFFSET(CRONOPLE!$F$14,$M197,AR$13))))</f>
        <v>1000000000000</v>
      </c>
      <c r="AS197" s="181">
        <f ca="1">IF($D197&lt;&gt;"Serviço",0,IF(AND(AUTOEVENTO="Manual",$M197=1),0,IF(OFFSET(CRONOPLE!$F$14,$M197,AS$13)="",10^12,OFFSET(CRONOPLE!$F$14,$M197,AS$13))))</f>
        <v>1000000000000</v>
      </c>
      <c r="AT197" s="181">
        <f ca="1">IF($D197&lt;&gt;"Serviço",0,IF(AND(AUTOEVENTO="Manual",$M197=1),0,IF(OFFSET(CRONOPLE!$F$14,$M197,AT$13)="",10^12,OFFSET(CRONOPLE!$F$14,$M197,AT$13))))</f>
        <v>1000000000000</v>
      </c>
      <c r="AU197" s="181">
        <f ca="1">IF($D197&lt;&gt;"Serviço",0,IF(AND(AUTOEVENTO="Manual",$M197=1),0,IF(OFFSET(CRONOPLE!$F$14,$M197,AU$13)="",10^12,OFFSET(CRONOPLE!$F$14,$M197,AU$13))))</f>
        <v>1000000000000</v>
      </c>
      <c r="AV197" s="181">
        <f ca="1">IF($D197&lt;&gt;"Serviço",0,IF(AND(AUTOEVENTO="Manual",$M197=1),0,IF(OFFSET(CRONOPLE!$F$14,$M197,AV$13)="",10^12,OFFSET(CRONOPLE!$F$14,$M197,AV$13))))</f>
        <v>1000000000000</v>
      </c>
      <c r="AX197" s="182">
        <f ca="1">IF($D197&lt;&gt;"Serviço",0,IF(OR(AND(AUTOEVENTO="Manual",$M197=1),$M197&gt;(ROW(PLE.lastrow)-ROW(PLE.firstrow))),0,IF(OFFSET(PLE!$G$14,$M197,AX$13)="",10^12,OFFSET(PLE!$G$14,$M197,AX$13))))</f>
        <v>1000000000000</v>
      </c>
      <c r="AY197" s="182">
        <f ca="1">IF($D197&lt;&gt;"Serviço",0,IF(OR(AND(AUTOEVENTO="Manual",$M197=1),$M197&gt;(ROW(PLE.lastrow)-ROW(PLE.firstrow))),0,IF(OFFSET(PLE!$G$14,$M197,AY$13)="",10^12,OFFSET(PLE!$G$14,$M197,AY$13))))</f>
        <v>1000000000000</v>
      </c>
      <c r="AZ197" s="182">
        <f ca="1">IF($D197&lt;&gt;"Serviço",0,IF(OR(AND(AUTOEVENTO="Manual",$M197=1),$M197&gt;(ROW(PLE.lastrow)-ROW(PLE.firstrow))),0,IF(OFFSET(PLE!$G$14,$M197,AZ$13)="",10^12,OFFSET(PLE!$G$14,$M197,AZ$13))))</f>
        <v>1000000000000</v>
      </c>
      <c r="BA197" s="182">
        <f ca="1">IF($D197&lt;&gt;"Serviço",0,IF(OR(AND(AUTOEVENTO="Manual",$M197=1),$M197&gt;(ROW(PLE.lastrow)-ROW(PLE.firstrow))),0,IF(OFFSET(PLE!$G$14,$M197,BA$13)="",10^12,OFFSET(PLE!$G$14,$M197,BA$13))))</f>
        <v>1000000000000</v>
      </c>
      <c r="BB197" s="182">
        <f ca="1">IF($D197&lt;&gt;"Serviço",0,IF(OR(AND(AUTOEVENTO="Manual",$M197=1),$M197&gt;(ROW(PLE.lastrow)-ROW(PLE.firstrow))),0,IF(OFFSET(PLE!$G$14,$M197,BB$13)="",10^12,OFFSET(PLE!$G$14,$M197,BB$13))))</f>
        <v>1000000000000</v>
      </c>
      <c r="BC197" s="182">
        <f ca="1">IF($D197&lt;&gt;"Serviço",0,IF(OR(AND(AUTOEVENTO="Manual",$M197=1),$M197&gt;(ROW(PLE.lastrow)-ROW(PLE.firstrow))),0,IF(OFFSET(PLE!$G$14,$M197,BC$13)="",10^12,OFFSET(PLE!$G$14,$M197,BC$13))))</f>
        <v>1000000000000</v>
      </c>
      <c r="BD197" s="182">
        <f ca="1">IF($D197&lt;&gt;"Serviço",0,IF(OR(AND(AUTOEVENTO="Manual",$M197=1),$M197&gt;(ROW(PLE.lastrow)-ROW(PLE.firstrow))),0,IF(OFFSET(PLE!$G$14,$M197,BD$13)="",10^12,OFFSET(PLE!$G$14,$M197,BD$13))))</f>
        <v>1000000000000</v>
      </c>
      <c r="BE197" s="182">
        <f ca="1">IF($D197&lt;&gt;"Serviço",0,IF(OR(AND(AUTOEVENTO="Manual",$M197=1),$M197&gt;(ROW(PLE.lastrow)-ROW(PLE.firstrow))),0,IF(OFFSET(PLE!$G$14,$M197,BE$13)="",10^12,OFFSET(PLE!$G$14,$M197,BE$13))))</f>
        <v>1000000000000</v>
      </c>
      <c r="BF197" s="182">
        <f ca="1">IF($D197&lt;&gt;"Serviço",0,IF(OR(AND(AUTOEVENTO="Manual",$M197=1),$M197&gt;(ROW(PLE.lastrow)-ROW(PLE.firstrow))),0,IF(OFFSET(PLE!$G$14,$M197,BF$13)="",10^12,OFFSET(PLE!$G$14,$M197,BF$13))))</f>
        <v>1000000000000</v>
      </c>
      <c r="BG197" s="182">
        <f ca="1">IF($D197&lt;&gt;"Serviço",0,IF(OR(AND(AUTOEVENTO="Manual",$M197=1),$M197&gt;(ROW(PLE.lastrow)-ROW(PLE.firstrow))),0,IF(OFFSET(PLE!$G$14,$M197,BG$13)="",10^12,OFFSET(PLE!$G$14,$M197,BG$13))))</f>
        <v>1000000000000</v>
      </c>
    </row>
    <row r="198" spans="1:59" ht="12.75" x14ac:dyDescent="0.2">
      <c r="A198" s="7" t="str">
        <f t="shared" ca="1" si="10"/>
        <v>183.</v>
      </c>
      <c r="B198" s="7">
        <f ca="1">OFFSET(ORÇAMENTO!C$15,ROW(B198)-ROW(B$15),0)</f>
        <v>2</v>
      </c>
      <c r="C198" s="7" t="str">
        <f ca="1">OFFSET(ORÇAMENTO!L$15,ROW(C198)-ROW(C$15),0)</f>
        <v>F</v>
      </c>
      <c r="D198" s="118" t="str">
        <f ca="1">OFFSET(ORÇAMENTO!N$15,ROW(D198)-ROW(D$15),0)</f>
        <v>Nível 2</v>
      </c>
      <c r="E198" s="119" t="str">
        <f ca="1">OFFSET(ORÇAMENTO!O$15,ROW(E198)-ROW(E$15),0)</f>
        <v>1.8.</v>
      </c>
      <c r="F198" s="172" t="str">
        <f ca="1">OFFSET(ORÇAMENTO!R$15,ROW(F198)-ROW(F$15),0)</f>
        <v>CAMPO DE FUTEBOL</v>
      </c>
      <c r="G198" s="173" t="str">
        <f ca="1">IF($D198&lt;&gt;"Serviço","",OFFSET(ORÇAMENTO!S$15,ROW(G198)-ROW(G$15),0))</f>
        <v/>
      </c>
      <c r="H198" s="124">
        <f ca="1">IF($D198&lt;&gt;"Serviço",0,IF(ACOMPANHAMENTO="BM",ROUND(OFFSET(ORÇAMENTO!AJ$15,ROW(H198)-ROW(H$15),0),15-13*ORÇAMENTO!$AF$7),SUMPRODUCT(($Q$12:$AA$12&lt;&gt;"")*ROUND($Q198:$AA198,15-13*ORÇAMENTO!$AF$7))))</f>
        <v>0</v>
      </c>
      <c r="I198" s="561"/>
      <c r="K198" s="174"/>
      <c r="L198" s="175" t="s">
        <v>255</v>
      </c>
      <c r="M198" s="176" t="str">
        <f ca="1">IF($D198&lt;&gt;"Serviço","",IF(AUTOEVENTO="manual",$A198,IF(ISERROR(MATCH($A198,$A$15:OFFSET($A198,-1,0),0)),MAX($M$15:OFFSET(M198,-1,0))+1,INDEX($M$15:OFFSET(M198,-1,0),MATCH($A198,$A$15:OFFSET($A198,-1,0),0)))))</f>
        <v/>
      </c>
      <c r="N198" s="177" t="str">
        <f ca="1">IF($D198&lt;&gt;"Serviço","",IF(AUTOEVENTO="Manual",IF($A198=0,"&lt;-- defina o número do agrupador",OFFSET(EVENTOS!$D$14,$A198,0)),OFFSET($F$15,$A198,0)))</f>
        <v/>
      </c>
      <c r="O198" s="178"/>
      <c r="Q198" s="178"/>
      <c r="R198" s="179"/>
      <c r="S198" s="179"/>
      <c r="T198" s="179"/>
      <c r="U198" s="179"/>
      <c r="V198" s="179"/>
      <c r="W198" s="179"/>
      <c r="X198" s="179"/>
      <c r="Y198" s="179"/>
      <c r="Z198" s="180"/>
      <c r="AB198" s="544">
        <f ca="1">IF(AND($D198="Serviço",AB$12&lt;&gt;0,$H198&gt;0,OR(AUTOEVENTO&lt;&gt;"manual",$M198&lt;&gt;1)),
IF(Import.TipoArredondamento&lt;&gt;"TransfereGOV",
ROUND(OFFSET($P198,0,AB$13),15-13*ORÇAMENTO!$AF$7)/$H198*OFFSET(ORÇAMENTO!$X$15,ROW(AB198)-ROW(AB$15),0),
ROUND(ROUND(OFFSET($P198,0,AB$13),15-13*ORÇAMENTO!$AF$7)*OFFSET(ORÇAMENTO!$W$15,ROW(AB198)-ROW(AB$15),0),15-13*ORÇAMENTO!$AF$11)),0)</f>
        <v>0</v>
      </c>
      <c r="AC198" s="545">
        <f ca="1">IF(AND($D198="Serviço",AC$12&lt;&gt;0,$H198&gt;0,OR(AUTOEVENTO&lt;&gt;"manual",$M198&lt;&gt;1)),
IF(Import.TipoArredondamento&lt;&gt;"TransfereGOV",
ROUND(OFFSET($P198,0,AC$13),15-13*ORÇAMENTO!$AF$7)/$H198*OFFSET(ORÇAMENTO!$X$15,ROW(AC198)-ROW(AC$15),0),
ROUND(ROUND(OFFSET($P198,0,AC$13),15-13*ORÇAMENTO!$AF$7)*OFFSET(ORÇAMENTO!$W$15,ROW(AC198)-ROW(AC$15),0),15-13*ORÇAMENTO!$AF$11)),0)</f>
        <v>0</v>
      </c>
      <c r="AD198" s="545">
        <f ca="1">IF(AND($D198="Serviço",AD$12&lt;&gt;0,$H198&gt;0,OR(AUTOEVENTO&lt;&gt;"manual",$M198&lt;&gt;1)),
IF(Import.TipoArredondamento&lt;&gt;"TransfereGOV",
ROUND(OFFSET($P198,0,AD$13),15-13*ORÇAMENTO!$AF$7)/$H198*OFFSET(ORÇAMENTO!$X$15,ROW(AD198)-ROW(AD$15),0),
ROUND(ROUND(OFFSET($P198,0,AD$13),15-13*ORÇAMENTO!$AF$7)*OFFSET(ORÇAMENTO!$W$15,ROW(AD198)-ROW(AD$15),0),15-13*ORÇAMENTO!$AF$11)),0)</f>
        <v>0</v>
      </c>
      <c r="AE198" s="545">
        <f ca="1">IF(AND($D198="Serviço",AE$12&lt;&gt;0,$H198&gt;0,OR(AUTOEVENTO&lt;&gt;"manual",$M198&lt;&gt;1)),
IF(Import.TipoArredondamento&lt;&gt;"TransfereGOV",
ROUND(OFFSET($P198,0,AE$13),15-13*ORÇAMENTO!$AF$7)/$H198*OFFSET(ORÇAMENTO!$X$15,ROW(AE198)-ROW(AE$15),0),
ROUND(ROUND(OFFSET($P198,0,AE$13),15-13*ORÇAMENTO!$AF$7)*OFFSET(ORÇAMENTO!$W$15,ROW(AE198)-ROW(AE$15),0),15-13*ORÇAMENTO!$AF$11)),0)</f>
        <v>0</v>
      </c>
      <c r="AF198" s="545">
        <f ca="1">IF(AND($D198="Serviço",AF$12&lt;&gt;0,$H198&gt;0,OR(AUTOEVENTO&lt;&gt;"manual",$M198&lt;&gt;1)),
IF(Import.TipoArredondamento&lt;&gt;"TransfereGOV",
ROUND(OFFSET($P198,0,AF$13),15-13*ORÇAMENTO!$AF$7)/$H198*OFFSET(ORÇAMENTO!$X$15,ROW(AF198)-ROW(AF$15),0),
ROUND(ROUND(OFFSET($P198,0,AF$13),15-13*ORÇAMENTO!$AF$7)*OFFSET(ORÇAMENTO!$W$15,ROW(AF198)-ROW(AF$15),0),15-13*ORÇAMENTO!$AF$11)),0)</f>
        <v>0</v>
      </c>
      <c r="AG198" s="545">
        <f ca="1">IF(AND($D198="Serviço",AG$12&lt;&gt;0,$H198&gt;0,OR(AUTOEVENTO&lt;&gt;"manual",$M198&lt;&gt;1)),
IF(Import.TipoArredondamento&lt;&gt;"TransfereGOV",
ROUND(OFFSET($P198,0,AG$13),15-13*ORÇAMENTO!$AF$7)/$H198*OFFSET(ORÇAMENTO!$X$15,ROW(AG198)-ROW(AG$15),0),
ROUND(ROUND(OFFSET($P198,0,AG$13),15-13*ORÇAMENTO!$AF$7)*OFFSET(ORÇAMENTO!$W$15,ROW(AG198)-ROW(AG$15),0),15-13*ORÇAMENTO!$AF$11)),0)</f>
        <v>0</v>
      </c>
      <c r="AH198" s="545">
        <f ca="1">IF(AND($D198="Serviço",AH$12&lt;&gt;0,$H198&gt;0,OR(AUTOEVENTO&lt;&gt;"manual",$M198&lt;&gt;1)),
IF(Import.TipoArredondamento&lt;&gt;"TransfereGOV",
ROUND(OFFSET($P198,0,AH$13),15-13*ORÇAMENTO!$AF$7)/$H198*OFFSET(ORÇAMENTO!$X$15,ROW(AH198)-ROW(AH$15),0),
ROUND(ROUND(OFFSET($P198,0,AH$13),15-13*ORÇAMENTO!$AF$7)*OFFSET(ORÇAMENTO!$W$15,ROW(AH198)-ROW(AH$15),0),15-13*ORÇAMENTO!$AF$11)),0)</f>
        <v>0</v>
      </c>
      <c r="AI198" s="545">
        <f ca="1">IF(AND($D198="Serviço",AI$12&lt;&gt;0,$H198&gt;0,OR(AUTOEVENTO&lt;&gt;"manual",$M198&lt;&gt;1)),
IF(Import.TipoArredondamento&lt;&gt;"TransfereGOV",
ROUND(OFFSET($P198,0,AI$13),15-13*ORÇAMENTO!$AF$7)/$H198*OFFSET(ORÇAMENTO!$X$15,ROW(AI198)-ROW(AI$15),0),
ROUND(ROUND(OFFSET($P198,0,AI$13),15-13*ORÇAMENTO!$AF$7)*OFFSET(ORÇAMENTO!$W$15,ROW(AI198)-ROW(AI$15),0),15-13*ORÇAMENTO!$AF$11)),0)</f>
        <v>0</v>
      </c>
      <c r="AJ198" s="545">
        <f ca="1">IF(AND($D198="Serviço",AJ$12&lt;&gt;0,$H198&gt;0,OR(AUTOEVENTO&lt;&gt;"manual",$M198&lt;&gt;1)),
IF(Import.TipoArredondamento&lt;&gt;"TransfereGOV",
ROUND(OFFSET($P198,0,AJ$13),15-13*ORÇAMENTO!$AF$7)/$H198*OFFSET(ORÇAMENTO!$X$15,ROW(AJ198)-ROW(AJ$15),0),
ROUND(ROUND(OFFSET($P198,0,AJ$13),15-13*ORÇAMENTO!$AF$7)*OFFSET(ORÇAMENTO!$W$15,ROW(AJ198)-ROW(AJ$15),0),15-13*ORÇAMENTO!$AF$11)),0)</f>
        <v>0</v>
      </c>
      <c r="AK198" s="546">
        <f ca="1">IF(AND($D198="Serviço",AK$12&lt;&gt;0,$H198&gt;0,OR(AUTOEVENTO&lt;&gt;"manual",$M198&lt;&gt;1)),
IF(Import.TipoArredondamento&lt;&gt;"TransfereGOV",
ROUND(OFFSET($P198,0,AK$13),15-13*ORÇAMENTO!$AF$7)/$H198*OFFSET(ORÇAMENTO!$X$15,ROW(AK198)-ROW(AK$15),0),
ROUND(ROUND(OFFSET($P198,0,AK$13),15-13*ORÇAMENTO!$AF$7)*OFFSET(ORÇAMENTO!$W$15,ROW(AK198)-ROW(AK$15),0),15-13*ORÇAMENTO!$AF$11)),0)</f>
        <v>0</v>
      </c>
      <c r="AM198" s="181">
        <f ca="1">IF($D198&lt;&gt;"Serviço",0,IF(AND(AUTOEVENTO="Manual",$M198=1),0,IF(OFFSET(CRONOPLE!$F$14,$M198,AM$13)="",10^12,OFFSET(CRONOPLE!$F$14,$M198,AM$13))))</f>
        <v>0</v>
      </c>
      <c r="AN198" s="181">
        <f ca="1">IF($D198&lt;&gt;"Serviço",0,IF(AND(AUTOEVENTO="Manual",$M198=1),0,IF(OFFSET(CRONOPLE!$F$14,$M198,AN$13)="",10^12,OFFSET(CRONOPLE!$F$14,$M198,AN$13))))</f>
        <v>0</v>
      </c>
      <c r="AO198" s="181">
        <f ca="1">IF($D198&lt;&gt;"Serviço",0,IF(AND(AUTOEVENTO="Manual",$M198=1),0,IF(OFFSET(CRONOPLE!$F$14,$M198,AO$13)="",10^12,OFFSET(CRONOPLE!$F$14,$M198,AO$13))))</f>
        <v>0</v>
      </c>
      <c r="AP198" s="181">
        <f ca="1">IF($D198&lt;&gt;"Serviço",0,IF(AND(AUTOEVENTO="Manual",$M198=1),0,IF(OFFSET(CRONOPLE!$F$14,$M198,AP$13)="",10^12,OFFSET(CRONOPLE!$F$14,$M198,AP$13))))</f>
        <v>0</v>
      </c>
      <c r="AQ198" s="181">
        <f ca="1">IF($D198&lt;&gt;"Serviço",0,IF(AND(AUTOEVENTO="Manual",$M198=1),0,IF(OFFSET(CRONOPLE!$F$14,$M198,AQ$13)="",10^12,OFFSET(CRONOPLE!$F$14,$M198,AQ$13))))</f>
        <v>0</v>
      </c>
      <c r="AR198" s="181">
        <f ca="1">IF($D198&lt;&gt;"Serviço",0,IF(AND(AUTOEVENTO="Manual",$M198=1),0,IF(OFFSET(CRONOPLE!$F$14,$M198,AR$13)="",10^12,OFFSET(CRONOPLE!$F$14,$M198,AR$13))))</f>
        <v>0</v>
      </c>
      <c r="AS198" s="181">
        <f ca="1">IF($D198&lt;&gt;"Serviço",0,IF(AND(AUTOEVENTO="Manual",$M198=1),0,IF(OFFSET(CRONOPLE!$F$14,$M198,AS$13)="",10^12,OFFSET(CRONOPLE!$F$14,$M198,AS$13))))</f>
        <v>0</v>
      </c>
      <c r="AT198" s="181">
        <f ca="1">IF($D198&lt;&gt;"Serviço",0,IF(AND(AUTOEVENTO="Manual",$M198=1),0,IF(OFFSET(CRONOPLE!$F$14,$M198,AT$13)="",10^12,OFFSET(CRONOPLE!$F$14,$M198,AT$13))))</f>
        <v>0</v>
      </c>
      <c r="AU198" s="181">
        <f ca="1">IF($D198&lt;&gt;"Serviço",0,IF(AND(AUTOEVENTO="Manual",$M198=1),0,IF(OFFSET(CRONOPLE!$F$14,$M198,AU$13)="",10^12,OFFSET(CRONOPLE!$F$14,$M198,AU$13))))</f>
        <v>0</v>
      </c>
      <c r="AV198" s="181">
        <f ca="1">IF($D198&lt;&gt;"Serviço",0,IF(AND(AUTOEVENTO="Manual",$M198=1),0,IF(OFFSET(CRONOPLE!$F$14,$M198,AV$13)="",10^12,OFFSET(CRONOPLE!$F$14,$M198,AV$13))))</f>
        <v>0</v>
      </c>
      <c r="AX198" s="182">
        <f ca="1">IF($D198&lt;&gt;"Serviço",0,IF(OR(AND(AUTOEVENTO="Manual",$M198=1),$M198&gt;(ROW(PLE.lastrow)-ROW(PLE.firstrow))),0,IF(OFFSET(PLE!$G$14,$M198,AX$13)="",10^12,OFFSET(PLE!$G$14,$M198,AX$13))))</f>
        <v>0</v>
      </c>
      <c r="AY198" s="182">
        <f ca="1">IF($D198&lt;&gt;"Serviço",0,IF(OR(AND(AUTOEVENTO="Manual",$M198=1),$M198&gt;(ROW(PLE.lastrow)-ROW(PLE.firstrow))),0,IF(OFFSET(PLE!$G$14,$M198,AY$13)="",10^12,OFFSET(PLE!$G$14,$M198,AY$13))))</f>
        <v>0</v>
      </c>
      <c r="AZ198" s="182">
        <f ca="1">IF($D198&lt;&gt;"Serviço",0,IF(OR(AND(AUTOEVENTO="Manual",$M198=1),$M198&gt;(ROW(PLE.lastrow)-ROW(PLE.firstrow))),0,IF(OFFSET(PLE!$G$14,$M198,AZ$13)="",10^12,OFFSET(PLE!$G$14,$M198,AZ$13))))</f>
        <v>0</v>
      </c>
      <c r="BA198" s="182">
        <f ca="1">IF($D198&lt;&gt;"Serviço",0,IF(OR(AND(AUTOEVENTO="Manual",$M198=1),$M198&gt;(ROW(PLE.lastrow)-ROW(PLE.firstrow))),0,IF(OFFSET(PLE!$G$14,$M198,BA$13)="",10^12,OFFSET(PLE!$G$14,$M198,BA$13))))</f>
        <v>0</v>
      </c>
      <c r="BB198" s="182">
        <f ca="1">IF($D198&lt;&gt;"Serviço",0,IF(OR(AND(AUTOEVENTO="Manual",$M198=1),$M198&gt;(ROW(PLE.lastrow)-ROW(PLE.firstrow))),0,IF(OFFSET(PLE!$G$14,$M198,BB$13)="",10^12,OFFSET(PLE!$G$14,$M198,BB$13))))</f>
        <v>0</v>
      </c>
      <c r="BC198" s="182">
        <f ca="1">IF($D198&lt;&gt;"Serviço",0,IF(OR(AND(AUTOEVENTO="Manual",$M198=1),$M198&gt;(ROW(PLE.lastrow)-ROW(PLE.firstrow))),0,IF(OFFSET(PLE!$G$14,$M198,BC$13)="",10^12,OFFSET(PLE!$G$14,$M198,BC$13))))</f>
        <v>0</v>
      </c>
      <c r="BD198" s="182">
        <f ca="1">IF($D198&lt;&gt;"Serviço",0,IF(OR(AND(AUTOEVENTO="Manual",$M198=1),$M198&gt;(ROW(PLE.lastrow)-ROW(PLE.firstrow))),0,IF(OFFSET(PLE!$G$14,$M198,BD$13)="",10^12,OFFSET(PLE!$G$14,$M198,BD$13))))</f>
        <v>0</v>
      </c>
      <c r="BE198" s="182">
        <f ca="1">IF($D198&lt;&gt;"Serviço",0,IF(OR(AND(AUTOEVENTO="Manual",$M198=1),$M198&gt;(ROW(PLE.lastrow)-ROW(PLE.firstrow))),0,IF(OFFSET(PLE!$G$14,$M198,BE$13)="",10^12,OFFSET(PLE!$G$14,$M198,BE$13))))</f>
        <v>0</v>
      </c>
      <c r="BF198" s="182">
        <f ca="1">IF($D198&lt;&gt;"Serviço",0,IF(OR(AND(AUTOEVENTO="Manual",$M198=1),$M198&gt;(ROW(PLE.lastrow)-ROW(PLE.firstrow))),0,IF(OFFSET(PLE!$G$14,$M198,BF$13)="",10^12,OFFSET(PLE!$G$14,$M198,BF$13))))</f>
        <v>0</v>
      </c>
      <c r="BG198" s="182">
        <f ca="1">IF($D198&lt;&gt;"Serviço",0,IF(OR(AND(AUTOEVENTO="Manual",$M198=1),$M198&gt;(ROW(PLE.lastrow)-ROW(PLE.firstrow))),0,IF(OFFSET(PLE!$G$14,$M198,BG$13)="",10^12,OFFSET(PLE!$G$14,$M198,BG$13))))</f>
        <v>0</v>
      </c>
    </row>
    <row r="199" spans="1:59" ht="63.75" x14ac:dyDescent="0.2">
      <c r="A199" s="7" t="str">
        <f t="shared" ca="1" si="10"/>
        <v>183</v>
      </c>
      <c r="B199" s="7" t="str">
        <f ca="1">OFFSET(ORÇAMENTO!C$15,ROW(B199)-ROW(B$15),0)</f>
        <v>S</v>
      </c>
      <c r="C199" s="7" t="str">
        <f ca="1">OFFSET(ORÇAMENTO!L$15,ROW(C199)-ROW(C$15),0)</f>
        <v>F</v>
      </c>
      <c r="D199" s="118" t="str">
        <f ca="1">OFFSET(ORÇAMENTO!N$15,ROW(D199)-ROW(D$15),0)</f>
        <v>Serviço</v>
      </c>
      <c r="E199" s="119" t="str">
        <f ca="1">OFFSET(ORÇAMENTO!O$15,ROW(E199)-ROW(E$15),0)</f>
        <v>1.8.0.1.</v>
      </c>
      <c r="F199" s="172" t="str">
        <f ca="1">OFFSET(ORÇAMENTO!R$15,ROW(F199)-ROW(F$15),0)</f>
        <v>(abra o arquivo 'Referência 03-2024.xlsm)</v>
      </c>
      <c r="G199" s="173" t="str">
        <f ca="1">IF($D199&lt;&gt;"Serviço","",OFFSET(ORÇAMENTO!S$15,ROW(G199)-ROW(G$15),0))</f>
        <v>-</v>
      </c>
      <c r="H199" s="124">
        <f ca="1">IF($D199&lt;&gt;"Serviço",0,IF(ACOMPANHAMENTO="BM",ROUND(OFFSET(ORÇAMENTO!AJ$15,ROW(H199)-ROW(H$15),0),15-13*ORÇAMENTO!$AF$7),SUMPRODUCT(($Q$12:$AA$12&lt;&gt;"")*ROUND($Q199:$AA199,15-13*ORÇAMENTO!$AF$7))))</f>
        <v>5.04</v>
      </c>
      <c r="I199" s="561"/>
      <c r="K199" s="174"/>
      <c r="L199" s="175" t="s">
        <v>255</v>
      </c>
      <c r="M199" s="176">
        <f ca="1">IF($D199&lt;&gt;"Serviço","",IF(AUTOEVENTO="manual",$A199,IF(ISERROR(MATCH($A199,$A$15:OFFSET($A199,-1,0),0)),MAX($M$15:OFFSET(M199,-1,0))+1,INDEX($M$15:OFFSET(M199,-1,0),MATCH($A199,$A$15:OFFSET($A199,-1,0),0)))))</f>
        <v>9</v>
      </c>
      <c r="N199" s="177" t="str">
        <f ca="1">IF($D199&lt;&gt;"Serviço","",IF(AUTOEVENTO="Manual",IF($A199=0,"&lt;-- defina o número do agrupador",OFFSET(EVENTOS!$D$14,$A199,0)),OFFSET($F$15,$A199,0)))</f>
        <v>CAMPO DE FUTEBOL</v>
      </c>
      <c r="O199" s="178"/>
      <c r="Q199" s="178"/>
      <c r="R199" s="179"/>
      <c r="S199" s="179"/>
      <c r="T199" s="179"/>
      <c r="U199" s="179"/>
      <c r="V199" s="179"/>
      <c r="W199" s="179"/>
      <c r="X199" s="179"/>
      <c r="Y199" s="179"/>
      <c r="Z199" s="180"/>
      <c r="AB199" s="544">
        <f ca="1">IF(AND($D199="Serviço",AB$12&lt;&gt;0,$H199&gt;0,OR(AUTOEVENTO&lt;&gt;"manual",$M199&lt;&gt;1)),
IF(Import.TipoArredondamento&lt;&gt;"TransfereGOV",
ROUND(OFFSET($P199,0,AB$13),15-13*ORÇAMENTO!$AF$7)/$H199*OFFSET(ORÇAMENTO!$X$15,ROW(AB199)-ROW(AB$15),0),
ROUND(ROUND(OFFSET($P199,0,AB$13),15-13*ORÇAMENTO!$AF$7)*OFFSET(ORÇAMENTO!$W$15,ROW(AB199)-ROW(AB$15),0),15-13*ORÇAMENTO!$AF$11)),0)</f>
        <v>0</v>
      </c>
      <c r="AC199" s="545">
        <f ca="1">IF(AND($D199="Serviço",AC$12&lt;&gt;0,$H199&gt;0,OR(AUTOEVENTO&lt;&gt;"manual",$M199&lt;&gt;1)),
IF(Import.TipoArredondamento&lt;&gt;"TransfereGOV",
ROUND(OFFSET($P199,0,AC$13),15-13*ORÇAMENTO!$AF$7)/$H199*OFFSET(ORÇAMENTO!$X$15,ROW(AC199)-ROW(AC$15),0),
ROUND(ROUND(OFFSET($P199,0,AC$13),15-13*ORÇAMENTO!$AF$7)*OFFSET(ORÇAMENTO!$W$15,ROW(AC199)-ROW(AC$15),0),15-13*ORÇAMENTO!$AF$11)),0)</f>
        <v>0</v>
      </c>
      <c r="AD199" s="545">
        <f ca="1">IF(AND($D199="Serviço",AD$12&lt;&gt;0,$H199&gt;0,OR(AUTOEVENTO&lt;&gt;"manual",$M199&lt;&gt;1)),
IF(Import.TipoArredondamento&lt;&gt;"TransfereGOV",
ROUND(OFFSET($P199,0,AD$13),15-13*ORÇAMENTO!$AF$7)/$H199*OFFSET(ORÇAMENTO!$X$15,ROW(AD199)-ROW(AD$15),0),
ROUND(ROUND(OFFSET($P199,0,AD$13),15-13*ORÇAMENTO!$AF$7)*OFFSET(ORÇAMENTO!$W$15,ROW(AD199)-ROW(AD$15),0),15-13*ORÇAMENTO!$AF$11)),0)</f>
        <v>0</v>
      </c>
      <c r="AE199" s="545">
        <f ca="1">IF(AND($D199="Serviço",AE$12&lt;&gt;0,$H199&gt;0,OR(AUTOEVENTO&lt;&gt;"manual",$M199&lt;&gt;1)),
IF(Import.TipoArredondamento&lt;&gt;"TransfereGOV",
ROUND(OFFSET($P199,0,AE$13),15-13*ORÇAMENTO!$AF$7)/$H199*OFFSET(ORÇAMENTO!$X$15,ROW(AE199)-ROW(AE$15),0),
ROUND(ROUND(OFFSET($P199,0,AE$13),15-13*ORÇAMENTO!$AF$7)*OFFSET(ORÇAMENTO!$W$15,ROW(AE199)-ROW(AE$15),0),15-13*ORÇAMENTO!$AF$11)),0)</f>
        <v>0</v>
      </c>
      <c r="AF199" s="545">
        <f ca="1">IF(AND($D199="Serviço",AF$12&lt;&gt;0,$H199&gt;0,OR(AUTOEVENTO&lt;&gt;"manual",$M199&lt;&gt;1)),
IF(Import.TipoArredondamento&lt;&gt;"TransfereGOV",
ROUND(OFFSET($P199,0,AF$13),15-13*ORÇAMENTO!$AF$7)/$H199*OFFSET(ORÇAMENTO!$X$15,ROW(AF199)-ROW(AF$15),0),
ROUND(ROUND(OFFSET($P199,0,AF$13),15-13*ORÇAMENTO!$AF$7)*OFFSET(ORÇAMENTO!$W$15,ROW(AF199)-ROW(AF$15),0),15-13*ORÇAMENTO!$AF$11)),0)</f>
        <v>0</v>
      </c>
      <c r="AG199" s="545">
        <f ca="1">IF(AND($D199="Serviço",AG$12&lt;&gt;0,$H199&gt;0,OR(AUTOEVENTO&lt;&gt;"manual",$M199&lt;&gt;1)),
IF(Import.TipoArredondamento&lt;&gt;"TransfereGOV",
ROUND(OFFSET($P199,0,AG$13),15-13*ORÇAMENTO!$AF$7)/$H199*OFFSET(ORÇAMENTO!$X$15,ROW(AG199)-ROW(AG$15),0),
ROUND(ROUND(OFFSET($P199,0,AG$13),15-13*ORÇAMENTO!$AF$7)*OFFSET(ORÇAMENTO!$W$15,ROW(AG199)-ROW(AG$15),0),15-13*ORÇAMENTO!$AF$11)),0)</f>
        <v>0</v>
      </c>
      <c r="AH199" s="545">
        <f ca="1">IF(AND($D199="Serviço",AH$12&lt;&gt;0,$H199&gt;0,OR(AUTOEVENTO&lt;&gt;"manual",$M199&lt;&gt;1)),
IF(Import.TipoArredondamento&lt;&gt;"TransfereGOV",
ROUND(OFFSET($P199,0,AH$13),15-13*ORÇAMENTO!$AF$7)/$H199*OFFSET(ORÇAMENTO!$X$15,ROW(AH199)-ROW(AH$15),0),
ROUND(ROUND(OFFSET($P199,0,AH$13),15-13*ORÇAMENTO!$AF$7)*OFFSET(ORÇAMENTO!$W$15,ROW(AH199)-ROW(AH$15),0),15-13*ORÇAMENTO!$AF$11)),0)</f>
        <v>0</v>
      </c>
      <c r="AI199" s="545">
        <f ca="1">IF(AND($D199="Serviço",AI$12&lt;&gt;0,$H199&gt;0,OR(AUTOEVENTO&lt;&gt;"manual",$M199&lt;&gt;1)),
IF(Import.TipoArredondamento&lt;&gt;"TransfereGOV",
ROUND(OFFSET($P199,0,AI$13),15-13*ORÇAMENTO!$AF$7)/$H199*OFFSET(ORÇAMENTO!$X$15,ROW(AI199)-ROW(AI$15),0),
ROUND(ROUND(OFFSET($P199,0,AI$13),15-13*ORÇAMENTO!$AF$7)*OFFSET(ORÇAMENTO!$W$15,ROW(AI199)-ROW(AI$15),0),15-13*ORÇAMENTO!$AF$11)),0)</f>
        <v>0</v>
      </c>
      <c r="AJ199" s="545">
        <f ca="1">IF(AND($D199="Serviço",AJ$12&lt;&gt;0,$H199&gt;0,OR(AUTOEVENTO&lt;&gt;"manual",$M199&lt;&gt;1)),
IF(Import.TipoArredondamento&lt;&gt;"TransfereGOV",
ROUND(OFFSET($P199,0,AJ$13),15-13*ORÇAMENTO!$AF$7)/$H199*OFFSET(ORÇAMENTO!$X$15,ROW(AJ199)-ROW(AJ$15),0),
ROUND(ROUND(OFFSET($P199,0,AJ$13),15-13*ORÇAMENTO!$AF$7)*OFFSET(ORÇAMENTO!$W$15,ROW(AJ199)-ROW(AJ$15),0),15-13*ORÇAMENTO!$AF$11)),0)</f>
        <v>0</v>
      </c>
      <c r="AK199" s="546">
        <f ca="1">IF(AND($D199="Serviço",AK$12&lt;&gt;0,$H199&gt;0,OR(AUTOEVENTO&lt;&gt;"manual",$M199&lt;&gt;1)),
IF(Import.TipoArredondamento&lt;&gt;"TransfereGOV",
ROUND(OFFSET($P199,0,AK$13),15-13*ORÇAMENTO!$AF$7)/$H199*OFFSET(ORÇAMENTO!$X$15,ROW(AK199)-ROW(AK$15),0),
ROUND(ROUND(OFFSET($P199,0,AK$13),15-13*ORÇAMENTO!$AF$7)*OFFSET(ORÇAMENTO!$W$15,ROW(AK199)-ROW(AK$15),0),15-13*ORÇAMENTO!$AF$11)),0)</f>
        <v>0</v>
      </c>
      <c r="AM199" s="181">
        <f ca="1">IF($D199&lt;&gt;"Serviço",0,IF(AND(AUTOEVENTO="Manual",$M199=1),0,IF(OFFSET(CRONOPLE!$F$14,$M199,AM$13)="",10^12,OFFSET(CRONOPLE!$F$14,$M199,AM$13))))</f>
        <v>1000000000000</v>
      </c>
      <c r="AN199" s="181">
        <f ca="1">IF($D199&lt;&gt;"Serviço",0,IF(AND(AUTOEVENTO="Manual",$M199=1),0,IF(OFFSET(CRONOPLE!$F$14,$M199,AN$13)="",10^12,OFFSET(CRONOPLE!$F$14,$M199,AN$13))))</f>
        <v>1000000000000</v>
      </c>
      <c r="AO199" s="181">
        <f ca="1">IF($D199&lt;&gt;"Serviço",0,IF(AND(AUTOEVENTO="Manual",$M199=1),0,IF(OFFSET(CRONOPLE!$F$14,$M199,AO$13)="",10^12,OFFSET(CRONOPLE!$F$14,$M199,AO$13))))</f>
        <v>1000000000000</v>
      </c>
      <c r="AP199" s="181">
        <f ca="1">IF($D199&lt;&gt;"Serviço",0,IF(AND(AUTOEVENTO="Manual",$M199=1),0,IF(OFFSET(CRONOPLE!$F$14,$M199,AP$13)="",10^12,OFFSET(CRONOPLE!$F$14,$M199,AP$13))))</f>
        <v>1000000000000</v>
      </c>
      <c r="AQ199" s="181">
        <f ca="1">IF($D199&lt;&gt;"Serviço",0,IF(AND(AUTOEVENTO="Manual",$M199=1),0,IF(OFFSET(CRONOPLE!$F$14,$M199,AQ$13)="",10^12,OFFSET(CRONOPLE!$F$14,$M199,AQ$13))))</f>
        <v>1000000000000</v>
      </c>
      <c r="AR199" s="181">
        <f ca="1">IF($D199&lt;&gt;"Serviço",0,IF(AND(AUTOEVENTO="Manual",$M199=1),0,IF(OFFSET(CRONOPLE!$F$14,$M199,AR$13)="",10^12,OFFSET(CRONOPLE!$F$14,$M199,AR$13))))</f>
        <v>1000000000000</v>
      </c>
      <c r="AS199" s="181">
        <f ca="1">IF($D199&lt;&gt;"Serviço",0,IF(AND(AUTOEVENTO="Manual",$M199=1),0,IF(OFFSET(CRONOPLE!$F$14,$M199,AS$13)="",10^12,OFFSET(CRONOPLE!$F$14,$M199,AS$13))))</f>
        <v>1000000000000</v>
      </c>
      <c r="AT199" s="181">
        <f ca="1">IF($D199&lt;&gt;"Serviço",0,IF(AND(AUTOEVENTO="Manual",$M199=1),0,IF(OFFSET(CRONOPLE!$F$14,$M199,AT$13)="",10^12,OFFSET(CRONOPLE!$F$14,$M199,AT$13))))</f>
        <v>1000000000000</v>
      </c>
      <c r="AU199" s="181">
        <f ca="1">IF($D199&lt;&gt;"Serviço",0,IF(AND(AUTOEVENTO="Manual",$M199=1),0,IF(OFFSET(CRONOPLE!$F$14,$M199,AU$13)="",10^12,OFFSET(CRONOPLE!$F$14,$M199,AU$13))))</f>
        <v>1000000000000</v>
      </c>
      <c r="AV199" s="181">
        <f ca="1">IF($D199&lt;&gt;"Serviço",0,IF(AND(AUTOEVENTO="Manual",$M199=1),0,IF(OFFSET(CRONOPLE!$F$14,$M199,AV$13)="",10^12,OFFSET(CRONOPLE!$F$14,$M199,AV$13))))</f>
        <v>1000000000000</v>
      </c>
      <c r="AX199" s="182">
        <f ca="1">IF($D199&lt;&gt;"Serviço",0,IF(OR(AND(AUTOEVENTO="Manual",$M199=1),$M199&gt;(ROW(PLE.lastrow)-ROW(PLE.firstrow))),0,IF(OFFSET(PLE!$G$14,$M199,AX$13)="",10^12,OFFSET(PLE!$G$14,$M199,AX$13))))</f>
        <v>1000000000000</v>
      </c>
      <c r="AY199" s="182">
        <f ca="1">IF($D199&lt;&gt;"Serviço",0,IF(OR(AND(AUTOEVENTO="Manual",$M199=1),$M199&gt;(ROW(PLE.lastrow)-ROW(PLE.firstrow))),0,IF(OFFSET(PLE!$G$14,$M199,AY$13)="",10^12,OFFSET(PLE!$G$14,$M199,AY$13))))</f>
        <v>1000000000000</v>
      </c>
      <c r="AZ199" s="182">
        <f ca="1">IF($D199&lt;&gt;"Serviço",0,IF(OR(AND(AUTOEVENTO="Manual",$M199=1),$M199&gt;(ROW(PLE.lastrow)-ROW(PLE.firstrow))),0,IF(OFFSET(PLE!$G$14,$M199,AZ$13)="",10^12,OFFSET(PLE!$G$14,$M199,AZ$13))))</f>
        <v>1000000000000</v>
      </c>
      <c r="BA199" s="182">
        <f ca="1">IF($D199&lt;&gt;"Serviço",0,IF(OR(AND(AUTOEVENTO="Manual",$M199=1),$M199&gt;(ROW(PLE.lastrow)-ROW(PLE.firstrow))),0,IF(OFFSET(PLE!$G$14,$M199,BA$13)="",10^12,OFFSET(PLE!$G$14,$M199,BA$13))))</f>
        <v>1000000000000</v>
      </c>
      <c r="BB199" s="182">
        <f ca="1">IF($D199&lt;&gt;"Serviço",0,IF(OR(AND(AUTOEVENTO="Manual",$M199=1),$M199&gt;(ROW(PLE.lastrow)-ROW(PLE.firstrow))),0,IF(OFFSET(PLE!$G$14,$M199,BB$13)="",10^12,OFFSET(PLE!$G$14,$M199,BB$13))))</f>
        <v>1000000000000</v>
      </c>
      <c r="BC199" s="182">
        <f ca="1">IF($D199&lt;&gt;"Serviço",0,IF(OR(AND(AUTOEVENTO="Manual",$M199=1),$M199&gt;(ROW(PLE.lastrow)-ROW(PLE.firstrow))),0,IF(OFFSET(PLE!$G$14,$M199,BC$13)="",10^12,OFFSET(PLE!$G$14,$M199,BC$13))))</f>
        <v>1000000000000</v>
      </c>
      <c r="BD199" s="182">
        <f ca="1">IF($D199&lt;&gt;"Serviço",0,IF(OR(AND(AUTOEVENTO="Manual",$M199=1),$M199&gt;(ROW(PLE.lastrow)-ROW(PLE.firstrow))),0,IF(OFFSET(PLE!$G$14,$M199,BD$13)="",10^12,OFFSET(PLE!$G$14,$M199,BD$13))))</f>
        <v>1000000000000</v>
      </c>
      <c r="BE199" s="182">
        <f ca="1">IF($D199&lt;&gt;"Serviço",0,IF(OR(AND(AUTOEVENTO="Manual",$M199=1),$M199&gt;(ROW(PLE.lastrow)-ROW(PLE.firstrow))),0,IF(OFFSET(PLE!$G$14,$M199,BE$13)="",10^12,OFFSET(PLE!$G$14,$M199,BE$13))))</f>
        <v>1000000000000</v>
      </c>
      <c r="BF199" s="182">
        <f ca="1">IF($D199&lt;&gt;"Serviço",0,IF(OR(AND(AUTOEVENTO="Manual",$M199=1),$M199&gt;(ROW(PLE.lastrow)-ROW(PLE.firstrow))),0,IF(OFFSET(PLE!$G$14,$M199,BF$13)="",10^12,OFFSET(PLE!$G$14,$M199,BF$13))))</f>
        <v>1000000000000</v>
      </c>
      <c r="BG199" s="182">
        <f ca="1">IF($D199&lt;&gt;"Serviço",0,IF(OR(AND(AUTOEVENTO="Manual",$M199=1),$M199&gt;(ROW(PLE.lastrow)-ROW(PLE.firstrow))),0,IF(OFFSET(PLE!$G$14,$M199,BG$13)="",10^12,OFFSET(PLE!$G$14,$M199,BG$13))))</f>
        <v>1000000000000</v>
      </c>
    </row>
    <row r="200" spans="1:59" ht="51" x14ac:dyDescent="0.2">
      <c r="A200" s="7" t="str">
        <f t="shared" ca="1" si="10"/>
        <v>183</v>
      </c>
      <c r="B200" s="7" t="str">
        <f ca="1">OFFSET(ORÇAMENTO!C$15,ROW(B200)-ROW(B$15),0)</f>
        <v>S</v>
      </c>
      <c r="C200" s="7" t="str">
        <f ca="1">OFFSET(ORÇAMENTO!L$15,ROW(C200)-ROW(C$15),0)</f>
        <v>F</v>
      </c>
      <c r="D200" s="118" t="str">
        <f ca="1">OFFSET(ORÇAMENTO!N$15,ROW(D200)-ROW(D$15),0)</f>
        <v>Serviço</v>
      </c>
      <c r="E200" s="119" t="str">
        <f ca="1">OFFSET(ORÇAMENTO!O$15,ROW(E200)-ROW(E$15),0)</f>
        <v>1.8.0.2.</v>
      </c>
      <c r="F200" s="172" t="str">
        <f ca="1">OFFSET(ORÇAMENTO!R$15,ROW(F200)-ROW(F$15),0)</f>
        <v>(abra o arquivo 'Referência 03-2024.xlsm)</v>
      </c>
      <c r="G200" s="173" t="str">
        <f ca="1">IF($D200&lt;&gt;"Serviço","",OFFSET(ORÇAMENTO!S$15,ROW(G200)-ROW(G$15),0))</f>
        <v>-</v>
      </c>
      <c r="H200" s="124">
        <f ca="1">IF($D200&lt;&gt;"Serviço",0,IF(ACOMPANHAMENTO="BM",ROUND(OFFSET(ORÇAMENTO!AJ$15,ROW(H200)-ROW(H$15),0),15-13*ORÇAMENTO!$AF$7),SUMPRODUCT(($Q$12:$AA$12&lt;&gt;"")*ROUND($Q200:$AA200,15-13*ORÇAMENTO!$AF$7))))</f>
        <v>1.26</v>
      </c>
      <c r="I200" s="561"/>
      <c r="K200" s="174"/>
      <c r="L200" s="175" t="s">
        <v>255</v>
      </c>
      <c r="M200" s="176">
        <f ca="1">IF($D200&lt;&gt;"Serviço","",IF(AUTOEVENTO="manual",$A200,IF(ISERROR(MATCH($A200,$A$15:OFFSET($A200,-1,0),0)),MAX($M$15:OFFSET(M200,-1,0))+1,INDEX($M$15:OFFSET(M200,-1,0),MATCH($A200,$A$15:OFFSET($A200,-1,0),0)))))</f>
        <v>9</v>
      </c>
      <c r="N200" s="177" t="str">
        <f ca="1">IF($D200&lt;&gt;"Serviço","",IF(AUTOEVENTO="Manual",IF($A200=0,"&lt;-- defina o número do agrupador",OFFSET(EVENTOS!$D$14,$A200,0)),OFFSET($F$15,$A200,0)))</f>
        <v>CAMPO DE FUTEBOL</v>
      </c>
      <c r="O200" s="178"/>
      <c r="Q200" s="178"/>
      <c r="R200" s="179"/>
      <c r="S200" s="179"/>
      <c r="T200" s="179"/>
      <c r="U200" s="179"/>
      <c r="V200" s="179"/>
      <c r="W200" s="179"/>
      <c r="X200" s="179"/>
      <c r="Y200" s="179"/>
      <c r="Z200" s="180"/>
      <c r="AB200" s="544">
        <f ca="1">IF(AND($D200="Serviço",AB$12&lt;&gt;0,$H200&gt;0,OR(AUTOEVENTO&lt;&gt;"manual",$M200&lt;&gt;1)),
IF(Import.TipoArredondamento&lt;&gt;"TransfereGOV",
ROUND(OFFSET($P200,0,AB$13),15-13*ORÇAMENTO!$AF$7)/$H200*OFFSET(ORÇAMENTO!$X$15,ROW(AB200)-ROW(AB$15),0),
ROUND(ROUND(OFFSET($P200,0,AB$13),15-13*ORÇAMENTO!$AF$7)*OFFSET(ORÇAMENTO!$W$15,ROW(AB200)-ROW(AB$15),0),15-13*ORÇAMENTO!$AF$11)),0)</f>
        <v>0</v>
      </c>
      <c r="AC200" s="545">
        <f ca="1">IF(AND($D200="Serviço",AC$12&lt;&gt;0,$H200&gt;0,OR(AUTOEVENTO&lt;&gt;"manual",$M200&lt;&gt;1)),
IF(Import.TipoArredondamento&lt;&gt;"TransfereGOV",
ROUND(OFFSET($P200,0,AC$13),15-13*ORÇAMENTO!$AF$7)/$H200*OFFSET(ORÇAMENTO!$X$15,ROW(AC200)-ROW(AC$15),0),
ROUND(ROUND(OFFSET($P200,0,AC$13),15-13*ORÇAMENTO!$AF$7)*OFFSET(ORÇAMENTO!$W$15,ROW(AC200)-ROW(AC$15),0),15-13*ORÇAMENTO!$AF$11)),0)</f>
        <v>0</v>
      </c>
      <c r="AD200" s="545">
        <f ca="1">IF(AND($D200="Serviço",AD$12&lt;&gt;0,$H200&gt;0,OR(AUTOEVENTO&lt;&gt;"manual",$M200&lt;&gt;1)),
IF(Import.TipoArredondamento&lt;&gt;"TransfereGOV",
ROUND(OFFSET($P200,0,AD$13),15-13*ORÇAMENTO!$AF$7)/$H200*OFFSET(ORÇAMENTO!$X$15,ROW(AD200)-ROW(AD$15),0),
ROUND(ROUND(OFFSET($P200,0,AD$13),15-13*ORÇAMENTO!$AF$7)*OFFSET(ORÇAMENTO!$W$15,ROW(AD200)-ROW(AD$15),0),15-13*ORÇAMENTO!$AF$11)),0)</f>
        <v>0</v>
      </c>
      <c r="AE200" s="545">
        <f ca="1">IF(AND($D200="Serviço",AE$12&lt;&gt;0,$H200&gt;0,OR(AUTOEVENTO&lt;&gt;"manual",$M200&lt;&gt;1)),
IF(Import.TipoArredondamento&lt;&gt;"TransfereGOV",
ROUND(OFFSET($P200,0,AE$13),15-13*ORÇAMENTO!$AF$7)/$H200*OFFSET(ORÇAMENTO!$X$15,ROW(AE200)-ROW(AE$15),0),
ROUND(ROUND(OFFSET($P200,0,AE$13),15-13*ORÇAMENTO!$AF$7)*OFFSET(ORÇAMENTO!$W$15,ROW(AE200)-ROW(AE$15),0),15-13*ORÇAMENTO!$AF$11)),0)</f>
        <v>0</v>
      </c>
      <c r="AF200" s="545">
        <f ca="1">IF(AND($D200="Serviço",AF$12&lt;&gt;0,$H200&gt;0,OR(AUTOEVENTO&lt;&gt;"manual",$M200&lt;&gt;1)),
IF(Import.TipoArredondamento&lt;&gt;"TransfereGOV",
ROUND(OFFSET($P200,0,AF$13),15-13*ORÇAMENTO!$AF$7)/$H200*OFFSET(ORÇAMENTO!$X$15,ROW(AF200)-ROW(AF$15),0),
ROUND(ROUND(OFFSET($P200,0,AF$13),15-13*ORÇAMENTO!$AF$7)*OFFSET(ORÇAMENTO!$W$15,ROW(AF200)-ROW(AF$15),0),15-13*ORÇAMENTO!$AF$11)),0)</f>
        <v>0</v>
      </c>
      <c r="AG200" s="545">
        <f ca="1">IF(AND($D200="Serviço",AG$12&lt;&gt;0,$H200&gt;0,OR(AUTOEVENTO&lt;&gt;"manual",$M200&lt;&gt;1)),
IF(Import.TipoArredondamento&lt;&gt;"TransfereGOV",
ROUND(OFFSET($P200,0,AG$13),15-13*ORÇAMENTO!$AF$7)/$H200*OFFSET(ORÇAMENTO!$X$15,ROW(AG200)-ROW(AG$15),0),
ROUND(ROUND(OFFSET($P200,0,AG$13),15-13*ORÇAMENTO!$AF$7)*OFFSET(ORÇAMENTO!$W$15,ROW(AG200)-ROW(AG$15),0),15-13*ORÇAMENTO!$AF$11)),0)</f>
        <v>0</v>
      </c>
      <c r="AH200" s="545">
        <f ca="1">IF(AND($D200="Serviço",AH$12&lt;&gt;0,$H200&gt;0,OR(AUTOEVENTO&lt;&gt;"manual",$M200&lt;&gt;1)),
IF(Import.TipoArredondamento&lt;&gt;"TransfereGOV",
ROUND(OFFSET($P200,0,AH$13),15-13*ORÇAMENTO!$AF$7)/$H200*OFFSET(ORÇAMENTO!$X$15,ROW(AH200)-ROW(AH$15),0),
ROUND(ROUND(OFFSET($P200,0,AH$13),15-13*ORÇAMENTO!$AF$7)*OFFSET(ORÇAMENTO!$W$15,ROW(AH200)-ROW(AH$15),0),15-13*ORÇAMENTO!$AF$11)),0)</f>
        <v>0</v>
      </c>
      <c r="AI200" s="545">
        <f ca="1">IF(AND($D200="Serviço",AI$12&lt;&gt;0,$H200&gt;0,OR(AUTOEVENTO&lt;&gt;"manual",$M200&lt;&gt;1)),
IF(Import.TipoArredondamento&lt;&gt;"TransfereGOV",
ROUND(OFFSET($P200,0,AI$13),15-13*ORÇAMENTO!$AF$7)/$H200*OFFSET(ORÇAMENTO!$X$15,ROW(AI200)-ROW(AI$15),0),
ROUND(ROUND(OFFSET($P200,0,AI$13),15-13*ORÇAMENTO!$AF$7)*OFFSET(ORÇAMENTO!$W$15,ROW(AI200)-ROW(AI$15),0),15-13*ORÇAMENTO!$AF$11)),0)</f>
        <v>0</v>
      </c>
      <c r="AJ200" s="545">
        <f ca="1">IF(AND($D200="Serviço",AJ$12&lt;&gt;0,$H200&gt;0,OR(AUTOEVENTO&lt;&gt;"manual",$M200&lt;&gt;1)),
IF(Import.TipoArredondamento&lt;&gt;"TransfereGOV",
ROUND(OFFSET($P200,0,AJ$13),15-13*ORÇAMENTO!$AF$7)/$H200*OFFSET(ORÇAMENTO!$X$15,ROW(AJ200)-ROW(AJ$15),0),
ROUND(ROUND(OFFSET($P200,0,AJ$13),15-13*ORÇAMENTO!$AF$7)*OFFSET(ORÇAMENTO!$W$15,ROW(AJ200)-ROW(AJ$15),0),15-13*ORÇAMENTO!$AF$11)),0)</f>
        <v>0</v>
      </c>
      <c r="AK200" s="546">
        <f ca="1">IF(AND($D200="Serviço",AK$12&lt;&gt;0,$H200&gt;0,OR(AUTOEVENTO&lt;&gt;"manual",$M200&lt;&gt;1)),
IF(Import.TipoArredondamento&lt;&gt;"TransfereGOV",
ROUND(OFFSET($P200,0,AK$13),15-13*ORÇAMENTO!$AF$7)/$H200*OFFSET(ORÇAMENTO!$X$15,ROW(AK200)-ROW(AK$15),0),
ROUND(ROUND(OFFSET($P200,0,AK$13),15-13*ORÇAMENTO!$AF$7)*OFFSET(ORÇAMENTO!$W$15,ROW(AK200)-ROW(AK$15),0),15-13*ORÇAMENTO!$AF$11)),0)</f>
        <v>0</v>
      </c>
      <c r="AM200" s="181">
        <f ca="1">IF($D200&lt;&gt;"Serviço",0,IF(AND(AUTOEVENTO="Manual",$M200=1),0,IF(OFFSET(CRONOPLE!$F$14,$M200,AM$13)="",10^12,OFFSET(CRONOPLE!$F$14,$M200,AM$13))))</f>
        <v>1000000000000</v>
      </c>
      <c r="AN200" s="181">
        <f ca="1">IF($D200&lt;&gt;"Serviço",0,IF(AND(AUTOEVENTO="Manual",$M200=1),0,IF(OFFSET(CRONOPLE!$F$14,$M200,AN$13)="",10^12,OFFSET(CRONOPLE!$F$14,$M200,AN$13))))</f>
        <v>1000000000000</v>
      </c>
      <c r="AO200" s="181">
        <f ca="1">IF($D200&lt;&gt;"Serviço",0,IF(AND(AUTOEVENTO="Manual",$M200=1),0,IF(OFFSET(CRONOPLE!$F$14,$M200,AO$13)="",10^12,OFFSET(CRONOPLE!$F$14,$M200,AO$13))))</f>
        <v>1000000000000</v>
      </c>
      <c r="AP200" s="181">
        <f ca="1">IF($D200&lt;&gt;"Serviço",0,IF(AND(AUTOEVENTO="Manual",$M200=1),0,IF(OFFSET(CRONOPLE!$F$14,$M200,AP$13)="",10^12,OFFSET(CRONOPLE!$F$14,$M200,AP$13))))</f>
        <v>1000000000000</v>
      </c>
      <c r="AQ200" s="181">
        <f ca="1">IF($D200&lt;&gt;"Serviço",0,IF(AND(AUTOEVENTO="Manual",$M200=1),0,IF(OFFSET(CRONOPLE!$F$14,$M200,AQ$13)="",10^12,OFFSET(CRONOPLE!$F$14,$M200,AQ$13))))</f>
        <v>1000000000000</v>
      </c>
      <c r="AR200" s="181">
        <f ca="1">IF($D200&lt;&gt;"Serviço",0,IF(AND(AUTOEVENTO="Manual",$M200=1),0,IF(OFFSET(CRONOPLE!$F$14,$M200,AR$13)="",10^12,OFFSET(CRONOPLE!$F$14,$M200,AR$13))))</f>
        <v>1000000000000</v>
      </c>
      <c r="AS200" s="181">
        <f ca="1">IF($D200&lt;&gt;"Serviço",0,IF(AND(AUTOEVENTO="Manual",$M200=1),0,IF(OFFSET(CRONOPLE!$F$14,$M200,AS$13)="",10^12,OFFSET(CRONOPLE!$F$14,$M200,AS$13))))</f>
        <v>1000000000000</v>
      </c>
      <c r="AT200" s="181">
        <f ca="1">IF($D200&lt;&gt;"Serviço",0,IF(AND(AUTOEVENTO="Manual",$M200=1),0,IF(OFFSET(CRONOPLE!$F$14,$M200,AT$13)="",10^12,OFFSET(CRONOPLE!$F$14,$M200,AT$13))))</f>
        <v>1000000000000</v>
      </c>
      <c r="AU200" s="181">
        <f ca="1">IF($D200&lt;&gt;"Serviço",0,IF(AND(AUTOEVENTO="Manual",$M200=1),0,IF(OFFSET(CRONOPLE!$F$14,$M200,AU$13)="",10^12,OFFSET(CRONOPLE!$F$14,$M200,AU$13))))</f>
        <v>1000000000000</v>
      </c>
      <c r="AV200" s="181">
        <f ca="1">IF($D200&lt;&gt;"Serviço",0,IF(AND(AUTOEVENTO="Manual",$M200=1),0,IF(OFFSET(CRONOPLE!$F$14,$M200,AV$13)="",10^12,OFFSET(CRONOPLE!$F$14,$M200,AV$13))))</f>
        <v>1000000000000</v>
      </c>
      <c r="AX200" s="182">
        <f ca="1">IF($D200&lt;&gt;"Serviço",0,IF(OR(AND(AUTOEVENTO="Manual",$M200=1),$M200&gt;(ROW(PLE.lastrow)-ROW(PLE.firstrow))),0,IF(OFFSET(PLE!$G$14,$M200,AX$13)="",10^12,OFFSET(PLE!$G$14,$M200,AX$13))))</f>
        <v>1000000000000</v>
      </c>
      <c r="AY200" s="182">
        <f ca="1">IF($D200&lt;&gt;"Serviço",0,IF(OR(AND(AUTOEVENTO="Manual",$M200=1),$M200&gt;(ROW(PLE.lastrow)-ROW(PLE.firstrow))),0,IF(OFFSET(PLE!$G$14,$M200,AY$13)="",10^12,OFFSET(PLE!$G$14,$M200,AY$13))))</f>
        <v>1000000000000</v>
      </c>
      <c r="AZ200" s="182">
        <f ca="1">IF($D200&lt;&gt;"Serviço",0,IF(OR(AND(AUTOEVENTO="Manual",$M200=1),$M200&gt;(ROW(PLE.lastrow)-ROW(PLE.firstrow))),0,IF(OFFSET(PLE!$G$14,$M200,AZ$13)="",10^12,OFFSET(PLE!$G$14,$M200,AZ$13))))</f>
        <v>1000000000000</v>
      </c>
      <c r="BA200" s="182">
        <f ca="1">IF($D200&lt;&gt;"Serviço",0,IF(OR(AND(AUTOEVENTO="Manual",$M200=1),$M200&gt;(ROW(PLE.lastrow)-ROW(PLE.firstrow))),0,IF(OFFSET(PLE!$G$14,$M200,BA$13)="",10^12,OFFSET(PLE!$G$14,$M200,BA$13))))</f>
        <v>1000000000000</v>
      </c>
      <c r="BB200" s="182">
        <f ca="1">IF($D200&lt;&gt;"Serviço",0,IF(OR(AND(AUTOEVENTO="Manual",$M200=1),$M200&gt;(ROW(PLE.lastrow)-ROW(PLE.firstrow))),0,IF(OFFSET(PLE!$G$14,$M200,BB$13)="",10^12,OFFSET(PLE!$G$14,$M200,BB$13))))</f>
        <v>1000000000000</v>
      </c>
      <c r="BC200" s="182">
        <f ca="1">IF($D200&lt;&gt;"Serviço",0,IF(OR(AND(AUTOEVENTO="Manual",$M200=1),$M200&gt;(ROW(PLE.lastrow)-ROW(PLE.firstrow))),0,IF(OFFSET(PLE!$G$14,$M200,BC$13)="",10^12,OFFSET(PLE!$G$14,$M200,BC$13))))</f>
        <v>1000000000000</v>
      </c>
      <c r="BD200" s="182">
        <f ca="1">IF($D200&lt;&gt;"Serviço",0,IF(OR(AND(AUTOEVENTO="Manual",$M200=1),$M200&gt;(ROW(PLE.lastrow)-ROW(PLE.firstrow))),0,IF(OFFSET(PLE!$G$14,$M200,BD$13)="",10^12,OFFSET(PLE!$G$14,$M200,BD$13))))</f>
        <v>1000000000000</v>
      </c>
      <c r="BE200" s="182">
        <f ca="1">IF($D200&lt;&gt;"Serviço",0,IF(OR(AND(AUTOEVENTO="Manual",$M200=1),$M200&gt;(ROW(PLE.lastrow)-ROW(PLE.firstrow))),0,IF(OFFSET(PLE!$G$14,$M200,BE$13)="",10^12,OFFSET(PLE!$G$14,$M200,BE$13))))</f>
        <v>1000000000000</v>
      </c>
      <c r="BF200" s="182">
        <f ca="1">IF($D200&lt;&gt;"Serviço",0,IF(OR(AND(AUTOEVENTO="Manual",$M200=1),$M200&gt;(ROW(PLE.lastrow)-ROW(PLE.firstrow))),0,IF(OFFSET(PLE!$G$14,$M200,BF$13)="",10^12,OFFSET(PLE!$G$14,$M200,BF$13))))</f>
        <v>1000000000000</v>
      </c>
      <c r="BG200" s="182">
        <f ca="1">IF($D200&lt;&gt;"Serviço",0,IF(OR(AND(AUTOEVENTO="Manual",$M200=1),$M200&gt;(ROW(PLE.lastrow)-ROW(PLE.firstrow))),0,IF(OFFSET(PLE!$G$14,$M200,BG$13)="",10^12,OFFSET(PLE!$G$14,$M200,BG$13))))</f>
        <v>1000000000000</v>
      </c>
    </row>
    <row r="201" spans="1:59" ht="38.25" x14ac:dyDescent="0.2">
      <c r="A201" s="7" t="str">
        <f t="shared" ca="1" si="10"/>
        <v>183</v>
      </c>
      <c r="B201" s="7" t="str">
        <f ca="1">OFFSET(ORÇAMENTO!C$15,ROW(B201)-ROW(B$15),0)</f>
        <v>S</v>
      </c>
      <c r="C201" s="7" t="str">
        <f ca="1">OFFSET(ORÇAMENTO!L$15,ROW(C201)-ROW(C$15),0)</f>
        <v>F</v>
      </c>
      <c r="D201" s="118" t="str">
        <f ca="1">OFFSET(ORÇAMENTO!N$15,ROW(D201)-ROW(D$15),0)</f>
        <v>Serviço</v>
      </c>
      <c r="E201" s="119" t="str">
        <f ca="1">OFFSET(ORÇAMENTO!O$15,ROW(E201)-ROW(E$15),0)</f>
        <v>1.8.0.3.</v>
      </c>
      <c r="F201" s="172" t="str">
        <f ca="1">OFFSET(ORÇAMENTO!R$15,ROW(F201)-ROW(F$15),0)</f>
        <v>(abra o arquivo 'Referência 03-2024.xlsm)</v>
      </c>
      <c r="G201" s="173" t="str">
        <f ca="1">IF($D201&lt;&gt;"Serviço","",OFFSET(ORÇAMENTO!S$15,ROW(G201)-ROW(G$15),0))</f>
        <v>-</v>
      </c>
      <c r="H201" s="124">
        <f ca="1">IF($D201&lt;&gt;"Serviço",0,IF(ACOMPANHAMENTO="BM",ROUND(OFFSET(ORÇAMENTO!AJ$15,ROW(H201)-ROW(H$15),0),15-13*ORÇAMENTO!$AF$7),SUMPRODUCT(($Q$12:$AA$12&lt;&gt;"")*ROUND($Q201:$AA201,15-13*ORÇAMENTO!$AF$7))))</f>
        <v>25.2</v>
      </c>
      <c r="I201" s="561"/>
      <c r="K201" s="174"/>
      <c r="L201" s="175" t="s">
        <v>255</v>
      </c>
      <c r="M201" s="176">
        <f ca="1">IF($D201&lt;&gt;"Serviço","",IF(AUTOEVENTO="manual",$A201,IF(ISERROR(MATCH($A201,$A$15:OFFSET($A201,-1,0),0)),MAX($M$15:OFFSET(M201,-1,0))+1,INDEX($M$15:OFFSET(M201,-1,0),MATCH($A201,$A$15:OFFSET($A201,-1,0),0)))))</f>
        <v>9</v>
      </c>
      <c r="N201" s="177" t="str">
        <f ca="1">IF($D201&lt;&gt;"Serviço","",IF(AUTOEVENTO="Manual",IF($A201=0,"&lt;-- defina o número do agrupador",OFFSET(EVENTOS!$D$14,$A201,0)),OFFSET($F$15,$A201,0)))</f>
        <v>CAMPO DE FUTEBOL</v>
      </c>
      <c r="O201" s="178"/>
      <c r="Q201" s="178"/>
      <c r="R201" s="179"/>
      <c r="S201" s="179"/>
      <c r="T201" s="179"/>
      <c r="U201" s="179"/>
      <c r="V201" s="179"/>
      <c r="W201" s="179"/>
      <c r="X201" s="179"/>
      <c r="Y201" s="179"/>
      <c r="Z201" s="180"/>
      <c r="AB201" s="544">
        <f ca="1">IF(AND($D201="Serviço",AB$12&lt;&gt;0,$H201&gt;0,OR(AUTOEVENTO&lt;&gt;"manual",$M201&lt;&gt;1)),
IF(Import.TipoArredondamento&lt;&gt;"TransfereGOV",
ROUND(OFFSET($P201,0,AB$13),15-13*ORÇAMENTO!$AF$7)/$H201*OFFSET(ORÇAMENTO!$X$15,ROW(AB201)-ROW(AB$15),0),
ROUND(ROUND(OFFSET($P201,0,AB$13),15-13*ORÇAMENTO!$AF$7)*OFFSET(ORÇAMENTO!$W$15,ROW(AB201)-ROW(AB$15),0),15-13*ORÇAMENTO!$AF$11)),0)</f>
        <v>0</v>
      </c>
      <c r="AC201" s="545">
        <f ca="1">IF(AND($D201="Serviço",AC$12&lt;&gt;0,$H201&gt;0,OR(AUTOEVENTO&lt;&gt;"manual",$M201&lt;&gt;1)),
IF(Import.TipoArredondamento&lt;&gt;"TransfereGOV",
ROUND(OFFSET($P201,0,AC$13),15-13*ORÇAMENTO!$AF$7)/$H201*OFFSET(ORÇAMENTO!$X$15,ROW(AC201)-ROW(AC$15),0),
ROUND(ROUND(OFFSET($P201,0,AC$13),15-13*ORÇAMENTO!$AF$7)*OFFSET(ORÇAMENTO!$W$15,ROW(AC201)-ROW(AC$15),0),15-13*ORÇAMENTO!$AF$11)),0)</f>
        <v>0</v>
      </c>
      <c r="AD201" s="545">
        <f ca="1">IF(AND($D201="Serviço",AD$12&lt;&gt;0,$H201&gt;0,OR(AUTOEVENTO&lt;&gt;"manual",$M201&lt;&gt;1)),
IF(Import.TipoArredondamento&lt;&gt;"TransfereGOV",
ROUND(OFFSET($P201,0,AD$13),15-13*ORÇAMENTO!$AF$7)/$H201*OFFSET(ORÇAMENTO!$X$15,ROW(AD201)-ROW(AD$15),0),
ROUND(ROUND(OFFSET($P201,0,AD$13),15-13*ORÇAMENTO!$AF$7)*OFFSET(ORÇAMENTO!$W$15,ROW(AD201)-ROW(AD$15),0),15-13*ORÇAMENTO!$AF$11)),0)</f>
        <v>0</v>
      </c>
      <c r="AE201" s="545">
        <f ca="1">IF(AND($D201="Serviço",AE$12&lt;&gt;0,$H201&gt;0,OR(AUTOEVENTO&lt;&gt;"manual",$M201&lt;&gt;1)),
IF(Import.TipoArredondamento&lt;&gt;"TransfereGOV",
ROUND(OFFSET($P201,0,AE$13),15-13*ORÇAMENTO!$AF$7)/$H201*OFFSET(ORÇAMENTO!$X$15,ROW(AE201)-ROW(AE$15),0),
ROUND(ROUND(OFFSET($P201,0,AE$13),15-13*ORÇAMENTO!$AF$7)*OFFSET(ORÇAMENTO!$W$15,ROW(AE201)-ROW(AE$15),0),15-13*ORÇAMENTO!$AF$11)),0)</f>
        <v>0</v>
      </c>
      <c r="AF201" s="545">
        <f ca="1">IF(AND($D201="Serviço",AF$12&lt;&gt;0,$H201&gt;0,OR(AUTOEVENTO&lt;&gt;"manual",$M201&lt;&gt;1)),
IF(Import.TipoArredondamento&lt;&gt;"TransfereGOV",
ROUND(OFFSET($P201,0,AF$13),15-13*ORÇAMENTO!$AF$7)/$H201*OFFSET(ORÇAMENTO!$X$15,ROW(AF201)-ROW(AF$15),0),
ROUND(ROUND(OFFSET($P201,0,AF$13),15-13*ORÇAMENTO!$AF$7)*OFFSET(ORÇAMENTO!$W$15,ROW(AF201)-ROW(AF$15),0),15-13*ORÇAMENTO!$AF$11)),0)</f>
        <v>0</v>
      </c>
      <c r="AG201" s="545">
        <f ca="1">IF(AND($D201="Serviço",AG$12&lt;&gt;0,$H201&gt;0,OR(AUTOEVENTO&lt;&gt;"manual",$M201&lt;&gt;1)),
IF(Import.TipoArredondamento&lt;&gt;"TransfereGOV",
ROUND(OFFSET($P201,0,AG$13),15-13*ORÇAMENTO!$AF$7)/$H201*OFFSET(ORÇAMENTO!$X$15,ROW(AG201)-ROW(AG$15),0),
ROUND(ROUND(OFFSET($P201,0,AG$13),15-13*ORÇAMENTO!$AF$7)*OFFSET(ORÇAMENTO!$W$15,ROW(AG201)-ROW(AG$15),0),15-13*ORÇAMENTO!$AF$11)),0)</f>
        <v>0</v>
      </c>
      <c r="AH201" s="545">
        <f ca="1">IF(AND($D201="Serviço",AH$12&lt;&gt;0,$H201&gt;0,OR(AUTOEVENTO&lt;&gt;"manual",$M201&lt;&gt;1)),
IF(Import.TipoArredondamento&lt;&gt;"TransfereGOV",
ROUND(OFFSET($P201,0,AH$13),15-13*ORÇAMENTO!$AF$7)/$H201*OFFSET(ORÇAMENTO!$X$15,ROW(AH201)-ROW(AH$15),0),
ROUND(ROUND(OFFSET($P201,0,AH$13),15-13*ORÇAMENTO!$AF$7)*OFFSET(ORÇAMENTO!$W$15,ROW(AH201)-ROW(AH$15),0),15-13*ORÇAMENTO!$AF$11)),0)</f>
        <v>0</v>
      </c>
      <c r="AI201" s="545">
        <f ca="1">IF(AND($D201="Serviço",AI$12&lt;&gt;0,$H201&gt;0,OR(AUTOEVENTO&lt;&gt;"manual",$M201&lt;&gt;1)),
IF(Import.TipoArredondamento&lt;&gt;"TransfereGOV",
ROUND(OFFSET($P201,0,AI$13),15-13*ORÇAMENTO!$AF$7)/$H201*OFFSET(ORÇAMENTO!$X$15,ROW(AI201)-ROW(AI$15),0),
ROUND(ROUND(OFFSET($P201,0,AI$13),15-13*ORÇAMENTO!$AF$7)*OFFSET(ORÇAMENTO!$W$15,ROW(AI201)-ROW(AI$15),0),15-13*ORÇAMENTO!$AF$11)),0)</f>
        <v>0</v>
      </c>
      <c r="AJ201" s="545">
        <f ca="1">IF(AND($D201="Serviço",AJ$12&lt;&gt;0,$H201&gt;0,OR(AUTOEVENTO&lt;&gt;"manual",$M201&lt;&gt;1)),
IF(Import.TipoArredondamento&lt;&gt;"TransfereGOV",
ROUND(OFFSET($P201,0,AJ$13),15-13*ORÇAMENTO!$AF$7)/$H201*OFFSET(ORÇAMENTO!$X$15,ROW(AJ201)-ROW(AJ$15),0),
ROUND(ROUND(OFFSET($P201,0,AJ$13),15-13*ORÇAMENTO!$AF$7)*OFFSET(ORÇAMENTO!$W$15,ROW(AJ201)-ROW(AJ$15),0),15-13*ORÇAMENTO!$AF$11)),0)</f>
        <v>0</v>
      </c>
      <c r="AK201" s="546">
        <f ca="1">IF(AND($D201="Serviço",AK$12&lt;&gt;0,$H201&gt;0,OR(AUTOEVENTO&lt;&gt;"manual",$M201&lt;&gt;1)),
IF(Import.TipoArredondamento&lt;&gt;"TransfereGOV",
ROUND(OFFSET($P201,0,AK$13),15-13*ORÇAMENTO!$AF$7)/$H201*OFFSET(ORÇAMENTO!$X$15,ROW(AK201)-ROW(AK$15),0),
ROUND(ROUND(OFFSET($P201,0,AK$13),15-13*ORÇAMENTO!$AF$7)*OFFSET(ORÇAMENTO!$W$15,ROW(AK201)-ROW(AK$15),0),15-13*ORÇAMENTO!$AF$11)),0)</f>
        <v>0</v>
      </c>
      <c r="AM201" s="181">
        <f ca="1">IF($D201&lt;&gt;"Serviço",0,IF(AND(AUTOEVENTO="Manual",$M201=1),0,IF(OFFSET(CRONOPLE!$F$14,$M201,AM$13)="",10^12,OFFSET(CRONOPLE!$F$14,$M201,AM$13))))</f>
        <v>1000000000000</v>
      </c>
      <c r="AN201" s="181">
        <f ca="1">IF($D201&lt;&gt;"Serviço",0,IF(AND(AUTOEVENTO="Manual",$M201=1),0,IF(OFFSET(CRONOPLE!$F$14,$M201,AN$13)="",10^12,OFFSET(CRONOPLE!$F$14,$M201,AN$13))))</f>
        <v>1000000000000</v>
      </c>
      <c r="AO201" s="181">
        <f ca="1">IF($D201&lt;&gt;"Serviço",0,IF(AND(AUTOEVENTO="Manual",$M201=1),0,IF(OFFSET(CRONOPLE!$F$14,$M201,AO$13)="",10^12,OFFSET(CRONOPLE!$F$14,$M201,AO$13))))</f>
        <v>1000000000000</v>
      </c>
      <c r="AP201" s="181">
        <f ca="1">IF($D201&lt;&gt;"Serviço",0,IF(AND(AUTOEVENTO="Manual",$M201=1),0,IF(OFFSET(CRONOPLE!$F$14,$M201,AP$13)="",10^12,OFFSET(CRONOPLE!$F$14,$M201,AP$13))))</f>
        <v>1000000000000</v>
      </c>
      <c r="AQ201" s="181">
        <f ca="1">IF($D201&lt;&gt;"Serviço",0,IF(AND(AUTOEVENTO="Manual",$M201=1),0,IF(OFFSET(CRONOPLE!$F$14,$M201,AQ$13)="",10^12,OFFSET(CRONOPLE!$F$14,$M201,AQ$13))))</f>
        <v>1000000000000</v>
      </c>
      <c r="AR201" s="181">
        <f ca="1">IF($D201&lt;&gt;"Serviço",0,IF(AND(AUTOEVENTO="Manual",$M201=1),0,IF(OFFSET(CRONOPLE!$F$14,$M201,AR$13)="",10^12,OFFSET(CRONOPLE!$F$14,$M201,AR$13))))</f>
        <v>1000000000000</v>
      </c>
      <c r="AS201" s="181">
        <f ca="1">IF($D201&lt;&gt;"Serviço",0,IF(AND(AUTOEVENTO="Manual",$M201=1),0,IF(OFFSET(CRONOPLE!$F$14,$M201,AS$13)="",10^12,OFFSET(CRONOPLE!$F$14,$M201,AS$13))))</f>
        <v>1000000000000</v>
      </c>
      <c r="AT201" s="181">
        <f ca="1">IF($D201&lt;&gt;"Serviço",0,IF(AND(AUTOEVENTO="Manual",$M201=1),0,IF(OFFSET(CRONOPLE!$F$14,$M201,AT$13)="",10^12,OFFSET(CRONOPLE!$F$14,$M201,AT$13))))</f>
        <v>1000000000000</v>
      </c>
      <c r="AU201" s="181">
        <f ca="1">IF($D201&lt;&gt;"Serviço",0,IF(AND(AUTOEVENTO="Manual",$M201=1),0,IF(OFFSET(CRONOPLE!$F$14,$M201,AU$13)="",10^12,OFFSET(CRONOPLE!$F$14,$M201,AU$13))))</f>
        <v>1000000000000</v>
      </c>
      <c r="AV201" s="181">
        <f ca="1">IF($D201&lt;&gt;"Serviço",0,IF(AND(AUTOEVENTO="Manual",$M201=1),0,IF(OFFSET(CRONOPLE!$F$14,$M201,AV$13)="",10^12,OFFSET(CRONOPLE!$F$14,$M201,AV$13))))</f>
        <v>1000000000000</v>
      </c>
      <c r="AX201" s="182">
        <f ca="1">IF($D201&lt;&gt;"Serviço",0,IF(OR(AND(AUTOEVENTO="Manual",$M201=1),$M201&gt;(ROW(PLE.lastrow)-ROW(PLE.firstrow))),0,IF(OFFSET(PLE!$G$14,$M201,AX$13)="",10^12,OFFSET(PLE!$G$14,$M201,AX$13))))</f>
        <v>1000000000000</v>
      </c>
      <c r="AY201" s="182">
        <f ca="1">IF($D201&lt;&gt;"Serviço",0,IF(OR(AND(AUTOEVENTO="Manual",$M201=1),$M201&gt;(ROW(PLE.lastrow)-ROW(PLE.firstrow))),0,IF(OFFSET(PLE!$G$14,$M201,AY$13)="",10^12,OFFSET(PLE!$G$14,$M201,AY$13))))</f>
        <v>1000000000000</v>
      </c>
      <c r="AZ201" s="182">
        <f ca="1">IF($D201&lt;&gt;"Serviço",0,IF(OR(AND(AUTOEVENTO="Manual",$M201=1),$M201&gt;(ROW(PLE.lastrow)-ROW(PLE.firstrow))),0,IF(OFFSET(PLE!$G$14,$M201,AZ$13)="",10^12,OFFSET(PLE!$G$14,$M201,AZ$13))))</f>
        <v>1000000000000</v>
      </c>
      <c r="BA201" s="182">
        <f ca="1">IF($D201&lt;&gt;"Serviço",0,IF(OR(AND(AUTOEVENTO="Manual",$M201=1),$M201&gt;(ROW(PLE.lastrow)-ROW(PLE.firstrow))),0,IF(OFFSET(PLE!$G$14,$M201,BA$13)="",10^12,OFFSET(PLE!$G$14,$M201,BA$13))))</f>
        <v>1000000000000</v>
      </c>
      <c r="BB201" s="182">
        <f ca="1">IF($D201&lt;&gt;"Serviço",0,IF(OR(AND(AUTOEVENTO="Manual",$M201=1),$M201&gt;(ROW(PLE.lastrow)-ROW(PLE.firstrow))),0,IF(OFFSET(PLE!$G$14,$M201,BB$13)="",10^12,OFFSET(PLE!$G$14,$M201,BB$13))))</f>
        <v>1000000000000</v>
      </c>
      <c r="BC201" s="182">
        <f ca="1">IF($D201&lt;&gt;"Serviço",0,IF(OR(AND(AUTOEVENTO="Manual",$M201=1),$M201&gt;(ROW(PLE.lastrow)-ROW(PLE.firstrow))),0,IF(OFFSET(PLE!$G$14,$M201,BC$13)="",10^12,OFFSET(PLE!$G$14,$M201,BC$13))))</f>
        <v>1000000000000</v>
      </c>
      <c r="BD201" s="182">
        <f ca="1">IF($D201&lt;&gt;"Serviço",0,IF(OR(AND(AUTOEVENTO="Manual",$M201=1),$M201&gt;(ROW(PLE.lastrow)-ROW(PLE.firstrow))),0,IF(OFFSET(PLE!$G$14,$M201,BD$13)="",10^12,OFFSET(PLE!$G$14,$M201,BD$13))))</f>
        <v>1000000000000</v>
      </c>
      <c r="BE201" s="182">
        <f ca="1">IF($D201&lt;&gt;"Serviço",0,IF(OR(AND(AUTOEVENTO="Manual",$M201=1),$M201&gt;(ROW(PLE.lastrow)-ROW(PLE.firstrow))),0,IF(OFFSET(PLE!$G$14,$M201,BE$13)="",10^12,OFFSET(PLE!$G$14,$M201,BE$13))))</f>
        <v>1000000000000</v>
      </c>
      <c r="BF201" s="182">
        <f ca="1">IF($D201&lt;&gt;"Serviço",0,IF(OR(AND(AUTOEVENTO="Manual",$M201=1),$M201&gt;(ROW(PLE.lastrow)-ROW(PLE.firstrow))),0,IF(OFFSET(PLE!$G$14,$M201,BF$13)="",10^12,OFFSET(PLE!$G$14,$M201,BF$13))))</f>
        <v>1000000000000</v>
      </c>
      <c r="BG201" s="182">
        <f ca="1">IF($D201&lt;&gt;"Serviço",0,IF(OR(AND(AUTOEVENTO="Manual",$M201=1),$M201&gt;(ROW(PLE.lastrow)-ROW(PLE.firstrow))),0,IF(OFFSET(PLE!$G$14,$M201,BG$13)="",10^12,OFFSET(PLE!$G$14,$M201,BG$13))))</f>
        <v>1000000000000</v>
      </c>
    </row>
    <row r="202" spans="1:59" ht="51" x14ac:dyDescent="0.2">
      <c r="A202" s="7" t="str">
        <f t="shared" ca="1" si="10"/>
        <v>183</v>
      </c>
      <c r="B202" s="7" t="str">
        <f ca="1">OFFSET(ORÇAMENTO!C$15,ROW(B202)-ROW(B$15),0)</f>
        <v>S</v>
      </c>
      <c r="C202" s="7" t="str">
        <f ca="1">OFFSET(ORÇAMENTO!L$15,ROW(C202)-ROW(C$15),0)</f>
        <v>F</v>
      </c>
      <c r="D202" s="118" t="str">
        <f ca="1">OFFSET(ORÇAMENTO!N$15,ROW(D202)-ROW(D$15),0)</f>
        <v>Serviço</v>
      </c>
      <c r="E202" s="119" t="str">
        <f ca="1">OFFSET(ORÇAMENTO!O$15,ROW(E202)-ROW(E$15),0)</f>
        <v>1.8.0.4.</v>
      </c>
      <c r="F202" s="172" t="str">
        <f ca="1">OFFSET(ORÇAMENTO!R$15,ROW(F202)-ROW(F$15),0)</f>
        <v>(abra o arquivo 'Referência 03-2024.xlsm)</v>
      </c>
      <c r="G202" s="173" t="str">
        <f ca="1">IF($D202&lt;&gt;"Serviço","",OFFSET(ORÇAMENTO!S$15,ROW(G202)-ROW(G$15),0))</f>
        <v>-</v>
      </c>
      <c r="H202" s="124">
        <f ca="1">IF($D202&lt;&gt;"Serviço",0,IF(ACOMPANHAMENTO="BM",ROUND(OFFSET(ORÇAMENTO!AJ$15,ROW(H202)-ROW(H$15),0),15-13*ORÇAMENTO!$AF$7),SUMPRODUCT(($Q$12:$AA$12&lt;&gt;"")*ROUND($Q202:$AA202,15-13*ORÇAMENTO!$AF$7))))</f>
        <v>2.52</v>
      </c>
      <c r="I202" s="561"/>
      <c r="K202" s="174"/>
      <c r="L202" s="175" t="s">
        <v>255</v>
      </c>
      <c r="M202" s="176">
        <f ca="1">IF($D202&lt;&gt;"Serviço","",IF(AUTOEVENTO="manual",$A202,IF(ISERROR(MATCH($A202,$A$15:OFFSET($A202,-1,0),0)),MAX($M$15:OFFSET(M202,-1,0))+1,INDEX($M$15:OFFSET(M202,-1,0),MATCH($A202,$A$15:OFFSET($A202,-1,0),0)))))</f>
        <v>9</v>
      </c>
      <c r="N202" s="177" t="str">
        <f ca="1">IF($D202&lt;&gt;"Serviço","",IF(AUTOEVENTO="Manual",IF($A202=0,"&lt;-- defina o número do agrupador",OFFSET(EVENTOS!$D$14,$A202,0)),OFFSET($F$15,$A202,0)))</f>
        <v>CAMPO DE FUTEBOL</v>
      </c>
      <c r="O202" s="178"/>
      <c r="Q202" s="178"/>
      <c r="R202" s="179"/>
      <c r="S202" s="179"/>
      <c r="T202" s="179"/>
      <c r="U202" s="179"/>
      <c r="V202" s="179"/>
      <c r="W202" s="179"/>
      <c r="X202" s="179"/>
      <c r="Y202" s="179"/>
      <c r="Z202" s="180"/>
      <c r="AB202" s="544">
        <f ca="1">IF(AND($D202="Serviço",AB$12&lt;&gt;0,$H202&gt;0,OR(AUTOEVENTO&lt;&gt;"manual",$M202&lt;&gt;1)),
IF(Import.TipoArredondamento&lt;&gt;"TransfereGOV",
ROUND(OFFSET($P202,0,AB$13),15-13*ORÇAMENTO!$AF$7)/$H202*OFFSET(ORÇAMENTO!$X$15,ROW(AB202)-ROW(AB$15),0),
ROUND(ROUND(OFFSET($P202,0,AB$13),15-13*ORÇAMENTO!$AF$7)*OFFSET(ORÇAMENTO!$W$15,ROW(AB202)-ROW(AB$15),0),15-13*ORÇAMENTO!$AF$11)),0)</f>
        <v>0</v>
      </c>
      <c r="AC202" s="545">
        <f ca="1">IF(AND($D202="Serviço",AC$12&lt;&gt;0,$H202&gt;0,OR(AUTOEVENTO&lt;&gt;"manual",$M202&lt;&gt;1)),
IF(Import.TipoArredondamento&lt;&gt;"TransfereGOV",
ROUND(OFFSET($P202,0,AC$13),15-13*ORÇAMENTO!$AF$7)/$H202*OFFSET(ORÇAMENTO!$X$15,ROW(AC202)-ROW(AC$15),0),
ROUND(ROUND(OFFSET($P202,0,AC$13),15-13*ORÇAMENTO!$AF$7)*OFFSET(ORÇAMENTO!$W$15,ROW(AC202)-ROW(AC$15),0),15-13*ORÇAMENTO!$AF$11)),0)</f>
        <v>0</v>
      </c>
      <c r="AD202" s="545">
        <f ca="1">IF(AND($D202="Serviço",AD$12&lt;&gt;0,$H202&gt;0,OR(AUTOEVENTO&lt;&gt;"manual",$M202&lt;&gt;1)),
IF(Import.TipoArredondamento&lt;&gt;"TransfereGOV",
ROUND(OFFSET($P202,0,AD$13),15-13*ORÇAMENTO!$AF$7)/$H202*OFFSET(ORÇAMENTO!$X$15,ROW(AD202)-ROW(AD$15),0),
ROUND(ROUND(OFFSET($P202,0,AD$13),15-13*ORÇAMENTO!$AF$7)*OFFSET(ORÇAMENTO!$W$15,ROW(AD202)-ROW(AD$15),0),15-13*ORÇAMENTO!$AF$11)),0)</f>
        <v>0</v>
      </c>
      <c r="AE202" s="545">
        <f ca="1">IF(AND($D202="Serviço",AE$12&lt;&gt;0,$H202&gt;0,OR(AUTOEVENTO&lt;&gt;"manual",$M202&lt;&gt;1)),
IF(Import.TipoArredondamento&lt;&gt;"TransfereGOV",
ROUND(OFFSET($P202,0,AE$13),15-13*ORÇAMENTO!$AF$7)/$H202*OFFSET(ORÇAMENTO!$X$15,ROW(AE202)-ROW(AE$15),0),
ROUND(ROUND(OFFSET($P202,0,AE$13),15-13*ORÇAMENTO!$AF$7)*OFFSET(ORÇAMENTO!$W$15,ROW(AE202)-ROW(AE$15),0),15-13*ORÇAMENTO!$AF$11)),0)</f>
        <v>0</v>
      </c>
      <c r="AF202" s="545">
        <f ca="1">IF(AND($D202="Serviço",AF$12&lt;&gt;0,$H202&gt;0,OR(AUTOEVENTO&lt;&gt;"manual",$M202&lt;&gt;1)),
IF(Import.TipoArredondamento&lt;&gt;"TransfereGOV",
ROUND(OFFSET($P202,0,AF$13),15-13*ORÇAMENTO!$AF$7)/$H202*OFFSET(ORÇAMENTO!$X$15,ROW(AF202)-ROW(AF$15),0),
ROUND(ROUND(OFFSET($P202,0,AF$13),15-13*ORÇAMENTO!$AF$7)*OFFSET(ORÇAMENTO!$W$15,ROW(AF202)-ROW(AF$15),0),15-13*ORÇAMENTO!$AF$11)),0)</f>
        <v>0</v>
      </c>
      <c r="AG202" s="545">
        <f ca="1">IF(AND($D202="Serviço",AG$12&lt;&gt;0,$H202&gt;0,OR(AUTOEVENTO&lt;&gt;"manual",$M202&lt;&gt;1)),
IF(Import.TipoArredondamento&lt;&gt;"TransfereGOV",
ROUND(OFFSET($P202,0,AG$13),15-13*ORÇAMENTO!$AF$7)/$H202*OFFSET(ORÇAMENTO!$X$15,ROW(AG202)-ROW(AG$15),0),
ROUND(ROUND(OFFSET($P202,0,AG$13),15-13*ORÇAMENTO!$AF$7)*OFFSET(ORÇAMENTO!$W$15,ROW(AG202)-ROW(AG$15),0),15-13*ORÇAMENTO!$AF$11)),0)</f>
        <v>0</v>
      </c>
      <c r="AH202" s="545">
        <f ca="1">IF(AND($D202="Serviço",AH$12&lt;&gt;0,$H202&gt;0,OR(AUTOEVENTO&lt;&gt;"manual",$M202&lt;&gt;1)),
IF(Import.TipoArredondamento&lt;&gt;"TransfereGOV",
ROUND(OFFSET($P202,0,AH$13),15-13*ORÇAMENTO!$AF$7)/$H202*OFFSET(ORÇAMENTO!$X$15,ROW(AH202)-ROW(AH$15),0),
ROUND(ROUND(OFFSET($P202,0,AH$13),15-13*ORÇAMENTO!$AF$7)*OFFSET(ORÇAMENTO!$W$15,ROW(AH202)-ROW(AH$15),0),15-13*ORÇAMENTO!$AF$11)),0)</f>
        <v>0</v>
      </c>
      <c r="AI202" s="545">
        <f ca="1">IF(AND($D202="Serviço",AI$12&lt;&gt;0,$H202&gt;0,OR(AUTOEVENTO&lt;&gt;"manual",$M202&lt;&gt;1)),
IF(Import.TipoArredondamento&lt;&gt;"TransfereGOV",
ROUND(OFFSET($P202,0,AI$13),15-13*ORÇAMENTO!$AF$7)/$H202*OFFSET(ORÇAMENTO!$X$15,ROW(AI202)-ROW(AI$15),0),
ROUND(ROUND(OFFSET($P202,0,AI$13),15-13*ORÇAMENTO!$AF$7)*OFFSET(ORÇAMENTO!$W$15,ROW(AI202)-ROW(AI$15),0),15-13*ORÇAMENTO!$AF$11)),0)</f>
        <v>0</v>
      </c>
      <c r="AJ202" s="545">
        <f ca="1">IF(AND($D202="Serviço",AJ$12&lt;&gt;0,$H202&gt;0,OR(AUTOEVENTO&lt;&gt;"manual",$M202&lt;&gt;1)),
IF(Import.TipoArredondamento&lt;&gt;"TransfereGOV",
ROUND(OFFSET($P202,0,AJ$13),15-13*ORÇAMENTO!$AF$7)/$H202*OFFSET(ORÇAMENTO!$X$15,ROW(AJ202)-ROW(AJ$15),0),
ROUND(ROUND(OFFSET($P202,0,AJ$13),15-13*ORÇAMENTO!$AF$7)*OFFSET(ORÇAMENTO!$W$15,ROW(AJ202)-ROW(AJ$15),0),15-13*ORÇAMENTO!$AF$11)),0)</f>
        <v>0</v>
      </c>
      <c r="AK202" s="546">
        <f ca="1">IF(AND($D202="Serviço",AK$12&lt;&gt;0,$H202&gt;0,OR(AUTOEVENTO&lt;&gt;"manual",$M202&lt;&gt;1)),
IF(Import.TipoArredondamento&lt;&gt;"TransfereGOV",
ROUND(OFFSET($P202,0,AK$13),15-13*ORÇAMENTO!$AF$7)/$H202*OFFSET(ORÇAMENTO!$X$15,ROW(AK202)-ROW(AK$15),0),
ROUND(ROUND(OFFSET($P202,0,AK$13),15-13*ORÇAMENTO!$AF$7)*OFFSET(ORÇAMENTO!$W$15,ROW(AK202)-ROW(AK$15),0),15-13*ORÇAMENTO!$AF$11)),0)</f>
        <v>0</v>
      </c>
      <c r="AM202" s="181">
        <f ca="1">IF($D202&lt;&gt;"Serviço",0,IF(AND(AUTOEVENTO="Manual",$M202=1),0,IF(OFFSET(CRONOPLE!$F$14,$M202,AM$13)="",10^12,OFFSET(CRONOPLE!$F$14,$M202,AM$13))))</f>
        <v>1000000000000</v>
      </c>
      <c r="AN202" s="181">
        <f ca="1">IF($D202&lt;&gt;"Serviço",0,IF(AND(AUTOEVENTO="Manual",$M202=1),0,IF(OFFSET(CRONOPLE!$F$14,$M202,AN$13)="",10^12,OFFSET(CRONOPLE!$F$14,$M202,AN$13))))</f>
        <v>1000000000000</v>
      </c>
      <c r="AO202" s="181">
        <f ca="1">IF($D202&lt;&gt;"Serviço",0,IF(AND(AUTOEVENTO="Manual",$M202=1),0,IF(OFFSET(CRONOPLE!$F$14,$M202,AO$13)="",10^12,OFFSET(CRONOPLE!$F$14,$M202,AO$13))))</f>
        <v>1000000000000</v>
      </c>
      <c r="AP202" s="181">
        <f ca="1">IF($D202&lt;&gt;"Serviço",0,IF(AND(AUTOEVENTO="Manual",$M202=1),0,IF(OFFSET(CRONOPLE!$F$14,$M202,AP$13)="",10^12,OFFSET(CRONOPLE!$F$14,$M202,AP$13))))</f>
        <v>1000000000000</v>
      </c>
      <c r="AQ202" s="181">
        <f ca="1">IF($D202&lt;&gt;"Serviço",0,IF(AND(AUTOEVENTO="Manual",$M202=1),0,IF(OFFSET(CRONOPLE!$F$14,$M202,AQ$13)="",10^12,OFFSET(CRONOPLE!$F$14,$M202,AQ$13))))</f>
        <v>1000000000000</v>
      </c>
      <c r="AR202" s="181">
        <f ca="1">IF($D202&lt;&gt;"Serviço",0,IF(AND(AUTOEVENTO="Manual",$M202=1),0,IF(OFFSET(CRONOPLE!$F$14,$M202,AR$13)="",10^12,OFFSET(CRONOPLE!$F$14,$M202,AR$13))))</f>
        <v>1000000000000</v>
      </c>
      <c r="AS202" s="181">
        <f ca="1">IF($D202&lt;&gt;"Serviço",0,IF(AND(AUTOEVENTO="Manual",$M202=1),0,IF(OFFSET(CRONOPLE!$F$14,$M202,AS$13)="",10^12,OFFSET(CRONOPLE!$F$14,$M202,AS$13))))</f>
        <v>1000000000000</v>
      </c>
      <c r="AT202" s="181">
        <f ca="1">IF($D202&lt;&gt;"Serviço",0,IF(AND(AUTOEVENTO="Manual",$M202=1),0,IF(OFFSET(CRONOPLE!$F$14,$M202,AT$13)="",10^12,OFFSET(CRONOPLE!$F$14,$M202,AT$13))))</f>
        <v>1000000000000</v>
      </c>
      <c r="AU202" s="181">
        <f ca="1">IF($D202&lt;&gt;"Serviço",0,IF(AND(AUTOEVENTO="Manual",$M202=1),0,IF(OFFSET(CRONOPLE!$F$14,$M202,AU$13)="",10^12,OFFSET(CRONOPLE!$F$14,$M202,AU$13))))</f>
        <v>1000000000000</v>
      </c>
      <c r="AV202" s="181">
        <f ca="1">IF($D202&lt;&gt;"Serviço",0,IF(AND(AUTOEVENTO="Manual",$M202=1),0,IF(OFFSET(CRONOPLE!$F$14,$M202,AV$13)="",10^12,OFFSET(CRONOPLE!$F$14,$M202,AV$13))))</f>
        <v>1000000000000</v>
      </c>
      <c r="AX202" s="182">
        <f ca="1">IF($D202&lt;&gt;"Serviço",0,IF(OR(AND(AUTOEVENTO="Manual",$M202=1),$M202&gt;(ROW(PLE.lastrow)-ROW(PLE.firstrow))),0,IF(OFFSET(PLE!$G$14,$M202,AX$13)="",10^12,OFFSET(PLE!$G$14,$M202,AX$13))))</f>
        <v>1000000000000</v>
      </c>
      <c r="AY202" s="182">
        <f ca="1">IF($D202&lt;&gt;"Serviço",0,IF(OR(AND(AUTOEVENTO="Manual",$M202=1),$M202&gt;(ROW(PLE.lastrow)-ROW(PLE.firstrow))),0,IF(OFFSET(PLE!$G$14,$M202,AY$13)="",10^12,OFFSET(PLE!$G$14,$M202,AY$13))))</f>
        <v>1000000000000</v>
      </c>
      <c r="AZ202" s="182">
        <f ca="1">IF($D202&lt;&gt;"Serviço",0,IF(OR(AND(AUTOEVENTO="Manual",$M202=1),$M202&gt;(ROW(PLE.lastrow)-ROW(PLE.firstrow))),0,IF(OFFSET(PLE!$G$14,$M202,AZ$13)="",10^12,OFFSET(PLE!$G$14,$M202,AZ$13))))</f>
        <v>1000000000000</v>
      </c>
      <c r="BA202" s="182">
        <f ca="1">IF($D202&lt;&gt;"Serviço",0,IF(OR(AND(AUTOEVENTO="Manual",$M202=1),$M202&gt;(ROW(PLE.lastrow)-ROW(PLE.firstrow))),0,IF(OFFSET(PLE!$G$14,$M202,BA$13)="",10^12,OFFSET(PLE!$G$14,$M202,BA$13))))</f>
        <v>1000000000000</v>
      </c>
      <c r="BB202" s="182">
        <f ca="1">IF($D202&lt;&gt;"Serviço",0,IF(OR(AND(AUTOEVENTO="Manual",$M202=1),$M202&gt;(ROW(PLE.lastrow)-ROW(PLE.firstrow))),0,IF(OFFSET(PLE!$G$14,$M202,BB$13)="",10^12,OFFSET(PLE!$G$14,$M202,BB$13))))</f>
        <v>1000000000000</v>
      </c>
      <c r="BC202" s="182">
        <f ca="1">IF($D202&lt;&gt;"Serviço",0,IF(OR(AND(AUTOEVENTO="Manual",$M202=1),$M202&gt;(ROW(PLE.lastrow)-ROW(PLE.firstrow))),0,IF(OFFSET(PLE!$G$14,$M202,BC$13)="",10^12,OFFSET(PLE!$G$14,$M202,BC$13))))</f>
        <v>1000000000000</v>
      </c>
      <c r="BD202" s="182">
        <f ca="1">IF($D202&lt;&gt;"Serviço",0,IF(OR(AND(AUTOEVENTO="Manual",$M202=1),$M202&gt;(ROW(PLE.lastrow)-ROW(PLE.firstrow))),0,IF(OFFSET(PLE!$G$14,$M202,BD$13)="",10^12,OFFSET(PLE!$G$14,$M202,BD$13))))</f>
        <v>1000000000000</v>
      </c>
      <c r="BE202" s="182">
        <f ca="1">IF($D202&lt;&gt;"Serviço",0,IF(OR(AND(AUTOEVENTO="Manual",$M202=1),$M202&gt;(ROW(PLE.lastrow)-ROW(PLE.firstrow))),0,IF(OFFSET(PLE!$G$14,$M202,BE$13)="",10^12,OFFSET(PLE!$G$14,$M202,BE$13))))</f>
        <v>1000000000000</v>
      </c>
      <c r="BF202" s="182">
        <f ca="1">IF($D202&lt;&gt;"Serviço",0,IF(OR(AND(AUTOEVENTO="Manual",$M202=1),$M202&gt;(ROW(PLE.lastrow)-ROW(PLE.firstrow))),0,IF(OFFSET(PLE!$G$14,$M202,BF$13)="",10^12,OFFSET(PLE!$G$14,$M202,BF$13))))</f>
        <v>1000000000000</v>
      </c>
      <c r="BG202" s="182">
        <f ca="1">IF($D202&lt;&gt;"Serviço",0,IF(OR(AND(AUTOEVENTO="Manual",$M202=1),$M202&gt;(ROW(PLE.lastrow)-ROW(PLE.firstrow))),0,IF(OFFSET(PLE!$G$14,$M202,BG$13)="",10^12,OFFSET(PLE!$G$14,$M202,BG$13))))</f>
        <v>1000000000000</v>
      </c>
    </row>
    <row r="203" spans="1:59" ht="38.25" x14ac:dyDescent="0.2">
      <c r="A203" s="7" t="str">
        <f t="shared" ca="1" si="10"/>
        <v>183</v>
      </c>
      <c r="B203" s="7" t="str">
        <f ca="1">OFFSET(ORÇAMENTO!C$15,ROW(B203)-ROW(B$15),0)</f>
        <v>S</v>
      </c>
      <c r="C203" s="7" t="str">
        <f ca="1">OFFSET(ORÇAMENTO!L$15,ROW(C203)-ROW(C$15),0)</f>
        <v>F</v>
      </c>
      <c r="D203" s="118" t="str">
        <f ca="1">OFFSET(ORÇAMENTO!N$15,ROW(D203)-ROW(D$15),0)</f>
        <v>Serviço</v>
      </c>
      <c r="E203" s="119" t="str">
        <f ca="1">OFFSET(ORÇAMENTO!O$15,ROW(E203)-ROW(E$15),0)</f>
        <v>1.8.0.5.</v>
      </c>
      <c r="F203" s="172" t="str">
        <f ca="1">OFFSET(ORÇAMENTO!R$15,ROW(F203)-ROW(F$15),0)</f>
        <v>(abra o arquivo 'Referência 03-2024.xlsm)</v>
      </c>
      <c r="G203" s="173" t="str">
        <f ca="1">IF($D203&lt;&gt;"Serviço","",OFFSET(ORÇAMENTO!S$15,ROW(G203)-ROW(G$15),0))</f>
        <v>-</v>
      </c>
      <c r="H203" s="124">
        <f ca="1">IF($D203&lt;&gt;"Serviço",0,IF(ACOMPANHAMENTO="BM",ROUND(OFFSET(ORÇAMENTO!AJ$15,ROW(H203)-ROW(H$15),0),15-13*ORÇAMENTO!$AF$7),SUMPRODUCT(($Q$12:$AA$12&lt;&gt;"")*ROUND($Q203:$AA203,15-13*ORÇAMENTO!$AF$7))))</f>
        <v>42.69</v>
      </c>
      <c r="I203" s="561"/>
      <c r="K203" s="174"/>
      <c r="L203" s="175" t="s">
        <v>255</v>
      </c>
      <c r="M203" s="176">
        <f ca="1">IF($D203&lt;&gt;"Serviço","",IF(AUTOEVENTO="manual",$A203,IF(ISERROR(MATCH($A203,$A$15:OFFSET($A203,-1,0),0)),MAX($M$15:OFFSET(M203,-1,0))+1,INDEX($M$15:OFFSET(M203,-1,0),MATCH($A203,$A$15:OFFSET($A203,-1,0),0)))))</f>
        <v>9</v>
      </c>
      <c r="N203" s="177" t="str">
        <f ca="1">IF($D203&lt;&gt;"Serviço","",IF(AUTOEVENTO="Manual",IF($A203=0,"&lt;-- defina o número do agrupador",OFFSET(EVENTOS!$D$14,$A203,0)),OFFSET($F$15,$A203,0)))</f>
        <v>CAMPO DE FUTEBOL</v>
      </c>
      <c r="O203" s="178"/>
      <c r="Q203" s="178"/>
      <c r="R203" s="179"/>
      <c r="S203" s="179"/>
      <c r="T203" s="179"/>
      <c r="U203" s="179"/>
      <c r="V203" s="179"/>
      <c r="W203" s="179"/>
      <c r="X203" s="179"/>
      <c r="Y203" s="179"/>
      <c r="Z203" s="180"/>
      <c r="AB203" s="544">
        <f ca="1">IF(AND($D203="Serviço",AB$12&lt;&gt;0,$H203&gt;0,OR(AUTOEVENTO&lt;&gt;"manual",$M203&lt;&gt;1)),
IF(Import.TipoArredondamento&lt;&gt;"TransfereGOV",
ROUND(OFFSET($P203,0,AB$13),15-13*ORÇAMENTO!$AF$7)/$H203*OFFSET(ORÇAMENTO!$X$15,ROW(AB203)-ROW(AB$15),0),
ROUND(ROUND(OFFSET($P203,0,AB$13),15-13*ORÇAMENTO!$AF$7)*OFFSET(ORÇAMENTO!$W$15,ROW(AB203)-ROW(AB$15),0),15-13*ORÇAMENTO!$AF$11)),0)</f>
        <v>0</v>
      </c>
      <c r="AC203" s="545">
        <f ca="1">IF(AND($D203="Serviço",AC$12&lt;&gt;0,$H203&gt;0,OR(AUTOEVENTO&lt;&gt;"manual",$M203&lt;&gt;1)),
IF(Import.TipoArredondamento&lt;&gt;"TransfereGOV",
ROUND(OFFSET($P203,0,AC$13),15-13*ORÇAMENTO!$AF$7)/$H203*OFFSET(ORÇAMENTO!$X$15,ROW(AC203)-ROW(AC$15),0),
ROUND(ROUND(OFFSET($P203,0,AC$13),15-13*ORÇAMENTO!$AF$7)*OFFSET(ORÇAMENTO!$W$15,ROW(AC203)-ROW(AC$15),0),15-13*ORÇAMENTO!$AF$11)),0)</f>
        <v>0</v>
      </c>
      <c r="AD203" s="545">
        <f ca="1">IF(AND($D203="Serviço",AD$12&lt;&gt;0,$H203&gt;0,OR(AUTOEVENTO&lt;&gt;"manual",$M203&lt;&gt;1)),
IF(Import.TipoArredondamento&lt;&gt;"TransfereGOV",
ROUND(OFFSET($P203,0,AD$13),15-13*ORÇAMENTO!$AF$7)/$H203*OFFSET(ORÇAMENTO!$X$15,ROW(AD203)-ROW(AD$15),0),
ROUND(ROUND(OFFSET($P203,0,AD$13),15-13*ORÇAMENTO!$AF$7)*OFFSET(ORÇAMENTO!$W$15,ROW(AD203)-ROW(AD$15),0),15-13*ORÇAMENTO!$AF$11)),0)</f>
        <v>0</v>
      </c>
      <c r="AE203" s="545">
        <f ca="1">IF(AND($D203="Serviço",AE$12&lt;&gt;0,$H203&gt;0,OR(AUTOEVENTO&lt;&gt;"manual",$M203&lt;&gt;1)),
IF(Import.TipoArredondamento&lt;&gt;"TransfereGOV",
ROUND(OFFSET($P203,0,AE$13),15-13*ORÇAMENTO!$AF$7)/$H203*OFFSET(ORÇAMENTO!$X$15,ROW(AE203)-ROW(AE$15),0),
ROUND(ROUND(OFFSET($P203,0,AE$13),15-13*ORÇAMENTO!$AF$7)*OFFSET(ORÇAMENTO!$W$15,ROW(AE203)-ROW(AE$15),0),15-13*ORÇAMENTO!$AF$11)),0)</f>
        <v>0</v>
      </c>
      <c r="AF203" s="545">
        <f ca="1">IF(AND($D203="Serviço",AF$12&lt;&gt;0,$H203&gt;0,OR(AUTOEVENTO&lt;&gt;"manual",$M203&lt;&gt;1)),
IF(Import.TipoArredondamento&lt;&gt;"TransfereGOV",
ROUND(OFFSET($P203,0,AF$13),15-13*ORÇAMENTO!$AF$7)/$H203*OFFSET(ORÇAMENTO!$X$15,ROW(AF203)-ROW(AF$15),0),
ROUND(ROUND(OFFSET($P203,0,AF$13),15-13*ORÇAMENTO!$AF$7)*OFFSET(ORÇAMENTO!$W$15,ROW(AF203)-ROW(AF$15),0),15-13*ORÇAMENTO!$AF$11)),0)</f>
        <v>0</v>
      </c>
      <c r="AG203" s="545">
        <f ca="1">IF(AND($D203="Serviço",AG$12&lt;&gt;0,$H203&gt;0,OR(AUTOEVENTO&lt;&gt;"manual",$M203&lt;&gt;1)),
IF(Import.TipoArredondamento&lt;&gt;"TransfereGOV",
ROUND(OFFSET($P203,0,AG$13),15-13*ORÇAMENTO!$AF$7)/$H203*OFFSET(ORÇAMENTO!$X$15,ROW(AG203)-ROW(AG$15),0),
ROUND(ROUND(OFFSET($P203,0,AG$13),15-13*ORÇAMENTO!$AF$7)*OFFSET(ORÇAMENTO!$W$15,ROW(AG203)-ROW(AG$15),0),15-13*ORÇAMENTO!$AF$11)),0)</f>
        <v>0</v>
      </c>
      <c r="AH203" s="545">
        <f ca="1">IF(AND($D203="Serviço",AH$12&lt;&gt;0,$H203&gt;0,OR(AUTOEVENTO&lt;&gt;"manual",$M203&lt;&gt;1)),
IF(Import.TipoArredondamento&lt;&gt;"TransfereGOV",
ROUND(OFFSET($P203,0,AH$13),15-13*ORÇAMENTO!$AF$7)/$H203*OFFSET(ORÇAMENTO!$X$15,ROW(AH203)-ROW(AH$15),0),
ROUND(ROUND(OFFSET($P203,0,AH$13),15-13*ORÇAMENTO!$AF$7)*OFFSET(ORÇAMENTO!$W$15,ROW(AH203)-ROW(AH$15),0),15-13*ORÇAMENTO!$AF$11)),0)</f>
        <v>0</v>
      </c>
      <c r="AI203" s="545">
        <f ca="1">IF(AND($D203="Serviço",AI$12&lt;&gt;0,$H203&gt;0,OR(AUTOEVENTO&lt;&gt;"manual",$M203&lt;&gt;1)),
IF(Import.TipoArredondamento&lt;&gt;"TransfereGOV",
ROUND(OFFSET($P203,0,AI$13),15-13*ORÇAMENTO!$AF$7)/$H203*OFFSET(ORÇAMENTO!$X$15,ROW(AI203)-ROW(AI$15),0),
ROUND(ROUND(OFFSET($P203,0,AI$13),15-13*ORÇAMENTO!$AF$7)*OFFSET(ORÇAMENTO!$W$15,ROW(AI203)-ROW(AI$15),0),15-13*ORÇAMENTO!$AF$11)),0)</f>
        <v>0</v>
      </c>
      <c r="AJ203" s="545">
        <f ca="1">IF(AND($D203="Serviço",AJ$12&lt;&gt;0,$H203&gt;0,OR(AUTOEVENTO&lt;&gt;"manual",$M203&lt;&gt;1)),
IF(Import.TipoArredondamento&lt;&gt;"TransfereGOV",
ROUND(OFFSET($P203,0,AJ$13),15-13*ORÇAMENTO!$AF$7)/$H203*OFFSET(ORÇAMENTO!$X$15,ROW(AJ203)-ROW(AJ$15),0),
ROUND(ROUND(OFFSET($P203,0,AJ$13),15-13*ORÇAMENTO!$AF$7)*OFFSET(ORÇAMENTO!$W$15,ROW(AJ203)-ROW(AJ$15),0),15-13*ORÇAMENTO!$AF$11)),0)</f>
        <v>0</v>
      </c>
      <c r="AK203" s="546">
        <f ca="1">IF(AND($D203="Serviço",AK$12&lt;&gt;0,$H203&gt;0,OR(AUTOEVENTO&lt;&gt;"manual",$M203&lt;&gt;1)),
IF(Import.TipoArredondamento&lt;&gt;"TransfereGOV",
ROUND(OFFSET($P203,0,AK$13),15-13*ORÇAMENTO!$AF$7)/$H203*OFFSET(ORÇAMENTO!$X$15,ROW(AK203)-ROW(AK$15),0),
ROUND(ROUND(OFFSET($P203,0,AK$13),15-13*ORÇAMENTO!$AF$7)*OFFSET(ORÇAMENTO!$W$15,ROW(AK203)-ROW(AK$15),0),15-13*ORÇAMENTO!$AF$11)),0)</f>
        <v>0</v>
      </c>
      <c r="AM203" s="181">
        <f ca="1">IF($D203&lt;&gt;"Serviço",0,IF(AND(AUTOEVENTO="Manual",$M203=1),0,IF(OFFSET(CRONOPLE!$F$14,$M203,AM$13)="",10^12,OFFSET(CRONOPLE!$F$14,$M203,AM$13))))</f>
        <v>1000000000000</v>
      </c>
      <c r="AN203" s="181">
        <f ca="1">IF($D203&lt;&gt;"Serviço",0,IF(AND(AUTOEVENTO="Manual",$M203=1),0,IF(OFFSET(CRONOPLE!$F$14,$M203,AN$13)="",10^12,OFFSET(CRONOPLE!$F$14,$M203,AN$13))))</f>
        <v>1000000000000</v>
      </c>
      <c r="AO203" s="181">
        <f ca="1">IF($D203&lt;&gt;"Serviço",0,IF(AND(AUTOEVENTO="Manual",$M203=1),0,IF(OFFSET(CRONOPLE!$F$14,$M203,AO$13)="",10^12,OFFSET(CRONOPLE!$F$14,$M203,AO$13))))</f>
        <v>1000000000000</v>
      </c>
      <c r="AP203" s="181">
        <f ca="1">IF($D203&lt;&gt;"Serviço",0,IF(AND(AUTOEVENTO="Manual",$M203=1),0,IF(OFFSET(CRONOPLE!$F$14,$M203,AP$13)="",10^12,OFFSET(CRONOPLE!$F$14,$M203,AP$13))))</f>
        <v>1000000000000</v>
      </c>
      <c r="AQ203" s="181">
        <f ca="1">IF($D203&lt;&gt;"Serviço",0,IF(AND(AUTOEVENTO="Manual",$M203=1),0,IF(OFFSET(CRONOPLE!$F$14,$M203,AQ$13)="",10^12,OFFSET(CRONOPLE!$F$14,$M203,AQ$13))))</f>
        <v>1000000000000</v>
      </c>
      <c r="AR203" s="181">
        <f ca="1">IF($D203&lt;&gt;"Serviço",0,IF(AND(AUTOEVENTO="Manual",$M203=1),0,IF(OFFSET(CRONOPLE!$F$14,$M203,AR$13)="",10^12,OFFSET(CRONOPLE!$F$14,$M203,AR$13))))</f>
        <v>1000000000000</v>
      </c>
      <c r="AS203" s="181">
        <f ca="1">IF($D203&lt;&gt;"Serviço",0,IF(AND(AUTOEVENTO="Manual",$M203=1),0,IF(OFFSET(CRONOPLE!$F$14,$M203,AS$13)="",10^12,OFFSET(CRONOPLE!$F$14,$M203,AS$13))))</f>
        <v>1000000000000</v>
      </c>
      <c r="AT203" s="181">
        <f ca="1">IF($D203&lt;&gt;"Serviço",0,IF(AND(AUTOEVENTO="Manual",$M203=1),0,IF(OFFSET(CRONOPLE!$F$14,$M203,AT$13)="",10^12,OFFSET(CRONOPLE!$F$14,$M203,AT$13))))</f>
        <v>1000000000000</v>
      </c>
      <c r="AU203" s="181">
        <f ca="1">IF($D203&lt;&gt;"Serviço",0,IF(AND(AUTOEVENTO="Manual",$M203=1),0,IF(OFFSET(CRONOPLE!$F$14,$M203,AU$13)="",10^12,OFFSET(CRONOPLE!$F$14,$M203,AU$13))))</f>
        <v>1000000000000</v>
      </c>
      <c r="AV203" s="181">
        <f ca="1">IF($D203&lt;&gt;"Serviço",0,IF(AND(AUTOEVENTO="Manual",$M203=1),0,IF(OFFSET(CRONOPLE!$F$14,$M203,AV$13)="",10^12,OFFSET(CRONOPLE!$F$14,$M203,AV$13))))</f>
        <v>1000000000000</v>
      </c>
      <c r="AX203" s="182">
        <f ca="1">IF($D203&lt;&gt;"Serviço",0,IF(OR(AND(AUTOEVENTO="Manual",$M203=1),$M203&gt;(ROW(PLE.lastrow)-ROW(PLE.firstrow))),0,IF(OFFSET(PLE!$G$14,$M203,AX$13)="",10^12,OFFSET(PLE!$G$14,$M203,AX$13))))</f>
        <v>1000000000000</v>
      </c>
      <c r="AY203" s="182">
        <f ca="1">IF($D203&lt;&gt;"Serviço",0,IF(OR(AND(AUTOEVENTO="Manual",$M203=1),$M203&gt;(ROW(PLE.lastrow)-ROW(PLE.firstrow))),0,IF(OFFSET(PLE!$G$14,$M203,AY$13)="",10^12,OFFSET(PLE!$G$14,$M203,AY$13))))</f>
        <v>1000000000000</v>
      </c>
      <c r="AZ203" s="182">
        <f ca="1">IF($D203&lt;&gt;"Serviço",0,IF(OR(AND(AUTOEVENTO="Manual",$M203=1),$M203&gt;(ROW(PLE.lastrow)-ROW(PLE.firstrow))),0,IF(OFFSET(PLE!$G$14,$M203,AZ$13)="",10^12,OFFSET(PLE!$G$14,$M203,AZ$13))))</f>
        <v>1000000000000</v>
      </c>
      <c r="BA203" s="182">
        <f ca="1">IF($D203&lt;&gt;"Serviço",0,IF(OR(AND(AUTOEVENTO="Manual",$M203=1),$M203&gt;(ROW(PLE.lastrow)-ROW(PLE.firstrow))),0,IF(OFFSET(PLE!$G$14,$M203,BA$13)="",10^12,OFFSET(PLE!$G$14,$M203,BA$13))))</f>
        <v>1000000000000</v>
      </c>
      <c r="BB203" s="182">
        <f ca="1">IF($D203&lt;&gt;"Serviço",0,IF(OR(AND(AUTOEVENTO="Manual",$M203=1),$M203&gt;(ROW(PLE.lastrow)-ROW(PLE.firstrow))),0,IF(OFFSET(PLE!$G$14,$M203,BB$13)="",10^12,OFFSET(PLE!$G$14,$M203,BB$13))))</f>
        <v>1000000000000</v>
      </c>
      <c r="BC203" s="182">
        <f ca="1">IF($D203&lt;&gt;"Serviço",0,IF(OR(AND(AUTOEVENTO="Manual",$M203=1),$M203&gt;(ROW(PLE.lastrow)-ROW(PLE.firstrow))),0,IF(OFFSET(PLE!$G$14,$M203,BC$13)="",10^12,OFFSET(PLE!$G$14,$M203,BC$13))))</f>
        <v>1000000000000</v>
      </c>
      <c r="BD203" s="182">
        <f ca="1">IF($D203&lt;&gt;"Serviço",0,IF(OR(AND(AUTOEVENTO="Manual",$M203=1),$M203&gt;(ROW(PLE.lastrow)-ROW(PLE.firstrow))),0,IF(OFFSET(PLE!$G$14,$M203,BD$13)="",10^12,OFFSET(PLE!$G$14,$M203,BD$13))))</f>
        <v>1000000000000</v>
      </c>
      <c r="BE203" s="182">
        <f ca="1">IF($D203&lt;&gt;"Serviço",0,IF(OR(AND(AUTOEVENTO="Manual",$M203=1),$M203&gt;(ROW(PLE.lastrow)-ROW(PLE.firstrow))),0,IF(OFFSET(PLE!$G$14,$M203,BE$13)="",10^12,OFFSET(PLE!$G$14,$M203,BE$13))))</f>
        <v>1000000000000</v>
      </c>
      <c r="BF203" s="182">
        <f ca="1">IF($D203&lt;&gt;"Serviço",0,IF(OR(AND(AUTOEVENTO="Manual",$M203=1),$M203&gt;(ROW(PLE.lastrow)-ROW(PLE.firstrow))),0,IF(OFFSET(PLE!$G$14,$M203,BF$13)="",10^12,OFFSET(PLE!$G$14,$M203,BF$13))))</f>
        <v>1000000000000</v>
      </c>
      <c r="BG203" s="182">
        <f ca="1">IF($D203&lt;&gt;"Serviço",0,IF(OR(AND(AUTOEVENTO="Manual",$M203=1),$M203&gt;(ROW(PLE.lastrow)-ROW(PLE.firstrow))),0,IF(OFFSET(PLE!$G$14,$M203,BG$13)="",10^12,OFFSET(PLE!$G$14,$M203,BG$13))))</f>
        <v>1000000000000</v>
      </c>
    </row>
    <row r="204" spans="1:59" ht="38.25" x14ac:dyDescent="0.2">
      <c r="A204" s="7" t="str">
        <f t="shared" ca="1" si="10"/>
        <v>183</v>
      </c>
      <c r="B204" s="7" t="str">
        <f ca="1">OFFSET(ORÇAMENTO!C$15,ROW(B204)-ROW(B$15),0)</f>
        <v>S</v>
      </c>
      <c r="C204" s="7" t="str">
        <f ca="1">OFFSET(ORÇAMENTO!L$15,ROW(C204)-ROW(C$15),0)</f>
        <v>F</v>
      </c>
      <c r="D204" s="118" t="str">
        <f ca="1">OFFSET(ORÇAMENTO!N$15,ROW(D204)-ROW(D$15),0)</f>
        <v>Serviço</v>
      </c>
      <c r="E204" s="119" t="str">
        <f ca="1">OFFSET(ORÇAMENTO!O$15,ROW(E204)-ROW(E$15),0)</f>
        <v>1.8.0.6.</v>
      </c>
      <c r="F204" s="172" t="str">
        <f ca="1">OFFSET(ORÇAMENTO!R$15,ROW(F204)-ROW(F$15),0)</f>
        <v>(abra o arquivo 'Referência 03-2024.xlsm)</v>
      </c>
      <c r="G204" s="173" t="str">
        <f ca="1">IF($D204&lt;&gt;"Serviço","",OFFSET(ORÇAMENTO!S$15,ROW(G204)-ROW(G$15),0))</f>
        <v>-</v>
      </c>
      <c r="H204" s="124">
        <f ca="1">IF($D204&lt;&gt;"Serviço",0,IF(ACOMPANHAMENTO="BM",ROUND(OFFSET(ORÇAMENTO!AJ$15,ROW(H204)-ROW(H$15),0),15-13*ORÇAMENTO!$AF$7),SUMPRODUCT(($Q$12:$AA$12&lt;&gt;"")*ROUND($Q204:$AA204,15-13*ORÇAMENTO!$AF$7))))</f>
        <v>99.54</v>
      </c>
      <c r="I204" s="561"/>
      <c r="K204" s="174"/>
      <c r="L204" s="175" t="s">
        <v>255</v>
      </c>
      <c r="M204" s="176">
        <f ca="1">IF($D204&lt;&gt;"Serviço","",IF(AUTOEVENTO="manual",$A204,IF(ISERROR(MATCH($A204,$A$15:OFFSET($A204,-1,0),0)),MAX($M$15:OFFSET(M204,-1,0))+1,INDEX($M$15:OFFSET(M204,-1,0),MATCH($A204,$A$15:OFFSET($A204,-1,0),0)))))</f>
        <v>9</v>
      </c>
      <c r="N204" s="177" t="str">
        <f ca="1">IF($D204&lt;&gt;"Serviço","",IF(AUTOEVENTO="Manual",IF($A204=0,"&lt;-- defina o número do agrupador",OFFSET(EVENTOS!$D$14,$A204,0)),OFFSET($F$15,$A204,0)))</f>
        <v>CAMPO DE FUTEBOL</v>
      </c>
      <c r="O204" s="178"/>
      <c r="Q204" s="178"/>
      <c r="R204" s="179"/>
      <c r="S204" s="179"/>
      <c r="T204" s="179"/>
      <c r="U204" s="179"/>
      <c r="V204" s="179"/>
      <c r="W204" s="179"/>
      <c r="X204" s="179"/>
      <c r="Y204" s="179"/>
      <c r="Z204" s="180"/>
      <c r="AB204" s="544">
        <f ca="1">IF(AND($D204="Serviço",AB$12&lt;&gt;0,$H204&gt;0,OR(AUTOEVENTO&lt;&gt;"manual",$M204&lt;&gt;1)),
IF(Import.TipoArredondamento&lt;&gt;"TransfereGOV",
ROUND(OFFSET($P204,0,AB$13),15-13*ORÇAMENTO!$AF$7)/$H204*OFFSET(ORÇAMENTO!$X$15,ROW(AB204)-ROW(AB$15),0),
ROUND(ROUND(OFFSET($P204,0,AB$13),15-13*ORÇAMENTO!$AF$7)*OFFSET(ORÇAMENTO!$W$15,ROW(AB204)-ROW(AB$15),0),15-13*ORÇAMENTO!$AF$11)),0)</f>
        <v>0</v>
      </c>
      <c r="AC204" s="545">
        <f ca="1">IF(AND($D204="Serviço",AC$12&lt;&gt;0,$H204&gt;0,OR(AUTOEVENTO&lt;&gt;"manual",$M204&lt;&gt;1)),
IF(Import.TipoArredondamento&lt;&gt;"TransfereGOV",
ROUND(OFFSET($P204,0,AC$13),15-13*ORÇAMENTO!$AF$7)/$H204*OFFSET(ORÇAMENTO!$X$15,ROW(AC204)-ROW(AC$15),0),
ROUND(ROUND(OFFSET($P204,0,AC$13),15-13*ORÇAMENTO!$AF$7)*OFFSET(ORÇAMENTO!$W$15,ROW(AC204)-ROW(AC$15),0),15-13*ORÇAMENTO!$AF$11)),0)</f>
        <v>0</v>
      </c>
      <c r="AD204" s="545">
        <f ca="1">IF(AND($D204="Serviço",AD$12&lt;&gt;0,$H204&gt;0,OR(AUTOEVENTO&lt;&gt;"manual",$M204&lt;&gt;1)),
IF(Import.TipoArredondamento&lt;&gt;"TransfereGOV",
ROUND(OFFSET($P204,0,AD$13),15-13*ORÇAMENTO!$AF$7)/$H204*OFFSET(ORÇAMENTO!$X$15,ROW(AD204)-ROW(AD$15),0),
ROUND(ROUND(OFFSET($P204,0,AD$13),15-13*ORÇAMENTO!$AF$7)*OFFSET(ORÇAMENTO!$W$15,ROW(AD204)-ROW(AD$15),0),15-13*ORÇAMENTO!$AF$11)),0)</f>
        <v>0</v>
      </c>
      <c r="AE204" s="545">
        <f ca="1">IF(AND($D204="Serviço",AE$12&lt;&gt;0,$H204&gt;0,OR(AUTOEVENTO&lt;&gt;"manual",$M204&lt;&gt;1)),
IF(Import.TipoArredondamento&lt;&gt;"TransfereGOV",
ROUND(OFFSET($P204,0,AE$13),15-13*ORÇAMENTO!$AF$7)/$H204*OFFSET(ORÇAMENTO!$X$15,ROW(AE204)-ROW(AE$15),0),
ROUND(ROUND(OFFSET($P204,0,AE$13),15-13*ORÇAMENTO!$AF$7)*OFFSET(ORÇAMENTO!$W$15,ROW(AE204)-ROW(AE$15),0),15-13*ORÇAMENTO!$AF$11)),0)</f>
        <v>0</v>
      </c>
      <c r="AF204" s="545">
        <f ca="1">IF(AND($D204="Serviço",AF$12&lt;&gt;0,$H204&gt;0,OR(AUTOEVENTO&lt;&gt;"manual",$M204&lt;&gt;1)),
IF(Import.TipoArredondamento&lt;&gt;"TransfereGOV",
ROUND(OFFSET($P204,0,AF$13),15-13*ORÇAMENTO!$AF$7)/$H204*OFFSET(ORÇAMENTO!$X$15,ROW(AF204)-ROW(AF$15),0),
ROUND(ROUND(OFFSET($P204,0,AF$13),15-13*ORÇAMENTO!$AF$7)*OFFSET(ORÇAMENTO!$W$15,ROW(AF204)-ROW(AF$15),0),15-13*ORÇAMENTO!$AF$11)),0)</f>
        <v>0</v>
      </c>
      <c r="AG204" s="545">
        <f ca="1">IF(AND($D204="Serviço",AG$12&lt;&gt;0,$H204&gt;0,OR(AUTOEVENTO&lt;&gt;"manual",$M204&lt;&gt;1)),
IF(Import.TipoArredondamento&lt;&gt;"TransfereGOV",
ROUND(OFFSET($P204,0,AG$13),15-13*ORÇAMENTO!$AF$7)/$H204*OFFSET(ORÇAMENTO!$X$15,ROW(AG204)-ROW(AG$15),0),
ROUND(ROUND(OFFSET($P204,0,AG$13),15-13*ORÇAMENTO!$AF$7)*OFFSET(ORÇAMENTO!$W$15,ROW(AG204)-ROW(AG$15),0),15-13*ORÇAMENTO!$AF$11)),0)</f>
        <v>0</v>
      </c>
      <c r="AH204" s="545">
        <f ca="1">IF(AND($D204="Serviço",AH$12&lt;&gt;0,$H204&gt;0,OR(AUTOEVENTO&lt;&gt;"manual",$M204&lt;&gt;1)),
IF(Import.TipoArredondamento&lt;&gt;"TransfereGOV",
ROUND(OFFSET($P204,0,AH$13),15-13*ORÇAMENTO!$AF$7)/$H204*OFFSET(ORÇAMENTO!$X$15,ROW(AH204)-ROW(AH$15),0),
ROUND(ROUND(OFFSET($P204,0,AH$13),15-13*ORÇAMENTO!$AF$7)*OFFSET(ORÇAMENTO!$W$15,ROW(AH204)-ROW(AH$15),0),15-13*ORÇAMENTO!$AF$11)),0)</f>
        <v>0</v>
      </c>
      <c r="AI204" s="545">
        <f ca="1">IF(AND($D204="Serviço",AI$12&lt;&gt;0,$H204&gt;0,OR(AUTOEVENTO&lt;&gt;"manual",$M204&lt;&gt;1)),
IF(Import.TipoArredondamento&lt;&gt;"TransfereGOV",
ROUND(OFFSET($P204,0,AI$13),15-13*ORÇAMENTO!$AF$7)/$H204*OFFSET(ORÇAMENTO!$X$15,ROW(AI204)-ROW(AI$15),0),
ROUND(ROUND(OFFSET($P204,0,AI$13),15-13*ORÇAMENTO!$AF$7)*OFFSET(ORÇAMENTO!$W$15,ROW(AI204)-ROW(AI$15),0),15-13*ORÇAMENTO!$AF$11)),0)</f>
        <v>0</v>
      </c>
      <c r="AJ204" s="545">
        <f ca="1">IF(AND($D204="Serviço",AJ$12&lt;&gt;0,$H204&gt;0,OR(AUTOEVENTO&lt;&gt;"manual",$M204&lt;&gt;1)),
IF(Import.TipoArredondamento&lt;&gt;"TransfereGOV",
ROUND(OFFSET($P204,0,AJ$13),15-13*ORÇAMENTO!$AF$7)/$H204*OFFSET(ORÇAMENTO!$X$15,ROW(AJ204)-ROW(AJ$15),0),
ROUND(ROUND(OFFSET($P204,0,AJ$13),15-13*ORÇAMENTO!$AF$7)*OFFSET(ORÇAMENTO!$W$15,ROW(AJ204)-ROW(AJ$15),0),15-13*ORÇAMENTO!$AF$11)),0)</f>
        <v>0</v>
      </c>
      <c r="AK204" s="546">
        <f ca="1">IF(AND($D204="Serviço",AK$12&lt;&gt;0,$H204&gt;0,OR(AUTOEVENTO&lt;&gt;"manual",$M204&lt;&gt;1)),
IF(Import.TipoArredondamento&lt;&gt;"TransfereGOV",
ROUND(OFFSET($P204,0,AK$13),15-13*ORÇAMENTO!$AF$7)/$H204*OFFSET(ORÇAMENTO!$X$15,ROW(AK204)-ROW(AK$15),0),
ROUND(ROUND(OFFSET($P204,0,AK$13),15-13*ORÇAMENTO!$AF$7)*OFFSET(ORÇAMENTO!$W$15,ROW(AK204)-ROW(AK$15),0),15-13*ORÇAMENTO!$AF$11)),0)</f>
        <v>0</v>
      </c>
      <c r="AM204" s="181">
        <f ca="1">IF($D204&lt;&gt;"Serviço",0,IF(AND(AUTOEVENTO="Manual",$M204=1),0,IF(OFFSET(CRONOPLE!$F$14,$M204,AM$13)="",10^12,OFFSET(CRONOPLE!$F$14,$M204,AM$13))))</f>
        <v>1000000000000</v>
      </c>
      <c r="AN204" s="181">
        <f ca="1">IF($D204&lt;&gt;"Serviço",0,IF(AND(AUTOEVENTO="Manual",$M204=1),0,IF(OFFSET(CRONOPLE!$F$14,$M204,AN$13)="",10^12,OFFSET(CRONOPLE!$F$14,$M204,AN$13))))</f>
        <v>1000000000000</v>
      </c>
      <c r="AO204" s="181">
        <f ca="1">IF($D204&lt;&gt;"Serviço",0,IF(AND(AUTOEVENTO="Manual",$M204=1),0,IF(OFFSET(CRONOPLE!$F$14,$M204,AO$13)="",10^12,OFFSET(CRONOPLE!$F$14,$M204,AO$13))))</f>
        <v>1000000000000</v>
      </c>
      <c r="AP204" s="181">
        <f ca="1">IF($D204&lt;&gt;"Serviço",0,IF(AND(AUTOEVENTO="Manual",$M204=1),0,IF(OFFSET(CRONOPLE!$F$14,$M204,AP$13)="",10^12,OFFSET(CRONOPLE!$F$14,$M204,AP$13))))</f>
        <v>1000000000000</v>
      </c>
      <c r="AQ204" s="181">
        <f ca="1">IF($D204&lt;&gt;"Serviço",0,IF(AND(AUTOEVENTO="Manual",$M204=1),0,IF(OFFSET(CRONOPLE!$F$14,$M204,AQ$13)="",10^12,OFFSET(CRONOPLE!$F$14,$M204,AQ$13))))</f>
        <v>1000000000000</v>
      </c>
      <c r="AR204" s="181">
        <f ca="1">IF($D204&lt;&gt;"Serviço",0,IF(AND(AUTOEVENTO="Manual",$M204=1),0,IF(OFFSET(CRONOPLE!$F$14,$M204,AR$13)="",10^12,OFFSET(CRONOPLE!$F$14,$M204,AR$13))))</f>
        <v>1000000000000</v>
      </c>
      <c r="AS204" s="181">
        <f ca="1">IF($D204&lt;&gt;"Serviço",0,IF(AND(AUTOEVENTO="Manual",$M204=1),0,IF(OFFSET(CRONOPLE!$F$14,$M204,AS$13)="",10^12,OFFSET(CRONOPLE!$F$14,$M204,AS$13))))</f>
        <v>1000000000000</v>
      </c>
      <c r="AT204" s="181">
        <f ca="1">IF($D204&lt;&gt;"Serviço",0,IF(AND(AUTOEVENTO="Manual",$M204=1),0,IF(OFFSET(CRONOPLE!$F$14,$M204,AT$13)="",10^12,OFFSET(CRONOPLE!$F$14,$M204,AT$13))))</f>
        <v>1000000000000</v>
      </c>
      <c r="AU204" s="181">
        <f ca="1">IF($D204&lt;&gt;"Serviço",0,IF(AND(AUTOEVENTO="Manual",$M204=1),0,IF(OFFSET(CRONOPLE!$F$14,$M204,AU$13)="",10^12,OFFSET(CRONOPLE!$F$14,$M204,AU$13))))</f>
        <v>1000000000000</v>
      </c>
      <c r="AV204" s="181">
        <f ca="1">IF($D204&lt;&gt;"Serviço",0,IF(AND(AUTOEVENTO="Manual",$M204=1),0,IF(OFFSET(CRONOPLE!$F$14,$M204,AV$13)="",10^12,OFFSET(CRONOPLE!$F$14,$M204,AV$13))))</f>
        <v>1000000000000</v>
      </c>
      <c r="AX204" s="182">
        <f ca="1">IF($D204&lt;&gt;"Serviço",0,IF(OR(AND(AUTOEVENTO="Manual",$M204=1),$M204&gt;(ROW(PLE.lastrow)-ROW(PLE.firstrow))),0,IF(OFFSET(PLE!$G$14,$M204,AX$13)="",10^12,OFFSET(PLE!$G$14,$M204,AX$13))))</f>
        <v>1000000000000</v>
      </c>
      <c r="AY204" s="182">
        <f ca="1">IF($D204&lt;&gt;"Serviço",0,IF(OR(AND(AUTOEVENTO="Manual",$M204=1),$M204&gt;(ROW(PLE.lastrow)-ROW(PLE.firstrow))),0,IF(OFFSET(PLE!$G$14,$M204,AY$13)="",10^12,OFFSET(PLE!$G$14,$M204,AY$13))))</f>
        <v>1000000000000</v>
      </c>
      <c r="AZ204" s="182">
        <f ca="1">IF($D204&lt;&gt;"Serviço",0,IF(OR(AND(AUTOEVENTO="Manual",$M204=1),$M204&gt;(ROW(PLE.lastrow)-ROW(PLE.firstrow))),0,IF(OFFSET(PLE!$G$14,$M204,AZ$13)="",10^12,OFFSET(PLE!$G$14,$M204,AZ$13))))</f>
        <v>1000000000000</v>
      </c>
      <c r="BA204" s="182">
        <f ca="1">IF($D204&lt;&gt;"Serviço",0,IF(OR(AND(AUTOEVENTO="Manual",$M204=1),$M204&gt;(ROW(PLE.lastrow)-ROW(PLE.firstrow))),0,IF(OFFSET(PLE!$G$14,$M204,BA$13)="",10^12,OFFSET(PLE!$G$14,$M204,BA$13))))</f>
        <v>1000000000000</v>
      </c>
      <c r="BB204" s="182">
        <f ca="1">IF($D204&lt;&gt;"Serviço",0,IF(OR(AND(AUTOEVENTO="Manual",$M204=1),$M204&gt;(ROW(PLE.lastrow)-ROW(PLE.firstrow))),0,IF(OFFSET(PLE!$G$14,$M204,BB$13)="",10^12,OFFSET(PLE!$G$14,$M204,BB$13))))</f>
        <v>1000000000000</v>
      </c>
      <c r="BC204" s="182">
        <f ca="1">IF($D204&lt;&gt;"Serviço",0,IF(OR(AND(AUTOEVENTO="Manual",$M204=1),$M204&gt;(ROW(PLE.lastrow)-ROW(PLE.firstrow))),0,IF(OFFSET(PLE!$G$14,$M204,BC$13)="",10^12,OFFSET(PLE!$G$14,$M204,BC$13))))</f>
        <v>1000000000000</v>
      </c>
      <c r="BD204" s="182">
        <f ca="1">IF($D204&lt;&gt;"Serviço",0,IF(OR(AND(AUTOEVENTO="Manual",$M204=1),$M204&gt;(ROW(PLE.lastrow)-ROW(PLE.firstrow))),0,IF(OFFSET(PLE!$G$14,$M204,BD$13)="",10^12,OFFSET(PLE!$G$14,$M204,BD$13))))</f>
        <v>1000000000000</v>
      </c>
      <c r="BE204" s="182">
        <f ca="1">IF($D204&lt;&gt;"Serviço",0,IF(OR(AND(AUTOEVENTO="Manual",$M204=1),$M204&gt;(ROW(PLE.lastrow)-ROW(PLE.firstrow))),0,IF(OFFSET(PLE!$G$14,$M204,BE$13)="",10^12,OFFSET(PLE!$G$14,$M204,BE$13))))</f>
        <v>1000000000000</v>
      </c>
      <c r="BF204" s="182">
        <f ca="1">IF($D204&lt;&gt;"Serviço",0,IF(OR(AND(AUTOEVENTO="Manual",$M204=1),$M204&gt;(ROW(PLE.lastrow)-ROW(PLE.firstrow))),0,IF(OFFSET(PLE!$G$14,$M204,BF$13)="",10^12,OFFSET(PLE!$G$14,$M204,BF$13))))</f>
        <v>1000000000000</v>
      </c>
      <c r="BG204" s="182">
        <f ca="1">IF($D204&lt;&gt;"Serviço",0,IF(OR(AND(AUTOEVENTO="Manual",$M204=1),$M204&gt;(ROW(PLE.lastrow)-ROW(PLE.firstrow))),0,IF(OFFSET(PLE!$G$14,$M204,BG$13)="",10^12,OFFSET(PLE!$G$14,$M204,BG$13))))</f>
        <v>1000000000000</v>
      </c>
    </row>
    <row r="205" spans="1:59" ht="51" x14ac:dyDescent="0.2">
      <c r="A205" s="7" t="str">
        <f t="shared" ca="1" si="10"/>
        <v>183</v>
      </c>
      <c r="B205" s="7" t="str">
        <f ca="1">OFFSET(ORÇAMENTO!C$15,ROW(B205)-ROW(B$15),0)</f>
        <v>S</v>
      </c>
      <c r="C205" s="7" t="str">
        <f ca="1">OFFSET(ORÇAMENTO!L$15,ROW(C205)-ROW(C$15),0)</f>
        <v>F</v>
      </c>
      <c r="D205" s="118" t="str">
        <f ca="1">OFFSET(ORÇAMENTO!N$15,ROW(D205)-ROW(D$15),0)</f>
        <v>Serviço</v>
      </c>
      <c r="E205" s="119" t="str">
        <f ca="1">OFFSET(ORÇAMENTO!O$15,ROW(E205)-ROW(E$15),0)</f>
        <v>1.8.0.7.</v>
      </c>
      <c r="F205" s="172" t="str">
        <f ca="1">OFFSET(ORÇAMENTO!R$15,ROW(F205)-ROW(F$15),0)</f>
        <v>(abra o arquivo 'Referência 03-2024.xlsm)</v>
      </c>
      <c r="G205" s="173" t="str">
        <f ca="1">IF($D205&lt;&gt;"Serviço","",OFFSET(ORÇAMENTO!S$15,ROW(G205)-ROW(G$15),0))</f>
        <v>-</v>
      </c>
      <c r="H205" s="124">
        <f ca="1">IF($D205&lt;&gt;"Serviço",0,IF(ACOMPANHAMENTO="BM",ROUND(OFFSET(ORÇAMENTO!AJ$15,ROW(H205)-ROW(H$15),0),15-13*ORÇAMENTO!$AF$7),SUMPRODUCT(($Q$12:$AA$12&lt;&gt;"")*ROUND($Q205:$AA205,15-13*ORÇAMENTO!$AF$7))))</f>
        <v>63</v>
      </c>
      <c r="I205" s="561"/>
      <c r="K205" s="174"/>
      <c r="L205" s="175" t="s">
        <v>255</v>
      </c>
      <c r="M205" s="176">
        <f ca="1">IF($D205&lt;&gt;"Serviço","",IF(AUTOEVENTO="manual",$A205,IF(ISERROR(MATCH($A205,$A$15:OFFSET($A205,-1,0),0)),MAX($M$15:OFFSET(M205,-1,0))+1,INDEX($M$15:OFFSET(M205,-1,0),MATCH($A205,$A$15:OFFSET($A205,-1,0),0)))))</f>
        <v>9</v>
      </c>
      <c r="N205" s="177" t="str">
        <f ca="1">IF($D205&lt;&gt;"Serviço","",IF(AUTOEVENTO="Manual",IF($A205=0,"&lt;-- defina o número do agrupador",OFFSET(EVENTOS!$D$14,$A205,0)),OFFSET($F$15,$A205,0)))</f>
        <v>CAMPO DE FUTEBOL</v>
      </c>
      <c r="O205" s="178"/>
      <c r="Q205" s="178"/>
      <c r="R205" s="179"/>
      <c r="S205" s="179"/>
      <c r="T205" s="179"/>
      <c r="U205" s="179"/>
      <c r="V205" s="179"/>
      <c r="W205" s="179"/>
      <c r="X205" s="179"/>
      <c r="Y205" s="179"/>
      <c r="Z205" s="180"/>
      <c r="AB205" s="544">
        <f ca="1">IF(AND($D205="Serviço",AB$12&lt;&gt;0,$H205&gt;0,OR(AUTOEVENTO&lt;&gt;"manual",$M205&lt;&gt;1)),
IF(Import.TipoArredondamento&lt;&gt;"TransfereGOV",
ROUND(OFFSET($P205,0,AB$13),15-13*ORÇAMENTO!$AF$7)/$H205*OFFSET(ORÇAMENTO!$X$15,ROW(AB205)-ROW(AB$15),0),
ROUND(ROUND(OFFSET($P205,0,AB$13),15-13*ORÇAMENTO!$AF$7)*OFFSET(ORÇAMENTO!$W$15,ROW(AB205)-ROW(AB$15),0),15-13*ORÇAMENTO!$AF$11)),0)</f>
        <v>0</v>
      </c>
      <c r="AC205" s="545">
        <f ca="1">IF(AND($D205="Serviço",AC$12&lt;&gt;0,$H205&gt;0,OR(AUTOEVENTO&lt;&gt;"manual",$M205&lt;&gt;1)),
IF(Import.TipoArredondamento&lt;&gt;"TransfereGOV",
ROUND(OFFSET($P205,0,AC$13),15-13*ORÇAMENTO!$AF$7)/$H205*OFFSET(ORÇAMENTO!$X$15,ROW(AC205)-ROW(AC$15),0),
ROUND(ROUND(OFFSET($P205,0,AC$13),15-13*ORÇAMENTO!$AF$7)*OFFSET(ORÇAMENTO!$W$15,ROW(AC205)-ROW(AC$15),0),15-13*ORÇAMENTO!$AF$11)),0)</f>
        <v>0</v>
      </c>
      <c r="AD205" s="545">
        <f ca="1">IF(AND($D205="Serviço",AD$12&lt;&gt;0,$H205&gt;0,OR(AUTOEVENTO&lt;&gt;"manual",$M205&lt;&gt;1)),
IF(Import.TipoArredondamento&lt;&gt;"TransfereGOV",
ROUND(OFFSET($P205,0,AD$13),15-13*ORÇAMENTO!$AF$7)/$H205*OFFSET(ORÇAMENTO!$X$15,ROW(AD205)-ROW(AD$15),0),
ROUND(ROUND(OFFSET($P205,0,AD$13),15-13*ORÇAMENTO!$AF$7)*OFFSET(ORÇAMENTO!$W$15,ROW(AD205)-ROW(AD$15),0),15-13*ORÇAMENTO!$AF$11)),0)</f>
        <v>0</v>
      </c>
      <c r="AE205" s="545">
        <f ca="1">IF(AND($D205="Serviço",AE$12&lt;&gt;0,$H205&gt;0,OR(AUTOEVENTO&lt;&gt;"manual",$M205&lt;&gt;1)),
IF(Import.TipoArredondamento&lt;&gt;"TransfereGOV",
ROUND(OFFSET($P205,0,AE$13),15-13*ORÇAMENTO!$AF$7)/$H205*OFFSET(ORÇAMENTO!$X$15,ROW(AE205)-ROW(AE$15),0),
ROUND(ROUND(OFFSET($P205,0,AE$13),15-13*ORÇAMENTO!$AF$7)*OFFSET(ORÇAMENTO!$W$15,ROW(AE205)-ROW(AE$15),0),15-13*ORÇAMENTO!$AF$11)),0)</f>
        <v>0</v>
      </c>
      <c r="AF205" s="545">
        <f ca="1">IF(AND($D205="Serviço",AF$12&lt;&gt;0,$H205&gt;0,OR(AUTOEVENTO&lt;&gt;"manual",$M205&lt;&gt;1)),
IF(Import.TipoArredondamento&lt;&gt;"TransfereGOV",
ROUND(OFFSET($P205,0,AF$13),15-13*ORÇAMENTO!$AF$7)/$H205*OFFSET(ORÇAMENTO!$X$15,ROW(AF205)-ROW(AF$15),0),
ROUND(ROUND(OFFSET($P205,0,AF$13),15-13*ORÇAMENTO!$AF$7)*OFFSET(ORÇAMENTO!$W$15,ROW(AF205)-ROW(AF$15),0),15-13*ORÇAMENTO!$AF$11)),0)</f>
        <v>0</v>
      </c>
      <c r="AG205" s="545">
        <f ca="1">IF(AND($D205="Serviço",AG$12&lt;&gt;0,$H205&gt;0,OR(AUTOEVENTO&lt;&gt;"manual",$M205&lt;&gt;1)),
IF(Import.TipoArredondamento&lt;&gt;"TransfereGOV",
ROUND(OFFSET($P205,0,AG$13),15-13*ORÇAMENTO!$AF$7)/$H205*OFFSET(ORÇAMENTO!$X$15,ROW(AG205)-ROW(AG$15),0),
ROUND(ROUND(OFFSET($P205,0,AG$13),15-13*ORÇAMENTO!$AF$7)*OFFSET(ORÇAMENTO!$W$15,ROW(AG205)-ROW(AG$15),0),15-13*ORÇAMENTO!$AF$11)),0)</f>
        <v>0</v>
      </c>
      <c r="AH205" s="545">
        <f ca="1">IF(AND($D205="Serviço",AH$12&lt;&gt;0,$H205&gt;0,OR(AUTOEVENTO&lt;&gt;"manual",$M205&lt;&gt;1)),
IF(Import.TipoArredondamento&lt;&gt;"TransfereGOV",
ROUND(OFFSET($P205,0,AH$13),15-13*ORÇAMENTO!$AF$7)/$H205*OFFSET(ORÇAMENTO!$X$15,ROW(AH205)-ROW(AH$15),0),
ROUND(ROUND(OFFSET($P205,0,AH$13),15-13*ORÇAMENTO!$AF$7)*OFFSET(ORÇAMENTO!$W$15,ROW(AH205)-ROW(AH$15),0),15-13*ORÇAMENTO!$AF$11)),0)</f>
        <v>0</v>
      </c>
      <c r="AI205" s="545">
        <f ca="1">IF(AND($D205="Serviço",AI$12&lt;&gt;0,$H205&gt;0,OR(AUTOEVENTO&lt;&gt;"manual",$M205&lt;&gt;1)),
IF(Import.TipoArredondamento&lt;&gt;"TransfereGOV",
ROUND(OFFSET($P205,0,AI$13),15-13*ORÇAMENTO!$AF$7)/$H205*OFFSET(ORÇAMENTO!$X$15,ROW(AI205)-ROW(AI$15),0),
ROUND(ROUND(OFFSET($P205,0,AI$13),15-13*ORÇAMENTO!$AF$7)*OFFSET(ORÇAMENTO!$W$15,ROW(AI205)-ROW(AI$15),0),15-13*ORÇAMENTO!$AF$11)),0)</f>
        <v>0</v>
      </c>
      <c r="AJ205" s="545">
        <f ca="1">IF(AND($D205="Serviço",AJ$12&lt;&gt;0,$H205&gt;0,OR(AUTOEVENTO&lt;&gt;"manual",$M205&lt;&gt;1)),
IF(Import.TipoArredondamento&lt;&gt;"TransfereGOV",
ROUND(OFFSET($P205,0,AJ$13),15-13*ORÇAMENTO!$AF$7)/$H205*OFFSET(ORÇAMENTO!$X$15,ROW(AJ205)-ROW(AJ$15),0),
ROUND(ROUND(OFFSET($P205,0,AJ$13),15-13*ORÇAMENTO!$AF$7)*OFFSET(ORÇAMENTO!$W$15,ROW(AJ205)-ROW(AJ$15),0),15-13*ORÇAMENTO!$AF$11)),0)</f>
        <v>0</v>
      </c>
      <c r="AK205" s="546">
        <f ca="1">IF(AND($D205="Serviço",AK$12&lt;&gt;0,$H205&gt;0,OR(AUTOEVENTO&lt;&gt;"manual",$M205&lt;&gt;1)),
IF(Import.TipoArredondamento&lt;&gt;"TransfereGOV",
ROUND(OFFSET($P205,0,AK$13),15-13*ORÇAMENTO!$AF$7)/$H205*OFFSET(ORÇAMENTO!$X$15,ROW(AK205)-ROW(AK$15),0),
ROUND(ROUND(OFFSET($P205,0,AK$13),15-13*ORÇAMENTO!$AF$7)*OFFSET(ORÇAMENTO!$W$15,ROW(AK205)-ROW(AK$15),0),15-13*ORÇAMENTO!$AF$11)),0)</f>
        <v>0</v>
      </c>
      <c r="AM205" s="181">
        <f ca="1">IF($D205&lt;&gt;"Serviço",0,IF(AND(AUTOEVENTO="Manual",$M205=1),0,IF(OFFSET(CRONOPLE!$F$14,$M205,AM$13)="",10^12,OFFSET(CRONOPLE!$F$14,$M205,AM$13))))</f>
        <v>1000000000000</v>
      </c>
      <c r="AN205" s="181">
        <f ca="1">IF($D205&lt;&gt;"Serviço",0,IF(AND(AUTOEVENTO="Manual",$M205=1),0,IF(OFFSET(CRONOPLE!$F$14,$M205,AN$13)="",10^12,OFFSET(CRONOPLE!$F$14,$M205,AN$13))))</f>
        <v>1000000000000</v>
      </c>
      <c r="AO205" s="181">
        <f ca="1">IF($D205&lt;&gt;"Serviço",0,IF(AND(AUTOEVENTO="Manual",$M205=1),0,IF(OFFSET(CRONOPLE!$F$14,$M205,AO$13)="",10^12,OFFSET(CRONOPLE!$F$14,$M205,AO$13))))</f>
        <v>1000000000000</v>
      </c>
      <c r="AP205" s="181">
        <f ca="1">IF($D205&lt;&gt;"Serviço",0,IF(AND(AUTOEVENTO="Manual",$M205=1),0,IF(OFFSET(CRONOPLE!$F$14,$M205,AP$13)="",10^12,OFFSET(CRONOPLE!$F$14,$M205,AP$13))))</f>
        <v>1000000000000</v>
      </c>
      <c r="AQ205" s="181">
        <f ca="1">IF($D205&lt;&gt;"Serviço",0,IF(AND(AUTOEVENTO="Manual",$M205=1),0,IF(OFFSET(CRONOPLE!$F$14,$M205,AQ$13)="",10^12,OFFSET(CRONOPLE!$F$14,$M205,AQ$13))))</f>
        <v>1000000000000</v>
      </c>
      <c r="AR205" s="181">
        <f ca="1">IF($D205&lt;&gt;"Serviço",0,IF(AND(AUTOEVENTO="Manual",$M205=1),0,IF(OFFSET(CRONOPLE!$F$14,$M205,AR$13)="",10^12,OFFSET(CRONOPLE!$F$14,$M205,AR$13))))</f>
        <v>1000000000000</v>
      </c>
      <c r="AS205" s="181">
        <f ca="1">IF($D205&lt;&gt;"Serviço",0,IF(AND(AUTOEVENTO="Manual",$M205=1),0,IF(OFFSET(CRONOPLE!$F$14,$M205,AS$13)="",10^12,OFFSET(CRONOPLE!$F$14,$M205,AS$13))))</f>
        <v>1000000000000</v>
      </c>
      <c r="AT205" s="181">
        <f ca="1">IF($D205&lt;&gt;"Serviço",0,IF(AND(AUTOEVENTO="Manual",$M205=1),0,IF(OFFSET(CRONOPLE!$F$14,$M205,AT$13)="",10^12,OFFSET(CRONOPLE!$F$14,$M205,AT$13))))</f>
        <v>1000000000000</v>
      </c>
      <c r="AU205" s="181">
        <f ca="1">IF($D205&lt;&gt;"Serviço",0,IF(AND(AUTOEVENTO="Manual",$M205=1),0,IF(OFFSET(CRONOPLE!$F$14,$M205,AU$13)="",10^12,OFFSET(CRONOPLE!$F$14,$M205,AU$13))))</f>
        <v>1000000000000</v>
      </c>
      <c r="AV205" s="181">
        <f ca="1">IF($D205&lt;&gt;"Serviço",0,IF(AND(AUTOEVENTO="Manual",$M205=1),0,IF(OFFSET(CRONOPLE!$F$14,$M205,AV$13)="",10^12,OFFSET(CRONOPLE!$F$14,$M205,AV$13))))</f>
        <v>1000000000000</v>
      </c>
      <c r="AX205" s="182">
        <f ca="1">IF($D205&lt;&gt;"Serviço",0,IF(OR(AND(AUTOEVENTO="Manual",$M205=1),$M205&gt;(ROW(PLE.lastrow)-ROW(PLE.firstrow))),0,IF(OFFSET(PLE!$G$14,$M205,AX$13)="",10^12,OFFSET(PLE!$G$14,$M205,AX$13))))</f>
        <v>1000000000000</v>
      </c>
      <c r="AY205" s="182">
        <f ca="1">IF($D205&lt;&gt;"Serviço",0,IF(OR(AND(AUTOEVENTO="Manual",$M205=1),$M205&gt;(ROW(PLE.lastrow)-ROW(PLE.firstrow))),0,IF(OFFSET(PLE!$G$14,$M205,AY$13)="",10^12,OFFSET(PLE!$G$14,$M205,AY$13))))</f>
        <v>1000000000000</v>
      </c>
      <c r="AZ205" s="182">
        <f ca="1">IF($D205&lt;&gt;"Serviço",0,IF(OR(AND(AUTOEVENTO="Manual",$M205=1),$M205&gt;(ROW(PLE.lastrow)-ROW(PLE.firstrow))),0,IF(OFFSET(PLE!$G$14,$M205,AZ$13)="",10^12,OFFSET(PLE!$G$14,$M205,AZ$13))))</f>
        <v>1000000000000</v>
      </c>
      <c r="BA205" s="182">
        <f ca="1">IF($D205&lt;&gt;"Serviço",0,IF(OR(AND(AUTOEVENTO="Manual",$M205=1),$M205&gt;(ROW(PLE.lastrow)-ROW(PLE.firstrow))),0,IF(OFFSET(PLE!$G$14,$M205,BA$13)="",10^12,OFFSET(PLE!$G$14,$M205,BA$13))))</f>
        <v>1000000000000</v>
      </c>
      <c r="BB205" s="182">
        <f ca="1">IF($D205&lt;&gt;"Serviço",0,IF(OR(AND(AUTOEVENTO="Manual",$M205=1),$M205&gt;(ROW(PLE.lastrow)-ROW(PLE.firstrow))),0,IF(OFFSET(PLE!$G$14,$M205,BB$13)="",10^12,OFFSET(PLE!$G$14,$M205,BB$13))))</f>
        <v>1000000000000</v>
      </c>
      <c r="BC205" s="182">
        <f ca="1">IF($D205&lt;&gt;"Serviço",0,IF(OR(AND(AUTOEVENTO="Manual",$M205=1),$M205&gt;(ROW(PLE.lastrow)-ROW(PLE.firstrow))),0,IF(OFFSET(PLE!$G$14,$M205,BC$13)="",10^12,OFFSET(PLE!$G$14,$M205,BC$13))))</f>
        <v>1000000000000</v>
      </c>
      <c r="BD205" s="182">
        <f ca="1">IF($D205&lt;&gt;"Serviço",0,IF(OR(AND(AUTOEVENTO="Manual",$M205=1),$M205&gt;(ROW(PLE.lastrow)-ROW(PLE.firstrow))),0,IF(OFFSET(PLE!$G$14,$M205,BD$13)="",10^12,OFFSET(PLE!$G$14,$M205,BD$13))))</f>
        <v>1000000000000</v>
      </c>
      <c r="BE205" s="182">
        <f ca="1">IF($D205&lt;&gt;"Serviço",0,IF(OR(AND(AUTOEVENTO="Manual",$M205=1),$M205&gt;(ROW(PLE.lastrow)-ROW(PLE.firstrow))),0,IF(OFFSET(PLE!$G$14,$M205,BE$13)="",10^12,OFFSET(PLE!$G$14,$M205,BE$13))))</f>
        <v>1000000000000</v>
      </c>
      <c r="BF205" s="182">
        <f ca="1">IF($D205&lt;&gt;"Serviço",0,IF(OR(AND(AUTOEVENTO="Manual",$M205=1),$M205&gt;(ROW(PLE.lastrow)-ROW(PLE.firstrow))),0,IF(OFFSET(PLE!$G$14,$M205,BF$13)="",10^12,OFFSET(PLE!$G$14,$M205,BF$13))))</f>
        <v>1000000000000</v>
      </c>
      <c r="BG205" s="182">
        <f ca="1">IF($D205&lt;&gt;"Serviço",0,IF(OR(AND(AUTOEVENTO="Manual",$M205=1),$M205&gt;(ROW(PLE.lastrow)-ROW(PLE.firstrow))),0,IF(OFFSET(PLE!$G$14,$M205,BG$13)="",10^12,OFFSET(PLE!$G$14,$M205,BG$13))))</f>
        <v>1000000000000</v>
      </c>
    </row>
    <row r="206" spans="1:59" ht="51" x14ac:dyDescent="0.2">
      <c r="A206" s="7" t="str">
        <f ca="1">IF(AUTOEVENTO="Manual",IF(K206&lt;&gt;"",MIN(VALUE(LEFT(K206,FIND(".",K206)-1)),COUNTA(EVENTOS.Lista)),0),IF(OR($B206&gt;AUTOEVENTO,$B206="S",$B206=0),SUBSTITUTE(OFFSET($A206,-1,0),IF($D206="Serviço",".",""),""),ROW(A206)-ROW($A$15)&amp;"."))</f>
        <v>183</v>
      </c>
      <c r="B206" s="7" t="str">
        <f ca="1">OFFSET(ORÇAMENTO!C$15,ROW(B206)-ROW(B$15),0)</f>
        <v>S</v>
      </c>
      <c r="C206" s="7" t="str">
        <f ca="1">OFFSET(ORÇAMENTO!L$15,ROW(C206)-ROW(C$15),0)</f>
        <v>F</v>
      </c>
      <c r="D206" s="118" t="str">
        <f ca="1">OFFSET(ORÇAMENTO!N$15,ROW(D206)-ROW(D$15),0)</f>
        <v>Serviço</v>
      </c>
      <c r="E206" s="119" t="str">
        <f ca="1">OFFSET(ORÇAMENTO!O$15,ROW(E206)-ROW(E$15),0)</f>
        <v>1.8.0.8.</v>
      </c>
      <c r="F206" s="172" t="str">
        <f ca="1">OFFSET(ORÇAMENTO!R$15,ROW(F206)-ROW(F$15),0)</f>
        <v>(abra o arquivo 'Referência 03-2024.xlsm)</v>
      </c>
      <c r="G206" s="173" t="str">
        <f ca="1">IF($D206&lt;&gt;"Serviço","",OFFSET(ORÇAMENTO!S$15,ROW(G206)-ROW(G$15),0))</f>
        <v>-</v>
      </c>
      <c r="H206" s="124">
        <f ca="1">IF($D206&lt;&gt;"Serviço",0,IF(ACOMPANHAMENTO="BM",ROUND(OFFSET(ORÇAMENTO!AJ$15,ROW(H206)-ROW(H$15),0),15-13*ORÇAMENTO!$AF$7),SUMPRODUCT(($Q$12:$AA$12&lt;&gt;"")*ROUND($Q206:$AA206,15-13*ORÇAMENTO!$AF$7))))</f>
        <v>227.81</v>
      </c>
      <c r="I206" s="561"/>
      <c r="K206" s="174"/>
      <c r="L206" s="175" t="s">
        <v>255</v>
      </c>
      <c r="M206" s="176">
        <f ca="1">IF($D206&lt;&gt;"Serviço","",IF(AUTOEVENTO="manual",$A206,IF(ISERROR(MATCH($A206,$A$15:OFFSET($A206,-1,0),0)),MAX($M$15:OFFSET(M206,-1,0))+1,INDEX($M$15:OFFSET(M206,-1,0),MATCH($A206,$A$15:OFFSET($A206,-1,0),0)))))</f>
        <v>9</v>
      </c>
      <c r="N206" s="177" t="str">
        <f ca="1">IF($D206&lt;&gt;"Serviço","",IF(AUTOEVENTO="Manual",IF($A206=0,"&lt;-- defina o número do agrupador",OFFSET(EVENTOS!$D$14,$A206,0)),OFFSET($F$15,$A206,0)))</f>
        <v>CAMPO DE FUTEBOL</v>
      </c>
      <c r="O206" s="178"/>
      <c r="Q206" s="178"/>
      <c r="R206" s="179"/>
      <c r="S206" s="179"/>
      <c r="T206" s="179"/>
      <c r="U206" s="179"/>
      <c r="V206" s="179"/>
      <c r="W206" s="179"/>
      <c r="X206" s="179"/>
      <c r="Y206" s="179"/>
      <c r="Z206" s="180"/>
      <c r="AB206" s="544">
        <f ca="1">IF(AND($D206="Serviço",AB$12&lt;&gt;0,$H206&gt;0,OR(AUTOEVENTO&lt;&gt;"manual",$M206&lt;&gt;1)),
IF(Import.TipoArredondamento&lt;&gt;"TransfereGOV",
ROUND(OFFSET($P206,0,AB$13),15-13*ORÇAMENTO!$AF$7)/$H206*OFFSET(ORÇAMENTO!$X$15,ROW(AB206)-ROW(AB$15),0),
ROUND(ROUND(OFFSET($P206,0,AB$13),15-13*ORÇAMENTO!$AF$7)*OFFSET(ORÇAMENTO!$W$15,ROW(AB206)-ROW(AB$15),0),15-13*ORÇAMENTO!$AF$11)),0)</f>
        <v>0</v>
      </c>
      <c r="AC206" s="545">
        <f ca="1">IF(AND($D206="Serviço",AC$12&lt;&gt;0,$H206&gt;0,OR(AUTOEVENTO&lt;&gt;"manual",$M206&lt;&gt;1)),
IF(Import.TipoArredondamento&lt;&gt;"TransfereGOV",
ROUND(OFFSET($P206,0,AC$13),15-13*ORÇAMENTO!$AF$7)/$H206*OFFSET(ORÇAMENTO!$X$15,ROW(AC206)-ROW(AC$15),0),
ROUND(ROUND(OFFSET($P206,0,AC$13),15-13*ORÇAMENTO!$AF$7)*OFFSET(ORÇAMENTO!$W$15,ROW(AC206)-ROW(AC$15),0),15-13*ORÇAMENTO!$AF$11)),0)</f>
        <v>0</v>
      </c>
      <c r="AD206" s="545">
        <f ca="1">IF(AND($D206="Serviço",AD$12&lt;&gt;0,$H206&gt;0,OR(AUTOEVENTO&lt;&gt;"manual",$M206&lt;&gt;1)),
IF(Import.TipoArredondamento&lt;&gt;"TransfereGOV",
ROUND(OFFSET($P206,0,AD$13),15-13*ORÇAMENTO!$AF$7)/$H206*OFFSET(ORÇAMENTO!$X$15,ROW(AD206)-ROW(AD$15),0),
ROUND(ROUND(OFFSET($P206,0,AD$13),15-13*ORÇAMENTO!$AF$7)*OFFSET(ORÇAMENTO!$W$15,ROW(AD206)-ROW(AD$15),0),15-13*ORÇAMENTO!$AF$11)),0)</f>
        <v>0</v>
      </c>
      <c r="AE206" s="545">
        <f ca="1">IF(AND($D206="Serviço",AE$12&lt;&gt;0,$H206&gt;0,OR(AUTOEVENTO&lt;&gt;"manual",$M206&lt;&gt;1)),
IF(Import.TipoArredondamento&lt;&gt;"TransfereGOV",
ROUND(OFFSET($P206,0,AE$13),15-13*ORÇAMENTO!$AF$7)/$H206*OFFSET(ORÇAMENTO!$X$15,ROW(AE206)-ROW(AE$15),0),
ROUND(ROUND(OFFSET($P206,0,AE$13),15-13*ORÇAMENTO!$AF$7)*OFFSET(ORÇAMENTO!$W$15,ROW(AE206)-ROW(AE$15),0),15-13*ORÇAMENTO!$AF$11)),0)</f>
        <v>0</v>
      </c>
      <c r="AF206" s="545">
        <f ca="1">IF(AND($D206="Serviço",AF$12&lt;&gt;0,$H206&gt;0,OR(AUTOEVENTO&lt;&gt;"manual",$M206&lt;&gt;1)),
IF(Import.TipoArredondamento&lt;&gt;"TransfereGOV",
ROUND(OFFSET($P206,0,AF$13),15-13*ORÇAMENTO!$AF$7)/$H206*OFFSET(ORÇAMENTO!$X$15,ROW(AF206)-ROW(AF$15),0),
ROUND(ROUND(OFFSET($P206,0,AF$13),15-13*ORÇAMENTO!$AF$7)*OFFSET(ORÇAMENTO!$W$15,ROW(AF206)-ROW(AF$15),0),15-13*ORÇAMENTO!$AF$11)),0)</f>
        <v>0</v>
      </c>
      <c r="AG206" s="545">
        <f ca="1">IF(AND($D206="Serviço",AG$12&lt;&gt;0,$H206&gt;0,OR(AUTOEVENTO&lt;&gt;"manual",$M206&lt;&gt;1)),
IF(Import.TipoArredondamento&lt;&gt;"TransfereGOV",
ROUND(OFFSET($P206,0,AG$13),15-13*ORÇAMENTO!$AF$7)/$H206*OFFSET(ORÇAMENTO!$X$15,ROW(AG206)-ROW(AG$15),0),
ROUND(ROUND(OFFSET($P206,0,AG$13),15-13*ORÇAMENTO!$AF$7)*OFFSET(ORÇAMENTO!$W$15,ROW(AG206)-ROW(AG$15),0),15-13*ORÇAMENTO!$AF$11)),0)</f>
        <v>0</v>
      </c>
      <c r="AH206" s="545">
        <f ca="1">IF(AND($D206="Serviço",AH$12&lt;&gt;0,$H206&gt;0,OR(AUTOEVENTO&lt;&gt;"manual",$M206&lt;&gt;1)),
IF(Import.TipoArredondamento&lt;&gt;"TransfereGOV",
ROUND(OFFSET($P206,0,AH$13),15-13*ORÇAMENTO!$AF$7)/$H206*OFFSET(ORÇAMENTO!$X$15,ROW(AH206)-ROW(AH$15),0),
ROUND(ROUND(OFFSET($P206,0,AH$13),15-13*ORÇAMENTO!$AF$7)*OFFSET(ORÇAMENTO!$W$15,ROW(AH206)-ROW(AH$15),0),15-13*ORÇAMENTO!$AF$11)),0)</f>
        <v>0</v>
      </c>
      <c r="AI206" s="545">
        <f ca="1">IF(AND($D206="Serviço",AI$12&lt;&gt;0,$H206&gt;0,OR(AUTOEVENTO&lt;&gt;"manual",$M206&lt;&gt;1)),
IF(Import.TipoArredondamento&lt;&gt;"TransfereGOV",
ROUND(OFFSET($P206,0,AI$13),15-13*ORÇAMENTO!$AF$7)/$H206*OFFSET(ORÇAMENTO!$X$15,ROW(AI206)-ROW(AI$15),0),
ROUND(ROUND(OFFSET($P206,0,AI$13),15-13*ORÇAMENTO!$AF$7)*OFFSET(ORÇAMENTO!$W$15,ROW(AI206)-ROW(AI$15),0),15-13*ORÇAMENTO!$AF$11)),0)</f>
        <v>0</v>
      </c>
      <c r="AJ206" s="545">
        <f ca="1">IF(AND($D206="Serviço",AJ$12&lt;&gt;0,$H206&gt;0,OR(AUTOEVENTO&lt;&gt;"manual",$M206&lt;&gt;1)),
IF(Import.TipoArredondamento&lt;&gt;"TransfereGOV",
ROUND(OFFSET($P206,0,AJ$13),15-13*ORÇAMENTO!$AF$7)/$H206*OFFSET(ORÇAMENTO!$X$15,ROW(AJ206)-ROW(AJ$15),0),
ROUND(ROUND(OFFSET($P206,0,AJ$13),15-13*ORÇAMENTO!$AF$7)*OFFSET(ORÇAMENTO!$W$15,ROW(AJ206)-ROW(AJ$15),0),15-13*ORÇAMENTO!$AF$11)),0)</f>
        <v>0</v>
      </c>
      <c r="AK206" s="546">
        <f ca="1">IF(AND($D206="Serviço",AK$12&lt;&gt;0,$H206&gt;0,OR(AUTOEVENTO&lt;&gt;"manual",$M206&lt;&gt;1)),
IF(Import.TipoArredondamento&lt;&gt;"TransfereGOV",
ROUND(OFFSET($P206,0,AK$13),15-13*ORÇAMENTO!$AF$7)/$H206*OFFSET(ORÇAMENTO!$X$15,ROW(AK206)-ROW(AK$15),0),
ROUND(ROUND(OFFSET($P206,0,AK$13),15-13*ORÇAMENTO!$AF$7)*OFFSET(ORÇAMENTO!$W$15,ROW(AK206)-ROW(AK$15),0),15-13*ORÇAMENTO!$AF$11)),0)</f>
        <v>0</v>
      </c>
      <c r="AM206" s="181">
        <f ca="1">IF($D206&lt;&gt;"Serviço",0,IF(AND(AUTOEVENTO="Manual",$M206=1),0,IF(OFFSET(CRONOPLE!$F$14,$M206,AM$13)="",10^12,OFFSET(CRONOPLE!$F$14,$M206,AM$13))))</f>
        <v>1000000000000</v>
      </c>
      <c r="AN206" s="181">
        <f ca="1">IF($D206&lt;&gt;"Serviço",0,IF(AND(AUTOEVENTO="Manual",$M206=1),0,IF(OFFSET(CRONOPLE!$F$14,$M206,AN$13)="",10^12,OFFSET(CRONOPLE!$F$14,$M206,AN$13))))</f>
        <v>1000000000000</v>
      </c>
      <c r="AO206" s="181">
        <f ca="1">IF($D206&lt;&gt;"Serviço",0,IF(AND(AUTOEVENTO="Manual",$M206=1),0,IF(OFFSET(CRONOPLE!$F$14,$M206,AO$13)="",10^12,OFFSET(CRONOPLE!$F$14,$M206,AO$13))))</f>
        <v>1000000000000</v>
      </c>
      <c r="AP206" s="181">
        <f ca="1">IF($D206&lt;&gt;"Serviço",0,IF(AND(AUTOEVENTO="Manual",$M206=1),0,IF(OFFSET(CRONOPLE!$F$14,$M206,AP$13)="",10^12,OFFSET(CRONOPLE!$F$14,$M206,AP$13))))</f>
        <v>1000000000000</v>
      </c>
      <c r="AQ206" s="181">
        <f ca="1">IF($D206&lt;&gt;"Serviço",0,IF(AND(AUTOEVENTO="Manual",$M206=1),0,IF(OFFSET(CRONOPLE!$F$14,$M206,AQ$13)="",10^12,OFFSET(CRONOPLE!$F$14,$M206,AQ$13))))</f>
        <v>1000000000000</v>
      </c>
      <c r="AR206" s="181">
        <f ca="1">IF($D206&lt;&gt;"Serviço",0,IF(AND(AUTOEVENTO="Manual",$M206=1),0,IF(OFFSET(CRONOPLE!$F$14,$M206,AR$13)="",10^12,OFFSET(CRONOPLE!$F$14,$M206,AR$13))))</f>
        <v>1000000000000</v>
      </c>
      <c r="AS206" s="181">
        <f ca="1">IF($D206&lt;&gt;"Serviço",0,IF(AND(AUTOEVENTO="Manual",$M206=1),0,IF(OFFSET(CRONOPLE!$F$14,$M206,AS$13)="",10^12,OFFSET(CRONOPLE!$F$14,$M206,AS$13))))</f>
        <v>1000000000000</v>
      </c>
      <c r="AT206" s="181">
        <f ca="1">IF($D206&lt;&gt;"Serviço",0,IF(AND(AUTOEVENTO="Manual",$M206=1),0,IF(OFFSET(CRONOPLE!$F$14,$M206,AT$13)="",10^12,OFFSET(CRONOPLE!$F$14,$M206,AT$13))))</f>
        <v>1000000000000</v>
      </c>
      <c r="AU206" s="181">
        <f ca="1">IF($D206&lt;&gt;"Serviço",0,IF(AND(AUTOEVENTO="Manual",$M206=1),0,IF(OFFSET(CRONOPLE!$F$14,$M206,AU$13)="",10^12,OFFSET(CRONOPLE!$F$14,$M206,AU$13))))</f>
        <v>1000000000000</v>
      </c>
      <c r="AV206" s="181">
        <f ca="1">IF($D206&lt;&gt;"Serviço",0,IF(AND(AUTOEVENTO="Manual",$M206=1),0,IF(OFFSET(CRONOPLE!$F$14,$M206,AV$13)="",10^12,OFFSET(CRONOPLE!$F$14,$M206,AV$13))))</f>
        <v>1000000000000</v>
      </c>
      <c r="AX206" s="182">
        <f ca="1">IF($D206&lt;&gt;"Serviço",0,IF(OR(AND(AUTOEVENTO="Manual",$M206=1),$M206&gt;(ROW(PLE.lastrow)-ROW(PLE.firstrow))),0,IF(OFFSET(PLE!$G$14,$M206,AX$13)="",10^12,OFFSET(PLE!$G$14,$M206,AX$13))))</f>
        <v>1000000000000</v>
      </c>
      <c r="AY206" s="182">
        <f ca="1">IF($D206&lt;&gt;"Serviço",0,IF(OR(AND(AUTOEVENTO="Manual",$M206=1),$M206&gt;(ROW(PLE.lastrow)-ROW(PLE.firstrow))),0,IF(OFFSET(PLE!$G$14,$M206,AY$13)="",10^12,OFFSET(PLE!$G$14,$M206,AY$13))))</f>
        <v>1000000000000</v>
      </c>
      <c r="AZ206" s="182">
        <f ca="1">IF($D206&lt;&gt;"Serviço",0,IF(OR(AND(AUTOEVENTO="Manual",$M206=1),$M206&gt;(ROW(PLE.lastrow)-ROW(PLE.firstrow))),0,IF(OFFSET(PLE!$G$14,$M206,AZ$13)="",10^12,OFFSET(PLE!$G$14,$M206,AZ$13))))</f>
        <v>1000000000000</v>
      </c>
      <c r="BA206" s="182">
        <f ca="1">IF($D206&lt;&gt;"Serviço",0,IF(OR(AND(AUTOEVENTO="Manual",$M206=1),$M206&gt;(ROW(PLE.lastrow)-ROW(PLE.firstrow))),0,IF(OFFSET(PLE!$G$14,$M206,BA$13)="",10^12,OFFSET(PLE!$G$14,$M206,BA$13))))</f>
        <v>1000000000000</v>
      </c>
      <c r="BB206" s="182">
        <f ca="1">IF($D206&lt;&gt;"Serviço",0,IF(OR(AND(AUTOEVENTO="Manual",$M206=1),$M206&gt;(ROW(PLE.lastrow)-ROW(PLE.firstrow))),0,IF(OFFSET(PLE!$G$14,$M206,BB$13)="",10^12,OFFSET(PLE!$G$14,$M206,BB$13))))</f>
        <v>1000000000000</v>
      </c>
      <c r="BC206" s="182">
        <f ca="1">IF($D206&lt;&gt;"Serviço",0,IF(OR(AND(AUTOEVENTO="Manual",$M206=1),$M206&gt;(ROW(PLE.lastrow)-ROW(PLE.firstrow))),0,IF(OFFSET(PLE!$G$14,$M206,BC$13)="",10^12,OFFSET(PLE!$G$14,$M206,BC$13))))</f>
        <v>1000000000000</v>
      </c>
      <c r="BD206" s="182">
        <f ca="1">IF($D206&lt;&gt;"Serviço",0,IF(OR(AND(AUTOEVENTO="Manual",$M206=1),$M206&gt;(ROW(PLE.lastrow)-ROW(PLE.firstrow))),0,IF(OFFSET(PLE!$G$14,$M206,BD$13)="",10^12,OFFSET(PLE!$G$14,$M206,BD$13))))</f>
        <v>1000000000000</v>
      </c>
      <c r="BE206" s="182">
        <f ca="1">IF($D206&lt;&gt;"Serviço",0,IF(OR(AND(AUTOEVENTO="Manual",$M206=1),$M206&gt;(ROW(PLE.lastrow)-ROW(PLE.firstrow))),0,IF(OFFSET(PLE!$G$14,$M206,BE$13)="",10^12,OFFSET(PLE!$G$14,$M206,BE$13))))</f>
        <v>1000000000000</v>
      </c>
      <c r="BF206" s="182">
        <f ca="1">IF($D206&lt;&gt;"Serviço",0,IF(OR(AND(AUTOEVENTO="Manual",$M206=1),$M206&gt;(ROW(PLE.lastrow)-ROW(PLE.firstrow))),0,IF(OFFSET(PLE!$G$14,$M206,BF$13)="",10^12,OFFSET(PLE!$G$14,$M206,BF$13))))</f>
        <v>1000000000000</v>
      </c>
      <c r="BG206" s="182">
        <f ca="1">IF($D206&lt;&gt;"Serviço",0,IF(OR(AND(AUTOEVENTO="Manual",$M206=1),$M206&gt;(ROW(PLE.lastrow)-ROW(PLE.firstrow))),0,IF(OFFSET(PLE!$G$14,$M206,BG$13)="",10^12,OFFSET(PLE!$G$14,$M206,BG$13))))</f>
        <v>1000000000000</v>
      </c>
    </row>
    <row r="207" spans="1:59" ht="25.5" x14ac:dyDescent="0.2">
      <c r="A207" s="7" t="str">
        <f ca="1">IF(AUTOEVENTO="Manual",IF(K207&lt;&gt;"",MIN(VALUE(LEFT(K207,FIND(".",K207)-1)),COUNTA(EVENTOS.Lista)),0),IF(OR($B207&gt;AUTOEVENTO,$B207="S",$B207=0),SUBSTITUTE(OFFSET($A207,-1,0),IF($D207="Serviço",".",""),""),ROW(A207)-ROW($A$15)&amp;"."))</f>
        <v>183</v>
      </c>
      <c r="B207" s="7" t="str">
        <f ca="1">OFFSET(ORÇAMENTO!C$15,ROW(B207)-ROW(B$15),0)</f>
        <v>S</v>
      </c>
      <c r="C207" s="7" t="str">
        <f ca="1">OFFSET(ORÇAMENTO!L$15,ROW(C207)-ROW(C$15),0)</f>
        <v>F</v>
      </c>
      <c r="D207" s="118" t="str">
        <f ca="1">OFFSET(ORÇAMENTO!N$15,ROW(D207)-ROW(D$15),0)</f>
        <v>Serviço</v>
      </c>
      <c r="E207" s="119" t="str">
        <f ca="1">OFFSET(ORÇAMENTO!O$15,ROW(E207)-ROW(E$15),0)</f>
        <v>1.8.0.9.</v>
      </c>
      <c r="F207" s="172" t="str">
        <f ca="1">OFFSET(ORÇAMENTO!R$15,ROW(F207)-ROW(F$15),0)</f>
        <v>(abra o arquivo 'Referência 03-2024.xlsm)</v>
      </c>
      <c r="G207" s="173" t="str">
        <f ca="1">IF($D207&lt;&gt;"Serviço","",OFFSET(ORÇAMENTO!S$15,ROW(G207)-ROW(G$15),0))</f>
        <v>-</v>
      </c>
      <c r="H207" s="124">
        <f ca="1">IF($D207&lt;&gt;"Serviço",0,IF(ACOMPANHAMENTO="BM",ROUND(OFFSET(ORÇAMENTO!AJ$15,ROW(H207)-ROW(H$15),0),15-13*ORÇAMENTO!$AF$7),SUMPRODUCT(($Q$12:$AA$12&lt;&gt;"")*ROUND($Q207:$AA207,15-13*ORÇAMENTO!$AF$7))))</f>
        <v>227.81</v>
      </c>
      <c r="I207" s="561"/>
      <c r="K207" s="174"/>
      <c r="L207" s="175" t="s">
        <v>255</v>
      </c>
      <c r="M207" s="176">
        <f ca="1">IF($D207&lt;&gt;"Serviço","",IF(AUTOEVENTO="manual",$A207,IF(ISERROR(MATCH($A207,$A$15:OFFSET($A207,-1,0),0)),MAX($M$15:OFFSET(M207,-1,0))+1,INDEX($M$15:OFFSET(M207,-1,0),MATCH($A207,$A$15:OFFSET($A207,-1,0),0)))))</f>
        <v>9</v>
      </c>
      <c r="N207" s="177" t="str">
        <f ca="1">IF($D207&lt;&gt;"Serviço","",IF(AUTOEVENTO="Manual",IF($A207=0,"&lt;-- defina o número do agrupador",OFFSET(EVENTOS!$D$14,$A207,0)),OFFSET($F$15,$A207,0)))</f>
        <v>CAMPO DE FUTEBOL</v>
      </c>
      <c r="O207" s="178"/>
      <c r="Q207" s="178"/>
      <c r="R207" s="179"/>
      <c r="S207" s="179"/>
      <c r="T207" s="179"/>
      <c r="U207" s="179"/>
      <c r="V207" s="179"/>
      <c r="W207" s="179"/>
      <c r="X207" s="179"/>
      <c r="Y207" s="179"/>
      <c r="Z207" s="180"/>
      <c r="AB207" s="544">
        <f ca="1">IF(AND($D207="Serviço",AB$12&lt;&gt;0,$H207&gt;0,OR(AUTOEVENTO&lt;&gt;"manual",$M207&lt;&gt;1)),
IF(Import.TipoArredondamento&lt;&gt;"TransfereGOV",
ROUND(OFFSET($P207,0,AB$13),15-13*ORÇAMENTO!$AF$7)/$H207*OFFSET(ORÇAMENTO!$X$15,ROW(AB207)-ROW(AB$15),0),
ROUND(ROUND(OFFSET($P207,0,AB$13),15-13*ORÇAMENTO!$AF$7)*OFFSET(ORÇAMENTO!$W$15,ROW(AB207)-ROW(AB$15),0),15-13*ORÇAMENTO!$AF$11)),0)</f>
        <v>0</v>
      </c>
      <c r="AC207" s="545">
        <f ca="1">IF(AND($D207="Serviço",AC$12&lt;&gt;0,$H207&gt;0,OR(AUTOEVENTO&lt;&gt;"manual",$M207&lt;&gt;1)),
IF(Import.TipoArredondamento&lt;&gt;"TransfereGOV",
ROUND(OFFSET($P207,0,AC$13),15-13*ORÇAMENTO!$AF$7)/$H207*OFFSET(ORÇAMENTO!$X$15,ROW(AC207)-ROW(AC$15),0),
ROUND(ROUND(OFFSET($P207,0,AC$13),15-13*ORÇAMENTO!$AF$7)*OFFSET(ORÇAMENTO!$W$15,ROW(AC207)-ROW(AC$15),0),15-13*ORÇAMENTO!$AF$11)),0)</f>
        <v>0</v>
      </c>
      <c r="AD207" s="545">
        <f ca="1">IF(AND($D207="Serviço",AD$12&lt;&gt;0,$H207&gt;0,OR(AUTOEVENTO&lt;&gt;"manual",$M207&lt;&gt;1)),
IF(Import.TipoArredondamento&lt;&gt;"TransfereGOV",
ROUND(OFFSET($P207,0,AD$13),15-13*ORÇAMENTO!$AF$7)/$H207*OFFSET(ORÇAMENTO!$X$15,ROW(AD207)-ROW(AD$15),0),
ROUND(ROUND(OFFSET($P207,0,AD$13),15-13*ORÇAMENTO!$AF$7)*OFFSET(ORÇAMENTO!$W$15,ROW(AD207)-ROW(AD$15),0),15-13*ORÇAMENTO!$AF$11)),0)</f>
        <v>0</v>
      </c>
      <c r="AE207" s="545">
        <f ca="1">IF(AND($D207="Serviço",AE$12&lt;&gt;0,$H207&gt;0,OR(AUTOEVENTO&lt;&gt;"manual",$M207&lt;&gt;1)),
IF(Import.TipoArredondamento&lt;&gt;"TransfereGOV",
ROUND(OFFSET($P207,0,AE$13),15-13*ORÇAMENTO!$AF$7)/$H207*OFFSET(ORÇAMENTO!$X$15,ROW(AE207)-ROW(AE$15),0),
ROUND(ROUND(OFFSET($P207,0,AE$13),15-13*ORÇAMENTO!$AF$7)*OFFSET(ORÇAMENTO!$W$15,ROW(AE207)-ROW(AE$15),0),15-13*ORÇAMENTO!$AF$11)),0)</f>
        <v>0</v>
      </c>
      <c r="AF207" s="545">
        <f ca="1">IF(AND($D207="Serviço",AF$12&lt;&gt;0,$H207&gt;0,OR(AUTOEVENTO&lt;&gt;"manual",$M207&lt;&gt;1)),
IF(Import.TipoArredondamento&lt;&gt;"TransfereGOV",
ROUND(OFFSET($P207,0,AF$13),15-13*ORÇAMENTO!$AF$7)/$H207*OFFSET(ORÇAMENTO!$X$15,ROW(AF207)-ROW(AF$15),0),
ROUND(ROUND(OFFSET($P207,0,AF$13),15-13*ORÇAMENTO!$AF$7)*OFFSET(ORÇAMENTO!$W$15,ROW(AF207)-ROW(AF$15),0),15-13*ORÇAMENTO!$AF$11)),0)</f>
        <v>0</v>
      </c>
      <c r="AG207" s="545">
        <f ca="1">IF(AND($D207="Serviço",AG$12&lt;&gt;0,$H207&gt;0,OR(AUTOEVENTO&lt;&gt;"manual",$M207&lt;&gt;1)),
IF(Import.TipoArredondamento&lt;&gt;"TransfereGOV",
ROUND(OFFSET($P207,0,AG$13),15-13*ORÇAMENTO!$AF$7)/$H207*OFFSET(ORÇAMENTO!$X$15,ROW(AG207)-ROW(AG$15),0),
ROUND(ROUND(OFFSET($P207,0,AG$13),15-13*ORÇAMENTO!$AF$7)*OFFSET(ORÇAMENTO!$W$15,ROW(AG207)-ROW(AG$15),0),15-13*ORÇAMENTO!$AF$11)),0)</f>
        <v>0</v>
      </c>
      <c r="AH207" s="545">
        <f ca="1">IF(AND($D207="Serviço",AH$12&lt;&gt;0,$H207&gt;0,OR(AUTOEVENTO&lt;&gt;"manual",$M207&lt;&gt;1)),
IF(Import.TipoArredondamento&lt;&gt;"TransfereGOV",
ROUND(OFFSET($P207,0,AH$13),15-13*ORÇAMENTO!$AF$7)/$H207*OFFSET(ORÇAMENTO!$X$15,ROW(AH207)-ROW(AH$15),0),
ROUND(ROUND(OFFSET($P207,0,AH$13),15-13*ORÇAMENTO!$AF$7)*OFFSET(ORÇAMENTO!$W$15,ROW(AH207)-ROW(AH$15),0),15-13*ORÇAMENTO!$AF$11)),0)</f>
        <v>0</v>
      </c>
      <c r="AI207" s="545">
        <f ca="1">IF(AND($D207="Serviço",AI$12&lt;&gt;0,$H207&gt;0,OR(AUTOEVENTO&lt;&gt;"manual",$M207&lt;&gt;1)),
IF(Import.TipoArredondamento&lt;&gt;"TransfereGOV",
ROUND(OFFSET($P207,0,AI$13),15-13*ORÇAMENTO!$AF$7)/$H207*OFFSET(ORÇAMENTO!$X$15,ROW(AI207)-ROW(AI$15),0),
ROUND(ROUND(OFFSET($P207,0,AI$13),15-13*ORÇAMENTO!$AF$7)*OFFSET(ORÇAMENTO!$W$15,ROW(AI207)-ROW(AI$15),0),15-13*ORÇAMENTO!$AF$11)),0)</f>
        <v>0</v>
      </c>
      <c r="AJ207" s="545">
        <f ca="1">IF(AND($D207="Serviço",AJ$12&lt;&gt;0,$H207&gt;0,OR(AUTOEVENTO&lt;&gt;"manual",$M207&lt;&gt;1)),
IF(Import.TipoArredondamento&lt;&gt;"TransfereGOV",
ROUND(OFFSET($P207,0,AJ$13),15-13*ORÇAMENTO!$AF$7)/$H207*OFFSET(ORÇAMENTO!$X$15,ROW(AJ207)-ROW(AJ$15),0),
ROUND(ROUND(OFFSET($P207,0,AJ$13),15-13*ORÇAMENTO!$AF$7)*OFFSET(ORÇAMENTO!$W$15,ROW(AJ207)-ROW(AJ$15),0),15-13*ORÇAMENTO!$AF$11)),0)</f>
        <v>0</v>
      </c>
      <c r="AK207" s="546">
        <f ca="1">IF(AND($D207="Serviço",AK$12&lt;&gt;0,$H207&gt;0,OR(AUTOEVENTO&lt;&gt;"manual",$M207&lt;&gt;1)),
IF(Import.TipoArredondamento&lt;&gt;"TransfereGOV",
ROUND(OFFSET($P207,0,AK$13),15-13*ORÇAMENTO!$AF$7)/$H207*OFFSET(ORÇAMENTO!$X$15,ROW(AK207)-ROW(AK$15),0),
ROUND(ROUND(OFFSET($P207,0,AK$13),15-13*ORÇAMENTO!$AF$7)*OFFSET(ORÇAMENTO!$W$15,ROW(AK207)-ROW(AK$15),0),15-13*ORÇAMENTO!$AF$11)),0)</f>
        <v>0</v>
      </c>
      <c r="AM207" s="181">
        <f ca="1">IF($D207&lt;&gt;"Serviço",0,IF(AND(AUTOEVENTO="Manual",$M207=1),0,IF(OFFSET(CRONOPLE!$F$14,$M207,AM$13)="",10^12,OFFSET(CRONOPLE!$F$14,$M207,AM$13))))</f>
        <v>1000000000000</v>
      </c>
      <c r="AN207" s="181">
        <f ca="1">IF($D207&lt;&gt;"Serviço",0,IF(AND(AUTOEVENTO="Manual",$M207=1),0,IF(OFFSET(CRONOPLE!$F$14,$M207,AN$13)="",10^12,OFFSET(CRONOPLE!$F$14,$M207,AN$13))))</f>
        <v>1000000000000</v>
      </c>
      <c r="AO207" s="181">
        <f ca="1">IF($D207&lt;&gt;"Serviço",0,IF(AND(AUTOEVENTO="Manual",$M207=1),0,IF(OFFSET(CRONOPLE!$F$14,$M207,AO$13)="",10^12,OFFSET(CRONOPLE!$F$14,$M207,AO$13))))</f>
        <v>1000000000000</v>
      </c>
      <c r="AP207" s="181">
        <f ca="1">IF($D207&lt;&gt;"Serviço",0,IF(AND(AUTOEVENTO="Manual",$M207=1),0,IF(OFFSET(CRONOPLE!$F$14,$M207,AP$13)="",10^12,OFFSET(CRONOPLE!$F$14,$M207,AP$13))))</f>
        <v>1000000000000</v>
      </c>
      <c r="AQ207" s="181">
        <f ca="1">IF($D207&lt;&gt;"Serviço",0,IF(AND(AUTOEVENTO="Manual",$M207=1),0,IF(OFFSET(CRONOPLE!$F$14,$M207,AQ$13)="",10^12,OFFSET(CRONOPLE!$F$14,$M207,AQ$13))))</f>
        <v>1000000000000</v>
      </c>
      <c r="AR207" s="181">
        <f ca="1">IF($D207&lt;&gt;"Serviço",0,IF(AND(AUTOEVENTO="Manual",$M207=1),0,IF(OFFSET(CRONOPLE!$F$14,$M207,AR$13)="",10^12,OFFSET(CRONOPLE!$F$14,$M207,AR$13))))</f>
        <v>1000000000000</v>
      </c>
      <c r="AS207" s="181">
        <f ca="1">IF($D207&lt;&gt;"Serviço",0,IF(AND(AUTOEVENTO="Manual",$M207=1),0,IF(OFFSET(CRONOPLE!$F$14,$M207,AS$13)="",10^12,OFFSET(CRONOPLE!$F$14,$M207,AS$13))))</f>
        <v>1000000000000</v>
      </c>
      <c r="AT207" s="181">
        <f ca="1">IF($D207&lt;&gt;"Serviço",0,IF(AND(AUTOEVENTO="Manual",$M207=1),0,IF(OFFSET(CRONOPLE!$F$14,$M207,AT$13)="",10^12,OFFSET(CRONOPLE!$F$14,$M207,AT$13))))</f>
        <v>1000000000000</v>
      </c>
      <c r="AU207" s="181">
        <f ca="1">IF($D207&lt;&gt;"Serviço",0,IF(AND(AUTOEVENTO="Manual",$M207=1),0,IF(OFFSET(CRONOPLE!$F$14,$M207,AU$13)="",10^12,OFFSET(CRONOPLE!$F$14,$M207,AU$13))))</f>
        <v>1000000000000</v>
      </c>
      <c r="AV207" s="181">
        <f ca="1">IF($D207&lt;&gt;"Serviço",0,IF(AND(AUTOEVENTO="Manual",$M207=1),0,IF(OFFSET(CRONOPLE!$F$14,$M207,AV$13)="",10^12,OFFSET(CRONOPLE!$F$14,$M207,AV$13))))</f>
        <v>1000000000000</v>
      </c>
      <c r="AX207" s="182">
        <f ca="1">IF($D207&lt;&gt;"Serviço",0,IF(OR(AND(AUTOEVENTO="Manual",$M207=1),$M207&gt;(ROW(PLE.lastrow)-ROW(PLE.firstrow))),0,IF(OFFSET(PLE!$G$14,$M207,AX$13)="",10^12,OFFSET(PLE!$G$14,$M207,AX$13))))</f>
        <v>1000000000000</v>
      </c>
      <c r="AY207" s="182">
        <f ca="1">IF($D207&lt;&gt;"Serviço",0,IF(OR(AND(AUTOEVENTO="Manual",$M207=1),$M207&gt;(ROW(PLE.lastrow)-ROW(PLE.firstrow))),0,IF(OFFSET(PLE!$G$14,$M207,AY$13)="",10^12,OFFSET(PLE!$G$14,$M207,AY$13))))</f>
        <v>1000000000000</v>
      </c>
      <c r="AZ207" s="182">
        <f ca="1">IF($D207&lt;&gt;"Serviço",0,IF(OR(AND(AUTOEVENTO="Manual",$M207=1),$M207&gt;(ROW(PLE.lastrow)-ROW(PLE.firstrow))),0,IF(OFFSET(PLE!$G$14,$M207,AZ$13)="",10^12,OFFSET(PLE!$G$14,$M207,AZ$13))))</f>
        <v>1000000000000</v>
      </c>
      <c r="BA207" s="182">
        <f ca="1">IF($D207&lt;&gt;"Serviço",0,IF(OR(AND(AUTOEVENTO="Manual",$M207=1),$M207&gt;(ROW(PLE.lastrow)-ROW(PLE.firstrow))),0,IF(OFFSET(PLE!$G$14,$M207,BA$13)="",10^12,OFFSET(PLE!$G$14,$M207,BA$13))))</f>
        <v>1000000000000</v>
      </c>
      <c r="BB207" s="182">
        <f ca="1">IF($D207&lt;&gt;"Serviço",0,IF(OR(AND(AUTOEVENTO="Manual",$M207=1),$M207&gt;(ROW(PLE.lastrow)-ROW(PLE.firstrow))),0,IF(OFFSET(PLE!$G$14,$M207,BB$13)="",10^12,OFFSET(PLE!$G$14,$M207,BB$13))))</f>
        <v>1000000000000</v>
      </c>
      <c r="BC207" s="182">
        <f ca="1">IF($D207&lt;&gt;"Serviço",0,IF(OR(AND(AUTOEVENTO="Manual",$M207=1),$M207&gt;(ROW(PLE.lastrow)-ROW(PLE.firstrow))),0,IF(OFFSET(PLE!$G$14,$M207,BC$13)="",10^12,OFFSET(PLE!$G$14,$M207,BC$13))))</f>
        <v>1000000000000</v>
      </c>
      <c r="BD207" s="182">
        <f ca="1">IF($D207&lt;&gt;"Serviço",0,IF(OR(AND(AUTOEVENTO="Manual",$M207=1),$M207&gt;(ROW(PLE.lastrow)-ROW(PLE.firstrow))),0,IF(OFFSET(PLE!$G$14,$M207,BD$13)="",10^12,OFFSET(PLE!$G$14,$M207,BD$13))))</f>
        <v>1000000000000</v>
      </c>
      <c r="BE207" s="182">
        <f ca="1">IF($D207&lt;&gt;"Serviço",0,IF(OR(AND(AUTOEVENTO="Manual",$M207=1),$M207&gt;(ROW(PLE.lastrow)-ROW(PLE.firstrow))),0,IF(OFFSET(PLE!$G$14,$M207,BE$13)="",10^12,OFFSET(PLE!$G$14,$M207,BE$13))))</f>
        <v>1000000000000</v>
      </c>
      <c r="BF207" s="182">
        <f ca="1">IF($D207&lt;&gt;"Serviço",0,IF(OR(AND(AUTOEVENTO="Manual",$M207=1),$M207&gt;(ROW(PLE.lastrow)-ROW(PLE.firstrow))),0,IF(OFFSET(PLE!$G$14,$M207,BF$13)="",10^12,OFFSET(PLE!$G$14,$M207,BF$13))))</f>
        <v>1000000000000</v>
      </c>
      <c r="BG207" s="182">
        <f ca="1">IF($D207&lt;&gt;"Serviço",0,IF(OR(AND(AUTOEVENTO="Manual",$M207=1),$M207&gt;(ROW(PLE.lastrow)-ROW(PLE.firstrow))),0,IF(OFFSET(PLE!$G$14,$M207,BG$13)="",10^12,OFFSET(PLE!$G$14,$M207,BG$13))))</f>
        <v>1000000000000</v>
      </c>
    </row>
    <row r="208" spans="1:59" ht="25.5" x14ac:dyDescent="0.2">
      <c r="A208" s="7" t="str">
        <f ca="1">IF(AUTOEVENTO="Manual",IF(K208&lt;&gt;"",MIN(VALUE(LEFT(K208,FIND(".",K208)-1)),COUNTA(EVENTOS.Lista)),0),IF(OR($B208&gt;AUTOEVENTO,$B208="S",$B208=0),SUBSTITUTE(OFFSET($A208,-1,0),IF($D208="Serviço",".",""),""),ROW(A208)-ROW($A$15)&amp;"."))</f>
        <v>183</v>
      </c>
      <c r="B208" s="7" t="str">
        <f ca="1">OFFSET(ORÇAMENTO!C$15,ROW(B208)-ROW(B$15),0)</f>
        <v>S</v>
      </c>
      <c r="C208" s="7" t="str">
        <f ca="1">OFFSET(ORÇAMENTO!L$15,ROW(C208)-ROW(C$15),0)</f>
        <v>F</v>
      </c>
      <c r="D208" s="118" t="str">
        <f ca="1">OFFSET(ORÇAMENTO!N$15,ROW(D208)-ROW(D$15),0)</f>
        <v>Serviço</v>
      </c>
      <c r="E208" s="119" t="str">
        <f ca="1">OFFSET(ORÇAMENTO!O$15,ROW(E208)-ROW(E$15),0)</f>
        <v>1.8.0.10.</v>
      </c>
      <c r="F208" s="172" t="str">
        <f ca="1">OFFSET(ORÇAMENTO!R$15,ROW(F208)-ROW(F$15),0)</f>
        <v>(abra o arquivo 'Referência 03-2024.xlsm)</v>
      </c>
      <c r="G208" s="173" t="str">
        <f ca="1">IF($D208&lt;&gt;"Serviço","",OFFSET(ORÇAMENTO!S$15,ROW(G208)-ROW(G$15),0))</f>
        <v>-</v>
      </c>
      <c r="H208" s="124">
        <f ca="1">IF($D208&lt;&gt;"Serviço",0,IF(ACOMPANHAMENTO="BM",ROUND(OFFSET(ORÇAMENTO!AJ$15,ROW(H208)-ROW(H$15),0),15-13*ORÇAMENTO!$AF$7),SUMPRODUCT(($Q$12:$AA$12&lt;&gt;"")*ROUND($Q208:$AA208,15-13*ORÇAMENTO!$AF$7))))</f>
        <v>105</v>
      </c>
      <c r="I208" s="561"/>
      <c r="K208" s="174"/>
      <c r="L208" s="175" t="s">
        <v>255</v>
      </c>
      <c r="M208" s="176">
        <f ca="1">IF($D208&lt;&gt;"Serviço","",IF(AUTOEVENTO="manual",$A208,IF(ISERROR(MATCH($A208,$A$15:OFFSET($A208,-1,0),0)),MAX($M$15:OFFSET(M208,-1,0))+1,INDEX($M$15:OFFSET(M208,-1,0),MATCH($A208,$A$15:OFFSET($A208,-1,0),0)))))</f>
        <v>9</v>
      </c>
      <c r="N208" s="177" t="str">
        <f ca="1">IF($D208&lt;&gt;"Serviço","",IF(AUTOEVENTO="Manual",IF($A208=0,"&lt;-- defina o número do agrupador",OFFSET(EVENTOS!$D$14,$A208,0)),OFFSET($F$15,$A208,0)))</f>
        <v>CAMPO DE FUTEBOL</v>
      </c>
      <c r="O208" s="178"/>
      <c r="Q208" s="178"/>
      <c r="R208" s="179"/>
      <c r="S208" s="179"/>
      <c r="T208" s="179"/>
      <c r="U208" s="179"/>
      <c r="V208" s="179"/>
      <c r="W208" s="179"/>
      <c r="X208" s="179"/>
      <c r="Y208" s="179"/>
      <c r="Z208" s="180"/>
      <c r="AB208" s="544">
        <f ca="1">IF(AND($D208="Serviço",AB$12&lt;&gt;0,$H208&gt;0,OR(AUTOEVENTO&lt;&gt;"manual",$M208&lt;&gt;1)),
IF(Import.TipoArredondamento&lt;&gt;"TransfereGOV",
ROUND(OFFSET($P208,0,AB$13),15-13*ORÇAMENTO!$AF$7)/$H208*OFFSET(ORÇAMENTO!$X$15,ROW(AB208)-ROW(AB$15),0),
ROUND(ROUND(OFFSET($P208,0,AB$13),15-13*ORÇAMENTO!$AF$7)*OFFSET(ORÇAMENTO!$W$15,ROW(AB208)-ROW(AB$15),0),15-13*ORÇAMENTO!$AF$11)),0)</f>
        <v>0</v>
      </c>
      <c r="AC208" s="545">
        <f ca="1">IF(AND($D208="Serviço",AC$12&lt;&gt;0,$H208&gt;0,OR(AUTOEVENTO&lt;&gt;"manual",$M208&lt;&gt;1)),
IF(Import.TipoArredondamento&lt;&gt;"TransfereGOV",
ROUND(OFFSET($P208,0,AC$13),15-13*ORÇAMENTO!$AF$7)/$H208*OFFSET(ORÇAMENTO!$X$15,ROW(AC208)-ROW(AC$15),0),
ROUND(ROUND(OFFSET($P208,0,AC$13),15-13*ORÇAMENTO!$AF$7)*OFFSET(ORÇAMENTO!$W$15,ROW(AC208)-ROW(AC$15),0),15-13*ORÇAMENTO!$AF$11)),0)</f>
        <v>0</v>
      </c>
      <c r="AD208" s="545">
        <f ca="1">IF(AND($D208="Serviço",AD$12&lt;&gt;0,$H208&gt;0,OR(AUTOEVENTO&lt;&gt;"manual",$M208&lt;&gt;1)),
IF(Import.TipoArredondamento&lt;&gt;"TransfereGOV",
ROUND(OFFSET($P208,0,AD$13),15-13*ORÇAMENTO!$AF$7)/$H208*OFFSET(ORÇAMENTO!$X$15,ROW(AD208)-ROW(AD$15),0),
ROUND(ROUND(OFFSET($P208,0,AD$13),15-13*ORÇAMENTO!$AF$7)*OFFSET(ORÇAMENTO!$W$15,ROW(AD208)-ROW(AD$15),0),15-13*ORÇAMENTO!$AF$11)),0)</f>
        <v>0</v>
      </c>
      <c r="AE208" s="545">
        <f ca="1">IF(AND($D208="Serviço",AE$12&lt;&gt;0,$H208&gt;0,OR(AUTOEVENTO&lt;&gt;"manual",$M208&lt;&gt;1)),
IF(Import.TipoArredondamento&lt;&gt;"TransfereGOV",
ROUND(OFFSET($P208,0,AE$13),15-13*ORÇAMENTO!$AF$7)/$H208*OFFSET(ORÇAMENTO!$X$15,ROW(AE208)-ROW(AE$15),0),
ROUND(ROUND(OFFSET($P208,0,AE$13),15-13*ORÇAMENTO!$AF$7)*OFFSET(ORÇAMENTO!$W$15,ROW(AE208)-ROW(AE$15),0),15-13*ORÇAMENTO!$AF$11)),0)</f>
        <v>0</v>
      </c>
      <c r="AF208" s="545">
        <f ca="1">IF(AND($D208="Serviço",AF$12&lt;&gt;0,$H208&gt;0,OR(AUTOEVENTO&lt;&gt;"manual",$M208&lt;&gt;1)),
IF(Import.TipoArredondamento&lt;&gt;"TransfereGOV",
ROUND(OFFSET($P208,0,AF$13),15-13*ORÇAMENTO!$AF$7)/$H208*OFFSET(ORÇAMENTO!$X$15,ROW(AF208)-ROW(AF$15),0),
ROUND(ROUND(OFFSET($P208,0,AF$13),15-13*ORÇAMENTO!$AF$7)*OFFSET(ORÇAMENTO!$W$15,ROW(AF208)-ROW(AF$15),0),15-13*ORÇAMENTO!$AF$11)),0)</f>
        <v>0</v>
      </c>
      <c r="AG208" s="545">
        <f ca="1">IF(AND($D208="Serviço",AG$12&lt;&gt;0,$H208&gt;0,OR(AUTOEVENTO&lt;&gt;"manual",$M208&lt;&gt;1)),
IF(Import.TipoArredondamento&lt;&gt;"TransfereGOV",
ROUND(OFFSET($P208,0,AG$13),15-13*ORÇAMENTO!$AF$7)/$H208*OFFSET(ORÇAMENTO!$X$15,ROW(AG208)-ROW(AG$15),0),
ROUND(ROUND(OFFSET($P208,0,AG$13),15-13*ORÇAMENTO!$AF$7)*OFFSET(ORÇAMENTO!$W$15,ROW(AG208)-ROW(AG$15),0),15-13*ORÇAMENTO!$AF$11)),0)</f>
        <v>0</v>
      </c>
      <c r="AH208" s="545">
        <f ca="1">IF(AND($D208="Serviço",AH$12&lt;&gt;0,$H208&gt;0,OR(AUTOEVENTO&lt;&gt;"manual",$M208&lt;&gt;1)),
IF(Import.TipoArredondamento&lt;&gt;"TransfereGOV",
ROUND(OFFSET($P208,0,AH$13),15-13*ORÇAMENTO!$AF$7)/$H208*OFFSET(ORÇAMENTO!$X$15,ROW(AH208)-ROW(AH$15),0),
ROUND(ROUND(OFFSET($P208,0,AH$13),15-13*ORÇAMENTO!$AF$7)*OFFSET(ORÇAMENTO!$W$15,ROW(AH208)-ROW(AH$15),0),15-13*ORÇAMENTO!$AF$11)),0)</f>
        <v>0</v>
      </c>
      <c r="AI208" s="545">
        <f ca="1">IF(AND($D208="Serviço",AI$12&lt;&gt;0,$H208&gt;0,OR(AUTOEVENTO&lt;&gt;"manual",$M208&lt;&gt;1)),
IF(Import.TipoArredondamento&lt;&gt;"TransfereGOV",
ROUND(OFFSET($P208,0,AI$13),15-13*ORÇAMENTO!$AF$7)/$H208*OFFSET(ORÇAMENTO!$X$15,ROW(AI208)-ROW(AI$15),0),
ROUND(ROUND(OFFSET($P208,0,AI$13),15-13*ORÇAMENTO!$AF$7)*OFFSET(ORÇAMENTO!$W$15,ROW(AI208)-ROW(AI$15),0),15-13*ORÇAMENTO!$AF$11)),0)</f>
        <v>0</v>
      </c>
      <c r="AJ208" s="545">
        <f ca="1">IF(AND($D208="Serviço",AJ$12&lt;&gt;0,$H208&gt;0,OR(AUTOEVENTO&lt;&gt;"manual",$M208&lt;&gt;1)),
IF(Import.TipoArredondamento&lt;&gt;"TransfereGOV",
ROUND(OFFSET($P208,0,AJ$13),15-13*ORÇAMENTO!$AF$7)/$H208*OFFSET(ORÇAMENTO!$X$15,ROW(AJ208)-ROW(AJ$15),0),
ROUND(ROUND(OFFSET($P208,0,AJ$13),15-13*ORÇAMENTO!$AF$7)*OFFSET(ORÇAMENTO!$W$15,ROW(AJ208)-ROW(AJ$15),0),15-13*ORÇAMENTO!$AF$11)),0)</f>
        <v>0</v>
      </c>
      <c r="AK208" s="546">
        <f ca="1">IF(AND($D208="Serviço",AK$12&lt;&gt;0,$H208&gt;0,OR(AUTOEVENTO&lt;&gt;"manual",$M208&lt;&gt;1)),
IF(Import.TipoArredondamento&lt;&gt;"TransfereGOV",
ROUND(OFFSET($P208,0,AK$13),15-13*ORÇAMENTO!$AF$7)/$H208*OFFSET(ORÇAMENTO!$X$15,ROW(AK208)-ROW(AK$15),0),
ROUND(ROUND(OFFSET($P208,0,AK$13),15-13*ORÇAMENTO!$AF$7)*OFFSET(ORÇAMENTO!$W$15,ROW(AK208)-ROW(AK$15),0),15-13*ORÇAMENTO!$AF$11)),0)</f>
        <v>0</v>
      </c>
      <c r="AM208" s="181">
        <f ca="1">IF($D208&lt;&gt;"Serviço",0,IF(AND(AUTOEVENTO="Manual",$M208=1),0,IF(OFFSET(CRONOPLE!$F$14,$M208,AM$13)="",10^12,OFFSET(CRONOPLE!$F$14,$M208,AM$13))))</f>
        <v>1000000000000</v>
      </c>
      <c r="AN208" s="181">
        <f ca="1">IF($D208&lt;&gt;"Serviço",0,IF(AND(AUTOEVENTO="Manual",$M208=1),0,IF(OFFSET(CRONOPLE!$F$14,$M208,AN$13)="",10^12,OFFSET(CRONOPLE!$F$14,$M208,AN$13))))</f>
        <v>1000000000000</v>
      </c>
      <c r="AO208" s="181">
        <f ca="1">IF($D208&lt;&gt;"Serviço",0,IF(AND(AUTOEVENTO="Manual",$M208=1),0,IF(OFFSET(CRONOPLE!$F$14,$M208,AO$13)="",10^12,OFFSET(CRONOPLE!$F$14,$M208,AO$13))))</f>
        <v>1000000000000</v>
      </c>
      <c r="AP208" s="181">
        <f ca="1">IF($D208&lt;&gt;"Serviço",0,IF(AND(AUTOEVENTO="Manual",$M208=1),0,IF(OFFSET(CRONOPLE!$F$14,$M208,AP$13)="",10^12,OFFSET(CRONOPLE!$F$14,$M208,AP$13))))</f>
        <v>1000000000000</v>
      </c>
      <c r="AQ208" s="181">
        <f ca="1">IF($D208&lt;&gt;"Serviço",0,IF(AND(AUTOEVENTO="Manual",$M208=1),0,IF(OFFSET(CRONOPLE!$F$14,$M208,AQ$13)="",10^12,OFFSET(CRONOPLE!$F$14,$M208,AQ$13))))</f>
        <v>1000000000000</v>
      </c>
      <c r="AR208" s="181">
        <f ca="1">IF($D208&lt;&gt;"Serviço",0,IF(AND(AUTOEVENTO="Manual",$M208=1),0,IF(OFFSET(CRONOPLE!$F$14,$M208,AR$13)="",10^12,OFFSET(CRONOPLE!$F$14,$M208,AR$13))))</f>
        <v>1000000000000</v>
      </c>
      <c r="AS208" s="181">
        <f ca="1">IF($D208&lt;&gt;"Serviço",0,IF(AND(AUTOEVENTO="Manual",$M208=1),0,IF(OFFSET(CRONOPLE!$F$14,$M208,AS$13)="",10^12,OFFSET(CRONOPLE!$F$14,$M208,AS$13))))</f>
        <v>1000000000000</v>
      </c>
      <c r="AT208" s="181">
        <f ca="1">IF($D208&lt;&gt;"Serviço",0,IF(AND(AUTOEVENTO="Manual",$M208=1),0,IF(OFFSET(CRONOPLE!$F$14,$M208,AT$13)="",10^12,OFFSET(CRONOPLE!$F$14,$M208,AT$13))))</f>
        <v>1000000000000</v>
      </c>
      <c r="AU208" s="181">
        <f ca="1">IF($D208&lt;&gt;"Serviço",0,IF(AND(AUTOEVENTO="Manual",$M208=1),0,IF(OFFSET(CRONOPLE!$F$14,$M208,AU$13)="",10^12,OFFSET(CRONOPLE!$F$14,$M208,AU$13))))</f>
        <v>1000000000000</v>
      </c>
      <c r="AV208" s="181">
        <f ca="1">IF($D208&lt;&gt;"Serviço",0,IF(AND(AUTOEVENTO="Manual",$M208=1),0,IF(OFFSET(CRONOPLE!$F$14,$M208,AV$13)="",10^12,OFFSET(CRONOPLE!$F$14,$M208,AV$13))))</f>
        <v>1000000000000</v>
      </c>
      <c r="AX208" s="182">
        <f ca="1">IF($D208&lt;&gt;"Serviço",0,IF(OR(AND(AUTOEVENTO="Manual",$M208=1),$M208&gt;(ROW(PLE.lastrow)-ROW(PLE.firstrow))),0,IF(OFFSET(PLE!$G$14,$M208,AX$13)="",10^12,OFFSET(PLE!$G$14,$M208,AX$13))))</f>
        <v>1000000000000</v>
      </c>
      <c r="AY208" s="182">
        <f ca="1">IF($D208&lt;&gt;"Serviço",0,IF(OR(AND(AUTOEVENTO="Manual",$M208=1),$M208&gt;(ROW(PLE.lastrow)-ROW(PLE.firstrow))),0,IF(OFFSET(PLE!$G$14,$M208,AY$13)="",10^12,OFFSET(PLE!$G$14,$M208,AY$13))))</f>
        <v>1000000000000</v>
      </c>
      <c r="AZ208" s="182">
        <f ca="1">IF($D208&lt;&gt;"Serviço",0,IF(OR(AND(AUTOEVENTO="Manual",$M208=1),$M208&gt;(ROW(PLE.lastrow)-ROW(PLE.firstrow))),0,IF(OFFSET(PLE!$G$14,$M208,AZ$13)="",10^12,OFFSET(PLE!$G$14,$M208,AZ$13))))</f>
        <v>1000000000000</v>
      </c>
      <c r="BA208" s="182">
        <f ca="1">IF($D208&lt;&gt;"Serviço",0,IF(OR(AND(AUTOEVENTO="Manual",$M208=1),$M208&gt;(ROW(PLE.lastrow)-ROW(PLE.firstrow))),0,IF(OFFSET(PLE!$G$14,$M208,BA$13)="",10^12,OFFSET(PLE!$G$14,$M208,BA$13))))</f>
        <v>1000000000000</v>
      </c>
      <c r="BB208" s="182">
        <f ca="1">IF($D208&lt;&gt;"Serviço",0,IF(OR(AND(AUTOEVENTO="Manual",$M208=1),$M208&gt;(ROW(PLE.lastrow)-ROW(PLE.firstrow))),0,IF(OFFSET(PLE!$G$14,$M208,BB$13)="",10^12,OFFSET(PLE!$G$14,$M208,BB$13))))</f>
        <v>1000000000000</v>
      </c>
      <c r="BC208" s="182">
        <f ca="1">IF($D208&lt;&gt;"Serviço",0,IF(OR(AND(AUTOEVENTO="Manual",$M208=1),$M208&gt;(ROW(PLE.lastrow)-ROW(PLE.firstrow))),0,IF(OFFSET(PLE!$G$14,$M208,BC$13)="",10^12,OFFSET(PLE!$G$14,$M208,BC$13))))</f>
        <v>1000000000000</v>
      </c>
      <c r="BD208" s="182">
        <f ca="1">IF($D208&lt;&gt;"Serviço",0,IF(OR(AND(AUTOEVENTO="Manual",$M208=1),$M208&gt;(ROW(PLE.lastrow)-ROW(PLE.firstrow))),0,IF(OFFSET(PLE!$G$14,$M208,BD$13)="",10^12,OFFSET(PLE!$G$14,$M208,BD$13))))</f>
        <v>1000000000000</v>
      </c>
      <c r="BE208" s="182">
        <f ca="1">IF($D208&lt;&gt;"Serviço",0,IF(OR(AND(AUTOEVENTO="Manual",$M208=1),$M208&gt;(ROW(PLE.lastrow)-ROW(PLE.firstrow))),0,IF(OFFSET(PLE!$G$14,$M208,BE$13)="",10^12,OFFSET(PLE!$G$14,$M208,BE$13))))</f>
        <v>1000000000000</v>
      </c>
      <c r="BF208" s="182">
        <f ca="1">IF($D208&lt;&gt;"Serviço",0,IF(OR(AND(AUTOEVENTO="Manual",$M208=1),$M208&gt;(ROW(PLE.lastrow)-ROW(PLE.firstrow))),0,IF(OFFSET(PLE!$G$14,$M208,BF$13)="",10^12,OFFSET(PLE!$G$14,$M208,BF$13))))</f>
        <v>1000000000000</v>
      </c>
      <c r="BG208" s="182">
        <f ca="1">IF($D208&lt;&gt;"Serviço",0,IF(OR(AND(AUTOEVENTO="Manual",$M208=1),$M208&gt;(ROW(PLE.lastrow)-ROW(PLE.firstrow))),0,IF(OFFSET(PLE!$G$14,$M208,BG$13)="",10^12,OFFSET(PLE!$G$14,$M208,BG$13))))</f>
        <v>1000000000000</v>
      </c>
    </row>
    <row r="209" spans="1:59" ht="51" x14ac:dyDescent="0.2">
      <c r="A209" s="7" t="str">
        <f ca="1">IF(AUTOEVENTO="Manual",IF(K209&lt;&gt;"",MIN(VALUE(LEFT(K209,FIND(".",K209)-1)),COUNTA(EVENTOS.Lista)),0),IF(OR($B209&gt;AUTOEVENTO,$B209="S",$B209=0),SUBSTITUTE(OFFSET($A209,-1,0),IF($D209="Serviço",".",""),""),ROW(A209)-ROW($A$15)&amp;"."))</f>
        <v>183</v>
      </c>
      <c r="B209" s="7" t="str">
        <f ca="1">OFFSET(ORÇAMENTO!C$15,ROW(B209)-ROW(B$15),0)</f>
        <v>S</v>
      </c>
      <c r="C209" s="7" t="str">
        <f ca="1">OFFSET(ORÇAMENTO!L$15,ROW(C209)-ROW(C$15),0)</f>
        <v>F</v>
      </c>
      <c r="D209" s="118" t="str">
        <f ca="1">OFFSET(ORÇAMENTO!N$15,ROW(D209)-ROW(D$15),0)</f>
        <v>Serviço</v>
      </c>
      <c r="E209" s="119" t="str">
        <f ca="1">OFFSET(ORÇAMENTO!O$15,ROW(E209)-ROW(E$15),0)</f>
        <v>1.8.0.11.</v>
      </c>
      <c r="F209" s="172" t="str">
        <f ca="1">OFFSET(ORÇAMENTO!R$15,ROW(F209)-ROW(F$15),0)</f>
        <v>(abra o arquivo 'Referência 03-2024.xlsm)</v>
      </c>
      <c r="G209" s="173" t="str">
        <f ca="1">IF($D209&lt;&gt;"Serviço","",OFFSET(ORÇAMENTO!S$15,ROW(G209)-ROW(G$15),0))</f>
        <v>-</v>
      </c>
      <c r="H209" s="124">
        <f ca="1">IF($D209&lt;&gt;"Serviço",0,IF(ACOMPANHAMENTO="BM",ROUND(OFFSET(ORÇAMENTO!AJ$15,ROW(H209)-ROW(H$15),0),15-13*ORÇAMENTO!$AF$7),SUMPRODUCT(($Q$12:$AA$12&lt;&gt;"")*ROUND($Q209:$AA209,15-13*ORÇAMENTO!$AF$7))))</f>
        <v>1</v>
      </c>
      <c r="I209" s="561"/>
      <c r="K209" s="174"/>
      <c r="L209" s="175" t="s">
        <v>255</v>
      </c>
      <c r="M209" s="176">
        <f ca="1">IF($D209&lt;&gt;"Serviço","",IF(AUTOEVENTO="manual",$A209,IF(ISERROR(MATCH($A209,$A$15:OFFSET($A209,-1,0),0)),MAX($M$15:OFFSET(M209,-1,0))+1,INDEX($M$15:OFFSET(M209,-1,0),MATCH($A209,$A$15:OFFSET($A209,-1,0),0)))))</f>
        <v>9</v>
      </c>
      <c r="N209" s="177" t="str">
        <f ca="1">IF($D209&lt;&gt;"Serviço","",IF(AUTOEVENTO="Manual",IF($A209=0,"&lt;-- defina o número do agrupador",OFFSET(EVENTOS!$D$14,$A209,0)),OFFSET($F$15,$A209,0)))</f>
        <v>CAMPO DE FUTEBOL</v>
      </c>
      <c r="O209" s="178"/>
      <c r="Q209" s="178"/>
      <c r="R209" s="179"/>
      <c r="S209" s="179"/>
      <c r="T209" s="179"/>
      <c r="U209" s="179"/>
      <c r="V209" s="179"/>
      <c r="W209" s="179"/>
      <c r="X209" s="179"/>
      <c r="Y209" s="179"/>
      <c r="Z209" s="180"/>
      <c r="AB209" s="544">
        <f ca="1">IF(AND($D209="Serviço",AB$12&lt;&gt;0,$H209&gt;0,OR(AUTOEVENTO&lt;&gt;"manual",$M209&lt;&gt;1)),
IF(Import.TipoArredondamento&lt;&gt;"TransfereGOV",
ROUND(OFFSET($P209,0,AB$13),15-13*ORÇAMENTO!$AF$7)/$H209*OFFSET(ORÇAMENTO!$X$15,ROW(AB209)-ROW(AB$15),0),
ROUND(ROUND(OFFSET($P209,0,AB$13),15-13*ORÇAMENTO!$AF$7)*OFFSET(ORÇAMENTO!$W$15,ROW(AB209)-ROW(AB$15),0),15-13*ORÇAMENTO!$AF$11)),0)</f>
        <v>0</v>
      </c>
      <c r="AC209" s="545">
        <f ca="1">IF(AND($D209="Serviço",AC$12&lt;&gt;0,$H209&gt;0,OR(AUTOEVENTO&lt;&gt;"manual",$M209&lt;&gt;1)),
IF(Import.TipoArredondamento&lt;&gt;"TransfereGOV",
ROUND(OFFSET($P209,0,AC$13),15-13*ORÇAMENTO!$AF$7)/$H209*OFFSET(ORÇAMENTO!$X$15,ROW(AC209)-ROW(AC$15),0),
ROUND(ROUND(OFFSET($P209,0,AC$13),15-13*ORÇAMENTO!$AF$7)*OFFSET(ORÇAMENTO!$W$15,ROW(AC209)-ROW(AC$15),0),15-13*ORÇAMENTO!$AF$11)),0)</f>
        <v>0</v>
      </c>
      <c r="AD209" s="545">
        <f ca="1">IF(AND($D209="Serviço",AD$12&lt;&gt;0,$H209&gt;0,OR(AUTOEVENTO&lt;&gt;"manual",$M209&lt;&gt;1)),
IF(Import.TipoArredondamento&lt;&gt;"TransfereGOV",
ROUND(OFFSET($P209,0,AD$13),15-13*ORÇAMENTO!$AF$7)/$H209*OFFSET(ORÇAMENTO!$X$15,ROW(AD209)-ROW(AD$15),0),
ROUND(ROUND(OFFSET($P209,0,AD$13),15-13*ORÇAMENTO!$AF$7)*OFFSET(ORÇAMENTO!$W$15,ROW(AD209)-ROW(AD$15),0),15-13*ORÇAMENTO!$AF$11)),0)</f>
        <v>0</v>
      </c>
      <c r="AE209" s="545">
        <f ca="1">IF(AND($D209="Serviço",AE$12&lt;&gt;0,$H209&gt;0,OR(AUTOEVENTO&lt;&gt;"manual",$M209&lt;&gt;1)),
IF(Import.TipoArredondamento&lt;&gt;"TransfereGOV",
ROUND(OFFSET($P209,0,AE$13),15-13*ORÇAMENTO!$AF$7)/$H209*OFFSET(ORÇAMENTO!$X$15,ROW(AE209)-ROW(AE$15),0),
ROUND(ROUND(OFFSET($P209,0,AE$13),15-13*ORÇAMENTO!$AF$7)*OFFSET(ORÇAMENTO!$W$15,ROW(AE209)-ROW(AE$15),0),15-13*ORÇAMENTO!$AF$11)),0)</f>
        <v>0</v>
      </c>
      <c r="AF209" s="545">
        <f ca="1">IF(AND($D209="Serviço",AF$12&lt;&gt;0,$H209&gt;0,OR(AUTOEVENTO&lt;&gt;"manual",$M209&lt;&gt;1)),
IF(Import.TipoArredondamento&lt;&gt;"TransfereGOV",
ROUND(OFFSET($P209,0,AF$13),15-13*ORÇAMENTO!$AF$7)/$H209*OFFSET(ORÇAMENTO!$X$15,ROW(AF209)-ROW(AF$15),0),
ROUND(ROUND(OFFSET($P209,0,AF$13),15-13*ORÇAMENTO!$AF$7)*OFFSET(ORÇAMENTO!$W$15,ROW(AF209)-ROW(AF$15),0),15-13*ORÇAMENTO!$AF$11)),0)</f>
        <v>0</v>
      </c>
      <c r="AG209" s="545">
        <f ca="1">IF(AND($D209="Serviço",AG$12&lt;&gt;0,$H209&gt;0,OR(AUTOEVENTO&lt;&gt;"manual",$M209&lt;&gt;1)),
IF(Import.TipoArredondamento&lt;&gt;"TransfereGOV",
ROUND(OFFSET($P209,0,AG$13),15-13*ORÇAMENTO!$AF$7)/$H209*OFFSET(ORÇAMENTO!$X$15,ROW(AG209)-ROW(AG$15),0),
ROUND(ROUND(OFFSET($P209,0,AG$13),15-13*ORÇAMENTO!$AF$7)*OFFSET(ORÇAMENTO!$W$15,ROW(AG209)-ROW(AG$15),0),15-13*ORÇAMENTO!$AF$11)),0)</f>
        <v>0</v>
      </c>
      <c r="AH209" s="545">
        <f ca="1">IF(AND($D209="Serviço",AH$12&lt;&gt;0,$H209&gt;0,OR(AUTOEVENTO&lt;&gt;"manual",$M209&lt;&gt;1)),
IF(Import.TipoArredondamento&lt;&gt;"TransfereGOV",
ROUND(OFFSET($P209,0,AH$13),15-13*ORÇAMENTO!$AF$7)/$H209*OFFSET(ORÇAMENTO!$X$15,ROW(AH209)-ROW(AH$15),0),
ROUND(ROUND(OFFSET($P209,0,AH$13),15-13*ORÇAMENTO!$AF$7)*OFFSET(ORÇAMENTO!$W$15,ROW(AH209)-ROW(AH$15),0),15-13*ORÇAMENTO!$AF$11)),0)</f>
        <v>0</v>
      </c>
      <c r="AI209" s="545">
        <f ca="1">IF(AND($D209="Serviço",AI$12&lt;&gt;0,$H209&gt;0,OR(AUTOEVENTO&lt;&gt;"manual",$M209&lt;&gt;1)),
IF(Import.TipoArredondamento&lt;&gt;"TransfereGOV",
ROUND(OFFSET($P209,0,AI$13),15-13*ORÇAMENTO!$AF$7)/$H209*OFFSET(ORÇAMENTO!$X$15,ROW(AI209)-ROW(AI$15),0),
ROUND(ROUND(OFFSET($P209,0,AI$13),15-13*ORÇAMENTO!$AF$7)*OFFSET(ORÇAMENTO!$W$15,ROW(AI209)-ROW(AI$15),0),15-13*ORÇAMENTO!$AF$11)),0)</f>
        <v>0</v>
      </c>
      <c r="AJ209" s="545">
        <f ca="1">IF(AND($D209="Serviço",AJ$12&lt;&gt;0,$H209&gt;0,OR(AUTOEVENTO&lt;&gt;"manual",$M209&lt;&gt;1)),
IF(Import.TipoArredondamento&lt;&gt;"TransfereGOV",
ROUND(OFFSET($P209,0,AJ$13),15-13*ORÇAMENTO!$AF$7)/$H209*OFFSET(ORÇAMENTO!$X$15,ROW(AJ209)-ROW(AJ$15),0),
ROUND(ROUND(OFFSET($P209,0,AJ$13),15-13*ORÇAMENTO!$AF$7)*OFFSET(ORÇAMENTO!$W$15,ROW(AJ209)-ROW(AJ$15),0),15-13*ORÇAMENTO!$AF$11)),0)</f>
        <v>0</v>
      </c>
      <c r="AK209" s="546">
        <f ca="1">IF(AND($D209="Serviço",AK$12&lt;&gt;0,$H209&gt;0,OR(AUTOEVENTO&lt;&gt;"manual",$M209&lt;&gt;1)),
IF(Import.TipoArredondamento&lt;&gt;"TransfereGOV",
ROUND(OFFSET($P209,0,AK$13),15-13*ORÇAMENTO!$AF$7)/$H209*OFFSET(ORÇAMENTO!$X$15,ROW(AK209)-ROW(AK$15),0),
ROUND(ROUND(OFFSET($P209,0,AK$13),15-13*ORÇAMENTO!$AF$7)*OFFSET(ORÇAMENTO!$W$15,ROW(AK209)-ROW(AK$15),0),15-13*ORÇAMENTO!$AF$11)),0)</f>
        <v>0</v>
      </c>
      <c r="AM209" s="181">
        <f ca="1">IF($D209&lt;&gt;"Serviço",0,IF(AND(AUTOEVENTO="Manual",$M209=1),0,IF(OFFSET(CRONOPLE!$F$14,$M209,AM$13)="",10^12,OFFSET(CRONOPLE!$F$14,$M209,AM$13))))</f>
        <v>1000000000000</v>
      </c>
      <c r="AN209" s="181">
        <f ca="1">IF($D209&lt;&gt;"Serviço",0,IF(AND(AUTOEVENTO="Manual",$M209=1),0,IF(OFFSET(CRONOPLE!$F$14,$M209,AN$13)="",10^12,OFFSET(CRONOPLE!$F$14,$M209,AN$13))))</f>
        <v>1000000000000</v>
      </c>
      <c r="AO209" s="181">
        <f ca="1">IF($D209&lt;&gt;"Serviço",0,IF(AND(AUTOEVENTO="Manual",$M209=1),0,IF(OFFSET(CRONOPLE!$F$14,$M209,AO$13)="",10^12,OFFSET(CRONOPLE!$F$14,$M209,AO$13))))</f>
        <v>1000000000000</v>
      </c>
      <c r="AP209" s="181">
        <f ca="1">IF($D209&lt;&gt;"Serviço",0,IF(AND(AUTOEVENTO="Manual",$M209=1),0,IF(OFFSET(CRONOPLE!$F$14,$M209,AP$13)="",10^12,OFFSET(CRONOPLE!$F$14,$M209,AP$13))))</f>
        <v>1000000000000</v>
      </c>
      <c r="AQ209" s="181">
        <f ca="1">IF($D209&lt;&gt;"Serviço",0,IF(AND(AUTOEVENTO="Manual",$M209=1),0,IF(OFFSET(CRONOPLE!$F$14,$M209,AQ$13)="",10^12,OFFSET(CRONOPLE!$F$14,$M209,AQ$13))))</f>
        <v>1000000000000</v>
      </c>
      <c r="AR209" s="181">
        <f ca="1">IF($D209&lt;&gt;"Serviço",0,IF(AND(AUTOEVENTO="Manual",$M209=1),0,IF(OFFSET(CRONOPLE!$F$14,$M209,AR$13)="",10^12,OFFSET(CRONOPLE!$F$14,$M209,AR$13))))</f>
        <v>1000000000000</v>
      </c>
      <c r="AS209" s="181">
        <f ca="1">IF($D209&lt;&gt;"Serviço",0,IF(AND(AUTOEVENTO="Manual",$M209=1),0,IF(OFFSET(CRONOPLE!$F$14,$M209,AS$13)="",10^12,OFFSET(CRONOPLE!$F$14,$M209,AS$13))))</f>
        <v>1000000000000</v>
      </c>
      <c r="AT209" s="181">
        <f ca="1">IF($D209&lt;&gt;"Serviço",0,IF(AND(AUTOEVENTO="Manual",$M209=1),0,IF(OFFSET(CRONOPLE!$F$14,$M209,AT$13)="",10^12,OFFSET(CRONOPLE!$F$14,$M209,AT$13))))</f>
        <v>1000000000000</v>
      </c>
      <c r="AU209" s="181">
        <f ca="1">IF($D209&lt;&gt;"Serviço",0,IF(AND(AUTOEVENTO="Manual",$M209=1),0,IF(OFFSET(CRONOPLE!$F$14,$M209,AU$13)="",10^12,OFFSET(CRONOPLE!$F$14,$M209,AU$13))))</f>
        <v>1000000000000</v>
      </c>
      <c r="AV209" s="181">
        <f ca="1">IF($D209&lt;&gt;"Serviço",0,IF(AND(AUTOEVENTO="Manual",$M209=1),0,IF(OFFSET(CRONOPLE!$F$14,$M209,AV$13)="",10^12,OFFSET(CRONOPLE!$F$14,$M209,AV$13))))</f>
        <v>1000000000000</v>
      </c>
      <c r="AX209" s="182">
        <f ca="1">IF($D209&lt;&gt;"Serviço",0,IF(OR(AND(AUTOEVENTO="Manual",$M209=1),$M209&gt;(ROW(PLE.lastrow)-ROW(PLE.firstrow))),0,IF(OFFSET(PLE!$G$14,$M209,AX$13)="",10^12,OFFSET(PLE!$G$14,$M209,AX$13))))</f>
        <v>1000000000000</v>
      </c>
      <c r="AY209" s="182">
        <f ca="1">IF($D209&lt;&gt;"Serviço",0,IF(OR(AND(AUTOEVENTO="Manual",$M209=1),$M209&gt;(ROW(PLE.lastrow)-ROW(PLE.firstrow))),0,IF(OFFSET(PLE!$G$14,$M209,AY$13)="",10^12,OFFSET(PLE!$G$14,$M209,AY$13))))</f>
        <v>1000000000000</v>
      </c>
      <c r="AZ209" s="182">
        <f ca="1">IF($D209&lt;&gt;"Serviço",0,IF(OR(AND(AUTOEVENTO="Manual",$M209=1),$M209&gt;(ROW(PLE.lastrow)-ROW(PLE.firstrow))),0,IF(OFFSET(PLE!$G$14,$M209,AZ$13)="",10^12,OFFSET(PLE!$G$14,$M209,AZ$13))))</f>
        <v>1000000000000</v>
      </c>
      <c r="BA209" s="182">
        <f ca="1">IF($D209&lt;&gt;"Serviço",0,IF(OR(AND(AUTOEVENTO="Manual",$M209=1),$M209&gt;(ROW(PLE.lastrow)-ROW(PLE.firstrow))),0,IF(OFFSET(PLE!$G$14,$M209,BA$13)="",10^12,OFFSET(PLE!$G$14,$M209,BA$13))))</f>
        <v>1000000000000</v>
      </c>
      <c r="BB209" s="182">
        <f ca="1">IF($D209&lt;&gt;"Serviço",0,IF(OR(AND(AUTOEVENTO="Manual",$M209=1),$M209&gt;(ROW(PLE.lastrow)-ROW(PLE.firstrow))),0,IF(OFFSET(PLE!$G$14,$M209,BB$13)="",10^12,OFFSET(PLE!$G$14,$M209,BB$13))))</f>
        <v>1000000000000</v>
      </c>
      <c r="BC209" s="182">
        <f ca="1">IF($D209&lt;&gt;"Serviço",0,IF(OR(AND(AUTOEVENTO="Manual",$M209=1),$M209&gt;(ROW(PLE.lastrow)-ROW(PLE.firstrow))),0,IF(OFFSET(PLE!$G$14,$M209,BC$13)="",10^12,OFFSET(PLE!$G$14,$M209,BC$13))))</f>
        <v>1000000000000</v>
      </c>
      <c r="BD209" s="182">
        <f ca="1">IF($D209&lt;&gt;"Serviço",0,IF(OR(AND(AUTOEVENTO="Manual",$M209=1),$M209&gt;(ROW(PLE.lastrow)-ROW(PLE.firstrow))),0,IF(OFFSET(PLE!$G$14,$M209,BD$13)="",10^12,OFFSET(PLE!$G$14,$M209,BD$13))))</f>
        <v>1000000000000</v>
      </c>
      <c r="BE209" s="182">
        <f ca="1">IF($D209&lt;&gt;"Serviço",0,IF(OR(AND(AUTOEVENTO="Manual",$M209=1),$M209&gt;(ROW(PLE.lastrow)-ROW(PLE.firstrow))),0,IF(OFFSET(PLE!$G$14,$M209,BE$13)="",10^12,OFFSET(PLE!$G$14,$M209,BE$13))))</f>
        <v>1000000000000</v>
      </c>
      <c r="BF209" s="182">
        <f ca="1">IF($D209&lt;&gt;"Serviço",0,IF(OR(AND(AUTOEVENTO="Manual",$M209=1),$M209&gt;(ROW(PLE.lastrow)-ROW(PLE.firstrow))),0,IF(OFFSET(PLE!$G$14,$M209,BF$13)="",10^12,OFFSET(PLE!$G$14,$M209,BF$13))))</f>
        <v>1000000000000</v>
      </c>
      <c r="BG209" s="182">
        <f ca="1">IF($D209&lt;&gt;"Serviço",0,IF(OR(AND(AUTOEVENTO="Manual",$M209=1),$M209&gt;(ROW(PLE.lastrow)-ROW(PLE.firstrow))),0,IF(OFFSET(PLE!$G$14,$M209,BG$13)="",10^12,OFFSET(PLE!$G$14,$M209,BG$13))))</f>
        <v>1000000000000</v>
      </c>
    </row>
    <row r="210" spans="1:59" ht="63.75" x14ac:dyDescent="0.2">
      <c r="A210" s="7" t="str">
        <f t="shared" ca="1" si="10"/>
        <v>183</v>
      </c>
      <c r="B210" s="7" t="str">
        <f ca="1">OFFSET(ORÇAMENTO!C$15,ROW(B210)-ROW(B$15),0)</f>
        <v>S</v>
      </c>
      <c r="C210" s="7" t="str">
        <f ca="1">OFFSET(ORÇAMENTO!L$15,ROW(C210)-ROW(C$15),0)</f>
        <v>F</v>
      </c>
      <c r="D210" s="118" t="str">
        <f ca="1">OFFSET(ORÇAMENTO!N$15,ROW(D210)-ROW(D$15),0)</f>
        <v>Serviço</v>
      </c>
      <c r="E210" s="119" t="str">
        <f ca="1">OFFSET(ORÇAMENTO!O$15,ROW(E210)-ROW(E$15),0)</f>
        <v>1.8.0.12.</v>
      </c>
      <c r="F210" s="172" t="str">
        <f ca="1">OFFSET(ORÇAMENTO!R$15,ROW(F210)-ROW(F$15),0)</f>
        <v>(abra o arquivo 'Referência 03-2024.xlsm)</v>
      </c>
      <c r="G210" s="173" t="str">
        <f ca="1">IF($D210&lt;&gt;"Serviço","",OFFSET(ORÇAMENTO!S$15,ROW(G210)-ROW(G$15),0))</f>
        <v>-</v>
      </c>
      <c r="H210" s="124">
        <f ca="1">IF($D210&lt;&gt;"Serviço",0,IF(ACOMPANHAMENTO="BM",ROUND(OFFSET(ORÇAMENTO!AJ$15,ROW(H210)-ROW(H$15),0),15-13*ORÇAMENTO!$AF$7),SUMPRODUCT(($Q$12:$AA$12&lt;&gt;"")*ROUND($Q210:$AA210,15-13*ORÇAMENTO!$AF$7))))</f>
        <v>162.75</v>
      </c>
      <c r="I210" s="561"/>
      <c r="K210" s="174"/>
      <c r="L210" s="175" t="s">
        <v>255</v>
      </c>
      <c r="M210" s="176">
        <f ca="1">IF($D210&lt;&gt;"Serviço","",IF(AUTOEVENTO="manual",$A210,IF(ISERROR(MATCH($A210,$A$15:OFFSET($A210,-1,0),0)),MAX($M$15:OFFSET(M210,-1,0))+1,INDEX($M$15:OFFSET(M210,-1,0),MATCH($A210,$A$15:OFFSET($A210,-1,0),0)))))</f>
        <v>9</v>
      </c>
      <c r="N210" s="177" t="str">
        <f ca="1">IF($D210&lt;&gt;"Serviço","",IF(AUTOEVENTO="Manual",IF($A210=0,"&lt;-- defina o número do agrupador",OFFSET(EVENTOS!$D$14,$A210,0)),OFFSET($F$15,$A210,0)))</f>
        <v>CAMPO DE FUTEBOL</v>
      </c>
      <c r="O210" s="178"/>
      <c r="Q210" s="178"/>
      <c r="R210" s="179"/>
      <c r="S210" s="179"/>
      <c r="T210" s="179"/>
      <c r="U210" s="179"/>
      <c r="V210" s="179"/>
      <c r="W210" s="179"/>
      <c r="X210" s="179"/>
      <c r="Y210" s="179"/>
      <c r="Z210" s="180"/>
      <c r="AB210" s="544">
        <f ca="1">IF(AND($D210="Serviço",AB$12&lt;&gt;0,$H210&gt;0,OR(AUTOEVENTO&lt;&gt;"manual",$M210&lt;&gt;1)),
IF(Import.TipoArredondamento&lt;&gt;"TransfereGOV",
ROUND(OFFSET($P210,0,AB$13),15-13*ORÇAMENTO!$AF$7)/$H210*OFFSET(ORÇAMENTO!$X$15,ROW(AB210)-ROW(AB$15),0),
ROUND(ROUND(OFFSET($P210,0,AB$13),15-13*ORÇAMENTO!$AF$7)*OFFSET(ORÇAMENTO!$W$15,ROW(AB210)-ROW(AB$15),0),15-13*ORÇAMENTO!$AF$11)),0)</f>
        <v>0</v>
      </c>
      <c r="AC210" s="545">
        <f ca="1">IF(AND($D210="Serviço",AC$12&lt;&gt;0,$H210&gt;0,OR(AUTOEVENTO&lt;&gt;"manual",$M210&lt;&gt;1)),
IF(Import.TipoArredondamento&lt;&gt;"TransfereGOV",
ROUND(OFFSET($P210,0,AC$13),15-13*ORÇAMENTO!$AF$7)/$H210*OFFSET(ORÇAMENTO!$X$15,ROW(AC210)-ROW(AC$15),0),
ROUND(ROUND(OFFSET($P210,0,AC$13),15-13*ORÇAMENTO!$AF$7)*OFFSET(ORÇAMENTO!$W$15,ROW(AC210)-ROW(AC$15),0),15-13*ORÇAMENTO!$AF$11)),0)</f>
        <v>0</v>
      </c>
      <c r="AD210" s="545">
        <f ca="1">IF(AND($D210="Serviço",AD$12&lt;&gt;0,$H210&gt;0,OR(AUTOEVENTO&lt;&gt;"manual",$M210&lt;&gt;1)),
IF(Import.TipoArredondamento&lt;&gt;"TransfereGOV",
ROUND(OFFSET($P210,0,AD$13),15-13*ORÇAMENTO!$AF$7)/$H210*OFFSET(ORÇAMENTO!$X$15,ROW(AD210)-ROW(AD$15),0),
ROUND(ROUND(OFFSET($P210,0,AD$13),15-13*ORÇAMENTO!$AF$7)*OFFSET(ORÇAMENTO!$W$15,ROW(AD210)-ROW(AD$15),0),15-13*ORÇAMENTO!$AF$11)),0)</f>
        <v>0</v>
      </c>
      <c r="AE210" s="545">
        <f ca="1">IF(AND($D210="Serviço",AE$12&lt;&gt;0,$H210&gt;0,OR(AUTOEVENTO&lt;&gt;"manual",$M210&lt;&gt;1)),
IF(Import.TipoArredondamento&lt;&gt;"TransfereGOV",
ROUND(OFFSET($P210,0,AE$13),15-13*ORÇAMENTO!$AF$7)/$H210*OFFSET(ORÇAMENTO!$X$15,ROW(AE210)-ROW(AE$15),0),
ROUND(ROUND(OFFSET($P210,0,AE$13),15-13*ORÇAMENTO!$AF$7)*OFFSET(ORÇAMENTO!$W$15,ROW(AE210)-ROW(AE$15),0),15-13*ORÇAMENTO!$AF$11)),0)</f>
        <v>0</v>
      </c>
      <c r="AF210" s="545">
        <f ca="1">IF(AND($D210="Serviço",AF$12&lt;&gt;0,$H210&gt;0,OR(AUTOEVENTO&lt;&gt;"manual",$M210&lt;&gt;1)),
IF(Import.TipoArredondamento&lt;&gt;"TransfereGOV",
ROUND(OFFSET($P210,0,AF$13),15-13*ORÇAMENTO!$AF$7)/$H210*OFFSET(ORÇAMENTO!$X$15,ROW(AF210)-ROW(AF$15),0),
ROUND(ROUND(OFFSET($P210,0,AF$13),15-13*ORÇAMENTO!$AF$7)*OFFSET(ORÇAMENTO!$W$15,ROW(AF210)-ROW(AF$15),0),15-13*ORÇAMENTO!$AF$11)),0)</f>
        <v>0</v>
      </c>
      <c r="AG210" s="545">
        <f ca="1">IF(AND($D210="Serviço",AG$12&lt;&gt;0,$H210&gt;0,OR(AUTOEVENTO&lt;&gt;"manual",$M210&lt;&gt;1)),
IF(Import.TipoArredondamento&lt;&gt;"TransfereGOV",
ROUND(OFFSET($P210,0,AG$13),15-13*ORÇAMENTO!$AF$7)/$H210*OFFSET(ORÇAMENTO!$X$15,ROW(AG210)-ROW(AG$15),0),
ROUND(ROUND(OFFSET($P210,0,AG$13),15-13*ORÇAMENTO!$AF$7)*OFFSET(ORÇAMENTO!$W$15,ROW(AG210)-ROW(AG$15),0),15-13*ORÇAMENTO!$AF$11)),0)</f>
        <v>0</v>
      </c>
      <c r="AH210" s="545">
        <f ca="1">IF(AND($D210="Serviço",AH$12&lt;&gt;0,$H210&gt;0,OR(AUTOEVENTO&lt;&gt;"manual",$M210&lt;&gt;1)),
IF(Import.TipoArredondamento&lt;&gt;"TransfereGOV",
ROUND(OFFSET($P210,0,AH$13),15-13*ORÇAMENTO!$AF$7)/$H210*OFFSET(ORÇAMENTO!$X$15,ROW(AH210)-ROW(AH$15),0),
ROUND(ROUND(OFFSET($P210,0,AH$13),15-13*ORÇAMENTO!$AF$7)*OFFSET(ORÇAMENTO!$W$15,ROW(AH210)-ROW(AH$15),0),15-13*ORÇAMENTO!$AF$11)),0)</f>
        <v>0</v>
      </c>
      <c r="AI210" s="545">
        <f ca="1">IF(AND($D210="Serviço",AI$12&lt;&gt;0,$H210&gt;0,OR(AUTOEVENTO&lt;&gt;"manual",$M210&lt;&gt;1)),
IF(Import.TipoArredondamento&lt;&gt;"TransfereGOV",
ROUND(OFFSET($P210,0,AI$13),15-13*ORÇAMENTO!$AF$7)/$H210*OFFSET(ORÇAMENTO!$X$15,ROW(AI210)-ROW(AI$15),0),
ROUND(ROUND(OFFSET($P210,0,AI$13),15-13*ORÇAMENTO!$AF$7)*OFFSET(ORÇAMENTO!$W$15,ROW(AI210)-ROW(AI$15),0),15-13*ORÇAMENTO!$AF$11)),0)</f>
        <v>0</v>
      </c>
      <c r="AJ210" s="545">
        <f ca="1">IF(AND($D210="Serviço",AJ$12&lt;&gt;0,$H210&gt;0,OR(AUTOEVENTO&lt;&gt;"manual",$M210&lt;&gt;1)),
IF(Import.TipoArredondamento&lt;&gt;"TransfereGOV",
ROUND(OFFSET($P210,0,AJ$13),15-13*ORÇAMENTO!$AF$7)/$H210*OFFSET(ORÇAMENTO!$X$15,ROW(AJ210)-ROW(AJ$15),0),
ROUND(ROUND(OFFSET($P210,0,AJ$13),15-13*ORÇAMENTO!$AF$7)*OFFSET(ORÇAMENTO!$W$15,ROW(AJ210)-ROW(AJ$15),0),15-13*ORÇAMENTO!$AF$11)),0)</f>
        <v>0</v>
      </c>
      <c r="AK210" s="546">
        <f ca="1">IF(AND($D210="Serviço",AK$12&lt;&gt;0,$H210&gt;0,OR(AUTOEVENTO&lt;&gt;"manual",$M210&lt;&gt;1)),
IF(Import.TipoArredondamento&lt;&gt;"TransfereGOV",
ROUND(OFFSET($P210,0,AK$13),15-13*ORÇAMENTO!$AF$7)/$H210*OFFSET(ORÇAMENTO!$X$15,ROW(AK210)-ROW(AK$15),0),
ROUND(ROUND(OFFSET($P210,0,AK$13),15-13*ORÇAMENTO!$AF$7)*OFFSET(ORÇAMENTO!$W$15,ROW(AK210)-ROW(AK$15),0),15-13*ORÇAMENTO!$AF$11)),0)</f>
        <v>0</v>
      </c>
      <c r="AM210" s="181">
        <f ca="1">IF($D210&lt;&gt;"Serviço",0,IF(AND(AUTOEVENTO="Manual",$M210=1),0,IF(OFFSET(CRONOPLE!$F$14,$M210,AM$13)="",10^12,OFFSET(CRONOPLE!$F$14,$M210,AM$13))))</f>
        <v>1000000000000</v>
      </c>
      <c r="AN210" s="181">
        <f ca="1">IF($D210&lt;&gt;"Serviço",0,IF(AND(AUTOEVENTO="Manual",$M210=1),0,IF(OFFSET(CRONOPLE!$F$14,$M210,AN$13)="",10^12,OFFSET(CRONOPLE!$F$14,$M210,AN$13))))</f>
        <v>1000000000000</v>
      </c>
      <c r="AO210" s="181">
        <f ca="1">IF($D210&lt;&gt;"Serviço",0,IF(AND(AUTOEVENTO="Manual",$M210=1),0,IF(OFFSET(CRONOPLE!$F$14,$M210,AO$13)="",10^12,OFFSET(CRONOPLE!$F$14,$M210,AO$13))))</f>
        <v>1000000000000</v>
      </c>
      <c r="AP210" s="181">
        <f ca="1">IF($D210&lt;&gt;"Serviço",0,IF(AND(AUTOEVENTO="Manual",$M210=1),0,IF(OFFSET(CRONOPLE!$F$14,$M210,AP$13)="",10^12,OFFSET(CRONOPLE!$F$14,$M210,AP$13))))</f>
        <v>1000000000000</v>
      </c>
      <c r="AQ210" s="181">
        <f ca="1">IF($D210&lt;&gt;"Serviço",0,IF(AND(AUTOEVENTO="Manual",$M210=1),0,IF(OFFSET(CRONOPLE!$F$14,$M210,AQ$13)="",10^12,OFFSET(CRONOPLE!$F$14,$M210,AQ$13))))</f>
        <v>1000000000000</v>
      </c>
      <c r="AR210" s="181">
        <f ca="1">IF($D210&lt;&gt;"Serviço",0,IF(AND(AUTOEVENTO="Manual",$M210=1),0,IF(OFFSET(CRONOPLE!$F$14,$M210,AR$13)="",10^12,OFFSET(CRONOPLE!$F$14,$M210,AR$13))))</f>
        <v>1000000000000</v>
      </c>
      <c r="AS210" s="181">
        <f ca="1">IF($D210&lt;&gt;"Serviço",0,IF(AND(AUTOEVENTO="Manual",$M210=1),0,IF(OFFSET(CRONOPLE!$F$14,$M210,AS$13)="",10^12,OFFSET(CRONOPLE!$F$14,$M210,AS$13))))</f>
        <v>1000000000000</v>
      </c>
      <c r="AT210" s="181">
        <f ca="1">IF($D210&lt;&gt;"Serviço",0,IF(AND(AUTOEVENTO="Manual",$M210=1),0,IF(OFFSET(CRONOPLE!$F$14,$M210,AT$13)="",10^12,OFFSET(CRONOPLE!$F$14,$M210,AT$13))))</f>
        <v>1000000000000</v>
      </c>
      <c r="AU210" s="181">
        <f ca="1">IF($D210&lt;&gt;"Serviço",0,IF(AND(AUTOEVENTO="Manual",$M210=1),0,IF(OFFSET(CRONOPLE!$F$14,$M210,AU$13)="",10^12,OFFSET(CRONOPLE!$F$14,$M210,AU$13))))</f>
        <v>1000000000000</v>
      </c>
      <c r="AV210" s="181">
        <f ca="1">IF($D210&lt;&gt;"Serviço",0,IF(AND(AUTOEVENTO="Manual",$M210=1),0,IF(OFFSET(CRONOPLE!$F$14,$M210,AV$13)="",10^12,OFFSET(CRONOPLE!$F$14,$M210,AV$13))))</f>
        <v>1000000000000</v>
      </c>
      <c r="AX210" s="182">
        <f ca="1">IF($D210&lt;&gt;"Serviço",0,IF(OR(AND(AUTOEVENTO="Manual",$M210=1),$M210&gt;(ROW(PLE.lastrow)-ROW(PLE.firstrow))),0,IF(OFFSET(PLE!$G$14,$M210,AX$13)="",10^12,OFFSET(PLE!$G$14,$M210,AX$13))))</f>
        <v>1000000000000</v>
      </c>
      <c r="AY210" s="182">
        <f ca="1">IF($D210&lt;&gt;"Serviço",0,IF(OR(AND(AUTOEVENTO="Manual",$M210=1),$M210&gt;(ROW(PLE.lastrow)-ROW(PLE.firstrow))),0,IF(OFFSET(PLE!$G$14,$M210,AY$13)="",10^12,OFFSET(PLE!$G$14,$M210,AY$13))))</f>
        <v>1000000000000</v>
      </c>
      <c r="AZ210" s="182">
        <f ca="1">IF($D210&lt;&gt;"Serviço",0,IF(OR(AND(AUTOEVENTO="Manual",$M210=1),$M210&gt;(ROW(PLE.lastrow)-ROW(PLE.firstrow))),0,IF(OFFSET(PLE!$G$14,$M210,AZ$13)="",10^12,OFFSET(PLE!$G$14,$M210,AZ$13))))</f>
        <v>1000000000000</v>
      </c>
      <c r="BA210" s="182">
        <f ca="1">IF($D210&lt;&gt;"Serviço",0,IF(OR(AND(AUTOEVENTO="Manual",$M210=1),$M210&gt;(ROW(PLE.lastrow)-ROW(PLE.firstrow))),0,IF(OFFSET(PLE!$G$14,$M210,BA$13)="",10^12,OFFSET(PLE!$G$14,$M210,BA$13))))</f>
        <v>1000000000000</v>
      </c>
      <c r="BB210" s="182">
        <f ca="1">IF($D210&lt;&gt;"Serviço",0,IF(OR(AND(AUTOEVENTO="Manual",$M210=1),$M210&gt;(ROW(PLE.lastrow)-ROW(PLE.firstrow))),0,IF(OFFSET(PLE!$G$14,$M210,BB$13)="",10^12,OFFSET(PLE!$G$14,$M210,BB$13))))</f>
        <v>1000000000000</v>
      </c>
      <c r="BC210" s="182">
        <f ca="1">IF($D210&lt;&gt;"Serviço",0,IF(OR(AND(AUTOEVENTO="Manual",$M210=1),$M210&gt;(ROW(PLE.lastrow)-ROW(PLE.firstrow))),0,IF(OFFSET(PLE!$G$14,$M210,BC$13)="",10^12,OFFSET(PLE!$G$14,$M210,BC$13))))</f>
        <v>1000000000000</v>
      </c>
      <c r="BD210" s="182">
        <f ca="1">IF($D210&lt;&gt;"Serviço",0,IF(OR(AND(AUTOEVENTO="Manual",$M210=1),$M210&gt;(ROW(PLE.lastrow)-ROW(PLE.firstrow))),0,IF(OFFSET(PLE!$G$14,$M210,BD$13)="",10^12,OFFSET(PLE!$G$14,$M210,BD$13))))</f>
        <v>1000000000000</v>
      </c>
      <c r="BE210" s="182">
        <f ca="1">IF($D210&lt;&gt;"Serviço",0,IF(OR(AND(AUTOEVENTO="Manual",$M210=1),$M210&gt;(ROW(PLE.lastrow)-ROW(PLE.firstrow))),0,IF(OFFSET(PLE!$G$14,$M210,BE$13)="",10^12,OFFSET(PLE!$G$14,$M210,BE$13))))</f>
        <v>1000000000000</v>
      </c>
      <c r="BF210" s="182">
        <f ca="1">IF($D210&lt;&gt;"Serviço",0,IF(OR(AND(AUTOEVENTO="Manual",$M210=1),$M210&gt;(ROW(PLE.lastrow)-ROW(PLE.firstrow))),0,IF(OFFSET(PLE!$G$14,$M210,BF$13)="",10^12,OFFSET(PLE!$G$14,$M210,BF$13))))</f>
        <v>1000000000000</v>
      </c>
      <c r="BG210" s="182">
        <f ca="1">IF($D210&lt;&gt;"Serviço",0,IF(OR(AND(AUTOEVENTO="Manual",$M210=1),$M210&gt;(ROW(PLE.lastrow)-ROW(PLE.firstrow))),0,IF(OFFSET(PLE!$G$14,$M210,BG$13)="",10^12,OFFSET(PLE!$G$14,$M210,BG$13))))</f>
        <v>1000000000000</v>
      </c>
    </row>
    <row r="211" spans="1:59" ht="63.75" x14ac:dyDescent="0.2">
      <c r="A211" s="7" t="str">
        <f t="shared" ca="1" si="10"/>
        <v>183</v>
      </c>
      <c r="B211" s="7" t="str">
        <f ca="1">OFFSET(ORÇAMENTO!C$15,ROW(B211)-ROW(B$15),0)</f>
        <v>S</v>
      </c>
      <c r="C211" s="7" t="str">
        <f ca="1">OFFSET(ORÇAMENTO!L$15,ROW(C211)-ROW(C$15),0)</f>
        <v>F</v>
      </c>
      <c r="D211" s="118" t="str">
        <f ca="1">OFFSET(ORÇAMENTO!N$15,ROW(D211)-ROW(D$15),0)</f>
        <v>Serviço</v>
      </c>
      <c r="E211" s="119" t="str">
        <f ca="1">OFFSET(ORÇAMENTO!O$15,ROW(E211)-ROW(E$15),0)</f>
        <v>1.8.0.13.</v>
      </c>
      <c r="F211" s="172" t="str">
        <f ca="1">OFFSET(ORÇAMENTO!R$15,ROW(F211)-ROW(F$15),0)</f>
        <v>(abra o arquivo 'Referência 03-2024.xlsm)</v>
      </c>
      <c r="G211" s="173" t="str">
        <f ca="1">IF($D211&lt;&gt;"Serviço","",OFFSET(ORÇAMENTO!S$15,ROW(G211)-ROW(G$15),0))</f>
        <v>-</v>
      </c>
      <c r="H211" s="124">
        <f ca="1">IF($D211&lt;&gt;"Serviço",0,IF(ACOMPANHAMENTO="BM",ROUND(OFFSET(ORÇAMENTO!AJ$15,ROW(H211)-ROW(H$15),0),15-13*ORÇAMENTO!$AF$7),SUMPRODUCT(($Q$12:$AA$12&lt;&gt;"")*ROUND($Q211:$AA211,15-13*ORÇAMENTO!$AF$7))))</f>
        <v>3</v>
      </c>
      <c r="I211" s="561"/>
      <c r="K211" s="174"/>
      <c r="L211" s="175" t="s">
        <v>255</v>
      </c>
      <c r="M211" s="176">
        <f ca="1">IF($D211&lt;&gt;"Serviço","",IF(AUTOEVENTO="manual",$A211,IF(ISERROR(MATCH($A211,$A$15:OFFSET($A211,-1,0),0)),MAX($M$15:OFFSET(M211,-1,0))+1,INDEX($M$15:OFFSET(M211,-1,0),MATCH($A211,$A$15:OFFSET($A211,-1,0),0)))))</f>
        <v>9</v>
      </c>
      <c r="N211" s="177" t="str">
        <f ca="1">IF($D211&lt;&gt;"Serviço","",IF(AUTOEVENTO="Manual",IF($A211=0,"&lt;-- defina o número do agrupador",OFFSET(EVENTOS!$D$14,$A211,0)),OFFSET($F$15,$A211,0)))</f>
        <v>CAMPO DE FUTEBOL</v>
      </c>
      <c r="O211" s="178"/>
      <c r="Q211" s="178"/>
      <c r="R211" s="179"/>
      <c r="S211" s="179"/>
      <c r="T211" s="179"/>
      <c r="U211" s="179"/>
      <c r="V211" s="179"/>
      <c r="W211" s="179"/>
      <c r="X211" s="179"/>
      <c r="Y211" s="179"/>
      <c r="Z211" s="180"/>
      <c r="AB211" s="544">
        <f ca="1">IF(AND($D211="Serviço",AB$12&lt;&gt;0,$H211&gt;0,OR(AUTOEVENTO&lt;&gt;"manual",$M211&lt;&gt;1)),
IF(Import.TipoArredondamento&lt;&gt;"TransfereGOV",
ROUND(OFFSET($P211,0,AB$13),15-13*ORÇAMENTO!$AF$7)/$H211*OFFSET(ORÇAMENTO!$X$15,ROW(AB211)-ROW(AB$15),0),
ROUND(ROUND(OFFSET($P211,0,AB$13),15-13*ORÇAMENTO!$AF$7)*OFFSET(ORÇAMENTO!$W$15,ROW(AB211)-ROW(AB$15),0),15-13*ORÇAMENTO!$AF$11)),0)</f>
        <v>0</v>
      </c>
      <c r="AC211" s="545">
        <f ca="1">IF(AND($D211="Serviço",AC$12&lt;&gt;0,$H211&gt;0,OR(AUTOEVENTO&lt;&gt;"manual",$M211&lt;&gt;1)),
IF(Import.TipoArredondamento&lt;&gt;"TransfereGOV",
ROUND(OFFSET($P211,0,AC$13),15-13*ORÇAMENTO!$AF$7)/$H211*OFFSET(ORÇAMENTO!$X$15,ROW(AC211)-ROW(AC$15),0),
ROUND(ROUND(OFFSET($P211,0,AC$13),15-13*ORÇAMENTO!$AF$7)*OFFSET(ORÇAMENTO!$W$15,ROW(AC211)-ROW(AC$15),0),15-13*ORÇAMENTO!$AF$11)),0)</f>
        <v>0</v>
      </c>
      <c r="AD211" s="545">
        <f ca="1">IF(AND($D211="Serviço",AD$12&lt;&gt;0,$H211&gt;0,OR(AUTOEVENTO&lt;&gt;"manual",$M211&lt;&gt;1)),
IF(Import.TipoArredondamento&lt;&gt;"TransfereGOV",
ROUND(OFFSET($P211,0,AD$13),15-13*ORÇAMENTO!$AF$7)/$H211*OFFSET(ORÇAMENTO!$X$15,ROW(AD211)-ROW(AD$15),0),
ROUND(ROUND(OFFSET($P211,0,AD$13),15-13*ORÇAMENTO!$AF$7)*OFFSET(ORÇAMENTO!$W$15,ROW(AD211)-ROW(AD$15),0),15-13*ORÇAMENTO!$AF$11)),0)</f>
        <v>0</v>
      </c>
      <c r="AE211" s="545">
        <f ca="1">IF(AND($D211="Serviço",AE$12&lt;&gt;0,$H211&gt;0,OR(AUTOEVENTO&lt;&gt;"manual",$M211&lt;&gt;1)),
IF(Import.TipoArredondamento&lt;&gt;"TransfereGOV",
ROUND(OFFSET($P211,0,AE$13),15-13*ORÇAMENTO!$AF$7)/$H211*OFFSET(ORÇAMENTO!$X$15,ROW(AE211)-ROW(AE$15),0),
ROUND(ROUND(OFFSET($P211,0,AE$13),15-13*ORÇAMENTO!$AF$7)*OFFSET(ORÇAMENTO!$W$15,ROW(AE211)-ROW(AE$15),0),15-13*ORÇAMENTO!$AF$11)),0)</f>
        <v>0</v>
      </c>
      <c r="AF211" s="545">
        <f ca="1">IF(AND($D211="Serviço",AF$12&lt;&gt;0,$H211&gt;0,OR(AUTOEVENTO&lt;&gt;"manual",$M211&lt;&gt;1)),
IF(Import.TipoArredondamento&lt;&gt;"TransfereGOV",
ROUND(OFFSET($P211,0,AF$13),15-13*ORÇAMENTO!$AF$7)/$H211*OFFSET(ORÇAMENTO!$X$15,ROW(AF211)-ROW(AF$15),0),
ROUND(ROUND(OFFSET($P211,0,AF$13),15-13*ORÇAMENTO!$AF$7)*OFFSET(ORÇAMENTO!$W$15,ROW(AF211)-ROW(AF$15),0),15-13*ORÇAMENTO!$AF$11)),0)</f>
        <v>0</v>
      </c>
      <c r="AG211" s="545">
        <f ca="1">IF(AND($D211="Serviço",AG$12&lt;&gt;0,$H211&gt;0,OR(AUTOEVENTO&lt;&gt;"manual",$M211&lt;&gt;1)),
IF(Import.TipoArredondamento&lt;&gt;"TransfereGOV",
ROUND(OFFSET($P211,0,AG$13),15-13*ORÇAMENTO!$AF$7)/$H211*OFFSET(ORÇAMENTO!$X$15,ROW(AG211)-ROW(AG$15),0),
ROUND(ROUND(OFFSET($P211,0,AG$13),15-13*ORÇAMENTO!$AF$7)*OFFSET(ORÇAMENTO!$W$15,ROW(AG211)-ROW(AG$15),0),15-13*ORÇAMENTO!$AF$11)),0)</f>
        <v>0</v>
      </c>
      <c r="AH211" s="545">
        <f ca="1">IF(AND($D211="Serviço",AH$12&lt;&gt;0,$H211&gt;0,OR(AUTOEVENTO&lt;&gt;"manual",$M211&lt;&gt;1)),
IF(Import.TipoArredondamento&lt;&gt;"TransfereGOV",
ROUND(OFFSET($P211,0,AH$13),15-13*ORÇAMENTO!$AF$7)/$H211*OFFSET(ORÇAMENTO!$X$15,ROW(AH211)-ROW(AH$15),0),
ROUND(ROUND(OFFSET($P211,0,AH$13),15-13*ORÇAMENTO!$AF$7)*OFFSET(ORÇAMENTO!$W$15,ROW(AH211)-ROW(AH$15),0),15-13*ORÇAMENTO!$AF$11)),0)</f>
        <v>0</v>
      </c>
      <c r="AI211" s="545">
        <f ca="1">IF(AND($D211="Serviço",AI$12&lt;&gt;0,$H211&gt;0,OR(AUTOEVENTO&lt;&gt;"manual",$M211&lt;&gt;1)),
IF(Import.TipoArredondamento&lt;&gt;"TransfereGOV",
ROUND(OFFSET($P211,0,AI$13),15-13*ORÇAMENTO!$AF$7)/$H211*OFFSET(ORÇAMENTO!$X$15,ROW(AI211)-ROW(AI$15),0),
ROUND(ROUND(OFFSET($P211,0,AI$13),15-13*ORÇAMENTO!$AF$7)*OFFSET(ORÇAMENTO!$W$15,ROW(AI211)-ROW(AI$15),0),15-13*ORÇAMENTO!$AF$11)),0)</f>
        <v>0</v>
      </c>
      <c r="AJ211" s="545">
        <f ca="1">IF(AND($D211="Serviço",AJ$12&lt;&gt;0,$H211&gt;0,OR(AUTOEVENTO&lt;&gt;"manual",$M211&lt;&gt;1)),
IF(Import.TipoArredondamento&lt;&gt;"TransfereGOV",
ROUND(OFFSET($P211,0,AJ$13),15-13*ORÇAMENTO!$AF$7)/$H211*OFFSET(ORÇAMENTO!$X$15,ROW(AJ211)-ROW(AJ$15),0),
ROUND(ROUND(OFFSET($P211,0,AJ$13),15-13*ORÇAMENTO!$AF$7)*OFFSET(ORÇAMENTO!$W$15,ROW(AJ211)-ROW(AJ$15),0),15-13*ORÇAMENTO!$AF$11)),0)</f>
        <v>0</v>
      </c>
      <c r="AK211" s="546">
        <f ca="1">IF(AND($D211="Serviço",AK$12&lt;&gt;0,$H211&gt;0,OR(AUTOEVENTO&lt;&gt;"manual",$M211&lt;&gt;1)),
IF(Import.TipoArredondamento&lt;&gt;"TransfereGOV",
ROUND(OFFSET($P211,0,AK$13),15-13*ORÇAMENTO!$AF$7)/$H211*OFFSET(ORÇAMENTO!$X$15,ROW(AK211)-ROW(AK$15),0),
ROUND(ROUND(OFFSET($P211,0,AK$13),15-13*ORÇAMENTO!$AF$7)*OFFSET(ORÇAMENTO!$W$15,ROW(AK211)-ROW(AK$15),0),15-13*ORÇAMENTO!$AF$11)),0)</f>
        <v>0</v>
      </c>
      <c r="AM211" s="181">
        <f ca="1">IF($D211&lt;&gt;"Serviço",0,IF(AND(AUTOEVENTO="Manual",$M211=1),0,IF(OFFSET(CRONOPLE!$F$14,$M211,AM$13)="",10^12,OFFSET(CRONOPLE!$F$14,$M211,AM$13))))</f>
        <v>1000000000000</v>
      </c>
      <c r="AN211" s="181">
        <f ca="1">IF($D211&lt;&gt;"Serviço",0,IF(AND(AUTOEVENTO="Manual",$M211=1),0,IF(OFFSET(CRONOPLE!$F$14,$M211,AN$13)="",10^12,OFFSET(CRONOPLE!$F$14,$M211,AN$13))))</f>
        <v>1000000000000</v>
      </c>
      <c r="AO211" s="181">
        <f ca="1">IF($D211&lt;&gt;"Serviço",0,IF(AND(AUTOEVENTO="Manual",$M211=1),0,IF(OFFSET(CRONOPLE!$F$14,$M211,AO$13)="",10^12,OFFSET(CRONOPLE!$F$14,$M211,AO$13))))</f>
        <v>1000000000000</v>
      </c>
      <c r="AP211" s="181">
        <f ca="1">IF($D211&lt;&gt;"Serviço",0,IF(AND(AUTOEVENTO="Manual",$M211=1),0,IF(OFFSET(CRONOPLE!$F$14,$M211,AP$13)="",10^12,OFFSET(CRONOPLE!$F$14,$M211,AP$13))))</f>
        <v>1000000000000</v>
      </c>
      <c r="AQ211" s="181">
        <f ca="1">IF($D211&lt;&gt;"Serviço",0,IF(AND(AUTOEVENTO="Manual",$M211=1),0,IF(OFFSET(CRONOPLE!$F$14,$M211,AQ$13)="",10^12,OFFSET(CRONOPLE!$F$14,$M211,AQ$13))))</f>
        <v>1000000000000</v>
      </c>
      <c r="AR211" s="181">
        <f ca="1">IF($D211&lt;&gt;"Serviço",0,IF(AND(AUTOEVENTO="Manual",$M211=1),0,IF(OFFSET(CRONOPLE!$F$14,$M211,AR$13)="",10^12,OFFSET(CRONOPLE!$F$14,$M211,AR$13))))</f>
        <v>1000000000000</v>
      </c>
      <c r="AS211" s="181">
        <f ca="1">IF($D211&lt;&gt;"Serviço",0,IF(AND(AUTOEVENTO="Manual",$M211=1),0,IF(OFFSET(CRONOPLE!$F$14,$M211,AS$13)="",10^12,OFFSET(CRONOPLE!$F$14,$M211,AS$13))))</f>
        <v>1000000000000</v>
      </c>
      <c r="AT211" s="181">
        <f ca="1">IF($D211&lt;&gt;"Serviço",0,IF(AND(AUTOEVENTO="Manual",$M211=1),0,IF(OFFSET(CRONOPLE!$F$14,$M211,AT$13)="",10^12,OFFSET(CRONOPLE!$F$14,$M211,AT$13))))</f>
        <v>1000000000000</v>
      </c>
      <c r="AU211" s="181">
        <f ca="1">IF($D211&lt;&gt;"Serviço",0,IF(AND(AUTOEVENTO="Manual",$M211=1),0,IF(OFFSET(CRONOPLE!$F$14,$M211,AU$13)="",10^12,OFFSET(CRONOPLE!$F$14,$M211,AU$13))))</f>
        <v>1000000000000</v>
      </c>
      <c r="AV211" s="181">
        <f ca="1">IF($D211&lt;&gt;"Serviço",0,IF(AND(AUTOEVENTO="Manual",$M211=1),0,IF(OFFSET(CRONOPLE!$F$14,$M211,AV$13)="",10^12,OFFSET(CRONOPLE!$F$14,$M211,AV$13))))</f>
        <v>1000000000000</v>
      </c>
      <c r="AX211" s="182">
        <f ca="1">IF($D211&lt;&gt;"Serviço",0,IF(OR(AND(AUTOEVENTO="Manual",$M211=1),$M211&gt;(ROW(PLE.lastrow)-ROW(PLE.firstrow))),0,IF(OFFSET(PLE!$G$14,$M211,AX$13)="",10^12,OFFSET(PLE!$G$14,$M211,AX$13))))</f>
        <v>1000000000000</v>
      </c>
      <c r="AY211" s="182">
        <f ca="1">IF($D211&lt;&gt;"Serviço",0,IF(OR(AND(AUTOEVENTO="Manual",$M211=1),$M211&gt;(ROW(PLE.lastrow)-ROW(PLE.firstrow))),0,IF(OFFSET(PLE!$G$14,$M211,AY$13)="",10^12,OFFSET(PLE!$G$14,$M211,AY$13))))</f>
        <v>1000000000000</v>
      </c>
      <c r="AZ211" s="182">
        <f ca="1">IF($D211&lt;&gt;"Serviço",0,IF(OR(AND(AUTOEVENTO="Manual",$M211=1),$M211&gt;(ROW(PLE.lastrow)-ROW(PLE.firstrow))),0,IF(OFFSET(PLE!$G$14,$M211,AZ$13)="",10^12,OFFSET(PLE!$G$14,$M211,AZ$13))))</f>
        <v>1000000000000</v>
      </c>
      <c r="BA211" s="182">
        <f ca="1">IF($D211&lt;&gt;"Serviço",0,IF(OR(AND(AUTOEVENTO="Manual",$M211=1),$M211&gt;(ROW(PLE.lastrow)-ROW(PLE.firstrow))),0,IF(OFFSET(PLE!$G$14,$M211,BA$13)="",10^12,OFFSET(PLE!$G$14,$M211,BA$13))))</f>
        <v>1000000000000</v>
      </c>
      <c r="BB211" s="182">
        <f ca="1">IF($D211&lt;&gt;"Serviço",0,IF(OR(AND(AUTOEVENTO="Manual",$M211=1),$M211&gt;(ROW(PLE.lastrow)-ROW(PLE.firstrow))),0,IF(OFFSET(PLE!$G$14,$M211,BB$13)="",10^12,OFFSET(PLE!$G$14,$M211,BB$13))))</f>
        <v>1000000000000</v>
      </c>
      <c r="BC211" s="182">
        <f ca="1">IF($D211&lt;&gt;"Serviço",0,IF(OR(AND(AUTOEVENTO="Manual",$M211=1),$M211&gt;(ROW(PLE.lastrow)-ROW(PLE.firstrow))),0,IF(OFFSET(PLE!$G$14,$M211,BC$13)="",10^12,OFFSET(PLE!$G$14,$M211,BC$13))))</f>
        <v>1000000000000</v>
      </c>
      <c r="BD211" s="182">
        <f ca="1">IF($D211&lt;&gt;"Serviço",0,IF(OR(AND(AUTOEVENTO="Manual",$M211=1),$M211&gt;(ROW(PLE.lastrow)-ROW(PLE.firstrow))),0,IF(OFFSET(PLE!$G$14,$M211,BD$13)="",10^12,OFFSET(PLE!$G$14,$M211,BD$13))))</f>
        <v>1000000000000</v>
      </c>
      <c r="BE211" s="182">
        <f ca="1">IF($D211&lt;&gt;"Serviço",0,IF(OR(AND(AUTOEVENTO="Manual",$M211=1),$M211&gt;(ROW(PLE.lastrow)-ROW(PLE.firstrow))),0,IF(OFFSET(PLE!$G$14,$M211,BE$13)="",10^12,OFFSET(PLE!$G$14,$M211,BE$13))))</f>
        <v>1000000000000</v>
      </c>
      <c r="BF211" s="182">
        <f ca="1">IF($D211&lt;&gt;"Serviço",0,IF(OR(AND(AUTOEVENTO="Manual",$M211=1),$M211&gt;(ROW(PLE.lastrow)-ROW(PLE.firstrow))),0,IF(OFFSET(PLE!$G$14,$M211,BF$13)="",10^12,OFFSET(PLE!$G$14,$M211,BF$13))))</f>
        <v>1000000000000</v>
      </c>
      <c r="BG211" s="182">
        <f ca="1">IF($D211&lt;&gt;"Serviço",0,IF(OR(AND(AUTOEVENTO="Manual",$M211=1),$M211&gt;(ROW(PLE.lastrow)-ROW(PLE.firstrow))),0,IF(OFFSET(PLE!$G$14,$M211,BG$13)="",10^12,OFFSET(PLE!$G$14,$M211,BG$13))))</f>
        <v>1000000000000</v>
      </c>
    </row>
    <row r="212" spans="1:59" ht="12.75" x14ac:dyDescent="0.2">
      <c r="A212" s="7" t="str">
        <f t="shared" ca="1" si="10"/>
        <v>197.</v>
      </c>
      <c r="B212" s="7">
        <f ca="1">OFFSET(ORÇAMENTO!C$15,ROW(B212)-ROW(B$15),0)</f>
        <v>2</v>
      </c>
      <c r="C212" s="7" t="str">
        <f ca="1">OFFSET(ORÇAMENTO!L$15,ROW(C212)-ROW(C$15),0)</f>
        <v>F</v>
      </c>
      <c r="D212" s="118" t="str">
        <f ca="1">OFFSET(ORÇAMENTO!N$15,ROW(D212)-ROW(D$15),0)</f>
        <v>Nível 2</v>
      </c>
      <c r="E212" s="119" t="str">
        <f ca="1">OFFSET(ORÇAMENTO!O$15,ROW(E212)-ROW(E$15),0)</f>
        <v>1.9.</v>
      </c>
      <c r="F212" s="172" t="str">
        <f ca="1">OFFSET(ORÇAMENTO!R$15,ROW(F212)-ROW(F$15),0)</f>
        <v>QUADRA DE AREIA</v>
      </c>
      <c r="G212" s="173" t="str">
        <f ca="1">IF($D212&lt;&gt;"Serviço","",OFFSET(ORÇAMENTO!S$15,ROW(G212)-ROW(G$15),0))</f>
        <v/>
      </c>
      <c r="H212" s="124">
        <f ca="1">IF($D212&lt;&gt;"Serviço",0,IF(ACOMPANHAMENTO="BM",ROUND(OFFSET(ORÇAMENTO!AJ$15,ROW(H212)-ROW(H$15),0),15-13*ORÇAMENTO!$AF$7),SUMPRODUCT(($Q$12:$AA$12&lt;&gt;"")*ROUND($Q212:$AA212,15-13*ORÇAMENTO!$AF$7))))</f>
        <v>0</v>
      </c>
      <c r="I212" s="561"/>
      <c r="K212" s="174"/>
      <c r="L212" s="175" t="s">
        <v>255</v>
      </c>
      <c r="M212" s="176" t="str">
        <f ca="1">IF($D212&lt;&gt;"Serviço","",IF(AUTOEVENTO="manual",$A212,IF(ISERROR(MATCH($A212,$A$15:OFFSET($A212,-1,0),0)),MAX($M$15:OFFSET(M212,-1,0))+1,INDEX($M$15:OFFSET(M212,-1,0),MATCH($A212,$A$15:OFFSET($A212,-1,0),0)))))</f>
        <v/>
      </c>
      <c r="N212" s="177" t="str">
        <f ca="1">IF($D212&lt;&gt;"Serviço","",IF(AUTOEVENTO="Manual",IF($A212=0,"&lt;-- defina o número do agrupador",OFFSET(EVENTOS!$D$14,$A212,0)),OFFSET($F$15,$A212,0)))</f>
        <v/>
      </c>
      <c r="O212" s="178"/>
      <c r="Q212" s="178"/>
      <c r="R212" s="179"/>
      <c r="S212" s="179"/>
      <c r="T212" s="179"/>
      <c r="U212" s="179"/>
      <c r="V212" s="179"/>
      <c r="W212" s="179"/>
      <c r="X212" s="179"/>
      <c r="Y212" s="179"/>
      <c r="Z212" s="180"/>
      <c r="AB212" s="544">
        <f ca="1">IF(AND($D212="Serviço",AB$12&lt;&gt;0,$H212&gt;0,OR(AUTOEVENTO&lt;&gt;"manual",$M212&lt;&gt;1)),
IF(Import.TipoArredondamento&lt;&gt;"TransfereGOV",
ROUND(OFFSET($P212,0,AB$13),15-13*ORÇAMENTO!$AF$7)/$H212*OFFSET(ORÇAMENTO!$X$15,ROW(AB212)-ROW(AB$15),0),
ROUND(ROUND(OFFSET($P212,0,AB$13),15-13*ORÇAMENTO!$AF$7)*OFFSET(ORÇAMENTO!$W$15,ROW(AB212)-ROW(AB$15),0),15-13*ORÇAMENTO!$AF$11)),0)</f>
        <v>0</v>
      </c>
      <c r="AC212" s="545">
        <f ca="1">IF(AND($D212="Serviço",AC$12&lt;&gt;0,$H212&gt;0,OR(AUTOEVENTO&lt;&gt;"manual",$M212&lt;&gt;1)),
IF(Import.TipoArredondamento&lt;&gt;"TransfereGOV",
ROUND(OFFSET($P212,0,AC$13),15-13*ORÇAMENTO!$AF$7)/$H212*OFFSET(ORÇAMENTO!$X$15,ROW(AC212)-ROW(AC$15),0),
ROUND(ROUND(OFFSET($P212,0,AC$13),15-13*ORÇAMENTO!$AF$7)*OFFSET(ORÇAMENTO!$W$15,ROW(AC212)-ROW(AC$15),0),15-13*ORÇAMENTO!$AF$11)),0)</f>
        <v>0</v>
      </c>
      <c r="AD212" s="545">
        <f ca="1">IF(AND($D212="Serviço",AD$12&lt;&gt;0,$H212&gt;0,OR(AUTOEVENTO&lt;&gt;"manual",$M212&lt;&gt;1)),
IF(Import.TipoArredondamento&lt;&gt;"TransfereGOV",
ROUND(OFFSET($P212,0,AD$13),15-13*ORÇAMENTO!$AF$7)/$H212*OFFSET(ORÇAMENTO!$X$15,ROW(AD212)-ROW(AD$15),0),
ROUND(ROUND(OFFSET($P212,0,AD$13),15-13*ORÇAMENTO!$AF$7)*OFFSET(ORÇAMENTO!$W$15,ROW(AD212)-ROW(AD$15),0),15-13*ORÇAMENTO!$AF$11)),0)</f>
        <v>0</v>
      </c>
      <c r="AE212" s="545">
        <f ca="1">IF(AND($D212="Serviço",AE$12&lt;&gt;0,$H212&gt;0,OR(AUTOEVENTO&lt;&gt;"manual",$M212&lt;&gt;1)),
IF(Import.TipoArredondamento&lt;&gt;"TransfereGOV",
ROUND(OFFSET($P212,0,AE$13),15-13*ORÇAMENTO!$AF$7)/$H212*OFFSET(ORÇAMENTO!$X$15,ROW(AE212)-ROW(AE$15),0),
ROUND(ROUND(OFFSET($P212,0,AE$13),15-13*ORÇAMENTO!$AF$7)*OFFSET(ORÇAMENTO!$W$15,ROW(AE212)-ROW(AE$15),0),15-13*ORÇAMENTO!$AF$11)),0)</f>
        <v>0</v>
      </c>
      <c r="AF212" s="545">
        <f ca="1">IF(AND($D212="Serviço",AF$12&lt;&gt;0,$H212&gt;0,OR(AUTOEVENTO&lt;&gt;"manual",$M212&lt;&gt;1)),
IF(Import.TipoArredondamento&lt;&gt;"TransfereGOV",
ROUND(OFFSET($P212,0,AF$13),15-13*ORÇAMENTO!$AF$7)/$H212*OFFSET(ORÇAMENTO!$X$15,ROW(AF212)-ROW(AF$15),0),
ROUND(ROUND(OFFSET($P212,0,AF$13),15-13*ORÇAMENTO!$AF$7)*OFFSET(ORÇAMENTO!$W$15,ROW(AF212)-ROW(AF$15),0),15-13*ORÇAMENTO!$AF$11)),0)</f>
        <v>0</v>
      </c>
      <c r="AG212" s="545">
        <f ca="1">IF(AND($D212="Serviço",AG$12&lt;&gt;0,$H212&gt;0,OR(AUTOEVENTO&lt;&gt;"manual",$M212&lt;&gt;1)),
IF(Import.TipoArredondamento&lt;&gt;"TransfereGOV",
ROUND(OFFSET($P212,0,AG$13),15-13*ORÇAMENTO!$AF$7)/$H212*OFFSET(ORÇAMENTO!$X$15,ROW(AG212)-ROW(AG$15),0),
ROUND(ROUND(OFFSET($P212,0,AG$13),15-13*ORÇAMENTO!$AF$7)*OFFSET(ORÇAMENTO!$W$15,ROW(AG212)-ROW(AG$15),0),15-13*ORÇAMENTO!$AF$11)),0)</f>
        <v>0</v>
      </c>
      <c r="AH212" s="545">
        <f ca="1">IF(AND($D212="Serviço",AH$12&lt;&gt;0,$H212&gt;0,OR(AUTOEVENTO&lt;&gt;"manual",$M212&lt;&gt;1)),
IF(Import.TipoArredondamento&lt;&gt;"TransfereGOV",
ROUND(OFFSET($P212,0,AH$13),15-13*ORÇAMENTO!$AF$7)/$H212*OFFSET(ORÇAMENTO!$X$15,ROW(AH212)-ROW(AH$15),0),
ROUND(ROUND(OFFSET($P212,0,AH$13),15-13*ORÇAMENTO!$AF$7)*OFFSET(ORÇAMENTO!$W$15,ROW(AH212)-ROW(AH$15),0),15-13*ORÇAMENTO!$AF$11)),0)</f>
        <v>0</v>
      </c>
      <c r="AI212" s="545">
        <f ca="1">IF(AND($D212="Serviço",AI$12&lt;&gt;0,$H212&gt;0,OR(AUTOEVENTO&lt;&gt;"manual",$M212&lt;&gt;1)),
IF(Import.TipoArredondamento&lt;&gt;"TransfereGOV",
ROUND(OFFSET($P212,0,AI$13),15-13*ORÇAMENTO!$AF$7)/$H212*OFFSET(ORÇAMENTO!$X$15,ROW(AI212)-ROW(AI$15),0),
ROUND(ROUND(OFFSET($P212,0,AI$13),15-13*ORÇAMENTO!$AF$7)*OFFSET(ORÇAMENTO!$W$15,ROW(AI212)-ROW(AI$15),0),15-13*ORÇAMENTO!$AF$11)),0)</f>
        <v>0</v>
      </c>
      <c r="AJ212" s="545">
        <f ca="1">IF(AND($D212="Serviço",AJ$12&lt;&gt;0,$H212&gt;0,OR(AUTOEVENTO&lt;&gt;"manual",$M212&lt;&gt;1)),
IF(Import.TipoArredondamento&lt;&gt;"TransfereGOV",
ROUND(OFFSET($P212,0,AJ$13),15-13*ORÇAMENTO!$AF$7)/$H212*OFFSET(ORÇAMENTO!$X$15,ROW(AJ212)-ROW(AJ$15),0),
ROUND(ROUND(OFFSET($P212,0,AJ$13),15-13*ORÇAMENTO!$AF$7)*OFFSET(ORÇAMENTO!$W$15,ROW(AJ212)-ROW(AJ$15),0),15-13*ORÇAMENTO!$AF$11)),0)</f>
        <v>0</v>
      </c>
      <c r="AK212" s="546">
        <f ca="1">IF(AND($D212="Serviço",AK$12&lt;&gt;0,$H212&gt;0,OR(AUTOEVENTO&lt;&gt;"manual",$M212&lt;&gt;1)),
IF(Import.TipoArredondamento&lt;&gt;"TransfereGOV",
ROUND(OFFSET($P212,0,AK$13),15-13*ORÇAMENTO!$AF$7)/$H212*OFFSET(ORÇAMENTO!$X$15,ROW(AK212)-ROW(AK$15),0),
ROUND(ROUND(OFFSET($P212,0,AK$13),15-13*ORÇAMENTO!$AF$7)*OFFSET(ORÇAMENTO!$W$15,ROW(AK212)-ROW(AK$15),0),15-13*ORÇAMENTO!$AF$11)),0)</f>
        <v>0</v>
      </c>
      <c r="AM212" s="181">
        <f ca="1">IF($D212&lt;&gt;"Serviço",0,IF(AND(AUTOEVENTO="Manual",$M212=1),0,IF(OFFSET(CRONOPLE!$F$14,$M212,AM$13)="",10^12,OFFSET(CRONOPLE!$F$14,$M212,AM$13))))</f>
        <v>0</v>
      </c>
      <c r="AN212" s="181">
        <f ca="1">IF($D212&lt;&gt;"Serviço",0,IF(AND(AUTOEVENTO="Manual",$M212=1),0,IF(OFFSET(CRONOPLE!$F$14,$M212,AN$13)="",10^12,OFFSET(CRONOPLE!$F$14,$M212,AN$13))))</f>
        <v>0</v>
      </c>
      <c r="AO212" s="181">
        <f ca="1">IF($D212&lt;&gt;"Serviço",0,IF(AND(AUTOEVENTO="Manual",$M212=1),0,IF(OFFSET(CRONOPLE!$F$14,$M212,AO$13)="",10^12,OFFSET(CRONOPLE!$F$14,$M212,AO$13))))</f>
        <v>0</v>
      </c>
      <c r="AP212" s="181">
        <f ca="1">IF($D212&lt;&gt;"Serviço",0,IF(AND(AUTOEVENTO="Manual",$M212=1),0,IF(OFFSET(CRONOPLE!$F$14,$M212,AP$13)="",10^12,OFFSET(CRONOPLE!$F$14,$M212,AP$13))))</f>
        <v>0</v>
      </c>
      <c r="AQ212" s="181">
        <f ca="1">IF($D212&lt;&gt;"Serviço",0,IF(AND(AUTOEVENTO="Manual",$M212=1),0,IF(OFFSET(CRONOPLE!$F$14,$M212,AQ$13)="",10^12,OFFSET(CRONOPLE!$F$14,$M212,AQ$13))))</f>
        <v>0</v>
      </c>
      <c r="AR212" s="181">
        <f ca="1">IF($D212&lt;&gt;"Serviço",0,IF(AND(AUTOEVENTO="Manual",$M212=1),0,IF(OFFSET(CRONOPLE!$F$14,$M212,AR$13)="",10^12,OFFSET(CRONOPLE!$F$14,$M212,AR$13))))</f>
        <v>0</v>
      </c>
      <c r="AS212" s="181">
        <f ca="1">IF($D212&lt;&gt;"Serviço",0,IF(AND(AUTOEVENTO="Manual",$M212=1),0,IF(OFFSET(CRONOPLE!$F$14,$M212,AS$13)="",10^12,OFFSET(CRONOPLE!$F$14,$M212,AS$13))))</f>
        <v>0</v>
      </c>
      <c r="AT212" s="181">
        <f ca="1">IF($D212&lt;&gt;"Serviço",0,IF(AND(AUTOEVENTO="Manual",$M212=1),0,IF(OFFSET(CRONOPLE!$F$14,$M212,AT$13)="",10^12,OFFSET(CRONOPLE!$F$14,$M212,AT$13))))</f>
        <v>0</v>
      </c>
      <c r="AU212" s="181">
        <f ca="1">IF($D212&lt;&gt;"Serviço",0,IF(AND(AUTOEVENTO="Manual",$M212=1),0,IF(OFFSET(CRONOPLE!$F$14,$M212,AU$13)="",10^12,OFFSET(CRONOPLE!$F$14,$M212,AU$13))))</f>
        <v>0</v>
      </c>
      <c r="AV212" s="181">
        <f ca="1">IF($D212&lt;&gt;"Serviço",0,IF(AND(AUTOEVENTO="Manual",$M212=1),0,IF(OFFSET(CRONOPLE!$F$14,$M212,AV$13)="",10^12,OFFSET(CRONOPLE!$F$14,$M212,AV$13))))</f>
        <v>0</v>
      </c>
      <c r="AX212" s="182">
        <f ca="1">IF($D212&lt;&gt;"Serviço",0,IF(OR(AND(AUTOEVENTO="Manual",$M212=1),$M212&gt;(ROW(PLE.lastrow)-ROW(PLE.firstrow))),0,IF(OFFSET(PLE!$G$14,$M212,AX$13)="",10^12,OFFSET(PLE!$G$14,$M212,AX$13))))</f>
        <v>0</v>
      </c>
      <c r="AY212" s="182">
        <f ca="1">IF($D212&lt;&gt;"Serviço",0,IF(OR(AND(AUTOEVENTO="Manual",$M212=1),$M212&gt;(ROW(PLE.lastrow)-ROW(PLE.firstrow))),0,IF(OFFSET(PLE!$G$14,$M212,AY$13)="",10^12,OFFSET(PLE!$G$14,$M212,AY$13))))</f>
        <v>0</v>
      </c>
      <c r="AZ212" s="182">
        <f ca="1">IF($D212&lt;&gt;"Serviço",0,IF(OR(AND(AUTOEVENTO="Manual",$M212=1),$M212&gt;(ROW(PLE.lastrow)-ROW(PLE.firstrow))),0,IF(OFFSET(PLE!$G$14,$M212,AZ$13)="",10^12,OFFSET(PLE!$G$14,$M212,AZ$13))))</f>
        <v>0</v>
      </c>
      <c r="BA212" s="182">
        <f ca="1">IF($D212&lt;&gt;"Serviço",0,IF(OR(AND(AUTOEVENTO="Manual",$M212=1),$M212&gt;(ROW(PLE.lastrow)-ROW(PLE.firstrow))),0,IF(OFFSET(PLE!$G$14,$M212,BA$13)="",10^12,OFFSET(PLE!$G$14,$M212,BA$13))))</f>
        <v>0</v>
      </c>
      <c r="BB212" s="182">
        <f ca="1">IF($D212&lt;&gt;"Serviço",0,IF(OR(AND(AUTOEVENTO="Manual",$M212=1),$M212&gt;(ROW(PLE.lastrow)-ROW(PLE.firstrow))),0,IF(OFFSET(PLE!$G$14,$M212,BB$13)="",10^12,OFFSET(PLE!$G$14,$M212,BB$13))))</f>
        <v>0</v>
      </c>
      <c r="BC212" s="182">
        <f ca="1">IF($D212&lt;&gt;"Serviço",0,IF(OR(AND(AUTOEVENTO="Manual",$M212=1),$M212&gt;(ROW(PLE.lastrow)-ROW(PLE.firstrow))),0,IF(OFFSET(PLE!$G$14,$M212,BC$13)="",10^12,OFFSET(PLE!$G$14,$M212,BC$13))))</f>
        <v>0</v>
      </c>
      <c r="BD212" s="182">
        <f ca="1">IF($D212&lt;&gt;"Serviço",0,IF(OR(AND(AUTOEVENTO="Manual",$M212=1),$M212&gt;(ROW(PLE.lastrow)-ROW(PLE.firstrow))),0,IF(OFFSET(PLE!$G$14,$M212,BD$13)="",10^12,OFFSET(PLE!$G$14,$M212,BD$13))))</f>
        <v>0</v>
      </c>
      <c r="BE212" s="182">
        <f ca="1">IF($D212&lt;&gt;"Serviço",0,IF(OR(AND(AUTOEVENTO="Manual",$M212=1),$M212&gt;(ROW(PLE.lastrow)-ROW(PLE.firstrow))),0,IF(OFFSET(PLE!$G$14,$M212,BE$13)="",10^12,OFFSET(PLE!$G$14,$M212,BE$13))))</f>
        <v>0</v>
      </c>
      <c r="BF212" s="182">
        <f ca="1">IF($D212&lt;&gt;"Serviço",0,IF(OR(AND(AUTOEVENTO="Manual",$M212=1),$M212&gt;(ROW(PLE.lastrow)-ROW(PLE.firstrow))),0,IF(OFFSET(PLE!$G$14,$M212,BF$13)="",10^12,OFFSET(PLE!$G$14,$M212,BF$13))))</f>
        <v>0</v>
      </c>
      <c r="BG212" s="182">
        <f ca="1">IF($D212&lt;&gt;"Serviço",0,IF(OR(AND(AUTOEVENTO="Manual",$M212=1),$M212&gt;(ROW(PLE.lastrow)-ROW(PLE.firstrow))),0,IF(OFFSET(PLE!$G$14,$M212,BG$13)="",10^12,OFFSET(PLE!$G$14,$M212,BG$13))))</f>
        <v>0</v>
      </c>
    </row>
    <row r="213" spans="1:59" ht="63.75" x14ac:dyDescent="0.2">
      <c r="A213" s="7" t="str">
        <f t="shared" ca="1" si="10"/>
        <v>197</v>
      </c>
      <c r="B213" s="7" t="str">
        <f ca="1">OFFSET(ORÇAMENTO!C$15,ROW(B213)-ROW(B$15),0)</f>
        <v>S</v>
      </c>
      <c r="C213" s="7" t="str">
        <f ca="1">OFFSET(ORÇAMENTO!L$15,ROW(C213)-ROW(C$15),0)</f>
        <v>F</v>
      </c>
      <c r="D213" s="118" t="str">
        <f ca="1">OFFSET(ORÇAMENTO!N$15,ROW(D213)-ROW(D$15),0)</f>
        <v>Serviço</v>
      </c>
      <c r="E213" s="119" t="str">
        <f ca="1">OFFSET(ORÇAMENTO!O$15,ROW(E213)-ROW(E$15),0)</f>
        <v>1.9.0.1.</v>
      </c>
      <c r="F213" s="172" t="str">
        <f ca="1">OFFSET(ORÇAMENTO!R$15,ROW(F213)-ROW(F$15),0)</f>
        <v>(abra o arquivo 'Referência 03-2024.xlsm)</v>
      </c>
      <c r="G213" s="173" t="str">
        <f ca="1">IF($D213&lt;&gt;"Serviço","",OFFSET(ORÇAMENTO!S$15,ROW(G213)-ROW(G$15),0))</f>
        <v>-</v>
      </c>
      <c r="H213" s="124">
        <f ca="1">IF($D213&lt;&gt;"Serviço",0,IF(ACOMPANHAMENTO="BM",ROUND(OFFSET(ORÇAMENTO!AJ$15,ROW(H213)-ROW(H$15),0),15-13*ORÇAMENTO!$AF$7),SUMPRODUCT(($Q$12:$AA$12&lt;&gt;"")*ROUND($Q213:$AA213,15-13*ORÇAMENTO!$AF$7))))</f>
        <v>2.75</v>
      </c>
      <c r="I213" s="561"/>
      <c r="K213" s="174"/>
      <c r="L213" s="175" t="s">
        <v>255</v>
      </c>
      <c r="M213" s="176">
        <f ca="1">IF($D213&lt;&gt;"Serviço","",IF(AUTOEVENTO="manual",$A213,IF(ISERROR(MATCH($A213,$A$15:OFFSET($A213,-1,0),0)),MAX($M$15:OFFSET(M213,-1,0))+1,INDEX($M$15:OFFSET(M213,-1,0),MATCH($A213,$A$15:OFFSET($A213,-1,0),0)))))</f>
        <v>10</v>
      </c>
      <c r="N213" s="177" t="str">
        <f ca="1">IF($D213&lt;&gt;"Serviço","",IF(AUTOEVENTO="Manual",IF($A213=0,"&lt;-- defina o número do agrupador",OFFSET(EVENTOS!$D$14,$A213,0)),OFFSET($F$15,$A213,0)))</f>
        <v>QUADRA DE AREIA</v>
      </c>
      <c r="O213" s="178"/>
      <c r="Q213" s="178"/>
      <c r="R213" s="179"/>
      <c r="S213" s="179"/>
      <c r="T213" s="179"/>
      <c r="U213" s="179"/>
      <c r="V213" s="179"/>
      <c r="W213" s="179"/>
      <c r="X213" s="179"/>
      <c r="Y213" s="179"/>
      <c r="Z213" s="180"/>
      <c r="AB213" s="544">
        <f ca="1">IF(AND($D213="Serviço",AB$12&lt;&gt;0,$H213&gt;0,OR(AUTOEVENTO&lt;&gt;"manual",$M213&lt;&gt;1)),
IF(Import.TipoArredondamento&lt;&gt;"TransfereGOV",
ROUND(OFFSET($P213,0,AB$13),15-13*ORÇAMENTO!$AF$7)/$H213*OFFSET(ORÇAMENTO!$X$15,ROW(AB213)-ROW(AB$15),0),
ROUND(ROUND(OFFSET($P213,0,AB$13),15-13*ORÇAMENTO!$AF$7)*OFFSET(ORÇAMENTO!$W$15,ROW(AB213)-ROW(AB$15),0),15-13*ORÇAMENTO!$AF$11)),0)</f>
        <v>0</v>
      </c>
      <c r="AC213" s="545">
        <f ca="1">IF(AND($D213="Serviço",AC$12&lt;&gt;0,$H213&gt;0,OR(AUTOEVENTO&lt;&gt;"manual",$M213&lt;&gt;1)),
IF(Import.TipoArredondamento&lt;&gt;"TransfereGOV",
ROUND(OFFSET($P213,0,AC$13),15-13*ORÇAMENTO!$AF$7)/$H213*OFFSET(ORÇAMENTO!$X$15,ROW(AC213)-ROW(AC$15),0),
ROUND(ROUND(OFFSET($P213,0,AC$13),15-13*ORÇAMENTO!$AF$7)*OFFSET(ORÇAMENTO!$W$15,ROW(AC213)-ROW(AC$15),0),15-13*ORÇAMENTO!$AF$11)),0)</f>
        <v>0</v>
      </c>
      <c r="AD213" s="545">
        <f ca="1">IF(AND($D213="Serviço",AD$12&lt;&gt;0,$H213&gt;0,OR(AUTOEVENTO&lt;&gt;"manual",$M213&lt;&gt;1)),
IF(Import.TipoArredondamento&lt;&gt;"TransfereGOV",
ROUND(OFFSET($P213,0,AD$13),15-13*ORÇAMENTO!$AF$7)/$H213*OFFSET(ORÇAMENTO!$X$15,ROW(AD213)-ROW(AD$15),0),
ROUND(ROUND(OFFSET($P213,0,AD$13),15-13*ORÇAMENTO!$AF$7)*OFFSET(ORÇAMENTO!$W$15,ROW(AD213)-ROW(AD$15),0),15-13*ORÇAMENTO!$AF$11)),0)</f>
        <v>0</v>
      </c>
      <c r="AE213" s="545">
        <f ca="1">IF(AND($D213="Serviço",AE$12&lt;&gt;0,$H213&gt;0,OR(AUTOEVENTO&lt;&gt;"manual",$M213&lt;&gt;1)),
IF(Import.TipoArredondamento&lt;&gt;"TransfereGOV",
ROUND(OFFSET($P213,0,AE$13),15-13*ORÇAMENTO!$AF$7)/$H213*OFFSET(ORÇAMENTO!$X$15,ROW(AE213)-ROW(AE$15),0),
ROUND(ROUND(OFFSET($P213,0,AE$13),15-13*ORÇAMENTO!$AF$7)*OFFSET(ORÇAMENTO!$W$15,ROW(AE213)-ROW(AE$15),0),15-13*ORÇAMENTO!$AF$11)),0)</f>
        <v>0</v>
      </c>
      <c r="AF213" s="545">
        <f ca="1">IF(AND($D213="Serviço",AF$12&lt;&gt;0,$H213&gt;0,OR(AUTOEVENTO&lt;&gt;"manual",$M213&lt;&gt;1)),
IF(Import.TipoArredondamento&lt;&gt;"TransfereGOV",
ROUND(OFFSET($P213,0,AF$13),15-13*ORÇAMENTO!$AF$7)/$H213*OFFSET(ORÇAMENTO!$X$15,ROW(AF213)-ROW(AF$15),0),
ROUND(ROUND(OFFSET($P213,0,AF$13),15-13*ORÇAMENTO!$AF$7)*OFFSET(ORÇAMENTO!$W$15,ROW(AF213)-ROW(AF$15),0),15-13*ORÇAMENTO!$AF$11)),0)</f>
        <v>0</v>
      </c>
      <c r="AG213" s="545">
        <f ca="1">IF(AND($D213="Serviço",AG$12&lt;&gt;0,$H213&gt;0,OR(AUTOEVENTO&lt;&gt;"manual",$M213&lt;&gt;1)),
IF(Import.TipoArredondamento&lt;&gt;"TransfereGOV",
ROUND(OFFSET($P213,0,AG$13),15-13*ORÇAMENTO!$AF$7)/$H213*OFFSET(ORÇAMENTO!$X$15,ROW(AG213)-ROW(AG$15),0),
ROUND(ROUND(OFFSET($P213,0,AG$13),15-13*ORÇAMENTO!$AF$7)*OFFSET(ORÇAMENTO!$W$15,ROW(AG213)-ROW(AG$15),0),15-13*ORÇAMENTO!$AF$11)),0)</f>
        <v>0</v>
      </c>
      <c r="AH213" s="545">
        <f ca="1">IF(AND($D213="Serviço",AH$12&lt;&gt;0,$H213&gt;0,OR(AUTOEVENTO&lt;&gt;"manual",$M213&lt;&gt;1)),
IF(Import.TipoArredondamento&lt;&gt;"TransfereGOV",
ROUND(OFFSET($P213,0,AH$13),15-13*ORÇAMENTO!$AF$7)/$H213*OFFSET(ORÇAMENTO!$X$15,ROW(AH213)-ROW(AH$15),0),
ROUND(ROUND(OFFSET($P213,0,AH$13),15-13*ORÇAMENTO!$AF$7)*OFFSET(ORÇAMENTO!$W$15,ROW(AH213)-ROW(AH$15),0),15-13*ORÇAMENTO!$AF$11)),0)</f>
        <v>0</v>
      </c>
      <c r="AI213" s="545">
        <f ca="1">IF(AND($D213="Serviço",AI$12&lt;&gt;0,$H213&gt;0,OR(AUTOEVENTO&lt;&gt;"manual",$M213&lt;&gt;1)),
IF(Import.TipoArredondamento&lt;&gt;"TransfereGOV",
ROUND(OFFSET($P213,0,AI$13),15-13*ORÇAMENTO!$AF$7)/$H213*OFFSET(ORÇAMENTO!$X$15,ROW(AI213)-ROW(AI$15),0),
ROUND(ROUND(OFFSET($P213,0,AI$13),15-13*ORÇAMENTO!$AF$7)*OFFSET(ORÇAMENTO!$W$15,ROW(AI213)-ROW(AI$15),0),15-13*ORÇAMENTO!$AF$11)),0)</f>
        <v>0</v>
      </c>
      <c r="AJ213" s="545">
        <f ca="1">IF(AND($D213="Serviço",AJ$12&lt;&gt;0,$H213&gt;0,OR(AUTOEVENTO&lt;&gt;"manual",$M213&lt;&gt;1)),
IF(Import.TipoArredondamento&lt;&gt;"TransfereGOV",
ROUND(OFFSET($P213,0,AJ$13),15-13*ORÇAMENTO!$AF$7)/$H213*OFFSET(ORÇAMENTO!$X$15,ROW(AJ213)-ROW(AJ$15),0),
ROUND(ROUND(OFFSET($P213,0,AJ$13),15-13*ORÇAMENTO!$AF$7)*OFFSET(ORÇAMENTO!$W$15,ROW(AJ213)-ROW(AJ$15),0),15-13*ORÇAMENTO!$AF$11)),0)</f>
        <v>0</v>
      </c>
      <c r="AK213" s="546">
        <f ca="1">IF(AND($D213="Serviço",AK$12&lt;&gt;0,$H213&gt;0,OR(AUTOEVENTO&lt;&gt;"manual",$M213&lt;&gt;1)),
IF(Import.TipoArredondamento&lt;&gt;"TransfereGOV",
ROUND(OFFSET($P213,0,AK$13),15-13*ORÇAMENTO!$AF$7)/$H213*OFFSET(ORÇAMENTO!$X$15,ROW(AK213)-ROW(AK$15),0),
ROUND(ROUND(OFFSET($P213,0,AK$13),15-13*ORÇAMENTO!$AF$7)*OFFSET(ORÇAMENTO!$W$15,ROW(AK213)-ROW(AK$15),0),15-13*ORÇAMENTO!$AF$11)),0)</f>
        <v>0</v>
      </c>
      <c r="AM213" s="181">
        <f ca="1">IF($D213&lt;&gt;"Serviço",0,IF(AND(AUTOEVENTO="Manual",$M213=1),0,IF(OFFSET(CRONOPLE!$F$14,$M213,AM$13)="",10^12,OFFSET(CRONOPLE!$F$14,$M213,AM$13))))</f>
        <v>1000000000000</v>
      </c>
      <c r="AN213" s="181">
        <f ca="1">IF($D213&lt;&gt;"Serviço",0,IF(AND(AUTOEVENTO="Manual",$M213=1),0,IF(OFFSET(CRONOPLE!$F$14,$M213,AN$13)="",10^12,OFFSET(CRONOPLE!$F$14,$M213,AN$13))))</f>
        <v>1000000000000</v>
      </c>
      <c r="AO213" s="181">
        <f ca="1">IF($D213&lt;&gt;"Serviço",0,IF(AND(AUTOEVENTO="Manual",$M213=1),0,IF(OFFSET(CRONOPLE!$F$14,$M213,AO$13)="",10^12,OFFSET(CRONOPLE!$F$14,$M213,AO$13))))</f>
        <v>1000000000000</v>
      </c>
      <c r="AP213" s="181">
        <f ca="1">IF($D213&lt;&gt;"Serviço",0,IF(AND(AUTOEVENTO="Manual",$M213=1),0,IF(OFFSET(CRONOPLE!$F$14,$M213,AP$13)="",10^12,OFFSET(CRONOPLE!$F$14,$M213,AP$13))))</f>
        <v>1000000000000</v>
      </c>
      <c r="AQ213" s="181">
        <f ca="1">IF($D213&lt;&gt;"Serviço",0,IF(AND(AUTOEVENTO="Manual",$M213=1),0,IF(OFFSET(CRONOPLE!$F$14,$M213,AQ$13)="",10^12,OFFSET(CRONOPLE!$F$14,$M213,AQ$13))))</f>
        <v>1000000000000</v>
      </c>
      <c r="AR213" s="181">
        <f ca="1">IF($D213&lt;&gt;"Serviço",0,IF(AND(AUTOEVENTO="Manual",$M213=1),0,IF(OFFSET(CRONOPLE!$F$14,$M213,AR$13)="",10^12,OFFSET(CRONOPLE!$F$14,$M213,AR$13))))</f>
        <v>1000000000000</v>
      </c>
      <c r="AS213" s="181">
        <f ca="1">IF($D213&lt;&gt;"Serviço",0,IF(AND(AUTOEVENTO="Manual",$M213=1),0,IF(OFFSET(CRONOPLE!$F$14,$M213,AS$13)="",10^12,OFFSET(CRONOPLE!$F$14,$M213,AS$13))))</f>
        <v>1000000000000</v>
      </c>
      <c r="AT213" s="181">
        <f ca="1">IF($D213&lt;&gt;"Serviço",0,IF(AND(AUTOEVENTO="Manual",$M213=1),0,IF(OFFSET(CRONOPLE!$F$14,$M213,AT$13)="",10^12,OFFSET(CRONOPLE!$F$14,$M213,AT$13))))</f>
        <v>1000000000000</v>
      </c>
      <c r="AU213" s="181">
        <f ca="1">IF($D213&lt;&gt;"Serviço",0,IF(AND(AUTOEVENTO="Manual",$M213=1),0,IF(OFFSET(CRONOPLE!$F$14,$M213,AU$13)="",10^12,OFFSET(CRONOPLE!$F$14,$M213,AU$13))))</f>
        <v>1000000000000</v>
      </c>
      <c r="AV213" s="181">
        <f ca="1">IF($D213&lt;&gt;"Serviço",0,IF(AND(AUTOEVENTO="Manual",$M213=1),0,IF(OFFSET(CRONOPLE!$F$14,$M213,AV$13)="",10^12,OFFSET(CRONOPLE!$F$14,$M213,AV$13))))</f>
        <v>1000000000000</v>
      </c>
      <c r="AX213" s="182">
        <f ca="1">IF($D213&lt;&gt;"Serviço",0,IF(OR(AND(AUTOEVENTO="Manual",$M213=1),$M213&gt;(ROW(PLE.lastrow)-ROW(PLE.firstrow))),0,IF(OFFSET(PLE!$G$14,$M213,AX$13)="",10^12,OFFSET(PLE!$G$14,$M213,AX$13))))</f>
        <v>1000000000000</v>
      </c>
      <c r="AY213" s="182">
        <f ca="1">IF($D213&lt;&gt;"Serviço",0,IF(OR(AND(AUTOEVENTO="Manual",$M213=1),$M213&gt;(ROW(PLE.lastrow)-ROW(PLE.firstrow))),0,IF(OFFSET(PLE!$G$14,$M213,AY$13)="",10^12,OFFSET(PLE!$G$14,$M213,AY$13))))</f>
        <v>1000000000000</v>
      </c>
      <c r="AZ213" s="182">
        <f ca="1">IF($D213&lt;&gt;"Serviço",0,IF(OR(AND(AUTOEVENTO="Manual",$M213=1),$M213&gt;(ROW(PLE.lastrow)-ROW(PLE.firstrow))),0,IF(OFFSET(PLE!$G$14,$M213,AZ$13)="",10^12,OFFSET(PLE!$G$14,$M213,AZ$13))))</f>
        <v>1000000000000</v>
      </c>
      <c r="BA213" s="182">
        <f ca="1">IF($D213&lt;&gt;"Serviço",0,IF(OR(AND(AUTOEVENTO="Manual",$M213=1),$M213&gt;(ROW(PLE.lastrow)-ROW(PLE.firstrow))),0,IF(OFFSET(PLE!$G$14,$M213,BA$13)="",10^12,OFFSET(PLE!$G$14,$M213,BA$13))))</f>
        <v>1000000000000</v>
      </c>
      <c r="BB213" s="182">
        <f ca="1">IF($D213&lt;&gt;"Serviço",0,IF(OR(AND(AUTOEVENTO="Manual",$M213=1),$M213&gt;(ROW(PLE.lastrow)-ROW(PLE.firstrow))),0,IF(OFFSET(PLE!$G$14,$M213,BB$13)="",10^12,OFFSET(PLE!$G$14,$M213,BB$13))))</f>
        <v>1000000000000</v>
      </c>
      <c r="BC213" s="182">
        <f ca="1">IF($D213&lt;&gt;"Serviço",0,IF(OR(AND(AUTOEVENTO="Manual",$M213=1),$M213&gt;(ROW(PLE.lastrow)-ROW(PLE.firstrow))),0,IF(OFFSET(PLE!$G$14,$M213,BC$13)="",10^12,OFFSET(PLE!$G$14,$M213,BC$13))))</f>
        <v>1000000000000</v>
      </c>
      <c r="BD213" s="182">
        <f ca="1">IF($D213&lt;&gt;"Serviço",0,IF(OR(AND(AUTOEVENTO="Manual",$M213=1),$M213&gt;(ROW(PLE.lastrow)-ROW(PLE.firstrow))),0,IF(OFFSET(PLE!$G$14,$M213,BD$13)="",10^12,OFFSET(PLE!$G$14,$M213,BD$13))))</f>
        <v>1000000000000</v>
      </c>
      <c r="BE213" s="182">
        <f ca="1">IF($D213&lt;&gt;"Serviço",0,IF(OR(AND(AUTOEVENTO="Manual",$M213=1),$M213&gt;(ROW(PLE.lastrow)-ROW(PLE.firstrow))),0,IF(OFFSET(PLE!$G$14,$M213,BE$13)="",10^12,OFFSET(PLE!$G$14,$M213,BE$13))))</f>
        <v>1000000000000</v>
      </c>
      <c r="BF213" s="182">
        <f ca="1">IF($D213&lt;&gt;"Serviço",0,IF(OR(AND(AUTOEVENTO="Manual",$M213=1),$M213&gt;(ROW(PLE.lastrow)-ROW(PLE.firstrow))),0,IF(OFFSET(PLE!$G$14,$M213,BF$13)="",10^12,OFFSET(PLE!$G$14,$M213,BF$13))))</f>
        <v>1000000000000</v>
      </c>
      <c r="BG213" s="182">
        <f ca="1">IF($D213&lt;&gt;"Serviço",0,IF(OR(AND(AUTOEVENTO="Manual",$M213=1),$M213&gt;(ROW(PLE.lastrow)-ROW(PLE.firstrow))),0,IF(OFFSET(PLE!$G$14,$M213,BG$13)="",10^12,OFFSET(PLE!$G$14,$M213,BG$13))))</f>
        <v>1000000000000</v>
      </c>
    </row>
    <row r="214" spans="1:59" ht="51" x14ac:dyDescent="0.2">
      <c r="A214" s="7" t="str">
        <f t="shared" ca="1" si="10"/>
        <v>197</v>
      </c>
      <c r="B214" s="7" t="str">
        <f ca="1">OFFSET(ORÇAMENTO!C$15,ROW(B214)-ROW(B$15),0)</f>
        <v>S</v>
      </c>
      <c r="C214" s="7" t="str">
        <f ca="1">OFFSET(ORÇAMENTO!L$15,ROW(C214)-ROW(C$15),0)</f>
        <v>F</v>
      </c>
      <c r="D214" s="118" t="str">
        <f ca="1">OFFSET(ORÇAMENTO!N$15,ROW(D214)-ROW(D$15),0)</f>
        <v>Serviço</v>
      </c>
      <c r="E214" s="119" t="str">
        <f ca="1">OFFSET(ORÇAMENTO!O$15,ROW(E214)-ROW(E$15),0)</f>
        <v>1.9.0.2.</v>
      </c>
      <c r="F214" s="172" t="str">
        <f ca="1">OFFSET(ORÇAMENTO!R$15,ROW(F214)-ROW(F$15),0)</f>
        <v>(abra o arquivo 'Referência 03-2024.xlsm)</v>
      </c>
      <c r="G214" s="173" t="str">
        <f ca="1">IF($D214&lt;&gt;"Serviço","",OFFSET(ORÇAMENTO!S$15,ROW(G214)-ROW(G$15),0))</f>
        <v>-</v>
      </c>
      <c r="H214" s="124">
        <f ca="1">IF($D214&lt;&gt;"Serviço",0,IF(ACOMPANHAMENTO="BM",ROUND(OFFSET(ORÇAMENTO!AJ$15,ROW(H214)-ROW(H$15),0),15-13*ORÇAMENTO!$AF$7),SUMPRODUCT(($Q$12:$AA$12&lt;&gt;"")*ROUND($Q214:$AA214,15-13*ORÇAMENTO!$AF$7))))</f>
        <v>0.69</v>
      </c>
      <c r="I214" s="561"/>
      <c r="K214" s="174"/>
      <c r="L214" s="175" t="s">
        <v>255</v>
      </c>
      <c r="M214" s="176">
        <f ca="1">IF($D214&lt;&gt;"Serviço","",IF(AUTOEVENTO="manual",$A214,IF(ISERROR(MATCH($A214,$A$15:OFFSET($A214,-1,0),0)),MAX($M$15:OFFSET(M214,-1,0))+1,INDEX($M$15:OFFSET(M214,-1,0),MATCH($A214,$A$15:OFFSET($A214,-1,0),0)))))</f>
        <v>10</v>
      </c>
      <c r="N214" s="177" t="str">
        <f ca="1">IF($D214&lt;&gt;"Serviço","",IF(AUTOEVENTO="Manual",IF($A214=0,"&lt;-- defina o número do agrupador",OFFSET(EVENTOS!$D$14,$A214,0)),OFFSET($F$15,$A214,0)))</f>
        <v>QUADRA DE AREIA</v>
      </c>
      <c r="O214" s="178"/>
      <c r="Q214" s="178"/>
      <c r="R214" s="179"/>
      <c r="S214" s="179"/>
      <c r="T214" s="179"/>
      <c r="U214" s="179"/>
      <c r="V214" s="179"/>
      <c r="W214" s="179"/>
      <c r="X214" s="179"/>
      <c r="Y214" s="179"/>
      <c r="Z214" s="180"/>
      <c r="AB214" s="544">
        <f ca="1">IF(AND($D214="Serviço",AB$12&lt;&gt;0,$H214&gt;0,OR(AUTOEVENTO&lt;&gt;"manual",$M214&lt;&gt;1)),
IF(Import.TipoArredondamento&lt;&gt;"TransfereGOV",
ROUND(OFFSET($P214,0,AB$13),15-13*ORÇAMENTO!$AF$7)/$H214*OFFSET(ORÇAMENTO!$X$15,ROW(AB214)-ROW(AB$15),0),
ROUND(ROUND(OFFSET($P214,0,AB$13),15-13*ORÇAMENTO!$AF$7)*OFFSET(ORÇAMENTO!$W$15,ROW(AB214)-ROW(AB$15),0),15-13*ORÇAMENTO!$AF$11)),0)</f>
        <v>0</v>
      </c>
      <c r="AC214" s="545">
        <f ca="1">IF(AND($D214="Serviço",AC$12&lt;&gt;0,$H214&gt;0,OR(AUTOEVENTO&lt;&gt;"manual",$M214&lt;&gt;1)),
IF(Import.TipoArredondamento&lt;&gt;"TransfereGOV",
ROUND(OFFSET($P214,0,AC$13),15-13*ORÇAMENTO!$AF$7)/$H214*OFFSET(ORÇAMENTO!$X$15,ROW(AC214)-ROW(AC$15),0),
ROUND(ROUND(OFFSET($P214,0,AC$13),15-13*ORÇAMENTO!$AF$7)*OFFSET(ORÇAMENTO!$W$15,ROW(AC214)-ROW(AC$15),0),15-13*ORÇAMENTO!$AF$11)),0)</f>
        <v>0</v>
      </c>
      <c r="AD214" s="545">
        <f ca="1">IF(AND($D214="Serviço",AD$12&lt;&gt;0,$H214&gt;0,OR(AUTOEVENTO&lt;&gt;"manual",$M214&lt;&gt;1)),
IF(Import.TipoArredondamento&lt;&gt;"TransfereGOV",
ROUND(OFFSET($P214,0,AD$13),15-13*ORÇAMENTO!$AF$7)/$H214*OFFSET(ORÇAMENTO!$X$15,ROW(AD214)-ROW(AD$15),0),
ROUND(ROUND(OFFSET($P214,0,AD$13),15-13*ORÇAMENTO!$AF$7)*OFFSET(ORÇAMENTO!$W$15,ROW(AD214)-ROW(AD$15),0),15-13*ORÇAMENTO!$AF$11)),0)</f>
        <v>0</v>
      </c>
      <c r="AE214" s="545">
        <f ca="1">IF(AND($D214="Serviço",AE$12&lt;&gt;0,$H214&gt;0,OR(AUTOEVENTO&lt;&gt;"manual",$M214&lt;&gt;1)),
IF(Import.TipoArredondamento&lt;&gt;"TransfereGOV",
ROUND(OFFSET($P214,0,AE$13),15-13*ORÇAMENTO!$AF$7)/$H214*OFFSET(ORÇAMENTO!$X$15,ROW(AE214)-ROW(AE$15),0),
ROUND(ROUND(OFFSET($P214,0,AE$13),15-13*ORÇAMENTO!$AF$7)*OFFSET(ORÇAMENTO!$W$15,ROW(AE214)-ROW(AE$15),0),15-13*ORÇAMENTO!$AF$11)),0)</f>
        <v>0</v>
      </c>
      <c r="AF214" s="545">
        <f ca="1">IF(AND($D214="Serviço",AF$12&lt;&gt;0,$H214&gt;0,OR(AUTOEVENTO&lt;&gt;"manual",$M214&lt;&gt;1)),
IF(Import.TipoArredondamento&lt;&gt;"TransfereGOV",
ROUND(OFFSET($P214,0,AF$13),15-13*ORÇAMENTO!$AF$7)/$H214*OFFSET(ORÇAMENTO!$X$15,ROW(AF214)-ROW(AF$15),0),
ROUND(ROUND(OFFSET($P214,0,AF$13),15-13*ORÇAMENTO!$AF$7)*OFFSET(ORÇAMENTO!$W$15,ROW(AF214)-ROW(AF$15),0),15-13*ORÇAMENTO!$AF$11)),0)</f>
        <v>0</v>
      </c>
      <c r="AG214" s="545">
        <f ca="1">IF(AND($D214="Serviço",AG$12&lt;&gt;0,$H214&gt;0,OR(AUTOEVENTO&lt;&gt;"manual",$M214&lt;&gt;1)),
IF(Import.TipoArredondamento&lt;&gt;"TransfereGOV",
ROUND(OFFSET($P214,0,AG$13),15-13*ORÇAMENTO!$AF$7)/$H214*OFFSET(ORÇAMENTO!$X$15,ROW(AG214)-ROW(AG$15),0),
ROUND(ROUND(OFFSET($P214,0,AG$13),15-13*ORÇAMENTO!$AF$7)*OFFSET(ORÇAMENTO!$W$15,ROW(AG214)-ROW(AG$15),0),15-13*ORÇAMENTO!$AF$11)),0)</f>
        <v>0</v>
      </c>
      <c r="AH214" s="545">
        <f ca="1">IF(AND($D214="Serviço",AH$12&lt;&gt;0,$H214&gt;0,OR(AUTOEVENTO&lt;&gt;"manual",$M214&lt;&gt;1)),
IF(Import.TipoArredondamento&lt;&gt;"TransfereGOV",
ROUND(OFFSET($P214,0,AH$13),15-13*ORÇAMENTO!$AF$7)/$H214*OFFSET(ORÇAMENTO!$X$15,ROW(AH214)-ROW(AH$15),0),
ROUND(ROUND(OFFSET($P214,0,AH$13),15-13*ORÇAMENTO!$AF$7)*OFFSET(ORÇAMENTO!$W$15,ROW(AH214)-ROW(AH$15),0),15-13*ORÇAMENTO!$AF$11)),0)</f>
        <v>0</v>
      </c>
      <c r="AI214" s="545">
        <f ca="1">IF(AND($D214="Serviço",AI$12&lt;&gt;0,$H214&gt;0,OR(AUTOEVENTO&lt;&gt;"manual",$M214&lt;&gt;1)),
IF(Import.TipoArredondamento&lt;&gt;"TransfereGOV",
ROUND(OFFSET($P214,0,AI$13),15-13*ORÇAMENTO!$AF$7)/$H214*OFFSET(ORÇAMENTO!$X$15,ROW(AI214)-ROW(AI$15),0),
ROUND(ROUND(OFFSET($P214,0,AI$13),15-13*ORÇAMENTO!$AF$7)*OFFSET(ORÇAMENTO!$W$15,ROW(AI214)-ROW(AI$15),0),15-13*ORÇAMENTO!$AF$11)),0)</f>
        <v>0</v>
      </c>
      <c r="AJ214" s="545">
        <f ca="1">IF(AND($D214="Serviço",AJ$12&lt;&gt;0,$H214&gt;0,OR(AUTOEVENTO&lt;&gt;"manual",$M214&lt;&gt;1)),
IF(Import.TipoArredondamento&lt;&gt;"TransfereGOV",
ROUND(OFFSET($P214,0,AJ$13),15-13*ORÇAMENTO!$AF$7)/$H214*OFFSET(ORÇAMENTO!$X$15,ROW(AJ214)-ROW(AJ$15),0),
ROUND(ROUND(OFFSET($P214,0,AJ$13),15-13*ORÇAMENTO!$AF$7)*OFFSET(ORÇAMENTO!$W$15,ROW(AJ214)-ROW(AJ$15),0),15-13*ORÇAMENTO!$AF$11)),0)</f>
        <v>0</v>
      </c>
      <c r="AK214" s="546">
        <f ca="1">IF(AND($D214="Serviço",AK$12&lt;&gt;0,$H214&gt;0,OR(AUTOEVENTO&lt;&gt;"manual",$M214&lt;&gt;1)),
IF(Import.TipoArredondamento&lt;&gt;"TransfereGOV",
ROUND(OFFSET($P214,0,AK$13),15-13*ORÇAMENTO!$AF$7)/$H214*OFFSET(ORÇAMENTO!$X$15,ROW(AK214)-ROW(AK$15),0),
ROUND(ROUND(OFFSET($P214,0,AK$13),15-13*ORÇAMENTO!$AF$7)*OFFSET(ORÇAMENTO!$W$15,ROW(AK214)-ROW(AK$15),0),15-13*ORÇAMENTO!$AF$11)),0)</f>
        <v>0</v>
      </c>
      <c r="AM214" s="181">
        <f ca="1">IF($D214&lt;&gt;"Serviço",0,IF(AND(AUTOEVENTO="Manual",$M214=1),0,IF(OFFSET(CRONOPLE!$F$14,$M214,AM$13)="",10^12,OFFSET(CRONOPLE!$F$14,$M214,AM$13))))</f>
        <v>1000000000000</v>
      </c>
      <c r="AN214" s="181">
        <f ca="1">IF($D214&lt;&gt;"Serviço",0,IF(AND(AUTOEVENTO="Manual",$M214=1),0,IF(OFFSET(CRONOPLE!$F$14,$M214,AN$13)="",10^12,OFFSET(CRONOPLE!$F$14,$M214,AN$13))))</f>
        <v>1000000000000</v>
      </c>
      <c r="AO214" s="181">
        <f ca="1">IF($D214&lt;&gt;"Serviço",0,IF(AND(AUTOEVENTO="Manual",$M214=1),0,IF(OFFSET(CRONOPLE!$F$14,$M214,AO$13)="",10^12,OFFSET(CRONOPLE!$F$14,$M214,AO$13))))</f>
        <v>1000000000000</v>
      </c>
      <c r="AP214" s="181">
        <f ca="1">IF($D214&lt;&gt;"Serviço",0,IF(AND(AUTOEVENTO="Manual",$M214=1),0,IF(OFFSET(CRONOPLE!$F$14,$M214,AP$13)="",10^12,OFFSET(CRONOPLE!$F$14,$M214,AP$13))))</f>
        <v>1000000000000</v>
      </c>
      <c r="AQ214" s="181">
        <f ca="1">IF($D214&lt;&gt;"Serviço",0,IF(AND(AUTOEVENTO="Manual",$M214=1),0,IF(OFFSET(CRONOPLE!$F$14,$M214,AQ$13)="",10^12,OFFSET(CRONOPLE!$F$14,$M214,AQ$13))))</f>
        <v>1000000000000</v>
      </c>
      <c r="AR214" s="181">
        <f ca="1">IF($D214&lt;&gt;"Serviço",0,IF(AND(AUTOEVENTO="Manual",$M214=1),0,IF(OFFSET(CRONOPLE!$F$14,$M214,AR$13)="",10^12,OFFSET(CRONOPLE!$F$14,$M214,AR$13))))</f>
        <v>1000000000000</v>
      </c>
      <c r="AS214" s="181">
        <f ca="1">IF($D214&lt;&gt;"Serviço",0,IF(AND(AUTOEVENTO="Manual",$M214=1),0,IF(OFFSET(CRONOPLE!$F$14,$M214,AS$13)="",10^12,OFFSET(CRONOPLE!$F$14,$M214,AS$13))))</f>
        <v>1000000000000</v>
      </c>
      <c r="AT214" s="181">
        <f ca="1">IF($D214&lt;&gt;"Serviço",0,IF(AND(AUTOEVENTO="Manual",$M214=1),0,IF(OFFSET(CRONOPLE!$F$14,$M214,AT$13)="",10^12,OFFSET(CRONOPLE!$F$14,$M214,AT$13))))</f>
        <v>1000000000000</v>
      </c>
      <c r="AU214" s="181">
        <f ca="1">IF($D214&lt;&gt;"Serviço",0,IF(AND(AUTOEVENTO="Manual",$M214=1),0,IF(OFFSET(CRONOPLE!$F$14,$M214,AU$13)="",10^12,OFFSET(CRONOPLE!$F$14,$M214,AU$13))))</f>
        <v>1000000000000</v>
      </c>
      <c r="AV214" s="181">
        <f ca="1">IF($D214&lt;&gt;"Serviço",0,IF(AND(AUTOEVENTO="Manual",$M214=1),0,IF(OFFSET(CRONOPLE!$F$14,$M214,AV$13)="",10^12,OFFSET(CRONOPLE!$F$14,$M214,AV$13))))</f>
        <v>1000000000000</v>
      </c>
      <c r="AX214" s="182">
        <f ca="1">IF($D214&lt;&gt;"Serviço",0,IF(OR(AND(AUTOEVENTO="Manual",$M214=1),$M214&gt;(ROW(PLE.lastrow)-ROW(PLE.firstrow))),0,IF(OFFSET(PLE!$G$14,$M214,AX$13)="",10^12,OFFSET(PLE!$G$14,$M214,AX$13))))</f>
        <v>1000000000000</v>
      </c>
      <c r="AY214" s="182">
        <f ca="1">IF($D214&lt;&gt;"Serviço",0,IF(OR(AND(AUTOEVENTO="Manual",$M214=1),$M214&gt;(ROW(PLE.lastrow)-ROW(PLE.firstrow))),0,IF(OFFSET(PLE!$G$14,$M214,AY$13)="",10^12,OFFSET(PLE!$G$14,$M214,AY$13))))</f>
        <v>1000000000000</v>
      </c>
      <c r="AZ214" s="182">
        <f ca="1">IF($D214&lt;&gt;"Serviço",0,IF(OR(AND(AUTOEVENTO="Manual",$M214=1),$M214&gt;(ROW(PLE.lastrow)-ROW(PLE.firstrow))),0,IF(OFFSET(PLE!$G$14,$M214,AZ$13)="",10^12,OFFSET(PLE!$G$14,$M214,AZ$13))))</f>
        <v>1000000000000</v>
      </c>
      <c r="BA214" s="182">
        <f ca="1">IF($D214&lt;&gt;"Serviço",0,IF(OR(AND(AUTOEVENTO="Manual",$M214=1),$M214&gt;(ROW(PLE.lastrow)-ROW(PLE.firstrow))),0,IF(OFFSET(PLE!$G$14,$M214,BA$13)="",10^12,OFFSET(PLE!$G$14,$M214,BA$13))))</f>
        <v>1000000000000</v>
      </c>
      <c r="BB214" s="182">
        <f ca="1">IF($D214&lt;&gt;"Serviço",0,IF(OR(AND(AUTOEVENTO="Manual",$M214=1),$M214&gt;(ROW(PLE.lastrow)-ROW(PLE.firstrow))),0,IF(OFFSET(PLE!$G$14,$M214,BB$13)="",10^12,OFFSET(PLE!$G$14,$M214,BB$13))))</f>
        <v>1000000000000</v>
      </c>
      <c r="BC214" s="182">
        <f ca="1">IF($D214&lt;&gt;"Serviço",0,IF(OR(AND(AUTOEVENTO="Manual",$M214=1),$M214&gt;(ROW(PLE.lastrow)-ROW(PLE.firstrow))),0,IF(OFFSET(PLE!$G$14,$M214,BC$13)="",10^12,OFFSET(PLE!$G$14,$M214,BC$13))))</f>
        <v>1000000000000</v>
      </c>
      <c r="BD214" s="182">
        <f ca="1">IF($D214&lt;&gt;"Serviço",0,IF(OR(AND(AUTOEVENTO="Manual",$M214=1),$M214&gt;(ROW(PLE.lastrow)-ROW(PLE.firstrow))),0,IF(OFFSET(PLE!$G$14,$M214,BD$13)="",10^12,OFFSET(PLE!$G$14,$M214,BD$13))))</f>
        <v>1000000000000</v>
      </c>
      <c r="BE214" s="182">
        <f ca="1">IF($D214&lt;&gt;"Serviço",0,IF(OR(AND(AUTOEVENTO="Manual",$M214=1),$M214&gt;(ROW(PLE.lastrow)-ROW(PLE.firstrow))),0,IF(OFFSET(PLE!$G$14,$M214,BE$13)="",10^12,OFFSET(PLE!$G$14,$M214,BE$13))))</f>
        <v>1000000000000</v>
      </c>
      <c r="BF214" s="182">
        <f ca="1">IF($D214&lt;&gt;"Serviço",0,IF(OR(AND(AUTOEVENTO="Manual",$M214=1),$M214&gt;(ROW(PLE.lastrow)-ROW(PLE.firstrow))),0,IF(OFFSET(PLE!$G$14,$M214,BF$13)="",10^12,OFFSET(PLE!$G$14,$M214,BF$13))))</f>
        <v>1000000000000</v>
      </c>
      <c r="BG214" s="182">
        <f ca="1">IF($D214&lt;&gt;"Serviço",0,IF(OR(AND(AUTOEVENTO="Manual",$M214=1),$M214&gt;(ROW(PLE.lastrow)-ROW(PLE.firstrow))),0,IF(OFFSET(PLE!$G$14,$M214,BG$13)="",10^12,OFFSET(PLE!$G$14,$M214,BG$13))))</f>
        <v>1000000000000</v>
      </c>
    </row>
    <row r="215" spans="1:59" ht="38.25" x14ac:dyDescent="0.2">
      <c r="A215" s="7" t="str">
        <f t="shared" ca="1" si="10"/>
        <v>197</v>
      </c>
      <c r="B215" s="7" t="str">
        <f ca="1">OFFSET(ORÇAMENTO!C$15,ROW(B215)-ROW(B$15),0)</f>
        <v>S</v>
      </c>
      <c r="C215" s="7" t="str">
        <f ca="1">OFFSET(ORÇAMENTO!L$15,ROW(C215)-ROW(C$15),0)</f>
        <v>F</v>
      </c>
      <c r="D215" s="118" t="str">
        <f ca="1">OFFSET(ORÇAMENTO!N$15,ROW(D215)-ROW(D$15),0)</f>
        <v>Serviço</v>
      </c>
      <c r="E215" s="119" t="str">
        <f ca="1">OFFSET(ORÇAMENTO!O$15,ROW(E215)-ROW(E$15),0)</f>
        <v>1.9.0.3.</v>
      </c>
      <c r="F215" s="172" t="str">
        <f ca="1">OFFSET(ORÇAMENTO!R$15,ROW(F215)-ROW(F$15),0)</f>
        <v>(abra o arquivo 'Referência 03-2024.xlsm)</v>
      </c>
      <c r="G215" s="173" t="str">
        <f ca="1">IF($D215&lt;&gt;"Serviço","",OFFSET(ORÇAMENTO!S$15,ROW(G215)-ROW(G$15),0))</f>
        <v>-</v>
      </c>
      <c r="H215" s="124">
        <f ca="1">IF($D215&lt;&gt;"Serviço",0,IF(ACOMPANHAMENTO="BM",ROUND(OFFSET(ORÇAMENTO!AJ$15,ROW(H215)-ROW(H$15),0),15-13*ORÇAMENTO!$AF$7),SUMPRODUCT(($Q$12:$AA$12&lt;&gt;"")*ROUND($Q215:$AA215,15-13*ORÇAMENTO!$AF$7))))</f>
        <v>13.76</v>
      </c>
      <c r="I215" s="561"/>
      <c r="K215" s="174"/>
      <c r="L215" s="175" t="s">
        <v>255</v>
      </c>
      <c r="M215" s="176">
        <f ca="1">IF($D215&lt;&gt;"Serviço","",IF(AUTOEVENTO="manual",$A215,IF(ISERROR(MATCH($A215,$A$15:OFFSET($A215,-1,0),0)),MAX($M$15:OFFSET(M215,-1,0))+1,INDEX($M$15:OFFSET(M215,-1,0),MATCH($A215,$A$15:OFFSET($A215,-1,0),0)))))</f>
        <v>10</v>
      </c>
      <c r="N215" s="177" t="str">
        <f ca="1">IF($D215&lt;&gt;"Serviço","",IF(AUTOEVENTO="Manual",IF($A215=0,"&lt;-- defina o número do agrupador",OFFSET(EVENTOS!$D$14,$A215,0)),OFFSET($F$15,$A215,0)))</f>
        <v>QUADRA DE AREIA</v>
      </c>
      <c r="O215" s="178"/>
      <c r="Q215" s="178"/>
      <c r="R215" s="179"/>
      <c r="S215" s="179"/>
      <c r="T215" s="179"/>
      <c r="U215" s="179"/>
      <c r="V215" s="179"/>
      <c r="W215" s="179"/>
      <c r="X215" s="179"/>
      <c r="Y215" s="179"/>
      <c r="Z215" s="180"/>
      <c r="AB215" s="544">
        <f ca="1">IF(AND($D215="Serviço",AB$12&lt;&gt;0,$H215&gt;0,OR(AUTOEVENTO&lt;&gt;"manual",$M215&lt;&gt;1)),
IF(Import.TipoArredondamento&lt;&gt;"TransfereGOV",
ROUND(OFFSET($P215,0,AB$13),15-13*ORÇAMENTO!$AF$7)/$H215*OFFSET(ORÇAMENTO!$X$15,ROW(AB215)-ROW(AB$15),0),
ROUND(ROUND(OFFSET($P215,0,AB$13),15-13*ORÇAMENTO!$AF$7)*OFFSET(ORÇAMENTO!$W$15,ROW(AB215)-ROW(AB$15),0),15-13*ORÇAMENTO!$AF$11)),0)</f>
        <v>0</v>
      </c>
      <c r="AC215" s="545">
        <f ca="1">IF(AND($D215="Serviço",AC$12&lt;&gt;0,$H215&gt;0,OR(AUTOEVENTO&lt;&gt;"manual",$M215&lt;&gt;1)),
IF(Import.TipoArredondamento&lt;&gt;"TransfereGOV",
ROUND(OFFSET($P215,0,AC$13),15-13*ORÇAMENTO!$AF$7)/$H215*OFFSET(ORÇAMENTO!$X$15,ROW(AC215)-ROW(AC$15),0),
ROUND(ROUND(OFFSET($P215,0,AC$13),15-13*ORÇAMENTO!$AF$7)*OFFSET(ORÇAMENTO!$W$15,ROW(AC215)-ROW(AC$15),0),15-13*ORÇAMENTO!$AF$11)),0)</f>
        <v>0</v>
      </c>
      <c r="AD215" s="545">
        <f ca="1">IF(AND($D215="Serviço",AD$12&lt;&gt;0,$H215&gt;0,OR(AUTOEVENTO&lt;&gt;"manual",$M215&lt;&gt;1)),
IF(Import.TipoArredondamento&lt;&gt;"TransfereGOV",
ROUND(OFFSET($P215,0,AD$13),15-13*ORÇAMENTO!$AF$7)/$H215*OFFSET(ORÇAMENTO!$X$15,ROW(AD215)-ROW(AD$15),0),
ROUND(ROUND(OFFSET($P215,0,AD$13),15-13*ORÇAMENTO!$AF$7)*OFFSET(ORÇAMENTO!$W$15,ROW(AD215)-ROW(AD$15),0),15-13*ORÇAMENTO!$AF$11)),0)</f>
        <v>0</v>
      </c>
      <c r="AE215" s="545">
        <f ca="1">IF(AND($D215="Serviço",AE$12&lt;&gt;0,$H215&gt;0,OR(AUTOEVENTO&lt;&gt;"manual",$M215&lt;&gt;1)),
IF(Import.TipoArredondamento&lt;&gt;"TransfereGOV",
ROUND(OFFSET($P215,0,AE$13),15-13*ORÇAMENTO!$AF$7)/$H215*OFFSET(ORÇAMENTO!$X$15,ROW(AE215)-ROW(AE$15),0),
ROUND(ROUND(OFFSET($P215,0,AE$13),15-13*ORÇAMENTO!$AF$7)*OFFSET(ORÇAMENTO!$W$15,ROW(AE215)-ROW(AE$15),0),15-13*ORÇAMENTO!$AF$11)),0)</f>
        <v>0</v>
      </c>
      <c r="AF215" s="545">
        <f ca="1">IF(AND($D215="Serviço",AF$12&lt;&gt;0,$H215&gt;0,OR(AUTOEVENTO&lt;&gt;"manual",$M215&lt;&gt;1)),
IF(Import.TipoArredondamento&lt;&gt;"TransfereGOV",
ROUND(OFFSET($P215,0,AF$13),15-13*ORÇAMENTO!$AF$7)/$H215*OFFSET(ORÇAMENTO!$X$15,ROW(AF215)-ROW(AF$15),0),
ROUND(ROUND(OFFSET($P215,0,AF$13),15-13*ORÇAMENTO!$AF$7)*OFFSET(ORÇAMENTO!$W$15,ROW(AF215)-ROW(AF$15),0),15-13*ORÇAMENTO!$AF$11)),0)</f>
        <v>0</v>
      </c>
      <c r="AG215" s="545">
        <f ca="1">IF(AND($D215="Serviço",AG$12&lt;&gt;0,$H215&gt;0,OR(AUTOEVENTO&lt;&gt;"manual",$M215&lt;&gt;1)),
IF(Import.TipoArredondamento&lt;&gt;"TransfereGOV",
ROUND(OFFSET($P215,0,AG$13),15-13*ORÇAMENTO!$AF$7)/$H215*OFFSET(ORÇAMENTO!$X$15,ROW(AG215)-ROW(AG$15),0),
ROUND(ROUND(OFFSET($P215,0,AG$13),15-13*ORÇAMENTO!$AF$7)*OFFSET(ORÇAMENTO!$W$15,ROW(AG215)-ROW(AG$15),0),15-13*ORÇAMENTO!$AF$11)),0)</f>
        <v>0</v>
      </c>
      <c r="AH215" s="545">
        <f ca="1">IF(AND($D215="Serviço",AH$12&lt;&gt;0,$H215&gt;0,OR(AUTOEVENTO&lt;&gt;"manual",$M215&lt;&gt;1)),
IF(Import.TipoArredondamento&lt;&gt;"TransfereGOV",
ROUND(OFFSET($P215,0,AH$13),15-13*ORÇAMENTO!$AF$7)/$H215*OFFSET(ORÇAMENTO!$X$15,ROW(AH215)-ROW(AH$15),0),
ROUND(ROUND(OFFSET($P215,0,AH$13),15-13*ORÇAMENTO!$AF$7)*OFFSET(ORÇAMENTO!$W$15,ROW(AH215)-ROW(AH$15),0),15-13*ORÇAMENTO!$AF$11)),0)</f>
        <v>0</v>
      </c>
      <c r="AI215" s="545">
        <f ca="1">IF(AND($D215="Serviço",AI$12&lt;&gt;0,$H215&gt;0,OR(AUTOEVENTO&lt;&gt;"manual",$M215&lt;&gt;1)),
IF(Import.TipoArredondamento&lt;&gt;"TransfereGOV",
ROUND(OFFSET($P215,0,AI$13),15-13*ORÇAMENTO!$AF$7)/$H215*OFFSET(ORÇAMENTO!$X$15,ROW(AI215)-ROW(AI$15),0),
ROUND(ROUND(OFFSET($P215,0,AI$13),15-13*ORÇAMENTO!$AF$7)*OFFSET(ORÇAMENTO!$W$15,ROW(AI215)-ROW(AI$15),0),15-13*ORÇAMENTO!$AF$11)),0)</f>
        <v>0</v>
      </c>
      <c r="AJ215" s="545">
        <f ca="1">IF(AND($D215="Serviço",AJ$12&lt;&gt;0,$H215&gt;0,OR(AUTOEVENTO&lt;&gt;"manual",$M215&lt;&gt;1)),
IF(Import.TipoArredondamento&lt;&gt;"TransfereGOV",
ROUND(OFFSET($P215,0,AJ$13),15-13*ORÇAMENTO!$AF$7)/$H215*OFFSET(ORÇAMENTO!$X$15,ROW(AJ215)-ROW(AJ$15),0),
ROUND(ROUND(OFFSET($P215,0,AJ$13),15-13*ORÇAMENTO!$AF$7)*OFFSET(ORÇAMENTO!$W$15,ROW(AJ215)-ROW(AJ$15),0),15-13*ORÇAMENTO!$AF$11)),0)</f>
        <v>0</v>
      </c>
      <c r="AK215" s="546">
        <f ca="1">IF(AND($D215="Serviço",AK$12&lt;&gt;0,$H215&gt;0,OR(AUTOEVENTO&lt;&gt;"manual",$M215&lt;&gt;1)),
IF(Import.TipoArredondamento&lt;&gt;"TransfereGOV",
ROUND(OFFSET($P215,0,AK$13),15-13*ORÇAMENTO!$AF$7)/$H215*OFFSET(ORÇAMENTO!$X$15,ROW(AK215)-ROW(AK$15),0),
ROUND(ROUND(OFFSET($P215,0,AK$13),15-13*ORÇAMENTO!$AF$7)*OFFSET(ORÇAMENTO!$W$15,ROW(AK215)-ROW(AK$15),0),15-13*ORÇAMENTO!$AF$11)),0)</f>
        <v>0</v>
      </c>
      <c r="AM215" s="181">
        <f ca="1">IF($D215&lt;&gt;"Serviço",0,IF(AND(AUTOEVENTO="Manual",$M215=1),0,IF(OFFSET(CRONOPLE!$F$14,$M215,AM$13)="",10^12,OFFSET(CRONOPLE!$F$14,$M215,AM$13))))</f>
        <v>1000000000000</v>
      </c>
      <c r="AN215" s="181">
        <f ca="1">IF($D215&lt;&gt;"Serviço",0,IF(AND(AUTOEVENTO="Manual",$M215=1),0,IF(OFFSET(CRONOPLE!$F$14,$M215,AN$13)="",10^12,OFFSET(CRONOPLE!$F$14,$M215,AN$13))))</f>
        <v>1000000000000</v>
      </c>
      <c r="AO215" s="181">
        <f ca="1">IF($D215&lt;&gt;"Serviço",0,IF(AND(AUTOEVENTO="Manual",$M215=1),0,IF(OFFSET(CRONOPLE!$F$14,$M215,AO$13)="",10^12,OFFSET(CRONOPLE!$F$14,$M215,AO$13))))</f>
        <v>1000000000000</v>
      </c>
      <c r="AP215" s="181">
        <f ca="1">IF($D215&lt;&gt;"Serviço",0,IF(AND(AUTOEVENTO="Manual",$M215=1),0,IF(OFFSET(CRONOPLE!$F$14,$M215,AP$13)="",10^12,OFFSET(CRONOPLE!$F$14,$M215,AP$13))))</f>
        <v>1000000000000</v>
      </c>
      <c r="AQ215" s="181">
        <f ca="1">IF($D215&lt;&gt;"Serviço",0,IF(AND(AUTOEVENTO="Manual",$M215=1),0,IF(OFFSET(CRONOPLE!$F$14,$M215,AQ$13)="",10^12,OFFSET(CRONOPLE!$F$14,$M215,AQ$13))))</f>
        <v>1000000000000</v>
      </c>
      <c r="AR215" s="181">
        <f ca="1">IF($D215&lt;&gt;"Serviço",0,IF(AND(AUTOEVENTO="Manual",$M215=1),0,IF(OFFSET(CRONOPLE!$F$14,$M215,AR$13)="",10^12,OFFSET(CRONOPLE!$F$14,$M215,AR$13))))</f>
        <v>1000000000000</v>
      </c>
      <c r="AS215" s="181">
        <f ca="1">IF($D215&lt;&gt;"Serviço",0,IF(AND(AUTOEVENTO="Manual",$M215=1),0,IF(OFFSET(CRONOPLE!$F$14,$M215,AS$13)="",10^12,OFFSET(CRONOPLE!$F$14,$M215,AS$13))))</f>
        <v>1000000000000</v>
      </c>
      <c r="AT215" s="181">
        <f ca="1">IF($D215&lt;&gt;"Serviço",0,IF(AND(AUTOEVENTO="Manual",$M215=1),0,IF(OFFSET(CRONOPLE!$F$14,$M215,AT$13)="",10^12,OFFSET(CRONOPLE!$F$14,$M215,AT$13))))</f>
        <v>1000000000000</v>
      </c>
      <c r="AU215" s="181">
        <f ca="1">IF($D215&lt;&gt;"Serviço",0,IF(AND(AUTOEVENTO="Manual",$M215=1),0,IF(OFFSET(CRONOPLE!$F$14,$M215,AU$13)="",10^12,OFFSET(CRONOPLE!$F$14,$M215,AU$13))))</f>
        <v>1000000000000</v>
      </c>
      <c r="AV215" s="181">
        <f ca="1">IF($D215&lt;&gt;"Serviço",0,IF(AND(AUTOEVENTO="Manual",$M215=1),0,IF(OFFSET(CRONOPLE!$F$14,$M215,AV$13)="",10^12,OFFSET(CRONOPLE!$F$14,$M215,AV$13))))</f>
        <v>1000000000000</v>
      </c>
      <c r="AX215" s="182">
        <f ca="1">IF($D215&lt;&gt;"Serviço",0,IF(OR(AND(AUTOEVENTO="Manual",$M215=1),$M215&gt;(ROW(PLE.lastrow)-ROW(PLE.firstrow))),0,IF(OFFSET(PLE!$G$14,$M215,AX$13)="",10^12,OFFSET(PLE!$G$14,$M215,AX$13))))</f>
        <v>1000000000000</v>
      </c>
      <c r="AY215" s="182">
        <f ca="1">IF($D215&lt;&gt;"Serviço",0,IF(OR(AND(AUTOEVENTO="Manual",$M215=1),$M215&gt;(ROW(PLE.lastrow)-ROW(PLE.firstrow))),0,IF(OFFSET(PLE!$G$14,$M215,AY$13)="",10^12,OFFSET(PLE!$G$14,$M215,AY$13))))</f>
        <v>1000000000000</v>
      </c>
      <c r="AZ215" s="182">
        <f ca="1">IF($D215&lt;&gt;"Serviço",0,IF(OR(AND(AUTOEVENTO="Manual",$M215=1),$M215&gt;(ROW(PLE.lastrow)-ROW(PLE.firstrow))),0,IF(OFFSET(PLE!$G$14,$M215,AZ$13)="",10^12,OFFSET(PLE!$G$14,$M215,AZ$13))))</f>
        <v>1000000000000</v>
      </c>
      <c r="BA215" s="182">
        <f ca="1">IF($D215&lt;&gt;"Serviço",0,IF(OR(AND(AUTOEVENTO="Manual",$M215=1),$M215&gt;(ROW(PLE.lastrow)-ROW(PLE.firstrow))),0,IF(OFFSET(PLE!$G$14,$M215,BA$13)="",10^12,OFFSET(PLE!$G$14,$M215,BA$13))))</f>
        <v>1000000000000</v>
      </c>
      <c r="BB215" s="182">
        <f ca="1">IF($D215&lt;&gt;"Serviço",0,IF(OR(AND(AUTOEVENTO="Manual",$M215=1),$M215&gt;(ROW(PLE.lastrow)-ROW(PLE.firstrow))),0,IF(OFFSET(PLE!$G$14,$M215,BB$13)="",10^12,OFFSET(PLE!$G$14,$M215,BB$13))))</f>
        <v>1000000000000</v>
      </c>
      <c r="BC215" s="182">
        <f ca="1">IF($D215&lt;&gt;"Serviço",0,IF(OR(AND(AUTOEVENTO="Manual",$M215=1),$M215&gt;(ROW(PLE.lastrow)-ROW(PLE.firstrow))),0,IF(OFFSET(PLE!$G$14,$M215,BC$13)="",10^12,OFFSET(PLE!$G$14,$M215,BC$13))))</f>
        <v>1000000000000</v>
      </c>
      <c r="BD215" s="182">
        <f ca="1">IF($D215&lt;&gt;"Serviço",0,IF(OR(AND(AUTOEVENTO="Manual",$M215=1),$M215&gt;(ROW(PLE.lastrow)-ROW(PLE.firstrow))),0,IF(OFFSET(PLE!$G$14,$M215,BD$13)="",10^12,OFFSET(PLE!$G$14,$M215,BD$13))))</f>
        <v>1000000000000</v>
      </c>
      <c r="BE215" s="182">
        <f ca="1">IF($D215&lt;&gt;"Serviço",0,IF(OR(AND(AUTOEVENTO="Manual",$M215=1),$M215&gt;(ROW(PLE.lastrow)-ROW(PLE.firstrow))),0,IF(OFFSET(PLE!$G$14,$M215,BE$13)="",10^12,OFFSET(PLE!$G$14,$M215,BE$13))))</f>
        <v>1000000000000</v>
      </c>
      <c r="BF215" s="182">
        <f ca="1">IF($D215&lt;&gt;"Serviço",0,IF(OR(AND(AUTOEVENTO="Manual",$M215=1),$M215&gt;(ROW(PLE.lastrow)-ROW(PLE.firstrow))),0,IF(OFFSET(PLE!$G$14,$M215,BF$13)="",10^12,OFFSET(PLE!$G$14,$M215,BF$13))))</f>
        <v>1000000000000</v>
      </c>
      <c r="BG215" s="182">
        <f ca="1">IF($D215&lt;&gt;"Serviço",0,IF(OR(AND(AUTOEVENTO="Manual",$M215=1),$M215&gt;(ROW(PLE.lastrow)-ROW(PLE.firstrow))),0,IF(OFFSET(PLE!$G$14,$M215,BG$13)="",10^12,OFFSET(PLE!$G$14,$M215,BG$13))))</f>
        <v>1000000000000</v>
      </c>
    </row>
    <row r="216" spans="1:59" ht="51" x14ac:dyDescent="0.2">
      <c r="A216" s="7" t="str">
        <f t="shared" ca="1" si="10"/>
        <v>197</v>
      </c>
      <c r="B216" s="7" t="str">
        <f ca="1">OFFSET(ORÇAMENTO!C$15,ROW(B216)-ROW(B$15),0)</f>
        <v>S</v>
      </c>
      <c r="C216" s="7" t="str">
        <f ca="1">OFFSET(ORÇAMENTO!L$15,ROW(C216)-ROW(C$15),0)</f>
        <v>F</v>
      </c>
      <c r="D216" s="118" t="str">
        <f ca="1">OFFSET(ORÇAMENTO!N$15,ROW(D216)-ROW(D$15),0)</f>
        <v>Serviço</v>
      </c>
      <c r="E216" s="119" t="str">
        <f ca="1">OFFSET(ORÇAMENTO!O$15,ROW(E216)-ROW(E$15),0)</f>
        <v>1.9.0.4.</v>
      </c>
      <c r="F216" s="172" t="str">
        <f ca="1">OFFSET(ORÇAMENTO!R$15,ROW(F216)-ROW(F$15),0)</f>
        <v>(abra o arquivo 'Referência 03-2024.xlsm)</v>
      </c>
      <c r="G216" s="173" t="str">
        <f ca="1">IF($D216&lt;&gt;"Serviço","",OFFSET(ORÇAMENTO!S$15,ROW(G216)-ROW(G$15),0))</f>
        <v>-</v>
      </c>
      <c r="H216" s="124">
        <f ca="1">IF($D216&lt;&gt;"Serviço",0,IF(ACOMPANHAMENTO="BM",ROUND(OFFSET(ORÇAMENTO!AJ$15,ROW(H216)-ROW(H$15),0),15-13*ORÇAMENTO!$AF$7),SUMPRODUCT(($Q$12:$AA$12&lt;&gt;"")*ROUND($Q216:$AA216,15-13*ORÇAMENTO!$AF$7))))</f>
        <v>1.38</v>
      </c>
      <c r="I216" s="561"/>
      <c r="K216" s="174"/>
      <c r="L216" s="175" t="s">
        <v>255</v>
      </c>
      <c r="M216" s="176">
        <f ca="1">IF($D216&lt;&gt;"Serviço","",IF(AUTOEVENTO="manual",$A216,IF(ISERROR(MATCH($A216,$A$15:OFFSET($A216,-1,0),0)),MAX($M$15:OFFSET(M216,-1,0))+1,INDEX($M$15:OFFSET(M216,-1,0),MATCH($A216,$A$15:OFFSET($A216,-1,0),0)))))</f>
        <v>10</v>
      </c>
      <c r="N216" s="177" t="str">
        <f ca="1">IF($D216&lt;&gt;"Serviço","",IF(AUTOEVENTO="Manual",IF($A216=0,"&lt;-- defina o número do agrupador",OFFSET(EVENTOS!$D$14,$A216,0)),OFFSET($F$15,$A216,0)))</f>
        <v>QUADRA DE AREIA</v>
      </c>
      <c r="O216" s="178"/>
      <c r="Q216" s="178"/>
      <c r="R216" s="179"/>
      <c r="S216" s="179"/>
      <c r="T216" s="179"/>
      <c r="U216" s="179"/>
      <c r="V216" s="179"/>
      <c r="W216" s="179"/>
      <c r="X216" s="179"/>
      <c r="Y216" s="179"/>
      <c r="Z216" s="180"/>
      <c r="AB216" s="544">
        <f ca="1">IF(AND($D216="Serviço",AB$12&lt;&gt;0,$H216&gt;0,OR(AUTOEVENTO&lt;&gt;"manual",$M216&lt;&gt;1)),
IF(Import.TipoArredondamento&lt;&gt;"TransfereGOV",
ROUND(OFFSET($P216,0,AB$13),15-13*ORÇAMENTO!$AF$7)/$H216*OFFSET(ORÇAMENTO!$X$15,ROW(AB216)-ROW(AB$15),0),
ROUND(ROUND(OFFSET($P216,0,AB$13),15-13*ORÇAMENTO!$AF$7)*OFFSET(ORÇAMENTO!$W$15,ROW(AB216)-ROW(AB$15),0),15-13*ORÇAMENTO!$AF$11)),0)</f>
        <v>0</v>
      </c>
      <c r="AC216" s="545">
        <f ca="1">IF(AND($D216="Serviço",AC$12&lt;&gt;0,$H216&gt;0,OR(AUTOEVENTO&lt;&gt;"manual",$M216&lt;&gt;1)),
IF(Import.TipoArredondamento&lt;&gt;"TransfereGOV",
ROUND(OFFSET($P216,0,AC$13),15-13*ORÇAMENTO!$AF$7)/$H216*OFFSET(ORÇAMENTO!$X$15,ROW(AC216)-ROW(AC$15),0),
ROUND(ROUND(OFFSET($P216,0,AC$13),15-13*ORÇAMENTO!$AF$7)*OFFSET(ORÇAMENTO!$W$15,ROW(AC216)-ROW(AC$15),0),15-13*ORÇAMENTO!$AF$11)),0)</f>
        <v>0</v>
      </c>
      <c r="AD216" s="545">
        <f ca="1">IF(AND($D216="Serviço",AD$12&lt;&gt;0,$H216&gt;0,OR(AUTOEVENTO&lt;&gt;"manual",$M216&lt;&gt;1)),
IF(Import.TipoArredondamento&lt;&gt;"TransfereGOV",
ROUND(OFFSET($P216,0,AD$13),15-13*ORÇAMENTO!$AF$7)/$H216*OFFSET(ORÇAMENTO!$X$15,ROW(AD216)-ROW(AD$15),0),
ROUND(ROUND(OFFSET($P216,0,AD$13),15-13*ORÇAMENTO!$AF$7)*OFFSET(ORÇAMENTO!$W$15,ROW(AD216)-ROW(AD$15),0),15-13*ORÇAMENTO!$AF$11)),0)</f>
        <v>0</v>
      </c>
      <c r="AE216" s="545">
        <f ca="1">IF(AND($D216="Serviço",AE$12&lt;&gt;0,$H216&gt;0,OR(AUTOEVENTO&lt;&gt;"manual",$M216&lt;&gt;1)),
IF(Import.TipoArredondamento&lt;&gt;"TransfereGOV",
ROUND(OFFSET($P216,0,AE$13),15-13*ORÇAMENTO!$AF$7)/$H216*OFFSET(ORÇAMENTO!$X$15,ROW(AE216)-ROW(AE$15),0),
ROUND(ROUND(OFFSET($P216,0,AE$13),15-13*ORÇAMENTO!$AF$7)*OFFSET(ORÇAMENTO!$W$15,ROW(AE216)-ROW(AE$15),0),15-13*ORÇAMENTO!$AF$11)),0)</f>
        <v>0</v>
      </c>
      <c r="AF216" s="545">
        <f ca="1">IF(AND($D216="Serviço",AF$12&lt;&gt;0,$H216&gt;0,OR(AUTOEVENTO&lt;&gt;"manual",$M216&lt;&gt;1)),
IF(Import.TipoArredondamento&lt;&gt;"TransfereGOV",
ROUND(OFFSET($P216,0,AF$13),15-13*ORÇAMENTO!$AF$7)/$H216*OFFSET(ORÇAMENTO!$X$15,ROW(AF216)-ROW(AF$15),0),
ROUND(ROUND(OFFSET($P216,0,AF$13),15-13*ORÇAMENTO!$AF$7)*OFFSET(ORÇAMENTO!$W$15,ROW(AF216)-ROW(AF$15),0),15-13*ORÇAMENTO!$AF$11)),0)</f>
        <v>0</v>
      </c>
      <c r="AG216" s="545">
        <f ca="1">IF(AND($D216="Serviço",AG$12&lt;&gt;0,$H216&gt;0,OR(AUTOEVENTO&lt;&gt;"manual",$M216&lt;&gt;1)),
IF(Import.TipoArredondamento&lt;&gt;"TransfereGOV",
ROUND(OFFSET($P216,0,AG$13),15-13*ORÇAMENTO!$AF$7)/$H216*OFFSET(ORÇAMENTO!$X$15,ROW(AG216)-ROW(AG$15),0),
ROUND(ROUND(OFFSET($P216,0,AG$13),15-13*ORÇAMENTO!$AF$7)*OFFSET(ORÇAMENTO!$W$15,ROW(AG216)-ROW(AG$15),0),15-13*ORÇAMENTO!$AF$11)),0)</f>
        <v>0</v>
      </c>
      <c r="AH216" s="545">
        <f ca="1">IF(AND($D216="Serviço",AH$12&lt;&gt;0,$H216&gt;0,OR(AUTOEVENTO&lt;&gt;"manual",$M216&lt;&gt;1)),
IF(Import.TipoArredondamento&lt;&gt;"TransfereGOV",
ROUND(OFFSET($P216,0,AH$13),15-13*ORÇAMENTO!$AF$7)/$H216*OFFSET(ORÇAMENTO!$X$15,ROW(AH216)-ROW(AH$15),0),
ROUND(ROUND(OFFSET($P216,0,AH$13),15-13*ORÇAMENTO!$AF$7)*OFFSET(ORÇAMENTO!$W$15,ROW(AH216)-ROW(AH$15),0),15-13*ORÇAMENTO!$AF$11)),0)</f>
        <v>0</v>
      </c>
      <c r="AI216" s="545">
        <f ca="1">IF(AND($D216="Serviço",AI$12&lt;&gt;0,$H216&gt;0,OR(AUTOEVENTO&lt;&gt;"manual",$M216&lt;&gt;1)),
IF(Import.TipoArredondamento&lt;&gt;"TransfereGOV",
ROUND(OFFSET($P216,0,AI$13),15-13*ORÇAMENTO!$AF$7)/$H216*OFFSET(ORÇAMENTO!$X$15,ROW(AI216)-ROW(AI$15),0),
ROUND(ROUND(OFFSET($P216,0,AI$13),15-13*ORÇAMENTO!$AF$7)*OFFSET(ORÇAMENTO!$W$15,ROW(AI216)-ROW(AI$15),0),15-13*ORÇAMENTO!$AF$11)),0)</f>
        <v>0</v>
      </c>
      <c r="AJ216" s="545">
        <f ca="1">IF(AND($D216="Serviço",AJ$12&lt;&gt;0,$H216&gt;0,OR(AUTOEVENTO&lt;&gt;"manual",$M216&lt;&gt;1)),
IF(Import.TipoArredondamento&lt;&gt;"TransfereGOV",
ROUND(OFFSET($P216,0,AJ$13),15-13*ORÇAMENTO!$AF$7)/$H216*OFFSET(ORÇAMENTO!$X$15,ROW(AJ216)-ROW(AJ$15),0),
ROUND(ROUND(OFFSET($P216,0,AJ$13),15-13*ORÇAMENTO!$AF$7)*OFFSET(ORÇAMENTO!$W$15,ROW(AJ216)-ROW(AJ$15),0),15-13*ORÇAMENTO!$AF$11)),0)</f>
        <v>0</v>
      </c>
      <c r="AK216" s="546">
        <f ca="1">IF(AND($D216="Serviço",AK$12&lt;&gt;0,$H216&gt;0,OR(AUTOEVENTO&lt;&gt;"manual",$M216&lt;&gt;1)),
IF(Import.TipoArredondamento&lt;&gt;"TransfereGOV",
ROUND(OFFSET($P216,0,AK$13),15-13*ORÇAMENTO!$AF$7)/$H216*OFFSET(ORÇAMENTO!$X$15,ROW(AK216)-ROW(AK$15),0),
ROUND(ROUND(OFFSET($P216,0,AK$13),15-13*ORÇAMENTO!$AF$7)*OFFSET(ORÇAMENTO!$W$15,ROW(AK216)-ROW(AK$15),0),15-13*ORÇAMENTO!$AF$11)),0)</f>
        <v>0</v>
      </c>
      <c r="AM216" s="181">
        <f ca="1">IF($D216&lt;&gt;"Serviço",0,IF(AND(AUTOEVENTO="Manual",$M216=1),0,IF(OFFSET(CRONOPLE!$F$14,$M216,AM$13)="",10^12,OFFSET(CRONOPLE!$F$14,$M216,AM$13))))</f>
        <v>1000000000000</v>
      </c>
      <c r="AN216" s="181">
        <f ca="1">IF($D216&lt;&gt;"Serviço",0,IF(AND(AUTOEVENTO="Manual",$M216=1),0,IF(OFFSET(CRONOPLE!$F$14,$M216,AN$13)="",10^12,OFFSET(CRONOPLE!$F$14,$M216,AN$13))))</f>
        <v>1000000000000</v>
      </c>
      <c r="AO216" s="181">
        <f ca="1">IF($D216&lt;&gt;"Serviço",0,IF(AND(AUTOEVENTO="Manual",$M216=1),0,IF(OFFSET(CRONOPLE!$F$14,$M216,AO$13)="",10^12,OFFSET(CRONOPLE!$F$14,$M216,AO$13))))</f>
        <v>1000000000000</v>
      </c>
      <c r="AP216" s="181">
        <f ca="1">IF($D216&lt;&gt;"Serviço",0,IF(AND(AUTOEVENTO="Manual",$M216=1),0,IF(OFFSET(CRONOPLE!$F$14,$M216,AP$13)="",10^12,OFFSET(CRONOPLE!$F$14,$M216,AP$13))))</f>
        <v>1000000000000</v>
      </c>
      <c r="AQ216" s="181">
        <f ca="1">IF($D216&lt;&gt;"Serviço",0,IF(AND(AUTOEVENTO="Manual",$M216=1),0,IF(OFFSET(CRONOPLE!$F$14,$M216,AQ$13)="",10^12,OFFSET(CRONOPLE!$F$14,$M216,AQ$13))))</f>
        <v>1000000000000</v>
      </c>
      <c r="AR216" s="181">
        <f ca="1">IF($D216&lt;&gt;"Serviço",0,IF(AND(AUTOEVENTO="Manual",$M216=1),0,IF(OFFSET(CRONOPLE!$F$14,$M216,AR$13)="",10^12,OFFSET(CRONOPLE!$F$14,$M216,AR$13))))</f>
        <v>1000000000000</v>
      </c>
      <c r="AS216" s="181">
        <f ca="1">IF($D216&lt;&gt;"Serviço",0,IF(AND(AUTOEVENTO="Manual",$M216=1),0,IF(OFFSET(CRONOPLE!$F$14,$M216,AS$13)="",10^12,OFFSET(CRONOPLE!$F$14,$M216,AS$13))))</f>
        <v>1000000000000</v>
      </c>
      <c r="AT216" s="181">
        <f ca="1">IF($D216&lt;&gt;"Serviço",0,IF(AND(AUTOEVENTO="Manual",$M216=1),0,IF(OFFSET(CRONOPLE!$F$14,$M216,AT$13)="",10^12,OFFSET(CRONOPLE!$F$14,$M216,AT$13))))</f>
        <v>1000000000000</v>
      </c>
      <c r="AU216" s="181">
        <f ca="1">IF($D216&lt;&gt;"Serviço",0,IF(AND(AUTOEVENTO="Manual",$M216=1),0,IF(OFFSET(CRONOPLE!$F$14,$M216,AU$13)="",10^12,OFFSET(CRONOPLE!$F$14,$M216,AU$13))))</f>
        <v>1000000000000</v>
      </c>
      <c r="AV216" s="181">
        <f ca="1">IF($D216&lt;&gt;"Serviço",0,IF(AND(AUTOEVENTO="Manual",$M216=1),0,IF(OFFSET(CRONOPLE!$F$14,$M216,AV$13)="",10^12,OFFSET(CRONOPLE!$F$14,$M216,AV$13))))</f>
        <v>1000000000000</v>
      </c>
      <c r="AX216" s="182">
        <f ca="1">IF($D216&lt;&gt;"Serviço",0,IF(OR(AND(AUTOEVENTO="Manual",$M216=1),$M216&gt;(ROW(PLE.lastrow)-ROW(PLE.firstrow))),0,IF(OFFSET(PLE!$G$14,$M216,AX$13)="",10^12,OFFSET(PLE!$G$14,$M216,AX$13))))</f>
        <v>1000000000000</v>
      </c>
      <c r="AY216" s="182">
        <f ca="1">IF($D216&lt;&gt;"Serviço",0,IF(OR(AND(AUTOEVENTO="Manual",$M216=1),$M216&gt;(ROW(PLE.lastrow)-ROW(PLE.firstrow))),0,IF(OFFSET(PLE!$G$14,$M216,AY$13)="",10^12,OFFSET(PLE!$G$14,$M216,AY$13))))</f>
        <v>1000000000000</v>
      </c>
      <c r="AZ216" s="182">
        <f ca="1">IF($D216&lt;&gt;"Serviço",0,IF(OR(AND(AUTOEVENTO="Manual",$M216=1),$M216&gt;(ROW(PLE.lastrow)-ROW(PLE.firstrow))),0,IF(OFFSET(PLE!$G$14,$M216,AZ$13)="",10^12,OFFSET(PLE!$G$14,$M216,AZ$13))))</f>
        <v>1000000000000</v>
      </c>
      <c r="BA216" s="182">
        <f ca="1">IF($D216&lt;&gt;"Serviço",0,IF(OR(AND(AUTOEVENTO="Manual",$M216=1),$M216&gt;(ROW(PLE.lastrow)-ROW(PLE.firstrow))),0,IF(OFFSET(PLE!$G$14,$M216,BA$13)="",10^12,OFFSET(PLE!$G$14,$M216,BA$13))))</f>
        <v>1000000000000</v>
      </c>
      <c r="BB216" s="182">
        <f ca="1">IF($D216&lt;&gt;"Serviço",0,IF(OR(AND(AUTOEVENTO="Manual",$M216=1),$M216&gt;(ROW(PLE.lastrow)-ROW(PLE.firstrow))),0,IF(OFFSET(PLE!$G$14,$M216,BB$13)="",10^12,OFFSET(PLE!$G$14,$M216,BB$13))))</f>
        <v>1000000000000</v>
      </c>
      <c r="BC216" s="182">
        <f ca="1">IF($D216&lt;&gt;"Serviço",0,IF(OR(AND(AUTOEVENTO="Manual",$M216=1),$M216&gt;(ROW(PLE.lastrow)-ROW(PLE.firstrow))),0,IF(OFFSET(PLE!$G$14,$M216,BC$13)="",10^12,OFFSET(PLE!$G$14,$M216,BC$13))))</f>
        <v>1000000000000</v>
      </c>
      <c r="BD216" s="182">
        <f ca="1">IF($D216&lt;&gt;"Serviço",0,IF(OR(AND(AUTOEVENTO="Manual",$M216=1),$M216&gt;(ROW(PLE.lastrow)-ROW(PLE.firstrow))),0,IF(OFFSET(PLE!$G$14,$M216,BD$13)="",10^12,OFFSET(PLE!$G$14,$M216,BD$13))))</f>
        <v>1000000000000</v>
      </c>
      <c r="BE216" s="182">
        <f ca="1">IF($D216&lt;&gt;"Serviço",0,IF(OR(AND(AUTOEVENTO="Manual",$M216=1),$M216&gt;(ROW(PLE.lastrow)-ROW(PLE.firstrow))),0,IF(OFFSET(PLE!$G$14,$M216,BE$13)="",10^12,OFFSET(PLE!$G$14,$M216,BE$13))))</f>
        <v>1000000000000</v>
      </c>
      <c r="BF216" s="182">
        <f ca="1">IF($D216&lt;&gt;"Serviço",0,IF(OR(AND(AUTOEVENTO="Manual",$M216=1),$M216&gt;(ROW(PLE.lastrow)-ROW(PLE.firstrow))),0,IF(OFFSET(PLE!$G$14,$M216,BF$13)="",10^12,OFFSET(PLE!$G$14,$M216,BF$13))))</f>
        <v>1000000000000</v>
      </c>
      <c r="BG216" s="182">
        <f ca="1">IF($D216&lt;&gt;"Serviço",0,IF(OR(AND(AUTOEVENTO="Manual",$M216=1),$M216&gt;(ROW(PLE.lastrow)-ROW(PLE.firstrow))),0,IF(OFFSET(PLE!$G$14,$M216,BG$13)="",10^12,OFFSET(PLE!$G$14,$M216,BG$13))))</f>
        <v>1000000000000</v>
      </c>
    </row>
    <row r="217" spans="1:59" ht="38.25" x14ac:dyDescent="0.2">
      <c r="A217" s="7" t="str">
        <f t="shared" ca="1" si="10"/>
        <v>197</v>
      </c>
      <c r="B217" s="7" t="str">
        <f ca="1">OFFSET(ORÇAMENTO!C$15,ROW(B217)-ROW(B$15),0)</f>
        <v>S</v>
      </c>
      <c r="C217" s="7" t="str">
        <f ca="1">OFFSET(ORÇAMENTO!L$15,ROW(C217)-ROW(C$15),0)</f>
        <v>F</v>
      </c>
      <c r="D217" s="118" t="str">
        <f ca="1">OFFSET(ORÇAMENTO!N$15,ROW(D217)-ROW(D$15),0)</f>
        <v>Serviço</v>
      </c>
      <c r="E217" s="119" t="str">
        <f ca="1">OFFSET(ORÇAMENTO!O$15,ROW(E217)-ROW(E$15),0)</f>
        <v>1.9.0.5.</v>
      </c>
      <c r="F217" s="172" t="str">
        <f ca="1">OFFSET(ORÇAMENTO!R$15,ROW(F217)-ROW(F$15),0)</f>
        <v>(abra o arquivo 'Referência 03-2024.xlsm)</v>
      </c>
      <c r="G217" s="173" t="str">
        <f ca="1">IF($D217&lt;&gt;"Serviço","",OFFSET(ORÇAMENTO!S$15,ROW(G217)-ROW(G$15),0))</f>
        <v>-</v>
      </c>
      <c r="H217" s="124">
        <f ca="1">IF($D217&lt;&gt;"Serviço",0,IF(ACOMPANHAMENTO="BM",ROUND(OFFSET(ORÇAMENTO!AJ$15,ROW(H217)-ROW(H$15),0),15-13*ORÇAMENTO!$AF$7),SUMPRODUCT(($Q$12:$AA$12&lt;&gt;"")*ROUND($Q217:$AA217,15-13*ORÇAMENTO!$AF$7))))</f>
        <v>23.38</v>
      </c>
      <c r="I217" s="561"/>
      <c r="K217" s="174"/>
      <c r="L217" s="175" t="s">
        <v>255</v>
      </c>
      <c r="M217" s="176">
        <f ca="1">IF($D217&lt;&gt;"Serviço","",IF(AUTOEVENTO="manual",$A217,IF(ISERROR(MATCH($A217,$A$15:OFFSET($A217,-1,0),0)),MAX($M$15:OFFSET(M217,-1,0))+1,INDEX($M$15:OFFSET(M217,-1,0),MATCH($A217,$A$15:OFFSET($A217,-1,0),0)))))</f>
        <v>10</v>
      </c>
      <c r="N217" s="177" t="str">
        <f ca="1">IF($D217&lt;&gt;"Serviço","",IF(AUTOEVENTO="Manual",IF($A217=0,"&lt;-- defina o número do agrupador",OFFSET(EVENTOS!$D$14,$A217,0)),OFFSET($F$15,$A217,0)))</f>
        <v>QUADRA DE AREIA</v>
      </c>
      <c r="O217" s="178"/>
      <c r="Q217" s="178"/>
      <c r="R217" s="179"/>
      <c r="S217" s="179"/>
      <c r="T217" s="179"/>
      <c r="U217" s="179"/>
      <c r="V217" s="179"/>
      <c r="W217" s="179"/>
      <c r="X217" s="179"/>
      <c r="Y217" s="179"/>
      <c r="Z217" s="180"/>
      <c r="AB217" s="544">
        <f ca="1">IF(AND($D217="Serviço",AB$12&lt;&gt;0,$H217&gt;0,OR(AUTOEVENTO&lt;&gt;"manual",$M217&lt;&gt;1)),
IF(Import.TipoArredondamento&lt;&gt;"TransfereGOV",
ROUND(OFFSET($P217,0,AB$13),15-13*ORÇAMENTO!$AF$7)/$H217*OFFSET(ORÇAMENTO!$X$15,ROW(AB217)-ROW(AB$15),0),
ROUND(ROUND(OFFSET($P217,0,AB$13),15-13*ORÇAMENTO!$AF$7)*OFFSET(ORÇAMENTO!$W$15,ROW(AB217)-ROW(AB$15),0),15-13*ORÇAMENTO!$AF$11)),0)</f>
        <v>0</v>
      </c>
      <c r="AC217" s="545">
        <f ca="1">IF(AND($D217="Serviço",AC$12&lt;&gt;0,$H217&gt;0,OR(AUTOEVENTO&lt;&gt;"manual",$M217&lt;&gt;1)),
IF(Import.TipoArredondamento&lt;&gt;"TransfereGOV",
ROUND(OFFSET($P217,0,AC$13),15-13*ORÇAMENTO!$AF$7)/$H217*OFFSET(ORÇAMENTO!$X$15,ROW(AC217)-ROW(AC$15),0),
ROUND(ROUND(OFFSET($P217,0,AC$13),15-13*ORÇAMENTO!$AF$7)*OFFSET(ORÇAMENTO!$W$15,ROW(AC217)-ROW(AC$15),0),15-13*ORÇAMENTO!$AF$11)),0)</f>
        <v>0</v>
      </c>
      <c r="AD217" s="545">
        <f ca="1">IF(AND($D217="Serviço",AD$12&lt;&gt;0,$H217&gt;0,OR(AUTOEVENTO&lt;&gt;"manual",$M217&lt;&gt;1)),
IF(Import.TipoArredondamento&lt;&gt;"TransfereGOV",
ROUND(OFFSET($P217,0,AD$13),15-13*ORÇAMENTO!$AF$7)/$H217*OFFSET(ORÇAMENTO!$X$15,ROW(AD217)-ROW(AD$15),0),
ROUND(ROUND(OFFSET($P217,0,AD$13),15-13*ORÇAMENTO!$AF$7)*OFFSET(ORÇAMENTO!$W$15,ROW(AD217)-ROW(AD$15),0),15-13*ORÇAMENTO!$AF$11)),0)</f>
        <v>0</v>
      </c>
      <c r="AE217" s="545">
        <f ca="1">IF(AND($D217="Serviço",AE$12&lt;&gt;0,$H217&gt;0,OR(AUTOEVENTO&lt;&gt;"manual",$M217&lt;&gt;1)),
IF(Import.TipoArredondamento&lt;&gt;"TransfereGOV",
ROUND(OFFSET($P217,0,AE$13),15-13*ORÇAMENTO!$AF$7)/$H217*OFFSET(ORÇAMENTO!$X$15,ROW(AE217)-ROW(AE$15),0),
ROUND(ROUND(OFFSET($P217,0,AE$13),15-13*ORÇAMENTO!$AF$7)*OFFSET(ORÇAMENTO!$W$15,ROW(AE217)-ROW(AE$15),0),15-13*ORÇAMENTO!$AF$11)),0)</f>
        <v>0</v>
      </c>
      <c r="AF217" s="545">
        <f ca="1">IF(AND($D217="Serviço",AF$12&lt;&gt;0,$H217&gt;0,OR(AUTOEVENTO&lt;&gt;"manual",$M217&lt;&gt;1)),
IF(Import.TipoArredondamento&lt;&gt;"TransfereGOV",
ROUND(OFFSET($P217,0,AF$13),15-13*ORÇAMENTO!$AF$7)/$H217*OFFSET(ORÇAMENTO!$X$15,ROW(AF217)-ROW(AF$15),0),
ROUND(ROUND(OFFSET($P217,0,AF$13),15-13*ORÇAMENTO!$AF$7)*OFFSET(ORÇAMENTO!$W$15,ROW(AF217)-ROW(AF$15),0),15-13*ORÇAMENTO!$AF$11)),0)</f>
        <v>0</v>
      </c>
      <c r="AG217" s="545">
        <f ca="1">IF(AND($D217="Serviço",AG$12&lt;&gt;0,$H217&gt;0,OR(AUTOEVENTO&lt;&gt;"manual",$M217&lt;&gt;1)),
IF(Import.TipoArredondamento&lt;&gt;"TransfereGOV",
ROUND(OFFSET($P217,0,AG$13),15-13*ORÇAMENTO!$AF$7)/$H217*OFFSET(ORÇAMENTO!$X$15,ROW(AG217)-ROW(AG$15),0),
ROUND(ROUND(OFFSET($P217,0,AG$13),15-13*ORÇAMENTO!$AF$7)*OFFSET(ORÇAMENTO!$W$15,ROW(AG217)-ROW(AG$15),0),15-13*ORÇAMENTO!$AF$11)),0)</f>
        <v>0</v>
      </c>
      <c r="AH217" s="545">
        <f ca="1">IF(AND($D217="Serviço",AH$12&lt;&gt;0,$H217&gt;0,OR(AUTOEVENTO&lt;&gt;"manual",$M217&lt;&gt;1)),
IF(Import.TipoArredondamento&lt;&gt;"TransfereGOV",
ROUND(OFFSET($P217,0,AH$13),15-13*ORÇAMENTO!$AF$7)/$H217*OFFSET(ORÇAMENTO!$X$15,ROW(AH217)-ROW(AH$15),0),
ROUND(ROUND(OFFSET($P217,0,AH$13),15-13*ORÇAMENTO!$AF$7)*OFFSET(ORÇAMENTO!$W$15,ROW(AH217)-ROW(AH$15),0),15-13*ORÇAMENTO!$AF$11)),0)</f>
        <v>0</v>
      </c>
      <c r="AI217" s="545">
        <f ca="1">IF(AND($D217="Serviço",AI$12&lt;&gt;0,$H217&gt;0,OR(AUTOEVENTO&lt;&gt;"manual",$M217&lt;&gt;1)),
IF(Import.TipoArredondamento&lt;&gt;"TransfereGOV",
ROUND(OFFSET($P217,0,AI$13),15-13*ORÇAMENTO!$AF$7)/$H217*OFFSET(ORÇAMENTO!$X$15,ROW(AI217)-ROW(AI$15),0),
ROUND(ROUND(OFFSET($P217,0,AI$13),15-13*ORÇAMENTO!$AF$7)*OFFSET(ORÇAMENTO!$W$15,ROW(AI217)-ROW(AI$15),0),15-13*ORÇAMENTO!$AF$11)),0)</f>
        <v>0</v>
      </c>
      <c r="AJ217" s="545">
        <f ca="1">IF(AND($D217="Serviço",AJ$12&lt;&gt;0,$H217&gt;0,OR(AUTOEVENTO&lt;&gt;"manual",$M217&lt;&gt;1)),
IF(Import.TipoArredondamento&lt;&gt;"TransfereGOV",
ROUND(OFFSET($P217,0,AJ$13),15-13*ORÇAMENTO!$AF$7)/$H217*OFFSET(ORÇAMENTO!$X$15,ROW(AJ217)-ROW(AJ$15),0),
ROUND(ROUND(OFFSET($P217,0,AJ$13),15-13*ORÇAMENTO!$AF$7)*OFFSET(ORÇAMENTO!$W$15,ROW(AJ217)-ROW(AJ$15),0),15-13*ORÇAMENTO!$AF$11)),0)</f>
        <v>0</v>
      </c>
      <c r="AK217" s="546">
        <f ca="1">IF(AND($D217="Serviço",AK$12&lt;&gt;0,$H217&gt;0,OR(AUTOEVENTO&lt;&gt;"manual",$M217&lt;&gt;1)),
IF(Import.TipoArredondamento&lt;&gt;"TransfereGOV",
ROUND(OFFSET($P217,0,AK$13),15-13*ORÇAMENTO!$AF$7)/$H217*OFFSET(ORÇAMENTO!$X$15,ROW(AK217)-ROW(AK$15),0),
ROUND(ROUND(OFFSET($P217,0,AK$13),15-13*ORÇAMENTO!$AF$7)*OFFSET(ORÇAMENTO!$W$15,ROW(AK217)-ROW(AK$15),0),15-13*ORÇAMENTO!$AF$11)),0)</f>
        <v>0</v>
      </c>
      <c r="AM217" s="181">
        <f ca="1">IF($D217&lt;&gt;"Serviço",0,IF(AND(AUTOEVENTO="Manual",$M217=1),0,IF(OFFSET(CRONOPLE!$F$14,$M217,AM$13)="",10^12,OFFSET(CRONOPLE!$F$14,$M217,AM$13))))</f>
        <v>1000000000000</v>
      </c>
      <c r="AN217" s="181">
        <f ca="1">IF($D217&lt;&gt;"Serviço",0,IF(AND(AUTOEVENTO="Manual",$M217=1),0,IF(OFFSET(CRONOPLE!$F$14,$M217,AN$13)="",10^12,OFFSET(CRONOPLE!$F$14,$M217,AN$13))))</f>
        <v>1000000000000</v>
      </c>
      <c r="AO217" s="181">
        <f ca="1">IF($D217&lt;&gt;"Serviço",0,IF(AND(AUTOEVENTO="Manual",$M217=1),0,IF(OFFSET(CRONOPLE!$F$14,$M217,AO$13)="",10^12,OFFSET(CRONOPLE!$F$14,$M217,AO$13))))</f>
        <v>1000000000000</v>
      </c>
      <c r="AP217" s="181">
        <f ca="1">IF($D217&lt;&gt;"Serviço",0,IF(AND(AUTOEVENTO="Manual",$M217=1),0,IF(OFFSET(CRONOPLE!$F$14,$M217,AP$13)="",10^12,OFFSET(CRONOPLE!$F$14,$M217,AP$13))))</f>
        <v>1000000000000</v>
      </c>
      <c r="AQ217" s="181">
        <f ca="1">IF($D217&lt;&gt;"Serviço",0,IF(AND(AUTOEVENTO="Manual",$M217=1),0,IF(OFFSET(CRONOPLE!$F$14,$M217,AQ$13)="",10^12,OFFSET(CRONOPLE!$F$14,$M217,AQ$13))))</f>
        <v>1000000000000</v>
      </c>
      <c r="AR217" s="181">
        <f ca="1">IF($D217&lt;&gt;"Serviço",0,IF(AND(AUTOEVENTO="Manual",$M217=1),0,IF(OFFSET(CRONOPLE!$F$14,$M217,AR$13)="",10^12,OFFSET(CRONOPLE!$F$14,$M217,AR$13))))</f>
        <v>1000000000000</v>
      </c>
      <c r="AS217" s="181">
        <f ca="1">IF($D217&lt;&gt;"Serviço",0,IF(AND(AUTOEVENTO="Manual",$M217=1),0,IF(OFFSET(CRONOPLE!$F$14,$M217,AS$13)="",10^12,OFFSET(CRONOPLE!$F$14,$M217,AS$13))))</f>
        <v>1000000000000</v>
      </c>
      <c r="AT217" s="181">
        <f ca="1">IF($D217&lt;&gt;"Serviço",0,IF(AND(AUTOEVENTO="Manual",$M217=1),0,IF(OFFSET(CRONOPLE!$F$14,$M217,AT$13)="",10^12,OFFSET(CRONOPLE!$F$14,$M217,AT$13))))</f>
        <v>1000000000000</v>
      </c>
      <c r="AU217" s="181">
        <f ca="1">IF($D217&lt;&gt;"Serviço",0,IF(AND(AUTOEVENTO="Manual",$M217=1),0,IF(OFFSET(CRONOPLE!$F$14,$M217,AU$13)="",10^12,OFFSET(CRONOPLE!$F$14,$M217,AU$13))))</f>
        <v>1000000000000</v>
      </c>
      <c r="AV217" s="181">
        <f ca="1">IF($D217&lt;&gt;"Serviço",0,IF(AND(AUTOEVENTO="Manual",$M217=1),0,IF(OFFSET(CRONOPLE!$F$14,$M217,AV$13)="",10^12,OFFSET(CRONOPLE!$F$14,$M217,AV$13))))</f>
        <v>1000000000000</v>
      </c>
      <c r="AX217" s="182">
        <f ca="1">IF($D217&lt;&gt;"Serviço",0,IF(OR(AND(AUTOEVENTO="Manual",$M217=1),$M217&gt;(ROW(PLE.lastrow)-ROW(PLE.firstrow))),0,IF(OFFSET(PLE!$G$14,$M217,AX$13)="",10^12,OFFSET(PLE!$G$14,$M217,AX$13))))</f>
        <v>1000000000000</v>
      </c>
      <c r="AY217" s="182">
        <f ca="1">IF($D217&lt;&gt;"Serviço",0,IF(OR(AND(AUTOEVENTO="Manual",$M217=1),$M217&gt;(ROW(PLE.lastrow)-ROW(PLE.firstrow))),0,IF(OFFSET(PLE!$G$14,$M217,AY$13)="",10^12,OFFSET(PLE!$G$14,$M217,AY$13))))</f>
        <v>1000000000000</v>
      </c>
      <c r="AZ217" s="182">
        <f ca="1">IF($D217&lt;&gt;"Serviço",0,IF(OR(AND(AUTOEVENTO="Manual",$M217=1),$M217&gt;(ROW(PLE.lastrow)-ROW(PLE.firstrow))),0,IF(OFFSET(PLE!$G$14,$M217,AZ$13)="",10^12,OFFSET(PLE!$G$14,$M217,AZ$13))))</f>
        <v>1000000000000</v>
      </c>
      <c r="BA217" s="182">
        <f ca="1">IF($D217&lt;&gt;"Serviço",0,IF(OR(AND(AUTOEVENTO="Manual",$M217=1),$M217&gt;(ROW(PLE.lastrow)-ROW(PLE.firstrow))),0,IF(OFFSET(PLE!$G$14,$M217,BA$13)="",10^12,OFFSET(PLE!$G$14,$M217,BA$13))))</f>
        <v>1000000000000</v>
      </c>
      <c r="BB217" s="182">
        <f ca="1">IF($D217&lt;&gt;"Serviço",0,IF(OR(AND(AUTOEVENTO="Manual",$M217=1),$M217&gt;(ROW(PLE.lastrow)-ROW(PLE.firstrow))),0,IF(OFFSET(PLE!$G$14,$M217,BB$13)="",10^12,OFFSET(PLE!$G$14,$M217,BB$13))))</f>
        <v>1000000000000</v>
      </c>
      <c r="BC217" s="182">
        <f ca="1">IF($D217&lt;&gt;"Serviço",0,IF(OR(AND(AUTOEVENTO="Manual",$M217=1),$M217&gt;(ROW(PLE.lastrow)-ROW(PLE.firstrow))),0,IF(OFFSET(PLE!$G$14,$M217,BC$13)="",10^12,OFFSET(PLE!$G$14,$M217,BC$13))))</f>
        <v>1000000000000</v>
      </c>
      <c r="BD217" s="182">
        <f ca="1">IF($D217&lt;&gt;"Serviço",0,IF(OR(AND(AUTOEVENTO="Manual",$M217=1),$M217&gt;(ROW(PLE.lastrow)-ROW(PLE.firstrow))),0,IF(OFFSET(PLE!$G$14,$M217,BD$13)="",10^12,OFFSET(PLE!$G$14,$M217,BD$13))))</f>
        <v>1000000000000</v>
      </c>
      <c r="BE217" s="182">
        <f ca="1">IF($D217&lt;&gt;"Serviço",0,IF(OR(AND(AUTOEVENTO="Manual",$M217=1),$M217&gt;(ROW(PLE.lastrow)-ROW(PLE.firstrow))),0,IF(OFFSET(PLE!$G$14,$M217,BE$13)="",10^12,OFFSET(PLE!$G$14,$M217,BE$13))))</f>
        <v>1000000000000</v>
      </c>
      <c r="BF217" s="182">
        <f ca="1">IF($D217&lt;&gt;"Serviço",0,IF(OR(AND(AUTOEVENTO="Manual",$M217=1),$M217&gt;(ROW(PLE.lastrow)-ROW(PLE.firstrow))),0,IF(OFFSET(PLE!$G$14,$M217,BF$13)="",10^12,OFFSET(PLE!$G$14,$M217,BF$13))))</f>
        <v>1000000000000</v>
      </c>
      <c r="BG217" s="182">
        <f ca="1">IF($D217&lt;&gt;"Serviço",0,IF(OR(AND(AUTOEVENTO="Manual",$M217=1),$M217&gt;(ROW(PLE.lastrow)-ROW(PLE.firstrow))),0,IF(OFFSET(PLE!$G$14,$M217,BG$13)="",10^12,OFFSET(PLE!$G$14,$M217,BG$13))))</f>
        <v>1000000000000</v>
      </c>
    </row>
    <row r="218" spans="1:59" ht="38.25" x14ac:dyDescent="0.2">
      <c r="A218" s="7" t="str">
        <f t="shared" ca="1" si="10"/>
        <v>197</v>
      </c>
      <c r="B218" s="7" t="str">
        <f ca="1">OFFSET(ORÇAMENTO!C$15,ROW(B218)-ROW(B$15),0)</f>
        <v>S</v>
      </c>
      <c r="C218" s="7" t="str">
        <f ca="1">OFFSET(ORÇAMENTO!L$15,ROW(C218)-ROW(C$15),0)</f>
        <v>F</v>
      </c>
      <c r="D218" s="118" t="str">
        <f ca="1">OFFSET(ORÇAMENTO!N$15,ROW(D218)-ROW(D$15),0)</f>
        <v>Serviço</v>
      </c>
      <c r="E218" s="119" t="str">
        <f ca="1">OFFSET(ORÇAMENTO!O$15,ROW(E218)-ROW(E$15),0)</f>
        <v>1.9.0.6.</v>
      </c>
      <c r="F218" s="172" t="str">
        <f ca="1">OFFSET(ORÇAMENTO!R$15,ROW(F218)-ROW(F$15),0)</f>
        <v>(abra o arquivo 'Referência 03-2024.xlsm)</v>
      </c>
      <c r="G218" s="173" t="str">
        <f ca="1">IF($D218&lt;&gt;"Serviço","",OFFSET(ORÇAMENTO!S$15,ROW(G218)-ROW(G$15),0))</f>
        <v>-</v>
      </c>
      <c r="H218" s="124">
        <f ca="1">IF($D218&lt;&gt;"Serviço",0,IF(ACOMPANHAMENTO="BM",ROUND(OFFSET(ORÇAMENTO!AJ$15,ROW(H218)-ROW(H$15),0),15-13*ORÇAMENTO!$AF$7),SUMPRODUCT(($Q$12:$AA$12&lt;&gt;"")*ROUND($Q218:$AA218,15-13*ORÇAMENTO!$AF$7))))</f>
        <v>54.35</v>
      </c>
      <c r="I218" s="561"/>
      <c r="K218" s="174"/>
      <c r="L218" s="175" t="s">
        <v>255</v>
      </c>
      <c r="M218" s="176">
        <f ca="1">IF($D218&lt;&gt;"Serviço","",IF(AUTOEVENTO="manual",$A218,IF(ISERROR(MATCH($A218,$A$15:OFFSET($A218,-1,0),0)),MAX($M$15:OFFSET(M218,-1,0))+1,INDEX($M$15:OFFSET(M218,-1,0),MATCH($A218,$A$15:OFFSET($A218,-1,0),0)))))</f>
        <v>10</v>
      </c>
      <c r="N218" s="177" t="str">
        <f ca="1">IF($D218&lt;&gt;"Serviço","",IF(AUTOEVENTO="Manual",IF($A218=0,"&lt;-- defina o número do agrupador",OFFSET(EVENTOS!$D$14,$A218,0)),OFFSET($F$15,$A218,0)))</f>
        <v>QUADRA DE AREIA</v>
      </c>
      <c r="O218" s="178"/>
      <c r="Q218" s="178"/>
      <c r="R218" s="179"/>
      <c r="S218" s="179"/>
      <c r="T218" s="179"/>
      <c r="U218" s="179"/>
      <c r="V218" s="179"/>
      <c r="W218" s="179"/>
      <c r="X218" s="179"/>
      <c r="Y218" s="179"/>
      <c r="Z218" s="180"/>
      <c r="AB218" s="544">
        <f ca="1">IF(AND($D218="Serviço",AB$12&lt;&gt;0,$H218&gt;0,OR(AUTOEVENTO&lt;&gt;"manual",$M218&lt;&gt;1)),
IF(Import.TipoArredondamento&lt;&gt;"TransfereGOV",
ROUND(OFFSET($P218,0,AB$13),15-13*ORÇAMENTO!$AF$7)/$H218*OFFSET(ORÇAMENTO!$X$15,ROW(AB218)-ROW(AB$15),0),
ROUND(ROUND(OFFSET($P218,0,AB$13),15-13*ORÇAMENTO!$AF$7)*OFFSET(ORÇAMENTO!$W$15,ROW(AB218)-ROW(AB$15),0),15-13*ORÇAMENTO!$AF$11)),0)</f>
        <v>0</v>
      </c>
      <c r="AC218" s="545">
        <f ca="1">IF(AND($D218="Serviço",AC$12&lt;&gt;0,$H218&gt;0,OR(AUTOEVENTO&lt;&gt;"manual",$M218&lt;&gt;1)),
IF(Import.TipoArredondamento&lt;&gt;"TransfereGOV",
ROUND(OFFSET($P218,0,AC$13),15-13*ORÇAMENTO!$AF$7)/$H218*OFFSET(ORÇAMENTO!$X$15,ROW(AC218)-ROW(AC$15),0),
ROUND(ROUND(OFFSET($P218,0,AC$13),15-13*ORÇAMENTO!$AF$7)*OFFSET(ORÇAMENTO!$W$15,ROW(AC218)-ROW(AC$15),0),15-13*ORÇAMENTO!$AF$11)),0)</f>
        <v>0</v>
      </c>
      <c r="AD218" s="545">
        <f ca="1">IF(AND($D218="Serviço",AD$12&lt;&gt;0,$H218&gt;0,OR(AUTOEVENTO&lt;&gt;"manual",$M218&lt;&gt;1)),
IF(Import.TipoArredondamento&lt;&gt;"TransfereGOV",
ROUND(OFFSET($P218,0,AD$13),15-13*ORÇAMENTO!$AF$7)/$H218*OFFSET(ORÇAMENTO!$X$15,ROW(AD218)-ROW(AD$15),0),
ROUND(ROUND(OFFSET($P218,0,AD$13),15-13*ORÇAMENTO!$AF$7)*OFFSET(ORÇAMENTO!$W$15,ROW(AD218)-ROW(AD$15),0),15-13*ORÇAMENTO!$AF$11)),0)</f>
        <v>0</v>
      </c>
      <c r="AE218" s="545">
        <f ca="1">IF(AND($D218="Serviço",AE$12&lt;&gt;0,$H218&gt;0,OR(AUTOEVENTO&lt;&gt;"manual",$M218&lt;&gt;1)),
IF(Import.TipoArredondamento&lt;&gt;"TransfereGOV",
ROUND(OFFSET($P218,0,AE$13),15-13*ORÇAMENTO!$AF$7)/$H218*OFFSET(ORÇAMENTO!$X$15,ROW(AE218)-ROW(AE$15),0),
ROUND(ROUND(OFFSET($P218,0,AE$13),15-13*ORÇAMENTO!$AF$7)*OFFSET(ORÇAMENTO!$W$15,ROW(AE218)-ROW(AE$15),0),15-13*ORÇAMENTO!$AF$11)),0)</f>
        <v>0</v>
      </c>
      <c r="AF218" s="545">
        <f ca="1">IF(AND($D218="Serviço",AF$12&lt;&gt;0,$H218&gt;0,OR(AUTOEVENTO&lt;&gt;"manual",$M218&lt;&gt;1)),
IF(Import.TipoArredondamento&lt;&gt;"TransfereGOV",
ROUND(OFFSET($P218,0,AF$13),15-13*ORÇAMENTO!$AF$7)/$H218*OFFSET(ORÇAMENTO!$X$15,ROW(AF218)-ROW(AF$15),0),
ROUND(ROUND(OFFSET($P218,0,AF$13),15-13*ORÇAMENTO!$AF$7)*OFFSET(ORÇAMENTO!$W$15,ROW(AF218)-ROW(AF$15),0),15-13*ORÇAMENTO!$AF$11)),0)</f>
        <v>0</v>
      </c>
      <c r="AG218" s="545">
        <f ca="1">IF(AND($D218="Serviço",AG$12&lt;&gt;0,$H218&gt;0,OR(AUTOEVENTO&lt;&gt;"manual",$M218&lt;&gt;1)),
IF(Import.TipoArredondamento&lt;&gt;"TransfereGOV",
ROUND(OFFSET($P218,0,AG$13),15-13*ORÇAMENTO!$AF$7)/$H218*OFFSET(ORÇAMENTO!$X$15,ROW(AG218)-ROW(AG$15),0),
ROUND(ROUND(OFFSET($P218,0,AG$13),15-13*ORÇAMENTO!$AF$7)*OFFSET(ORÇAMENTO!$W$15,ROW(AG218)-ROW(AG$15),0),15-13*ORÇAMENTO!$AF$11)),0)</f>
        <v>0</v>
      </c>
      <c r="AH218" s="545">
        <f ca="1">IF(AND($D218="Serviço",AH$12&lt;&gt;0,$H218&gt;0,OR(AUTOEVENTO&lt;&gt;"manual",$M218&lt;&gt;1)),
IF(Import.TipoArredondamento&lt;&gt;"TransfereGOV",
ROUND(OFFSET($P218,0,AH$13),15-13*ORÇAMENTO!$AF$7)/$H218*OFFSET(ORÇAMENTO!$X$15,ROW(AH218)-ROW(AH$15),0),
ROUND(ROUND(OFFSET($P218,0,AH$13),15-13*ORÇAMENTO!$AF$7)*OFFSET(ORÇAMENTO!$W$15,ROW(AH218)-ROW(AH$15),0),15-13*ORÇAMENTO!$AF$11)),0)</f>
        <v>0</v>
      </c>
      <c r="AI218" s="545">
        <f ca="1">IF(AND($D218="Serviço",AI$12&lt;&gt;0,$H218&gt;0,OR(AUTOEVENTO&lt;&gt;"manual",$M218&lt;&gt;1)),
IF(Import.TipoArredondamento&lt;&gt;"TransfereGOV",
ROUND(OFFSET($P218,0,AI$13),15-13*ORÇAMENTO!$AF$7)/$H218*OFFSET(ORÇAMENTO!$X$15,ROW(AI218)-ROW(AI$15),0),
ROUND(ROUND(OFFSET($P218,0,AI$13),15-13*ORÇAMENTO!$AF$7)*OFFSET(ORÇAMENTO!$W$15,ROW(AI218)-ROW(AI$15),0),15-13*ORÇAMENTO!$AF$11)),0)</f>
        <v>0</v>
      </c>
      <c r="AJ218" s="545">
        <f ca="1">IF(AND($D218="Serviço",AJ$12&lt;&gt;0,$H218&gt;0,OR(AUTOEVENTO&lt;&gt;"manual",$M218&lt;&gt;1)),
IF(Import.TipoArredondamento&lt;&gt;"TransfereGOV",
ROUND(OFFSET($P218,0,AJ$13),15-13*ORÇAMENTO!$AF$7)/$H218*OFFSET(ORÇAMENTO!$X$15,ROW(AJ218)-ROW(AJ$15),0),
ROUND(ROUND(OFFSET($P218,0,AJ$13),15-13*ORÇAMENTO!$AF$7)*OFFSET(ORÇAMENTO!$W$15,ROW(AJ218)-ROW(AJ$15),0),15-13*ORÇAMENTO!$AF$11)),0)</f>
        <v>0</v>
      </c>
      <c r="AK218" s="546">
        <f ca="1">IF(AND($D218="Serviço",AK$12&lt;&gt;0,$H218&gt;0,OR(AUTOEVENTO&lt;&gt;"manual",$M218&lt;&gt;1)),
IF(Import.TipoArredondamento&lt;&gt;"TransfereGOV",
ROUND(OFFSET($P218,0,AK$13),15-13*ORÇAMENTO!$AF$7)/$H218*OFFSET(ORÇAMENTO!$X$15,ROW(AK218)-ROW(AK$15),0),
ROUND(ROUND(OFFSET($P218,0,AK$13),15-13*ORÇAMENTO!$AF$7)*OFFSET(ORÇAMENTO!$W$15,ROW(AK218)-ROW(AK$15),0),15-13*ORÇAMENTO!$AF$11)),0)</f>
        <v>0</v>
      </c>
      <c r="AM218" s="181">
        <f ca="1">IF($D218&lt;&gt;"Serviço",0,IF(AND(AUTOEVENTO="Manual",$M218=1),0,IF(OFFSET(CRONOPLE!$F$14,$M218,AM$13)="",10^12,OFFSET(CRONOPLE!$F$14,$M218,AM$13))))</f>
        <v>1000000000000</v>
      </c>
      <c r="AN218" s="181">
        <f ca="1">IF($D218&lt;&gt;"Serviço",0,IF(AND(AUTOEVENTO="Manual",$M218=1),0,IF(OFFSET(CRONOPLE!$F$14,$M218,AN$13)="",10^12,OFFSET(CRONOPLE!$F$14,$M218,AN$13))))</f>
        <v>1000000000000</v>
      </c>
      <c r="AO218" s="181">
        <f ca="1">IF($D218&lt;&gt;"Serviço",0,IF(AND(AUTOEVENTO="Manual",$M218=1),0,IF(OFFSET(CRONOPLE!$F$14,$M218,AO$13)="",10^12,OFFSET(CRONOPLE!$F$14,$M218,AO$13))))</f>
        <v>1000000000000</v>
      </c>
      <c r="AP218" s="181">
        <f ca="1">IF($D218&lt;&gt;"Serviço",0,IF(AND(AUTOEVENTO="Manual",$M218=1),0,IF(OFFSET(CRONOPLE!$F$14,$M218,AP$13)="",10^12,OFFSET(CRONOPLE!$F$14,$M218,AP$13))))</f>
        <v>1000000000000</v>
      </c>
      <c r="AQ218" s="181">
        <f ca="1">IF($D218&lt;&gt;"Serviço",0,IF(AND(AUTOEVENTO="Manual",$M218=1),0,IF(OFFSET(CRONOPLE!$F$14,$M218,AQ$13)="",10^12,OFFSET(CRONOPLE!$F$14,$M218,AQ$13))))</f>
        <v>1000000000000</v>
      </c>
      <c r="AR218" s="181">
        <f ca="1">IF($D218&lt;&gt;"Serviço",0,IF(AND(AUTOEVENTO="Manual",$M218=1),0,IF(OFFSET(CRONOPLE!$F$14,$M218,AR$13)="",10^12,OFFSET(CRONOPLE!$F$14,$M218,AR$13))))</f>
        <v>1000000000000</v>
      </c>
      <c r="AS218" s="181">
        <f ca="1">IF($D218&lt;&gt;"Serviço",0,IF(AND(AUTOEVENTO="Manual",$M218=1),0,IF(OFFSET(CRONOPLE!$F$14,$M218,AS$13)="",10^12,OFFSET(CRONOPLE!$F$14,$M218,AS$13))))</f>
        <v>1000000000000</v>
      </c>
      <c r="AT218" s="181">
        <f ca="1">IF($D218&lt;&gt;"Serviço",0,IF(AND(AUTOEVENTO="Manual",$M218=1),0,IF(OFFSET(CRONOPLE!$F$14,$M218,AT$13)="",10^12,OFFSET(CRONOPLE!$F$14,$M218,AT$13))))</f>
        <v>1000000000000</v>
      </c>
      <c r="AU218" s="181">
        <f ca="1">IF($D218&lt;&gt;"Serviço",0,IF(AND(AUTOEVENTO="Manual",$M218=1),0,IF(OFFSET(CRONOPLE!$F$14,$M218,AU$13)="",10^12,OFFSET(CRONOPLE!$F$14,$M218,AU$13))))</f>
        <v>1000000000000</v>
      </c>
      <c r="AV218" s="181">
        <f ca="1">IF($D218&lt;&gt;"Serviço",0,IF(AND(AUTOEVENTO="Manual",$M218=1),0,IF(OFFSET(CRONOPLE!$F$14,$M218,AV$13)="",10^12,OFFSET(CRONOPLE!$F$14,$M218,AV$13))))</f>
        <v>1000000000000</v>
      </c>
      <c r="AX218" s="182">
        <f ca="1">IF($D218&lt;&gt;"Serviço",0,IF(OR(AND(AUTOEVENTO="Manual",$M218=1),$M218&gt;(ROW(PLE.lastrow)-ROW(PLE.firstrow))),0,IF(OFFSET(PLE!$G$14,$M218,AX$13)="",10^12,OFFSET(PLE!$G$14,$M218,AX$13))))</f>
        <v>1000000000000</v>
      </c>
      <c r="AY218" s="182">
        <f ca="1">IF($D218&lt;&gt;"Serviço",0,IF(OR(AND(AUTOEVENTO="Manual",$M218=1),$M218&gt;(ROW(PLE.lastrow)-ROW(PLE.firstrow))),0,IF(OFFSET(PLE!$G$14,$M218,AY$13)="",10^12,OFFSET(PLE!$G$14,$M218,AY$13))))</f>
        <v>1000000000000</v>
      </c>
      <c r="AZ218" s="182">
        <f ca="1">IF($D218&lt;&gt;"Serviço",0,IF(OR(AND(AUTOEVENTO="Manual",$M218=1),$M218&gt;(ROW(PLE.lastrow)-ROW(PLE.firstrow))),0,IF(OFFSET(PLE!$G$14,$M218,AZ$13)="",10^12,OFFSET(PLE!$G$14,$M218,AZ$13))))</f>
        <v>1000000000000</v>
      </c>
      <c r="BA218" s="182">
        <f ca="1">IF($D218&lt;&gt;"Serviço",0,IF(OR(AND(AUTOEVENTO="Manual",$M218=1),$M218&gt;(ROW(PLE.lastrow)-ROW(PLE.firstrow))),0,IF(OFFSET(PLE!$G$14,$M218,BA$13)="",10^12,OFFSET(PLE!$G$14,$M218,BA$13))))</f>
        <v>1000000000000</v>
      </c>
      <c r="BB218" s="182">
        <f ca="1">IF($D218&lt;&gt;"Serviço",0,IF(OR(AND(AUTOEVENTO="Manual",$M218=1),$M218&gt;(ROW(PLE.lastrow)-ROW(PLE.firstrow))),0,IF(OFFSET(PLE!$G$14,$M218,BB$13)="",10^12,OFFSET(PLE!$G$14,$M218,BB$13))))</f>
        <v>1000000000000</v>
      </c>
      <c r="BC218" s="182">
        <f ca="1">IF($D218&lt;&gt;"Serviço",0,IF(OR(AND(AUTOEVENTO="Manual",$M218=1),$M218&gt;(ROW(PLE.lastrow)-ROW(PLE.firstrow))),0,IF(OFFSET(PLE!$G$14,$M218,BC$13)="",10^12,OFFSET(PLE!$G$14,$M218,BC$13))))</f>
        <v>1000000000000</v>
      </c>
      <c r="BD218" s="182">
        <f ca="1">IF($D218&lt;&gt;"Serviço",0,IF(OR(AND(AUTOEVENTO="Manual",$M218=1),$M218&gt;(ROW(PLE.lastrow)-ROW(PLE.firstrow))),0,IF(OFFSET(PLE!$G$14,$M218,BD$13)="",10^12,OFFSET(PLE!$G$14,$M218,BD$13))))</f>
        <v>1000000000000</v>
      </c>
      <c r="BE218" s="182">
        <f ca="1">IF($D218&lt;&gt;"Serviço",0,IF(OR(AND(AUTOEVENTO="Manual",$M218=1),$M218&gt;(ROW(PLE.lastrow)-ROW(PLE.firstrow))),0,IF(OFFSET(PLE!$G$14,$M218,BE$13)="",10^12,OFFSET(PLE!$G$14,$M218,BE$13))))</f>
        <v>1000000000000</v>
      </c>
      <c r="BF218" s="182">
        <f ca="1">IF($D218&lt;&gt;"Serviço",0,IF(OR(AND(AUTOEVENTO="Manual",$M218=1),$M218&gt;(ROW(PLE.lastrow)-ROW(PLE.firstrow))),0,IF(OFFSET(PLE!$G$14,$M218,BF$13)="",10^12,OFFSET(PLE!$G$14,$M218,BF$13))))</f>
        <v>1000000000000</v>
      </c>
      <c r="BG218" s="182">
        <f ca="1">IF($D218&lt;&gt;"Serviço",0,IF(OR(AND(AUTOEVENTO="Manual",$M218=1),$M218&gt;(ROW(PLE.lastrow)-ROW(PLE.firstrow))),0,IF(OFFSET(PLE!$G$14,$M218,BG$13)="",10^12,OFFSET(PLE!$G$14,$M218,BG$13))))</f>
        <v>1000000000000</v>
      </c>
    </row>
    <row r="219" spans="1:59" ht="51" x14ac:dyDescent="0.2">
      <c r="A219" s="7" t="str">
        <f t="shared" ca="1" si="10"/>
        <v>197</v>
      </c>
      <c r="B219" s="7" t="str">
        <f ca="1">OFFSET(ORÇAMENTO!C$15,ROW(B219)-ROW(B$15),0)</f>
        <v>S</v>
      </c>
      <c r="C219" s="7" t="str">
        <f ca="1">OFFSET(ORÇAMENTO!L$15,ROW(C219)-ROW(C$15),0)</f>
        <v>F</v>
      </c>
      <c r="D219" s="118" t="str">
        <f ca="1">OFFSET(ORÇAMENTO!N$15,ROW(D219)-ROW(D$15),0)</f>
        <v>Serviço</v>
      </c>
      <c r="E219" s="119" t="str">
        <f ca="1">OFFSET(ORÇAMENTO!O$15,ROW(E219)-ROW(E$15),0)</f>
        <v>1.9.0.7.</v>
      </c>
      <c r="F219" s="172" t="str">
        <f ca="1">OFFSET(ORÇAMENTO!R$15,ROW(F219)-ROW(F$15),0)</f>
        <v>(abra o arquivo 'Referência 03-2024.xlsm)</v>
      </c>
      <c r="G219" s="173" t="str">
        <f ca="1">IF($D219&lt;&gt;"Serviço","",OFFSET(ORÇAMENTO!S$15,ROW(G219)-ROW(G$15),0))</f>
        <v>-</v>
      </c>
      <c r="H219" s="124">
        <f ca="1">IF($D219&lt;&gt;"Serviço",0,IF(ACOMPANHAMENTO="BM",ROUND(OFFSET(ORÇAMENTO!AJ$15,ROW(H219)-ROW(H$15),0),15-13*ORÇAMENTO!$AF$7),SUMPRODUCT(($Q$12:$AA$12&lt;&gt;"")*ROUND($Q219:$AA219,15-13*ORÇAMENTO!$AF$7))))</f>
        <v>34.4</v>
      </c>
      <c r="I219" s="561"/>
      <c r="K219" s="174"/>
      <c r="L219" s="175" t="s">
        <v>255</v>
      </c>
      <c r="M219" s="176">
        <f ca="1">IF($D219&lt;&gt;"Serviço","",IF(AUTOEVENTO="manual",$A219,IF(ISERROR(MATCH($A219,$A$15:OFFSET($A219,-1,0),0)),MAX($M$15:OFFSET(M219,-1,0))+1,INDEX($M$15:OFFSET(M219,-1,0),MATCH($A219,$A$15:OFFSET($A219,-1,0),0)))))</f>
        <v>10</v>
      </c>
      <c r="N219" s="177" t="str">
        <f ca="1">IF($D219&lt;&gt;"Serviço","",IF(AUTOEVENTO="Manual",IF($A219=0,"&lt;-- defina o número do agrupador",OFFSET(EVENTOS!$D$14,$A219,0)),OFFSET($F$15,$A219,0)))</f>
        <v>QUADRA DE AREIA</v>
      </c>
      <c r="O219" s="178"/>
      <c r="Q219" s="178"/>
      <c r="R219" s="179"/>
      <c r="S219" s="179"/>
      <c r="T219" s="179"/>
      <c r="U219" s="179"/>
      <c r="V219" s="179"/>
      <c r="W219" s="179"/>
      <c r="X219" s="179"/>
      <c r="Y219" s="179"/>
      <c r="Z219" s="180"/>
      <c r="AB219" s="544">
        <f ca="1">IF(AND($D219="Serviço",AB$12&lt;&gt;0,$H219&gt;0,OR(AUTOEVENTO&lt;&gt;"manual",$M219&lt;&gt;1)),
IF(Import.TipoArredondamento&lt;&gt;"TransfereGOV",
ROUND(OFFSET($P219,0,AB$13),15-13*ORÇAMENTO!$AF$7)/$H219*OFFSET(ORÇAMENTO!$X$15,ROW(AB219)-ROW(AB$15),0),
ROUND(ROUND(OFFSET($P219,0,AB$13),15-13*ORÇAMENTO!$AF$7)*OFFSET(ORÇAMENTO!$W$15,ROW(AB219)-ROW(AB$15),0),15-13*ORÇAMENTO!$AF$11)),0)</f>
        <v>0</v>
      </c>
      <c r="AC219" s="545">
        <f ca="1">IF(AND($D219="Serviço",AC$12&lt;&gt;0,$H219&gt;0,OR(AUTOEVENTO&lt;&gt;"manual",$M219&lt;&gt;1)),
IF(Import.TipoArredondamento&lt;&gt;"TransfereGOV",
ROUND(OFFSET($P219,0,AC$13),15-13*ORÇAMENTO!$AF$7)/$H219*OFFSET(ORÇAMENTO!$X$15,ROW(AC219)-ROW(AC$15),0),
ROUND(ROUND(OFFSET($P219,0,AC$13),15-13*ORÇAMENTO!$AF$7)*OFFSET(ORÇAMENTO!$W$15,ROW(AC219)-ROW(AC$15),0),15-13*ORÇAMENTO!$AF$11)),0)</f>
        <v>0</v>
      </c>
      <c r="AD219" s="545">
        <f ca="1">IF(AND($D219="Serviço",AD$12&lt;&gt;0,$H219&gt;0,OR(AUTOEVENTO&lt;&gt;"manual",$M219&lt;&gt;1)),
IF(Import.TipoArredondamento&lt;&gt;"TransfereGOV",
ROUND(OFFSET($P219,0,AD$13),15-13*ORÇAMENTO!$AF$7)/$H219*OFFSET(ORÇAMENTO!$X$15,ROW(AD219)-ROW(AD$15),0),
ROUND(ROUND(OFFSET($P219,0,AD$13),15-13*ORÇAMENTO!$AF$7)*OFFSET(ORÇAMENTO!$W$15,ROW(AD219)-ROW(AD$15),0),15-13*ORÇAMENTO!$AF$11)),0)</f>
        <v>0</v>
      </c>
      <c r="AE219" s="545">
        <f ca="1">IF(AND($D219="Serviço",AE$12&lt;&gt;0,$H219&gt;0,OR(AUTOEVENTO&lt;&gt;"manual",$M219&lt;&gt;1)),
IF(Import.TipoArredondamento&lt;&gt;"TransfereGOV",
ROUND(OFFSET($P219,0,AE$13),15-13*ORÇAMENTO!$AF$7)/$H219*OFFSET(ORÇAMENTO!$X$15,ROW(AE219)-ROW(AE$15),0),
ROUND(ROUND(OFFSET($P219,0,AE$13),15-13*ORÇAMENTO!$AF$7)*OFFSET(ORÇAMENTO!$W$15,ROW(AE219)-ROW(AE$15),0),15-13*ORÇAMENTO!$AF$11)),0)</f>
        <v>0</v>
      </c>
      <c r="AF219" s="545">
        <f ca="1">IF(AND($D219="Serviço",AF$12&lt;&gt;0,$H219&gt;0,OR(AUTOEVENTO&lt;&gt;"manual",$M219&lt;&gt;1)),
IF(Import.TipoArredondamento&lt;&gt;"TransfereGOV",
ROUND(OFFSET($P219,0,AF$13),15-13*ORÇAMENTO!$AF$7)/$H219*OFFSET(ORÇAMENTO!$X$15,ROW(AF219)-ROW(AF$15),0),
ROUND(ROUND(OFFSET($P219,0,AF$13),15-13*ORÇAMENTO!$AF$7)*OFFSET(ORÇAMENTO!$W$15,ROW(AF219)-ROW(AF$15),0),15-13*ORÇAMENTO!$AF$11)),0)</f>
        <v>0</v>
      </c>
      <c r="AG219" s="545">
        <f ca="1">IF(AND($D219="Serviço",AG$12&lt;&gt;0,$H219&gt;0,OR(AUTOEVENTO&lt;&gt;"manual",$M219&lt;&gt;1)),
IF(Import.TipoArredondamento&lt;&gt;"TransfereGOV",
ROUND(OFFSET($P219,0,AG$13),15-13*ORÇAMENTO!$AF$7)/$H219*OFFSET(ORÇAMENTO!$X$15,ROW(AG219)-ROW(AG$15),0),
ROUND(ROUND(OFFSET($P219,0,AG$13),15-13*ORÇAMENTO!$AF$7)*OFFSET(ORÇAMENTO!$W$15,ROW(AG219)-ROW(AG$15),0),15-13*ORÇAMENTO!$AF$11)),0)</f>
        <v>0</v>
      </c>
      <c r="AH219" s="545">
        <f ca="1">IF(AND($D219="Serviço",AH$12&lt;&gt;0,$H219&gt;0,OR(AUTOEVENTO&lt;&gt;"manual",$M219&lt;&gt;1)),
IF(Import.TipoArredondamento&lt;&gt;"TransfereGOV",
ROUND(OFFSET($P219,0,AH$13),15-13*ORÇAMENTO!$AF$7)/$H219*OFFSET(ORÇAMENTO!$X$15,ROW(AH219)-ROW(AH$15),0),
ROUND(ROUND(OFFSET($P219,0,AH$13),15-13*ORÇAMENTO!$AF$7)*OFFSET(ORÇAMENTO!$W$15,ROW(AH219)-ROW(AH$15),0),15-13*ORÇAMENTO!$AF$11)),0)</f>
        <v>0</v>
      </c>
      <c r="AI219" s="545">
        <f ca="1">IF(AND($D219="Serviço",AI$12&lt;&gt;0,$H219&gt;0,OR(AUTOEVENTO&lt;&gt;"manual",$M219&lt;&gt;1)),
IF(Import.TipoArredondamento&lt;&gt;"TransfereGOV",
ROUND(OFFSET($P219,0,AI$13),15-13*ORÇAMENTO!$AF$7)/$H219*OFFSET(ORÇAMENTO!$X$15,ROW(AI219)-ROW(AI$15),0),
ROUND(ROUND(OFFSET($P219,0,AI$13),15-13*ORÇAMENTO!$AF$7)*OFFSET(ORÇAMENTO!$W$15,ROW(AI219)-ROW(AI$15),0),15-13*ORÇAMENTO!$AF$11)),0)</f>
        <v>0</v>
      </c>
      <c r="AJ219" s="545">
        <f ca="1">IF(AND($D219="Serviço",AJ$12&lt;&gt;0,$H219&gt;0,OR(AUTOEVENTO&lt;&gt;"manual",$M219&lt;&gt;1)),
IF(Import.TipoArredondamento&lt;&gt;"TransfereGOV",
ROUND(OFFSET($P219,0,AJ$13),15-13*ORÇAMENTO!$AF$7)/$H219*OFFSET(ORÇAMENTO!$X$15,ROW(AJ219)-ROW(AJ$15),0),
ROUND(ROUND(OFFSET($P219,0,AJ$13),15-13*ORÇAMENTO!$AF$7)*OFFSET(ORÇAMENTO!$W$15,ROW(AJ219)-ROW(AJ$15),0),15-13*ORÇAMENTO!$AF$11)),0)</f>
        <v>0</v>
      </c>
      <c r="AK219" s="546">
        <f ca="1">IF(AND($D219="Serviço",AK$12&lt;&gt;0,$H219&gt;0,OR(AUTOEVENTO&lt;&gt;"manual",$M219&lt;&gt;1)),
IF(Import.TipoArredondamento&lt;&gt;"TransfereGOV",
ROUND(OFFSET($P219,0,AK$13),15-13*ORÇAMENTO!$AF$7)/$H219*OFFSET(ORÇAMENTO!$X$15,ROW(AK219)-ROW(AK$15),0),
ROUND(ROUND(OFFSET($P219,0,AK$13),15-13*ORÇAMENTO!$AF$7)*OFFSET(ORÇAMENTO!$W$15,ROW(AK219)-ROW(AK$15),0),15-13*ORÇAMENTO!$AF$11)),0)</f>
        <v>0</v>
      </c>
      <c r="AM219" s="181">
        <f ca="1">IF($D219&lt;&gt;"Serviço",0,IF(AND(AUTOEVENTO="Manual",$M219=1),0,IF(OFFSET(CRONOPLE!$F$14,$M219,AM$13)="",10^12,OFFSET(CRONOPLE!$F$14,$M219,AM$13))))</f>
        <v>1000000000000</v>
      </c>
      <c r="AN219" s="181">
        <f ca="1">IF($D219&lt;&gt;"Serviço",0,IF(AND(AUTOEVENTO="Manual",$M219=1),0,IF(OFFSET(CRONOPLE!$F$14,$M219,AN$13)="",10^12,OFFSET(CRONOPLE!$F$14,$M219,AN$13))))</f>
        <v>1000000000000</v>
      </c>
      <c r="AO219" s="181">
        <f ca="1">IF($D219&lt;&gt;"Serviço",0,IF(AND(AUTOEVENTO="Manual",$M219=1),0,IF(OFFSET(CRONOPLE!$F$14,$M219,AO$13)="",10^12,OFFSET(CRONOPLE!$F$14,$M219,AO$13))))</f>
        <v>1000000000000</v>
      </c>
      <c r="AP219" s="181">
        <f ca="1">IF($D219&lt;&gt;"Serviço",0,IF(AND(AUTOEVENTO="Manual",$M219=1),0,IF(OFFSET(CRONOPLE!$F$14,$M219,AP$13)="",10^12,OFFSET(CRONOPLE!$F$14,$M219,AP$13))))</f>
        <v>1000000000000</v>
      </c>
      <c r="AQ219" s="181">
        <f ca="1">IF($D219&lt;&gt;"Serviço",0,IF(AND(AUTOEVENTO="Manual",$M219=1),0,IF(OFFSET(CRONOPLE!$F$14,$M219,AQ$13)="",10^12,OFFSET(CRONOPLE!$F$14,$M219,AQ$13))))</f>
        <v>1000000000000</v>
      </c>
      <c r="AR219" s="181">
        <f ca="1">IF($D219&lt;&gt;"Serviço",0,IF(AND(AUTOEVENTO="Manual",$M219=1),0,IF(OFFSET(CRONOPLE!$F$14,$M219,AR$13)="",10^12,OFFSET(CRONOPLE!$F$14,$M219,AR$13))))</f>
        <v>1000000000000</v>
      </c>
      <c r="AS219" s="181">
        <f ca="1">IF($D219&lt;&gt;"Serviço",0,IF(AND(AUTOEVENTO="Manual",$M219=1),0,IF(OFFSET(CRONOPLE!$F$14,$M219,AS$13)="",10^12,OFFSET(CRONOPLE!$F$14,$M219,AS$13))))</f>
        <v>1000000000000</v>
      </c>
      <c r="AT219" s="181">
        <f ca="1">IF($D219&lt;&gt;"Serviço",0,IF(AND(AUTOEVENTO="Manual",$M219=1),0,IF(OFFSET(CRONOPLE!$F$14,$M219,AT$13)="",10^12,OFFSET(CRONOPLE!$F$14,$M219,AT$13))))</f>
        <v>1000000000000</v>
      </c>
      <c r="AU219" s="181">
        <f ca="1">IF($D219&lt;&gt;"Serviço",0,IF(AND(AUTOEVENTO="Manual",$M219=1),0,IF(OFFSET(CRONOPLE!$F$14,$M219,AU$13)="",10^12,OFFSET(CRONOPLE!$F$14,$M219,AU$13))))</f>
        <v>1000000000000</v>
      </c>
      <c r="AV219" s="181">
        <f ca="1">IF($D219&lt;&gt;"Serviço",0,IF(AND(AUTOEVENTO="Manual",$M219=1),0,IF(OFFSET(CRONOPLE!$F$14,$M219,AV$13)="",10^12,OFFSET(CRONOPLE!$F$14,$M219,AV$13))))</f>
        <v>1000000000000</v>
      </c>
      <c r="AX219" s="182">
        <f ca="1">IF($D219&lt;&gt;"Serviço",0,IF(OR(AND(AUTOEVENTO="Manual",$M219=1),$M219&gt;(ROW(PLE.lastrow)-ROW(PLE.firstrow))),0,IF(OFFSET(PLE!$G$14,$M219,AX$13)="",10^12,OFFSET(PLE!$G$14,$M219,AX$13))))</f>
        <v>1000000000000</v>
      </c>
      <c r="AY219" s="182">
        <f ca="1">IF($D219&lt;&gt;"Serviço",0,IF(OR(AND(AUTOEVENTO="Manual",$M219=1),$M219&gt;(ROW(PLE.lastrow)-ROW(PLE.firstrow))),0,IF(OFFSET(PLE!$G$14,$M219,AY$13)="",10^12,OFFSET(PLE!$G$14,$M219,AY$13))))</f>
        <v>1000000000000</v>
      </c>
      <c r="AZ219" s="182">
        <f ca="1">IF($D219&lt;&gt;"Serviço",0,IF(OR(AND(AUTOEVENTO="Manual",$M219=1),$M219&gt;(ROW(PLE.lastrow)-ROW(PLE.firstrow))),0,IF(OFFSET(PLE!$G$14,$M219,AZ$13)="",10^12,OFFSET(PLE!$G$14,$M219,AZ$13))))</f>
        <v>1000000000000</v>
      </c>
      <c r="BA219" s="182">
        <f ca="1">IF($D219&lt;&gt;"Serviço",0,IF(OR(AND(AUTOEVENTO="Manual",$M219=1),$M219&gt;(ROW(PLE.lastrow)-ROW(PLE.firstrow))),0,IF(OFFSET(PLE!$G$14,$M219,BA$13)="",10^12,OFFSET(PLE!$G$14,$M219,BA$13))))</f>
        <v>1000000000000</v>
      </c>
      <c r="BB219" s="182">
        <f ca="1">IF($D219&lt;&gt;"Serviço",0,IF(OR(AND(AUTOEVENTO="Manual",$M219=1),$M219&gt;(ROW(PLE.lastrow)-ROW(PLE.firstrow))),0,IF(OFFSET(PLE!$G$14,$M219,BB$13)="",10^12,OFFSET(PLE!$G$14,$M219,BB$13))))</f>
        <v>1000000000000</v>
      </c>
      <c r="BC219" s="182">
        <f ca="1">IF($D219&lt;&gt;"Serviço",0,IF(OR(AND(AUTOEVENTO="Manual",$M219=1),$M219&gt;(ROW(PLE.lastrow)-ROW(PLE.firstrow))),0,IF(OFFSET(PLE!$G$14,$M219,BC$13)="",10^12,OFFSET(PLE!$G$14,$M219,BC$13))))</f>
        <v>1000000000000</v>
      </c>
      <c r="BD219" s="182">
        <f ca="1">IF($D219&lt;&gt;"Serviço",0,IF(OR(AND(AUTOEVENTO="Manual",$M219=1),$M219&gt;(ROW(PLE.lastrow)-ROW(PLE.firstrow))),0,IF(OFFSET(PLE!$G$14,$M219,BD$13)="",10^12,OFFSET(PLE!$G$14,$M219,BD$13))))</f>
        <v>1000000000000</v>
      </c>
      <c r="BE219" s="182">
        <f ca="1">IF($D219&lt;&gt;"Serviço",0,IF(OR(AND(AUTOEVENTO="Manual",$M219=1),$M219&gt;(ROW(PLE.lastrow)-ROW(PLE.firstrow))),0,IF(OFFSET(PLE!$G$14,$M219,BE$13)="",10^12,OFFSET(PLE!$G$14,$M219,BE$13))))</f>
        <v>1000000000000</v>
      </c>
      <c r="BF219" s="182">
        <f ca="1">IF($D219&lt;&gt;"Serviço",0,IF(OR(AND(AUTOEVENTO="Manual",$M219=1),$M219&gt;(ROW(PLE.lastrow)-ROW(PLE.firstrow))),0,IF(OFFSET(PLE!$G$14,$M219,BF$13)="",10^12,OFFSET(PLE!$G$14,$M219,BF$13))))</f>
        <v>1000000000000</v>
      </c>
      <c r="BG219" s="182">
        <f ca="1">IF($D219&lt;&gt;"Serviço",0,IF(OR(AND(AUTOEVENTO="Manual",$M219=1),$M219&gt;(ROW(PLE.lastrow)-ROW(PLE.firstrow))),0,IF(OFFSET(PLE!$G$14,$M219,BG$13)="",10^12,OFFSET(PLE!$G$14,$M219,BG$13))))</f>
        <v>1000000000000</v>
      </c>
    </row>
    <row r="220" spans="1:59" ht="51" x14ac:dyDescent="0.2">
      <c r="A220" s="7" t="str">
        <f t="shared" ca="1" si="10"/>
        <v>197</v>
      </c>
      <c r="B220" s="7" t="str">
        <f ca="1">OFFSET(ORÇAMENTO!C$15,ROW(B220)-ROW(B$15),0)</f>
        <v>S</v>
      </c>
      <c r="C220" s="7" t="str">
        <f ca="1">OFFSET(ORÇAMENTO!L$15,ROW(C220)-ROW(C$15),0)</f>
        <v>F</v>
      </c>
      <c r="D220" s="118" t="str">
        <f ca="1">OFFSET(ORÇAMENTO!N$15,ROW(D220)-ROW(D$15),0)</f>
        <v>Serviço</v>
      </c>
      <c r="E220" s="119" t="str">
        <f ca="1">OFFSET(ORÇAMENTO!O$15,ROW(E220)-ROW(E$15),0)</f>
        <v>1.9.0.8.</v>
      </c>
      <c r="F220" s="172" t="str">
        <f ca="1">OFFSET(ORÇAMENTO!R$15,ROW(F220)-ROW(F$15),0)</f>
        <v>(abra o arquivo 'Referência 03-2024.xlsm)</v>
      </c>
      <c r="G220" s="173" t="str">
        <f ca="1">IF($D220&lt;&gt;"Serviço","",OFFSET(ORÇAMENTO!S$15,ROW(G220)-ROW(G$15),0))</f>
        <v>-</v>
      </c>
      <c r="H220" s="124">
        <f ca="1">IF($D220&lt;&gt;"Serviço",0,IF(ACOMPANHAMENTO="BM",ROUND(OFFSET(ORÇAMENTO!AJ$15,ROW(H220)-ROW(H$15),0),15-13*ORÇAMENTO!$AF$7),SUMPRODUCT(($Q$12:$AA$12&lt;&gt;"")*ROUND($Q220:$AA220,15-13*ORÇAMENTO!$AF$7))))</f>
        <v>147.84</v>
      </c>
      <c r="I220" s="561"/>
      <c r="K220" s="174"/>
      <c r="L220" s="175" t="s">
        <v>255</v>
      </c>
      <c r="M220" s="176">
        <f ca="1">IF($D220&lt;&gt;"Serviço","",IF(AUTOEVENTO="manual",$A220,IF(ISERROR(MATCH($A220,$A$15:OFFSET($A220,-1,0),0)),MAX($M$15:OFFSET(M220,-1,0))+1,INDEX($M$15:OFFSET(M220,-1,0),MATCH($A220,$A$15:OFFSET($A220,-1,0),0)))))</f>
        <v>10</v>
      </c>
      <c r="N220" s="177" t="str">
        <f ca="1">IF($D220&lt;&gt;"Serviço","",IF(AUTOEVENTO="Manual",IF($A220=0,"&lt;-- defina o número do agrupador",OFFSET(EVENTOS!$D$14,$A220,0)),OFFSET($F$15,$A220,0)))</f>
        <v>QUADRA DE AREIA</v>
      </c>
      <c r="O220" s="178"/>
      <c r="Q220" s="178"/>
      <c r="R220" s="179"/>
      <c r="S220" s="179"/>
      <c r="T220" s="179"/>
      <c r="U220" s="179"/>
      <c r="V220" s="179"/>
      <c r="W220" s="179"/>
      <c r="X220" s="179"/>
      <c r="Y220" s="179"/>
      <c r="Z220" s="180"/>
      <c r="AB220" s="544">
        <f ca="1">IF(AND($D220="Serviço",AB$12&lt;&gt;0,$H220&gt;0,OR(AUTOEVENTO&lt;&gt;"manual",$M220&lt;&gt;1)),
IF(Import.TipoArredondamento&lt;&gt;"TransfereGOV",
ROUND(OFFSET($P220,0,AB$13),15-13*ORÇAMENTO!$AF$7)/$H220*OFFSET(ORÇAMENTO!$X$15,ROW(AB220)-ROW(AB$15),0),
ROUND(ROUND(OFFSET($P220,0,AB$13),15-13*ORÇAMENTO!$AF$7)*OFFSET(ORÇAMENTO!$W$15,ROW(AB220)-ROW(AB$15),0),15-13*ORÇAMENTO!$AF$11)),0)</f>
        <v>0</v>
      </c>
      <c r="AC220" s="545">
        <f ca="1">IF(AND($D220="Serviço",AC$12&lt;&gt;0,$H220&gt;0,OR(AUTOEVENTO&lt;&gt;"manual",$M220&lt;&gt;1)),
IF(Import.TipoArredondamento&lt;&gt;"TransfereGOV",
ROUND(OFFSET($P220,0,AC$13),15-13*ORÇAMENTO!$AF$7)/$H220*OFFSET(ORÇAMENTO!$X$15,ROW(AC220)-ROW(AC$15),0),
ROUND(ROUND(OFFSET($P220,0,AC$13),15-13*ORÇAMENTO!$AF$7)*OFFSET(ORÇAMENTO!$W$15,ROW(AC220)-ROW(AC$15),0),15-13*ORÇAMENTO!$AF$11)),0)</f>
        <v>0</v>
      </c>
      <c r="AD220" s="545">
        <f ca="1">IF(AND($D220="Serviço",AD$12&lt;&gt;0,$H220&gt;0,OR(AUTOEVENTO&lt;&gt;"manual",$M220&lt;&gt;1)),
IF(Import.TipoArredondamento&lt;&gt;"TransfereGOV",
ROUND(OFFSET($P220,0,AD$13),15-13*ORÇAMENTO!$AF$7)/$H220*OFFSET(ORÇAMENTO!$X$15,ROW(AD220)-ROW(AD$15),0),
ROUND(ROUND(OFFSET($P220,0,AD$13),15-13*ORÇAMENTO!$AF$7)*OFFSET(ORÇAMENTO!$W$15,ROW(AD220)-ROW(AD$15),0),15-13*ORÇAMENTO!$AF$11)),0)</f>
        <v>0</v>
      </c>
      <c r="AE220" s="545">
        <f ca="1">IF(AND($D220="Serviço",AE$12&lt;&gt;0,$H220&gt;0,OR(AUTOEVENTO&lt;&gt;"manual",$M220&lt;&gt;1)),
IF(Import.TipoArredondamento&lt;&gt;"TransfereGOV",
ROUND(OFFSET($P220,0,AE$13),15-13*ORÇAMENTO!$AF$7)/$H220*OFFSET(ORÇAMENTO!$X$15,ROW(AE220)-ROW(AE$15),0),
ROUND(ROUND(OFFSET($P220,0,AE$13),15-13*ORÇAMENTO!$AF$7)*OFFSET(ORÇAMENTO!$W$15,ROW(AE220)-ROW(AE$15),0),15-13*ORÇAMENTO!$AF$11)),0)</f>
        <v>0</v>
      </c>
      <c r="AF220" s="545">
        <f ca="1">IF(AND($D220="Serviço",AF$12&lt;&gt;0,$H220&gt;0,OR(AUTOEVENTO&lt;&gt;"manual",$M220&lt;&gt;1)),
IF(Import.TipoArredondamento&lt;&gt;"TransfereGOV",
ROUND(OFFSET($P220,0,AF$13),15-13*ORÇAMENTO!$AF$7)/$H220*OFFSET(ORÇAMENTO!$X$15,ROW(AF220)-ROW(AF$15),0),
ROUND(ROUND(OFFSET($P220,0,AF$13),15-13*ORÇAMENTO!$AF$7)*OFFSET(ORÇAMENTO!$W$15,ROW(AF220)-ROW(AF$15),0),15-13*ORÇAMENTO!$AF$11)),0)</f>
        <v>0</v>
      </c>
      <c r="AG220" s="545">
        <f ca="1">IF(AND($D220="Serviço",AG$12&lt;&gt;0,$H220&gt;0,OR(AUTOEVENTO&lt;&gt;"manual",$M220&lt;&gt;1)),
IF(Import.TipoArredondamento&lt;&gt;"TransfereGOV",
ROUND(OFFSET($P220,0,AG$13),15-13*ORÇAMENTO!$AF$7)/$H220*OFFSET(ORÇAMENTO!$X$15,ROW(AG220)-ROW(AG$15),0),
ROUND(ROUND(OFFSET($P220,0,AG$13),15-13*ORÇAMENTO!$AF$7)*OFFSET(ORÇAMENTO!$W$15,ROW(AG220)-ROW(AG$15),0),15-13*ORÇAMENTO!$AF$11)),0)</f>
        <v>0</v>
      </c>
      <c r="AH220" s="545">
        <f ca="1">IF(AND($D220="Serviço",AH$12&lt;&gt;0,$H220&gt;0,OR(AUTOEVENTO&lt;&gt;"manual",$M220&lt;&gt;1)),
IF(Import.TipoArredondamento&lt;&gt;"TransfereGOV",
ROUND(OFFSET($P220,0,AH$13),15-13*ORÇAMENTO!$AF$7)/$H220*OFFSET(ORÇAMENTO!$X$15,ROW(AH220)-ROW(AH$15),0),
ROUND(ROUND(OFFSET($P220,0,AH$13),15-13*ORÇAMENTO!$AF$7)*OFFSET(ORÇAMENTO!$W$15,ROW(AH220)-ROW(AH$15),0),15-13*ORÇAMENTO!$AF$11)),0)</f>
        <v>0</v>
      </c>
      <c r="AI220" s="545">
        <f ca="1">IF(AND($D220="Serviço",AI$12&lt;&gt;0,$H220&gt;0,OR(AUTOEVENTO&lt;&gt;"manual",$M220&lt;&gt;1)),
IF(Import.TipoArredondamento&lt;&gt;"TransfereGOV",
ROUND(OFFSET($P220,0,AI$13),15-13*ORÇAMENTO!$AF$7)/$H220*OFFSET(ORÇAMENTO!$X$15,ROW(AI220)-ROW(AI$15),0),
ROUND(ROUND(OFFSET($P220,0,AI$13),15-13*ORÇAMENTO!$AF$7)*OFFSET(ORÇAMENTO!$W$15,ROW(AI220)-ROW(AI$15),0),15-13*ORÇAMENTO!$AF$11)),0)</f>
        <v>0</v>
      </c>
      <c r="AJ220" s="545">
        <f ca="1">IF(AND($D220="Serviço",AJ$12&lt;&gt;0,$H220&gt;0,OR(AUTOEVENTO&lt;&gt;"manual",$M220&lt;&gt;1)),
IF(Import.TipoArredondamento&lt;&gt;"TransfereGOV",
ROUND(OFFSET($P220,0,AJ$13),15-13*ORÇAMENTO!$AF$7)/$H220*OFFSET(ORÇAMENTO!$X$15,ROW(AJ220)-ROW(AJ$15),0),
ROUND(ROUND(OFFSET($P220,0,AJ$13),15-13*ORÇAMENTO!$AF$7)*OFFSET(ORÇAMENTO!$W$15,ROW(AJ220)-ROW(AJ$15),0),15-13*ORÇAMENTO!$AF$11)),0)</f>
        <v>0</v>
      </c>
      <c r="AK220" s="546">
        <f ca="1">IF(AND($D220="Serviço",AK$12&lt;&gt;0,$H220&gt;0,OR(AUTOEVENTO&lt;&gt;"manual",$M220&lt;&gt;1)),
IF(Import.TipoArredondamento&lt;&gt;"TransfereGOV",
ROUND(OFFSET($P220,0,AK$13),15-13*ORÇAMENTO!$AF$7)/$H220*OFFSET(ORÇAMENTO!$X$15,ROW(AK220)-ROW(AK$15),0),
ROUND(ROUND(OFFSET($P220,0,AK$13),15-13*ORÇAMENTO!$AF$7)*OFFSET(ORÇAMENTO!$W$15,ROW(AK220)-ROW(AK$15),0),15-13*ORÇAMENTO!$AF$11)),0)</f>
        <v>0</v>
      </c>
      <c r="AM220" s="181">
        <f ca="1">IF($D220&lt;&gt;"Serviço",0,IF(AND(AUTOEVENTO="Manual",$M220=1),0,IF(OFFSET(CRONOPLE!$F$14,$M220,AM$13)="",10^12,OFFSET(CRONOPLE!$F$14,$M220,AM$13))))</f>
        <v>1000000000000</v>
      </c>
      <c r="AN220" s="181">
        <f ca="1">IF($D220&lt;&gt;"Serviço",0,IF(AND(AUTOEVENTO="Manual",$M220=1),0,IF(OFFSET(CRONOPLE!$F$14,$M220,AN$13)="",10^12,OFFSET(CRONOPLE!$F$14,$M220,AN$13))))</f>
        <v>1000000000000</v>
      </c>
      <c r="AO220" s="181">
        <f ca="1">IF($D220&lt;&gt;"Serviço",0,IF(AND(AUTOEVENTO="Manual",$M220=1),0,IF(OFFSET(CRONOPLE!$F$14,$M220,AO$13)="",10^12,OFFSET(CRONOPLE!$F$14,$M220,AO$13))))</f>
        <v>1000000000000</v>
      </c>
      <c r="AP220" s="181">
        <f ca="1">IF($D220&lt;&gt;"Serviço",0,IF(AND(AUTOEVENTO="Manual",$M220=1),0,IF(OFFSET(CRONOPLE!$F$14,$M220,AP$13)="",10^12,OFFSET(CRONOPLE!$F$14,$M220,AP$13))))</f>
        <v>1000000000000</v>
      </c>
      <c r="AQ220" s="181">
        <f ca="1">IF($D220&lt;&gt;"Serviço",0,IF(AND(AUTOEVENTO="Manual",$M220=1),0,IF(OFFSET(CRONOPLE!$F$14,$M220,AQ$13)="",10^12,OFFSET(CRONOPLE!$F$14,$M220,AQ$13))))</f>
        <v>1000000000000</v>
      </c>
      <c r="AR220" s="181">
        <f ca="1">IF($D220&lt;&gt;"Serviço",0,IF(AND(AUTOEVENTO="Manual",$M220=1),0,IF(OFFSET(CRONOPLE!$F$14,$M220,AR$13)="",10^12,OFFSET(CRONOPLE!$F$14,$M220,AR$13))))</f>
        <v>1000000000000</v>
      </c>
      <c r="AS220" s="181">
        <f ca="1">IF($D220&lt;&gt;"Serviço",0,IF(AND(AUTOEVENTO="Manual",$M220=1),0,IF(OFFSET(CRONOPLE!$F$14,$M220,AS$13)="",10^12,OFFSET(CRONOPLE!$F$14,$M220,AS$13))))</f>
        <v>1000000000000</v>
      </c>
      <c r="AT220" s="181">
        <f ca="1">IF($D220&lt;&gt;"Serviço",0,IF(AND(AUTOEVENTO="Manual",$M220=1),0,IF(OFFSET(CRONOPLE!$F$14,$M220,AT$13)="",10^12,OFFSET(CRONOPLE!$F$14,$M220,AT$13))))</f>
        <v>1000000000000</v>
      </c>
      <c r="AU220" s="181">
        <f ca="1">IF($D220&lt;&gt;"Serviço",0,IF(AND(AUTOEVENTO="Manual",$M220=1),0,IF(OFFSET(CRONOPLE!$F$14,$M220,AU$13)="",10^12,OFFSET(CRONOPLE!$F$14,$M220,AU$13))))</f>
        <v>1000000000000</v>
      </c>
      <c r="AV220" s="181">
        <f ca="1">IF($D220&lt;&gt;"Serviço",0,IF(AND(AUTOEVENTO="Manual",$M220=1),0,IF(OFFSET(CRONOPLE!$F$14,$M220,AV$13)="",10^12,OFFSET(CRONOPLE!$F$14,$M220,AV$13))))</f>
        <v>1000000000000</v>
      </c>
      <c r="AX220" s="182">
        <f ca="1">IF($D220&lt;&gt;"Serviço",0,IF(OR(AND(AUTOEVENTO="Manual",$M220=1),$M220&gt;(ROW(PLE.lastrow)-ROW(PLE.firstrow))),0,IF(OFFSET(PLE!$G$14,$M220,AX$13)="",10^12,OFFSET(PLE!$G$14,$M220,AX$13))))</f>
        <v>1000000000000</v>
      </c>
      <c r="AY220" s="182">
        <f ca="1">IF($D220&lt;&gt;"Serviço",0,IF(OR(AND(AUTOEVENTO="Manual",$M220=1),$M220&gt;(ROW(PLE.lastrow)-ROW(PLE.firstrow))),0,IF(OFFSET(PLE!$G$14,$M220,AY$13)="",10^12,OFFSET(PLE!$G$14,$M220,AY$13))))</f>
        <v>1000000000000</v>
      </c>
      <c r="AZ220" s="182">
        <f ca="1">IF($D220&lt;&gt;"Serviço",0,IF(OR(AND(AUTOEVENTO="Manual",$M220=1),$M220&gt;(ROW(PLE.lastrow)-ROW(PLE.firstrow))),0,IF(OFFSET(PLE!$G$14,$M220,AZ$13)="",10^12,OFFSET(PLE!$G$14,$M220,AZ$13))))</f>
        <v>1000000000000</v>
      </c>
      <c r="BA220" s="182">
        <f ca="1">IF($D220&lt;&gt;"Serviço",0,IF(OR(AND(AUTOEVENTO="Manual",$M220=1),$M220&gt;(ROW(PLE.lastrow)-ROW(PLE.firstrow))),0,IF(OFFSET(PLE!$G$14,$M220,BA$13)="",10^12,OFFSET(PLE!$G$14,$M220,BA$13))))</f>
        <v>1000000000000</v>
      </c>
      <c r="BB220" s="182">
        <f ca="1">IF($D220&lt;&gt;"Serviço",0,IF(OR(AND(AUTOEVENTO="Manual",$M220=1),$M220&gt;(ROW(PLE.lastrow)-ROW(PLE.firstrow))),0,IF(OFFSET(PLE!$G$14,$M220,BB$13)="",10^12,OFFSET(PLE!$G$14,$M220,BB$13))))</f>
        <v>1000000000000</v>
      </c>
      <c r="BC220" s="182">
        <f ca="1">IF($D220&lt;&gt;"Serviço",0,IF(OR(AND(AUTOEVENTO="Manual",$M220=1),$M220&gt;(ROW(PLE.lastrow)-ROW(PLE.firstrow))),0,IF(OFFSET(PLE!$G$14,$M220,BC$13)="",10^12,OFFSET(PLE!$G$14,$M220,BC$13))))</f>
        <v>1000000000000</v>
      </c>
      <c r="BD220" s="182">
        <f ca="1">IF($D220&lt;&gt;"Serviço",0,IF(OR(AND(AUTOEVENTO="Manual",$M220=1),$M220&gt;(ROW(PLE.lastrow)-ROW(PLE.firstrow))),0,IF(OFFSET(PLE!$G$14,$M220,BD$13)="",10^12,OFFSET(PLE!$G$14,$M220,BD$13))))</f>
        <v>1000000000000</v>
      </c>
      <c r="BE220" s="182">
        <f ca="1">IF($D220&lt;&gt;"Serviço",0,IF(OR(AND(AUTOEVENTO="Manual",$M220=1),$M220&gt;(ROW(PLE.lastrow)-ROW(PLE.firstrow))),0,IF(OFFSET(PLE!$G$14,$M220,BE$13)="",10^12,OFFSET(PLE!$G$14,$M220,BE$13))))</f>
        <v>1000000000000</v>
      </c>
      <c r="BF220" s="182">
        <f ca="1">IF($D220&lt;&gt;"Serviço",0,IF(OR(AND(AUTOEVENTO="Manual",$M220=1),$M220&gt;(ROW(PLE.lastrow)-ROW(PLE.firstrow))),0,IF(OFFSET(PLE!$G$14,$M220,BF$13)="",10^12,OFFSET(PLE!$G$14,$M220,BF$13))))</f>
        <v>1000000000000</v>
      </c>
      <c r="BG220" s="182">
        <f ca="1">IF($D220&lt;&gt;"Serviço",0,IF(OR(AND(AUTOEVENTO="Manual",$M220=1),$M220&gt;(ROW(PLE.lastrow)-ROW(PLE.firstrow))),0,IF(OFFSET(PLE!$G$14,$M220,BG$13)="",10^12,OFFSET(PLE!$G$14,$M220,BG$13))))</f>
        <v>1000000000000</v>
      </c>
    </row>
    <row r="221" spans="1:59" ht="38.25" x14ac:dyDescent="0.2">
      <c r="A221" s="7" t="str">
        <f t="shared" ca="1" si="10"/>
        <v>197</v>
      </c>
      <c r="B221" s="7" t="str">
        <f ca="1">OFFSET(ORÇAMENTO!C$15,ROW(B221)-ROW(B$15),0)</f>
        <v>S</v>
      </c>
      <c r="C221" s="7" t="str">
        <f ca="1">OFFSET(ORÇAMENTO!L$15,ROW(C221)-ROW(C$15),0)</f>
        <v>F</v>
      </c>
      <c r="D221" s="118" t="str">
        <f ca="1">OFFSET(ORÇAMENTO!N$15,ROW(D221)-ROW(D$15),0)</f>
        <v>Serviço</v>
      </c>
      <c r="E221" s="119" t="str">
        <f ca="1">OFFSET(ORÇAMENTO!O$15,ROW(E221)-ROW(E$15),0)</f>
        <v>1.9.0.9.</v>
      </c>
      <c r="F221" s="172" t="str">
        <f ca="1">OFFSET(ORÇAMENTO!R$15,ROW(F221)-ROW(F$15),0)</f>
        <v>(abra o arquivo 'Referência 03-2024.xlsm)</v>
      </c>
      <c r="G221" s="173" t="str">
        <f ca="1">IF($D221&lt;&gt;"Serviço","",OFFSET(ORÇAMENTO!S$15,ROW(G221)-ROW(G$15),0))</f>
        <v>-</v>
      </c>
      <c r="H221" s="124">
        <f ca="1">IF($D221&lt;&gt;"Serviço",0,IF(ACOMPANHAMENTO="BM",ROUND(OFFSET(ORÇAMENTO!AJ$15,ROW(H221)-ROW(H$15),0),15-13*ORÇAMENTO!$AF$7),SUMPRODUCT(($Q$12:$AA$12&lt;&gt;"")*ROUND($Q221:$AA221,15-13*ORÇAMENTO!$AF$7))))</f>
        <v>14.78</v>
      </c>
      <c r="I221" s="561"/>
      <c r="K221" s="174"/>
      <c r="L221" s="175" t="s">
        <v>255</v>
      </c>
      <c r="M221" s="176">
        <f ca="1">IF($D221&lt;&gt;"Serviço","",IF(AUTOEVENTO="manual",$A221,IF(ISERROR(MATCH($A221,$A$15:OFFSET($A221,-1,0),0)),MAX($M$15:OFFSET(M221,-1,0))+1,INDEX($M$15:OFFSET(M221,-1,0),MATCH($A221,$A$15:OFFSET($A221,-1,0),0)))))</f>
        <v>10</v>
      </c>
      <c r="N221" s="177" t="str">
        <f ca="1">IF($D221&lt;&gt;"Serviço","",IF(AUTOEVENTO="Manual",IF($A221=0,"&lt;-- defina o número do agrupador",OFFSET(EVENTOS!$D$14,$A221,0)),OFFSET($F$15,$A221,0)))</f>
        <v>QUADRA DE AREIA</v>
      </c>
      <c r="O221" s="178"/>
      <c r="Q221" s="178"/>
      <c r="R221" s="179"/>
      <c r="S221" s="179"/>
      <c r="T221" s="179"/>
      <c r="U221" s="179"/>
      <c r="V221" s="179"/>
      <c r="W221" s="179"/>
      <c r="X221" s="179"/>
      <c r="Y221" s="179"/>
      <c r="Z221" s="180"/>
      <c r="AB221" s="544">
        <f ca="1">IF(AND($D221="Serviço",AB$12&lt;&gt;0,$H221&gt;0,OR(AUTOEVENTO&lt;&gt;"manual",$M221&lt;&gt;1)),
IF(Import.TipoArredondamento&lt;&gt;"TransfereGOV",
ROUND(OFFSET($P221,0,AB$13),15-13*ORÇAMENTO!$AF$7)/$H221*OFFSET(ORÇAMENTO!$X$15,ROW(AB221)-ROW(AB$15),0),
ROUND(ROUND(OFFSET($P221,0,AB$13),15-13*ORÇAMENTO!$AF$7)*OFFSET(ORÇAMENTO!$W$15,ROW(AB221)-ROW(AB$15),0),15-13*ORÇAMENTO!$AF$11)),0)</f>
        <v>0</v>
      </c>
      <c r="AC221" s="545">
        <f ca="1">IF(AND($D221="Serviço",AC$12&lt;&gt;0,$H221&gt;0,OR(AUTOEVENTO&lt;&gt;"manual",$M221&lt;&gt;1)),
IF(Import.TipoArredondamento&lt;&gt;"TransfereGOV",
ROUND(OFFSET($P221,0,AC$13),15-13*ORÇAMENTO!$AF$7)/$H221*OFFSET(ORÇAMENTO!$X$15,ROW(AC221)-ROW(AC$15),0),
ROUND(ROUND(OFFSET($P221,0,AC$13),15-13*ORÇAMENTO!$AF$7)*OFFSET(ORÇAMENTO!$W$15,ROW(AC221)-ROW(AC$15),0),15-13*ORÇAMENTO!$AF$11)),0)</f>
        <v>0</v>
      </c>
      <c r="AD221" s="545">
        <f ca="1">IF(AND($D221="Serviço",AD$12&lt;&gt;0,$H221&gt;0,OR(AUTOEVENTO&lt;&gt;"manual",$M221&lt;&gt;1)),
IF(Import.TipoArredondamento&lt;&gt;"TransfereGOV",
ROUND(OFFSET($P221,0,AD$13),15-13*ORÇAMENTO!$AF$7)/$H221*OFFSET(ORÇAMENTO!$X$15,ROW(AD221)-ROW(AD$15),0),
ROUND(ROUND(OFFSET($P221,0,AD$13),15-13*ORÇAMENTO!$AF$7)*OFFSET(ORÇAMENTO!$W$15,ROW(AD221)-ROW(AD$15),0),15-13*ORÇAMENTO!$AF$11)),0)</f>
        <v>0</v>
      </c>
      <c r="AE221" s="545">
        <f ca="1">IF(AND($D221="Serviço",AE$12&lt;&gt;0,$H221&gt;0,OR(AUTOEVENTO&lt;&gt;"manual",$M221&lt;&gt;1)),
IF(Import.TipoArredondamento&lt;&gt;"TransfereGOV",
ROUND(OFFSET($P221,0,AE$13),15-13*ORÇAMENTO!$AF$7)/$H221*OFFSET(ORÇAMENTO!$X$15,ROW(AE221)-ROW(AE$15),0),
ROUND(ROUND(OFFSET($P221,0,AE$13),15-13*ORÇAMENTO!$AF$7)*OFFSET(ORÇAMENTO!$W$15,ROW(AE221)-ROW(AE$15),0),15-13*ORÇAMENTO!$AF$11)),0)</f>
        <v>0</v>
      </c>
      <c r="AF221" s="545">
        <f ca="1">IF(AND($D221="Serviço",AF$12&lt;&gt;0,$H221&gt;0,OR(AUTOEVENTO&lt;&gt;"manual",$M221&lt;&gt;1)),
IF(Import.TipoArredondamento&lt;&gt;"TransfereGOV",
ROUND(OFFSET($P221,0,AF$13),15-13*ORÇAMENTO!$AF$7)/$H221*OFFSET(ORÇAMENTO!$X$15,ROW(AF221)-ROW(AF$15),0),
ROUND(ROUND(OFFSET($P221,0,AF$13),15-13*ORÇAMENTO!$AF$7)*OFFSET(ORÇAMENTO!$W$15,ROW(AF221)-ROW(AF$15),0),15-13*ORÇAMENTO!$AF$11)),0)</f>
        <v>0</v>
      </c>
      <c r="AG221" s="545">
        <f ca="1">IF(AND($D221="Serviço",AG$12&lt;&gt;0,$H221&gt;0,OR(AUTOEVENTO&lt;&gt;"manual",$M221&lt;&gt;1)),
IF(Import.TipoArredondamento&lt;&gt;"TransfereGOV",
ROUND(OFFSET($P221,0,AG$13),15-13*ORÇAMENTO!$AF$7)/$H221*OFFSET(ORÇAMENTO!$X$15,ROW(AG221)-ROW(AG$15),0),
ROUND(ROUND(OFFSET($P221,0,AG$13),15-13*ORÇAMENTO!$AF$7)*OFFSET(ORÇAMENTO!$W$15,ROW(AG221)-ROW(AG$15),0),15-13*ORÇAMENTO!$AF$11)),0)</f>
        <v>0</v>
      </c>
      <c r="AH221" s="545">
        <f ca="1">IF(AND($D221="Serviço",AH$12&lt;&gt;0,$H221&gt;0,OR(AUTOEVENTO&lt;&gt;"manual",$M221&lt;&gt;1)),
IF(Import.TipoArredondamento&lt;&gt;"TransfereGOV",
ROUND(OFFSET($P221,0,AH$13),15-13*ORÇAMENTO!$AF$7)/$H221*OFFSET(ORÇAMENTO!$X$15,ROW(AH221)-ROW(AH$15),0),
ROUND(ROUND(OFFSET($P221,0,AH$13),15-13*ORÇAMENTO!$AF$7)*OFFSET(ORÇAMENTO!$W$15,ROW(AH221)-ROW(AH$15),0),15-13*ORÇAMENTO!$AF$11)),0)</f>
        <v>0</v>
      </c>
      <c r="AI221" s="545">
        <f ca="1">IF(AND($D221="Serviço",AI$12&lt;&gt;0,$H221&gt;0,OR(AUTOEVENTO&lt;&gt;"manual",$M221&lt;&gt;1)),
IF(Import.TipoArredondamento&lt;&gt;"TransfereGOV",
ROUND(OFFSET($P221,0,AI$13),15-13*ORÇAMENTO!$AF$7)/$H221*OFFSET(ORÇAMENTO!$X$15,ROW(AI221)-ROW(AI$15),0),
ROUND(ROUND(OFFSET($P221,0,AI$13),15-13*ORÇAMENTO!$AF$7)*OFFSET(ORÇAMENTO!$W$15,ROW(AI221)-ROW(AI$15),0),15-13*ORÇAMENTO!$AF$11)),0)</f>
        <v>0</v>
      </c>
      <c r="AJ221" s="545">
        <f ca="1">IF(AND($D221="Serviço",AJ$12&lt;&gt;0,$H221&gt;0,OR(AUTOEVENTO&lt;&gt;"manual",$M221&lt;&gt;1)),
IF(Import.TipoArredondamento&lt;&gt;"TransfereGOV",
ROUND(OFFSET($P221,0,AJ$13),15-13*ORÇAMENTO!$AF$7)/$H221*OFFSET(ORÇAMENTO!$X$15,ROW(AJ221)-ROW(AJ$15),0),
ROUND(ROUND(OFFSET($P221,0,AJ$13),15-13*ORÇAMENTO!$AF$7)*OFFSET(ORÇAMENTO!$W$15,ROW(AJ221)-ROW(AJ$15),0),15-13*ORÇAMENTO!$AF$11)),0)</f>
        <v>0</v>
      </c>
      <c r="AK221" s="546">
        <f ca="1">IF(AND($D221="Serviço",AK$12&lt;&gt;0,$H221&gt;0,OR(AUTOEVENTO&lt;&gt;"manual",$M221&lt;&gt;1)),
IF(Import.TipoArredondamento&lt;&gt;"TransfereGOV",
ROUND(OFFSET($P221,0,AK$13),15-13*ORÇAMENTO!$AF$7)/$H221*OFFSET(ORÇAMENTO!$X$15,ROW(AK221)-ROW(AK$15),0),
ROUND(ROUND(OFFSET($P221,0,AK$13),15-13*ORÇAMENTO!$AF$7)*OFFSET(ORÇAMENTO!$W$15,ROW(AK221)-ROW(AK$15),0),15-13*ORÇAMENTO!$AF$11)),0)</f>
        <v>0</v>
      </c>
      <c r="AM221" s="181">
        <f ca="1">IF($D221&lt;&gt;"Serviço",0,IF(AND(AUTOEVENTO="Manual",$M221=1),0,IF(OFFSET(CRONOPLE!$F$14,$M221,AM$13)="",10^12,OFFSET(CRONOPLE!$F$14,$M221,AM$13))))</f>
        <v>1000000000000</v>
      </c>
      <c r="AN221" s="181">
        <f ca="1">IF($D221&lt;&gt;"Serviço",0,IF(AND(AUTOEVENTO="Manual",$M221=1),0,IF(OFFSET(CRONOPLE!$F$14,$M221,AN$13)="",10^12,OFFSET(CRONOPLE!$F$14,$M221,AN$13))))</f>
        <v>1000000000000</v>
      </c>
      <c r="AO221" s="181">
        <f ca="1">IF($D221&lt;&gt;"Serviço",0,IF(AND(AUTOEVENTO="Manual",$M221=1),0,IF(OFFSET(CRONOPLE!$F$14,$M221,AO$13)="",10^12,OFFSET(CRONOPLE!$F$14,$M221,AO$13))))</f>
        <v>1000000000000</v>
      </c>
      <c r="AP221" s="181">
        <f ca="1">IF($D221&lt;&gt;"Serviço",0,IF(AND(AUTOEVENTO="Manual",$M221=1),0,IF(OFFSET(CRONOPLE!$F$14,$M221,AP$13)="",10^12,OFFSET(CRONOPLE!$F$14,$M221,AP$13))))</f>
        <v>1000000000000</v>
      </c>
      <c r="AQ221" s="181">
        <f ca="1">IF($D221&lt;&gt;"Serviço",0,IF(AND(AUTOEVENTO="Manual",$M221=1),0,IF(OFFSET(CRONOPLE!$F$14,$M221,AQ$13)="",10^12,OFFSET(CRONOPLE!$F$14,$M221,AQ$13))))</f>
        <v>1000000000000</v>
      </c>
      <c r="AR221" s="181">
        <f ca="1">IF($D221&lt;&gt;"Serviço",0,IF(AND(AUTOEVENTO="Manual",$M221=1),0,IF(OFFSET(CRONOPLE!$F$14,$M221,AR$13)="",10^12,OFFSET(CRONOPLE!$F$14,$M221,AR$13))))</f>
        <v>1000000000000</v>
      </c>
      <c r="AS221" s="181">
        <f ca="1">IF($D221&lt;&gt;"Serviço",0,IF(AND(AUTOEVENTO="Manual",$M221=1),0,IF(OFFSET(CRONOPLE!$F$14,$M221,AS$13)="",10^12,OFFSET(CRONOPLE!$F$14,$M221,AS$13))))</f>
        <v>1000000000000</v>
      </c>
      <c r="AT221" s="181">
        <f ca="1">IF($D221&lt;&gt;"Serviço",0,IF(AND(AUTOEVENTO="Manual",$M221=1),0,IF(OFFSET(CRONOPLE!$F$14,$M221,AT$13)="",10^12,OFFSET(CRONOPLE!$F$14,$M221,AT$13))))</f>
        <v>1000000000000</v>
      </c>
      <c r="AU221" s="181">
        <f ca="1">IF($D221&lt;&gt;"Serviço",0,IF(AND(AUTOEVENTO="Manual",$M221=1),0,IF(OFFSET(CRONOPLE!$F$14,$M221,AU$13)="",10^12,OFFSET(CRONOPLE!$F$14,$M221,AU$13))))</f>
        <v>1000000000000</v>
      </c>
      <c r="AV221" s="181">
        <f ca="1">IF($D221&lt;&gt;"Serviço",0,IF(AND(AUTOEVENTO="Manual",$M221=1),0,IF(OFFSET(CRONOPLE!$F$14,$M221,AV$13)="",10^12,OFFSET(CRONOPLE!$F$14,$M221,AV$13))))</f>
        <v>1000000000000</v>
      </c>
      <c r="AX221" s="182">
        <f ca="1">IF($D221&lt;&gt;"Serviço",0,IF(OR(AND(AUTOEVENTO="Manual",$M221=1),$M221&gt;(ROW(PLE.lastrow)-ROW(PLE.firstrow))),0,IF(OFFSET(PLE!$G$14,$M221,AX$13)="",10^12,OFFSET(PLE!$G$14,$M221,AX$13))))</f>
        <v>1000000000000</v>
      </c>
      <c r="AY221" s="182">
        <f ca="1">IF($D221&lt;&gt;"Serviço",0,IF(OR(AND(AUTOEVENTO="Manual",$M221=1),$M221&gt;(ROW(PLE.lastrow)-ROW(PLE.firstrow))),0,IF(OFFSET(PLE!$G$14,$M221,AY$13)="",10^12,OFFSET(PLE!$G$14,$M221,AY$13))))</f>
        <v>1000000000000</v>
      </c>
      <c r="AZ221" s="182">
        <f ca="1">IF($D221&lt;&gt;"Serviço",0,IF(OR(AND(AUTOEVENTO="Manual",$M221=1),$M221&gt;(ROW(PLE.lastrow)-ROW(PLE.firstrow))),0,IF(OFFSET(PLE!$G$14,$M221,AZ$13)="",10^12,OFFSET(PLE!$G$14,$M221,AZ$13))))</f>
        <v>1000000000000</v>
      </c>
      <c r="BA221" s="182">
        <f ca="1">IF($D221&lt;&gt;"Serviço",0,IF(OR(AND(AUTOEVENTO="Manual",$M221=1),$M221&gt;(ROW(PLE.lastrow)-ROW(PLE.firstrow))),0,IF(OFFSET(PLE!$G$14,$M221,BA$13)="",10^12,OFFSET(PLE!$G$14,$M221,BA$13))))</f>
        <v>1000000000000</v>
      </c>
      <c r="BB221" s="182">
        <f ca="1">IF($D221&lt;&gt;"Serviço",0,IF(OR(AND(AUTOEVENTO="Manual",$M221=1),$M221&gt;(ROW(PLE.lastrow)-ROW(PLE.firstrow))),0,IF(OFFSET(PLE!$G$14,$M221,BB$13)="",10^12,OFFSET(PLE!$G$14,$M221,BB$13))))</f>
        <v>1000000000000</v>
      </c>
      <c r="BC221" s="182">
        <f ca="1">IF($D221&lt;&gt;"Serviço",0,IF(OR(AND(AUTOEVENTO="Manual",$M221=1),$M221&gt;(ROW(PLE.lastrow)-ROW(PLE.firstrow))),0,IF(OFFSET(PLE!$G$14,$M221,BC$13)="",10^12,OFFSET(PLE!$G$14,$M221,BC$13))))</f>
        <v>1000000000000</v>
      </c>
      <c r="BD221" s="182">
        <f ca="1">IF($D221&lt;&gt;"Serviço",0,IF(OR(AND(AUTOEVENTO="Manual",$M221=1),$M221&gt;(ROW(PLE.lastrow)-ROW(PLE.firstrow))),0,IF(OFFSET(PLE!$G$14,$M221,BD$13)="",10^12,OFFSET(PLE!$G$14,$M221,BD$13))))</f>
        <v>1000000000000</v>
      </c>
      <c r="BE221" s="182">
        <f ca="1">IF($D221&lt;&gt;"Serviço",0,IF(OR(AND(AUTOEVENTO="Manual",$M221=1),$M221&gt;(ROW(PLE.lastrow)-ROW(PLE.firstrow))),0,IF(OFFSET(PLE!$G$14,$M221,BE$13)="",10^12,OFFSET(PLE!$G$14,$M221,BE$13))))</f>
        <v>1000000000000</v>
      </c>
      <c r="BF221" s="182">
        <f ca="1">IF($D221&lt;&gt;"Serviço",0,IF(OR(AND(AUTOEVENTO="Manual",$M221=1),$M221&gt;(ROW(PLE.lastrow)-ROW(PLE.firstrow))),0,IF(OFFSET(PLE!$G$14,$M221,BF$13)="",10^12,OFFSET(PLE!$G$14,$M221,BF$13))))</f>
        <v>1000000000000</v>
      </c>
      <c r="BG221" s="182">
        <f ca="1">IF($D221&lt;&gt;"Serviço",0,IF(OR(AND(AUTOEVENTO="Manual",$M221=1),$M221&gt;(ROW(PLE.lastrow)-ROW(PLE.firstrow))),0,IF(OFFSET(PLE!$G$14,$M221,BG$13)="",10^12,OFFSET(PLE!$G$14,$M221,BG$13))))</f>
        <v>1000000000000</v>
      </c>
    </row>
    <row r="222" spans="1:59" ht="63.75" x14ac:dyDescent="0.2">
      <c r="A222" s="7" t="str">
        <f t="shared" ca="1" si="10"/>
        <v>197</v>
      </c>
      <c r="B222" s="7" t="str">
        <f ca="1">OFFSET(ORÇAMENTO!C$15,ROW(B222)-ROW(B$15),0)</f>
        <v>S</v>
      </c>
      <c r="C222" s="7" t="str">
        <f ca="1">OFFSET(ORÇAMENTO!L$15,ROW(C222)-ROW(C$15),0)</f>
        <v>F</v>
      </c>
      <c r="D222" s="118" t="str">
        <f ca="1">OFFSET(ORÇAMENTO!N$15,ROW(D222)-ROW(D$15),0)</f>
        <v>Serviço</v>
      </c>
      <c r="E222" s="119" t="str">
        <f ca="1">OFFSET(ORÇAMENTO!O$15,ROW(E222)-ROW(E$15),0)</f>
        <v>1.9.0.10.</v>
      </c>
      <c r="F222" s="172" t="str">
        <f ca="1">OFFSET(ORÇAMENTO!R$15,ROW(F222)-ROW(F$15),0)</f>
        <v>(abra o arquivo 'Referência 03-2024.xlsm)</v>
      </c>
      <c r="G222" s="173" t="str">
        <f ca="1">IF($D222&lt;&gt;"Serviço","",OFFSET(ORÇAMENTO!S$15,ROW(G222)-ROW(G$15),0))</f>
        <v>-</v>
      </c>
      <c r="H222" s="124">
        <f ca="1">IF($D222&lt;&gt;"Serviço",0,IF(ACOMPANHAMENTO="BM",ROUND(OFFSET(ORÇAMENTO!AJ$15,ROW(H222)-ROW(H$15),0),15-13*ORÇAMENTO!$AF$7),SUMPRODUCT(($Q$12:$AA$12&lt;&gt;"")*ROUND($Q222:$AA222,15-13*ORÇAMENTO!$AF$7))))</f>
        <v>1</v>
      </c>
      <c r="I222" s="561"/>
      <c r="K222" s="174"/>
      <c r="L222" s="175" t="s">
        <v>255</v>
      </c>
      <c r="M222" s="176">
        <f ca="1">IF($D222&lt;&gt;"Serviço","",IF(AUTOEVENTO="manual",$A222,IF(ISERROR(MATCH($A222,$A$15:OFFSET($A222,-1,0),0)),MAX($M$15:OFFSET(M222,-1,0))+1,INDEX($M$15:OFFSET(M222,-1,0),MATCH($A222,$A$15:OFFSET($A222,-1,0),0)))))</f>
        <v>10</v>
      </c>
      <c r="N222" s="177" t="str">
        <f ca="1">IF($D222&lt;&gt;"Serviço","",IF(AUTOEVENTO="Manual",IF($A222=0,"&lt;-- defina o número do agrupador",OFFSET(EVENTOS!$D$14,$A222,0)),OFFSET($F$15,$A222,0)))</f>
        <v>QUADRA DE AREIA</v>
      </c>
      <c r="O222" s="178"/>
      <c r="Q222" s="178"/>
      <c r="R222" s="179"/>
      <c r="S222" s="179"/>
      <c r="T222" s="179"/>
      <c r="U222" s="179"/>
      <c r="V222" s="179"/>
      <c r="W222" s="179"/>
      <c r="X222" s="179"/>
      <c r="Y222" s="179"/>
      <c r="Z222" s="180"/>
      <c r="AB222" s="544">
        <f ca="1">IF(AND($D222="Serviço",AB$12&lt;&gt;0,$H222&gt;0,OR(AUTOEVENTO&lt;&gt;"manual",$M222&lt;&gt;1)),
IF(Import.TipoArredondamento&lt;&gt;"TransfereGOV",
ROUND(OFFSET($P222,0,AB$13),15-13*ORÇAMENTO!$AF$7)/$H222*OFFSET(ORÇAMENTO!$X$15,ROW(AB222)-ROW(AB$15),0),
ROUND(ROUND(OFFSET($P222,0,AB$13),15-13*ORÇAMENTO!$AF$7)*OFFSET(ORÇAMENTO!$W$15,ROW(AB222)-ROW(AB$15),0),15-13*ORÇAMENTO!$AF$11)),0)</f>
        <v>0</v>
      </c>
      <c r="AC222" s="545">
        <f ca="1">IF(AND($D222="Serviço",AC$12&lt;&gt;0,$H222&gt;0,OR(AUTOEVENTO&lt;&gt;"manual",$M222&lt;&gt;1)),
IF(Import.TipoArredondamento&lt;&gt;"TransfereGOV",
ROUND(OFFSET($P222,0,AC$13),15-13*ORÇAMENTO!$AF$7)/$H222*OFFSET(ORÇAMENTO!$X$15,ROW(AC222)-ROW(AC$15),0),
ROUND(ROUND(OFFSET($P222,0,AC$13),15-13*ORÇAMENTO!$AF$7)*OFFSET(ORÇAMENTO!$W$15,ROW(AC222)-ROW(AC$15),0),15-13*ORÇAMENTO!$AF$11)),0)</f>
        <v>0</v>
      </c>
      <c r="AD222" s="545">
        <f ca="1">IF(AND($D222="Serviço",AD$12&lt;&gt;0,$H222&gt;0,OR(AUTOEVENTO&lt;&gt;"manual",$M222&lt;&gt;1)),
IF(Import.TipoArredondamento&lt;&gt;"TransfereGOV",
ROUND(OFFSET($P222,0,AD$13),15-13*ORÇAMENTO!$AF$7)/$H222*OFFSET(ORÇAMENTO!$X$15,ROW(AD222)-ROW(AD$15),0),
ROUND(ROUND(OFFSET($P222,0,AD$13),15-13*ORÇAMENTO!$AF$7)*OFFSET(ORÇAMENTO!$W$15,ROW(AD222)-ROW(AD$15),0),15-13*ORÇAMENTO!$AF$11)),0)</f>
        <v>0</v>
      </c>
      <c r="AE222" s="545">
        <f ca="1">IF(AND($D222="Serviço",AE$12&lt;&gt;0,$H222&gt;0,OR(AUTOEVENTO&lt;&gt;"manual",$M222&lt;&gt;1)),
IF(Import.TipoArredondamento&lt;&gt;"TransfereGOV",
ROUND(OFFSET($P222,0,AE$13),15-13*ORÇAMENTO!$AF$7)/$H222*OFFSET(ORÇAMENTO!$X$15,ROW(AE222)-ROW(AE$15),0),
ROUND(ROUND(OFFSET($P222,0,AE$13),15-13*ORÇAMENTO!$AF$7)*OFFSET(ORÇAMENTO!$W$15,ROW(AE222)-ROW(AE$15),0),15-13*ORÇAMENTO!$AF$11)),0)</f>
        <v>0</v>
      </c>
      <c r="AF222" s="545">
        <f ca="1">IF(AND($D222="Serviço",AF$12&lt;&gt;0,$H222&gt;0,OR(AUTOEVENTO&lt;&gt;"manual",$M222&lt;&gt;1)),
IF(Import.TipoArredondamento&lt;&gt;"TransfereGOV",
ROUND(OFFSET($P222,0,AF$13),15-13*ORÇAMENTO!$AF$7)/$H222*OFFSET(ORÇAMENTO!$X$15,ROW(AF222)-ROW(AF$15),0),
ROUND(ROUND(OFFSET($P222,0,AF$13),15-13*ORÇAMENTO!$AF$7)*OFFSET(ORÇAMENTO!$W$15,ROW(AF222)-ROW(AF$15),0),15-13*ORÇAMENTO!$AF$11)),0)</f>
        <v>0</v>
      </c>
      <c r="AG222" s="545">
        <f ca="1">IF(AND($D222="Serviço",AG$12&lt;&gt;0,$H222&gt;0,OR(AUTOEVENTO&lt;&gt;"manual",$M222&lt;&gt;1)),
IF(Import.TipoArredondamento&lt;&gt;"TransfereGOV",
ROUND(OFFSET($P222,0,AG$13),15-13*ORÇAMENTO!$AF$7)/$H222*OFFSET(ORÇAMENTO!$X$15,ROW(AG222)-ROW(AG$15),0),
ROUND(ROUND(OFFSET($P222,0,AG$13),15-13*ORÇAMENTO!$AF$7)*OFFSET(ORÇAMENTO!$W$15,ROW(AG222)-ROW(AG$15),0),15-13*ORÇAMENTO!$AF$11)),0)</f>
        <v>0</v>
      </c>
      <c r="AH222" s="545">
        <f ca="1">IF(AND($D222="Serviço",AH$12&lt;&gt;0,$H222&gt;0,OR(AUTOEVENTO&lt;&gt;"manual",$M222&lt;&gt;1)),
IF(Import.TipoArredondamento&lt;&gt;"TransfereGOV",
ROUND(OFFSET($P222,0,AH$13),15-13*ORÇAMENTO!$AF$7)/$H222*OFFSET(ORÇAMENTO!$X$15,ROW(AH222)-ROW(AH$15),0),
ROUND(ROUND(OFFSET($P222,0,AH$13),15-13*ORÇAMENTO!$AF$7)*OFFSET(ORÇAMENTO!$W$15,ROW(AH222)-ROW(AH$15),0),15-13*ORÇAMENTO!$AF$11)),0)</f>
        <v>0</v>
      </c>
      <c r="AI222" s="545">
        <f ca="1">IF(AND($D222="Serviço",AI$12&lt;&gt;0,$H222&gt;0,OR(AUTOEVENTO&lt;&gt;"manual",$M222&lt;&gt;1)),
IF(Import.TipoArredondamento&lt;&gt;"TransfereGOV",
ROUND(OFFSET($P222,0,AI$13),15-13*ORÇAMENTO!$AF$7)/$H222*OFFSET(ORÇAMENTO!$X$15,ROW(AI222)-ROW(AI$15),0),
ROUND(ROUND(OFFSET($P222,0,AI$13),15-13*ORÇAMENTO!$AF$7)*OFFSET(ORÇAMENTO!$W$15,ROW(AI222)-ROW(AI$15),0),15-13*ORÇAMENTO!$AF$11)),0)</f>
        <v>0</v>
      </c>
      <c r="AJ222" s="545">
        <f ca="1">IF(AND($D222="Serviço",AJ$12&lt;&gt;0,$H222&gt;0,OR(AUTOEVENTO&lt;&gt;"manual",$M222&lt;&gt;1)),
IF(Import.TipoArredondamento&lt;&gt;"TransfereGOV",
ROUND(OFFSET($P222,0,AJ$13),15-13*ORÇAMENTO!$AF$7)/$H222*OFFSET(ORÇAMENTO!$X$15,ROW(AJ222)-ROW(AJ$15),0),
ROUND(ROUND(OFFSET($P222,0,AJ$13),15-13*ORÇAMENTO!$AF$7)*OFFSET(ORÇAMENTO!$W$15,ROW(AJ222)-ROW(AJ$15),0),15-13*ORÇAMENTO!$AF$11)),0)</f>
        <v>0</v>
      </c>
      <c r="AK222" s="546">
        <f ca="1">IF(AND($D222="Serviço",AK$12&lt;&gt;0,$H222&gt;0,OR(AUTOEVENTO&lt;&gt;"manual",$M222&lt;&gt;1)),
IF(Import.TipoArredondamento&lt;&gt;"TransfereGOV",
ROUND(OFFSET($P222,0,AK$13),15-13*ORÇAMENTO!$AF$7)/$H222*OFFSET(ORÇAMENTO!$X$15,ROW(AK222)-ROW(AK$15),0),
ROUND(ROUND(OFFSET($P222,0,AK$13),15-13*ORÇAMENTO!$AF$7)*OFFSET(ORÇAMENTO!$W$15,ROW(AK222)-ROW(AK$15),0),15-13*ORÇAMENTO!$AF$11)),0)</f>
        <v>0</v>
      </c>
      <c r="AM222" s="181">
        <f ca="1">IF($D222&lt;&gt;"Serviço",0,IF(AND(AUTOEVENTO="Manual",$M222=1),0,IF(OFFSET(CRONOPLE!$F$14,$M222,AM$13)="",10^12,OFFSET(CRONOPLE!$F$14,$M222,AM$13))))</f>
        <v>1000000000000</v>
      </c>
      <c r="AN222" s="181">
        <f ca="1">IF($D222&lt;&gt;"Serviço",0,IF(AND(AUTOEVENTO="Manual",$M222=1),0,IF(OFFSET(CRONOPLE!$F$14,$M222,AN$13)="",10^12,OFFSET(CRONOPLE!$F$14,$M222,AN$13))))</f>
        <v>1000000000000</v>
      </c>
      <c r="AO222" s="181">
        <f ca="1">IF($D222&lt;&gt;"Serviço",0,IF(AND(AUTOEVENTO="Manual",$M222=1),0,IF(OFFSET(CRONOPLE!$F$14,$M222,AO$13)="",10^12,OFFSET(CRONOPLE!$F$14,$M222,AO$13))))</f>
        <v>1000000000000</v>
      </c>
      <c r="AP222" s="181">
        <f ca="1">IF($D222&lt;&gt;"Serviço",0,IF(AND(AUTOEVENTO="Manual",$M222=1),0,IF(OFFSET(CRONOPLE!$F$14,$M222,AP$13)="",10^12,OFFSET(CRONOPLE!$F$14,$M222,AP$13))))</f>
        <v>1000000000000</v>
      </c>
      <c r="AQ222" s="181">
        <f ca="1">IF($D222&lt;&gt;"Serviço",0,IF(AND(AUTOEVENTO="Manual",$M222=1),0,IF(OFFSET(CRONOPLE!$F$14,$M222,AQ$13)="",10^12,OFFSET(CRONOPLE!$F$14,$M222,AQ$13))))</f>
        <v>1000000000000</v>
      </c>
      <c r="AR222" s="181">
        <f ca="1">IF($D222&lt;&gt;"Serviço",0,IF(AND(AUTOEVENTO="Manual",$M222=1),0,IF(OFFSET(CRONOPLE!$F$14,$M222,AR$13)="",10^12,OFFSET(CRONOPLE!$F$14,$M222,AR$13))))</f>
        <v>1000000000000</v>
      </c>
      <c r="AS222" s="181">
        <f ca="1">IF($D222&lt;&gt;"Serviço",0,IF(AND(AUTOEVENTO="Manual",$M222=1),0,IF(OFFSET(CRONOPLE!$F$14,$M222,AS$13)="",10^12,OFFSET(CRONOPLE!$F$14,$M222,AS$13))))</f>
        <v>1000000000000</v>
      </c>
      <c r="AT222" s="181">
        <f ca="1">IF($D222&lt;&gt;"Serviço",0,IF(AND(AUTOEVENTO="Manual",$M222=1),0,IF(OFFSET(CRONOPLE!$F$14,$M222,AT$13)="",10^12,OFFSET(CRONOPLE!$F$14,$M222,AT$13))))</f>
        <v>1000000000000</v>
      </c>
      <c r="AU222" s="181">
        <f ca="1">IF($D222&lt;&gt;"Serviço",0,IF(AND(AUTOEVENTO="Manual",$M222=1),0,IF(OFFSET(CRONOPLE!$F$14,$M222,AU$13)="",10^12,OFFSET(CRONOPLE!$F$14,$M222,AU$13))))</f>
        <v>1000000000000</v>
      </c>
      <c r="AV222" s="181">
        <f ca="1">IF($D222&lt;&gt;"Serviço",0,IF(AND(AUTOEVENTO="Manual",$M222=1),0,IF(OFFSET(CRONOPLE!$F$14,$M222,AV$13)="",10^12,OFFSET(CRONOPLE!$F$14,$M222,AV$13))))</f>
        <v>1000000000000</v>
      </c>
      <c r="AX222" s="182">
        <f ca="1">IF($D222&lt;&gt;"Serviço",0,IF(OR(AND(AUTOEVENTO="Manual",$M222=1),$M222&gt;(ROW(PLE.lastrow)-ROW(PLE.firstrow))),0,IF(OFFSET(PLE!$G$14,$M222,AX$13)="",10^12,OFFSET(PLE!$G$14,$M222,AX$13))))</f>
        <v>1000000000000</v>
      </c>
      <c r="AY222" s="182">
        <f ca="1">IF($D222&lt;&gt;"Serviço",0,IF(OR(AND(AUTOEVENTO="Manual",$M222=1),$M222&gt;(ROW(PLE.lastrow)-ROW(PLE.firstrow))),0,IF(OFFSET(PLE!$G$14,$M222,AY$13)="",10^12,OFFSET(PLE!$G$14,$M222,AY$13))))</f>
        <v>1000000000000</v>
      </c>
      <c r="AZ222" s="182">
        <f ca="1">IF($D222&lt;&gt;"Serviço",0,IF(OR(AND(AUTOEVENTO="Manual",$M222=1),$M222&gt;(ROW(PLE.lastrow)-ROW(PLE.firstrow))),0,IF(OFFSET(PLE!$G$14,$M222,AZ$13)="",10^12,OFFSET(PLE!$G$14,$M222,AZ$13))))</f>
        <v>1000000000000</v>
      </c>
      <c r="BA222" s="182">
        <f ca="1">IF($D222&lt;&gt;"Serviço",0,IF(OR(AND(AUTOEVENTO="Manual",$M222=1),$M222&gt;(ROW(PLE.lastrow)-ROW(PLE.firstrow))),0,IF(OFFSET(PLE!$G$14,$M222,BA$13)="",10^12,OFFSET(PLE!$G$14,$M222,BA$13))))</f>
        <v>1000000000000</v>
      </c>
      <c r="BB222" s="182">
        <f ca="1">IF($D222&lt;&gt;"Serviço",0,IF(OR(AND(AUTOEVENTO="Manual",$M222=1),$M222&gt;(ROW(PLE.lastrow)-ROW(PLE.firstrow))),0,IF(OFFSET(PLE!$G$14,$M222,BB$13)="",10^12,OFFSET(PLE!$G$14,$M222,BB$13))))</f>
        <v>1000000000000</v>
      </c>
      <c r="BC222" s="182">
        <f ca="1">IF($D222&lt;&gt;"Serviço",0,IF(OR(AND(AUTOEVENTO="Manual",$M222=1),$M222&gt;(ROW(PLE.lastrow)-ROW(PLE.firstrow))),0,IF(OFFSET(PLE!$G$14,$M222,BC$13)="",10^12,OFFSET(PLE!$G$14,$M222,BC$13))))</f>
        <v>1000000000000</v>
      </c>
      <c r="BD222" s="182">
        <f ca="1">IF($D222&lt;&gt;"Serviço",0,IF(OR(AND(AUTOEVENTO="Manual",$M222=1),$M222&gt;(ROW(PLE.lastrow)-ROW(PLE.firstrow))),0,IF(OFFSET(PLE!$G$14,$M222,BD$13)="",10^12,OFFSET(PLE!$G$14,$M222,BD$13))))</f>
        <v>1000000000000</v>
      </c>
      <c r="BE222" s="182">
        <f ca="1">IF($D222&lt;&gt;"Serviço",0,IF(OR(AND(AUTOEVENTO="Manual",$M222=1),$M222&gt;(ROW(PLE.lastrow)-ROW(PLE.firstrow))),0,IF(OFFSET(PLE!$G$14,$M222,BE$13)="",10^12,OFFSET(PLE!$G$14,$M222,BE$13))))</f>
        <v>1000000000000</v>
      </c>
      <c r="BF222" s="182">
        <f ca="1">IF($D222&lt;&gt;"Serviço",0,IF(OR(AND(AUTOEVENTO="Manual",$M222=1),$M222&gt;(ROW(PLE.lastrow)-ROW(PLE.firstrow))),0,IF(OFFSET(PLE!$G$14,$M222,BF$13)="",10^12,OFFSET(PLE!$G$14,$M222,BF$13))))</f>
        <v>1000000000000</v>
      </c>
      <c r="BG222" s="182">
        <f ca="1">IF($D222&lt;&gt;"Serviço",0,IF(OR(AND(AUTOEVENTO="Manual",$M222=1),$M222&gt;(ROW(PLE.lastrow)-ROW(PLE.firstrow))),0,IF(OFFSET(PLE!$G$14,$M222,BG$13)="",10^12,OFFSET(PLE!$G$14,$M222,BG$13))))</f>
        <v>1000000000000</v>
      </c>
    </row>
    <row r="223" spans="1:59" ht="63.75" x14ac:dyDescent="0.2">
      <c r="A223" s="7" t="str">
        <f t="shared" ca="1" si="10"/>
        <v>197</v>
      </c>
      <c r="B223" s="7" t="str">
        <f ca="1">OFFSET(ORÇAMENTO!C$15,ROW(B223)-ROW(B$15),0)</f>
        <v>S</v>
      </c>
      <c r="C223" s="7" t="str">
        <f ca="1">OFFSET(ORÇAMENTO!L$15,ROW(C223)-ROW(C$15),0)</f>
        <v>F</v>
      </c>
      <c r="D223" s="118" t="str">
        <f ca="1">OFFSET(ORÇAMENTO!N$15,ROW(D223)-ROW(D$15),0)</f>
        <v>Serviço</v>
      </c>
      <c r="E223" s="119" t="str">
        <f ca="1">OFFSET(ORÇAMENTO!O$15,ROW(E223)-ROW(E$15),0)</f>
        <v>1.9.0.11.</v>
      </c>
      <c r="F223" s="172" t="str">
        <f ca="1">OFFSET(ORÇAMENTO!R$15,ROW(F223)-ROW(F$15),0)</f>
        <v>(abra o arquivo 'Referência 03-2024.xlsm)</v>
      </c>
      <c r="G223" s="173" t="str">
        <f ca="1">IF($D223&lt;&gt;"Serviço","",OFFSET(ORÇAMENTO!S$15,ROW(G223)-ROW(G$15),0))</f>
        <v>-</v>
      </c>
      <c r="H223" s="124">
        <f ca="1">IF($D223&lt;&gt;"Serviço",0,IF(ACOMPANHAMENTO="BM",ROUND(OFFSET(ORÇAMENTO!AJ$15,ROW(H223)-ROW(H$15),0),15-13*ORÇAMENTO!$AF$7),SUMPRODUCT(($Q$12:$AA$12&lt;&gt;"")*ROUND($Q223:$AA223,15-13*ORÇAMENTO!$AF$7))))</f>
        <v>65.8</v>
      </c>
      <c r="I223" s="561"/>
      <c r="K223" s="174"/>
      <c r="L223" s="175" t="s">
        <v>255</v>
      </c>
      <c r="M223" s="176">
        <f ca="1">IF($D223&lt;&gt;"Serviço","",IF(AUTOEVENTO="manual",$A223,IF(ISERROR(MATCH($A223,$A$15:OFFSET($A223,-1,0),0)),MAX($M$15:OFFSET(M223,-1,0))+1,INDEX($M$15:OFFSET(M223,-1,0),MATCH($A223,$A$15:OFFSET($A223,-1,0),0)))))</f>
        <v>10</v>
      </c>
      <c r="N223" s="177" t="str">
        <f ca="1">IF($D223&lt;&gt;"Serviço","",IF(AUTOEVENTO="Manual",IF($A223=0,"&lt;-- defina o número do agrupador",OFFSET(EVENTOS!$D$14,$A223,0)),OFFSET($F$15,$A223,0)))</f>
        <v>QUADRA DE AREIA</v>
      </c>
      <c r="O223" s="178"/>
      <c r="Q223" s="178"/>
      <c r="R223" s="179"/>
      <c r="S223" s="179"/>
      <c r="T223" s="179"/>
      <c r="U223" s="179"/>
      <c r="V223" s="179"/>
      <c r="W223" s="179"/>
      <c r="X223" s="179"/>
      <c r="Y223" s="179"/>
      <c r="Z223" s="180"/>
      <c r="AB223" s="544">
        <f ca="1">IF(AND($D223="Serviço",AB$12&lt;&gt;0,$H223&gt;0,OR(AUTOEVENTO&lt;&gt;"manual",$M223&lt;&gt;1)),
IF(Import.TipoArredondamento&lt;&gt;"TransfereGOV",
ROUND(OFFSET($P223,0,AB$13),15-13*ORÇAMENTO!$AF$7)/$H223*OFFSET(ORÇAMENTO!$X$15,ROW(AB223)-ROW(AB$15),0),
ROUND(ROUND(OFFSET($P223,0,AB$13),15-13*ORÇAMENTO!$AF$7)*OFFSET(ORÇAMENTO!$W$15,ROW(AB223)-ROW(AB$15),0),15-13*ORÇAMENTO!$AF$11)),0)</f>
        <v>0</v>
      </c>
      <c r="AC223" s="545">
        <f ca="1">IF(AND($D223="Serviço",AC$12&lt;&gt;0,$H223&gt;0,OR(AUTOEVENTO&lt;&gt;"manual",$M223&lt;&gt;1)),
IF(Import.TipoArredondamento&lt;&gt;"TransfereGOV",
ROUND(OFFSET($P223,0,AC$13),15-13*ORÇAMENTO!$AF$7)/$H223*OFFSET(ORÇAMENTO!$X$15,ROW(AC223)-ROW(AC$15),0),
ROUND(ROUND(OFFSET($P223,0,AC$13),15-13*ORÇAMENTO!$AF$7)*OFFSET(ORÇAMENTO!$W$15,ROW(AC223)-ROW(AC$15),0),15-13*ORÇAMENTO!$AF$11)),0)</f>
        <v>0</v>
      </c>
      <c r="AD223" s="545">
        <f ca="1">IF(AND($D223="Serviço",AD$12&lt;&gt;0,$H223&gt;0,OR(AUTOEVENTO&lt;&gt;"manual",$M223&lt;&gt;1)),
IF(Import.TipoArredondamento&lt;&gt;"TransfereGOV",
ROUND(OFFSET($P223,0,AD$13),15-13*ORÇAMENTO!$AF$7)/$H223*OFFSET(ORÇAMENTO!$X$15,ROW(AD223)-ROW(AD$15),0),
ROUND(ROUND(OFFSET($P223,0,AD$13),15-13*ORÇAMENTO!$AF$7)*OFFSET(ORÇAMENTO!$W$15,ROW(AD223)-ROW(AD$15),0),15-13*ORÇAMENTO!$AF$11)),0)</f>
        <v>0</v>
      </c>
      <c r="AE223" s="545">
        <f ca="1">IF(AND($D223="Serviço",AE$12&lt;&gt;0,$H223&gt;0,OR(AUTOEVENTO&lt;&gt;"manual",$M223&lt;&gt;1)),
IF(Import.TipoArredondamento&lt;&gt;"TransfereGOV",
ROUND(OFFSET($P223,0,AE$13),15-13*ORÇAMENTO!$AF$7)/$H223*OFFSET(ORÇAMENTO!$X$15,ROW(AE223)-ROW(AE$15),0),
ROUND(ROUND(OFFSET($P223,0,AE$13),15-13*ORÇAMENTO!$AF$7)*OFFSET(ORÇAMENTO!$W$15,ROW(AE223)-ROW(AE$15),0),15-13*ORÇAMENTO!$AF$11)),0)</f>
        <v>0</v>
      </c>
      <c r="AF223" s="545">
        <f ca="1">IF(AND($D223="Serviço",AF$12&lt;&gt;0,$H223&gt;0,OR(AUTOEVENTO&lt;&gt;"manual",$M223&lt;&gt;1)),
IF(Import.TipoArredondamento&lt;&gt;"TransfereGOV",
ROUND(OFFSET($P223,0,AF$13),15-13*ORÇAMENTO!$AF$7)/$H223*OFFSET(ORÇAMENTO!$X$15,ROW(AF223)-ROW(AF$15),0),
ROUND(ROUND(OFFSET($P223,0,AF$13),15-13*ORÇAMENTO!$AF$7)*OFFSET(ORÇAMENTO!$W$15,ROW(AF223)-ROW(AF$15),0),15-13*ORÇAMENTO!$AF$11)),0)</f>
        <v>0</v>
      </c>
      <c r="AG223" s="545">
        <f ca="1">IF(AND($D223="Serviço",AG$12&lt;&gt;0,$H223&gt;0,OR(AUTOEVENTO&lt;&gt;"manual",$M223&lt;&gt;1)),
IF(Import.TipoArredondamento&lt;&gt;"TransfereGOV",
ROUND(OFFSET($P223,0,AG$13),15-13*ORÇAMENTO!$AF$7)/$H223*OFFSET(ORÇAMENTO!$X$15,ROW(AG223)-ROW(AG$15),0),
ROUND(ROUND(OFFSET($P223,0,AG$13),15-13*ORÇAMENTO!$AF$7)*OFFSET(ORÇAMENTO!$W$15,ROW(AG223)-ROW(AG$15),0),15-13*ORÇAMENTO!$AF$11)),0)</f>
        <v>0</v>
      </c>
      <c r="AH223" s="545">
        <f ca="1">IF(AND($D223="Serviço",AH$12&lt;&gt;0,$H223&gt;0,OR(AUTOEVENTO&lt;&gt;"manual",$M223&lt;&gt;1)),
IF(Import.TipoArredondamento&lt;&gt;"TransfereGOV",
ROUND(OFFSET($P223,0,AH$13),15-13*ORÇAMENTO!$AF$7)/$H223*OFFSET(ORÇAMENTO!$X$15,ROW(AH223)-ROW(AH$15),0),
ROUND(ROUND(OFFSET($P223,0,AH$13),15-13*ORÇAMENTO!$AF$7)*OFFSET(ORÇAMENTO!$W$15,ROW(AH223)-ROW(AH$15),0),15-13*ORÇAMENTO!$AF$11)),0)</f>
        <v>0</v>
      </c>
      <c r="AI223" s="545">
        <f ca="1">IF(AND($D223="Serviço",AI$12&lt;&gt;0,$H223&gt;0,OR(AUTOEVENTO&lt;&gt;"manual",$M223&lt;&gt;1)),
IF(Import.TipoArredondamento&lt;&gt;"TransfereGOV",
ROUND(OFFSET($P223,0,AI$13),15-13*ORÇAMENTO!$AF$7)/$H223*OFFSET(ORÇAMENTO!$X$15,ROW(AI223)-ROW(AI$15),0),
ROUND(ROUND(OFFSET($P223,0,AI$13),15-13*ORÇAMENTO!$AF$7)*OFFSET(ORÇAMENTO!$W$15,ROW(AI223)-ROW(AI$15),0),15-13*ORÇAMENTO!$AF$11)),0)</f>
        <v>0</v>
      </c>
      <c r="AJ223" s="545">
        <f ca="1">IF(AND($D223="Serviço",AJ$12&lt;&gt;0,$H223&gt;0,OR(AUTOEVENTO&lt;&gt;"manual",$M223&lt;&gt;1)),
IF(Import.TipoArredondamento&lt;&gt;"TransfereGOV",
ROUND(OFFSET($P223,0,AJ$13),15-13*ORÇAMENTO!$AF$7)/$H223*OFFSET(ORÇAMENTO!$X$15,ROW(AJ223)-ROW(AJ$15),0),
ROUND(ROUND(OFFSET($P223,0,AJ$13),15-13*ORÇAMENTO!$AF$7)*OFFSET(ORÇAMENTO!$W$15,ROW(AJ223)-ROW(AJ$15),0),15-13*ORÇAMENTO!$AF$11)),0)</f>
        <v>0</v>
      </c>
      <c r="AK223" s="546">
        <f ca="1">IF(AND($D223="Serviço",AK$12&lt;&gt;0,$H223&gt;0,OR(AUTOEVENTO&lt;&gt;"manual",$M223&lt;&gt;1)),
IF(Import.TipoArredondamento&lt;&gt;"TransfereGOV",
ROUND(OFFSET($P223,0,AK$13),15-13*ORÇAMENTO!$AF$7)/$H223*OFFSET(ORÇAMENTO!$X$15,ROW(AK223)-ROW(AK$15),0),
ROUND(ROUND(OFFSET($P223,0,AK$13),15-13*ORÇAMENTO!$AF$7)*OFFSET(ORÇAMENTO!$W$15,ROW(AK223)-ROW(AK$15),0),15-13*ORÇAMENTO!$AF$11)),0)</f>
        <v>0</v>
      </c>
      <c r="AM223" s="181">
        <f ca="1">IF($D223&lt;&gt;"Serviço",0,IF(AND(AUTOEVENTO="Manual",$M223=1),0,IF(OFFSET(CRONOPLE!$F$14,$M223,AM$13)="",10^12,OFFSET(CRONOPLE!$F$14,$M223,AM$13))))</f>
        <v>1000000000000</v>
      </c>
      <c r="AN223" s="181">
        <f ca="1">IF($D223&lt;&gt;"Serviço",0,IF(AND(AUTOEVENTO="Manual",$M223=1),0,IF(OFFSET(CRONOPLE!$F$14,$M223,AN$13)="",10^12,OFFSET(CRONOPLE!$F$14,$M223,AN$13))))</f>
        <v>1000000000000</v>
      </c>
      <c r="AO223" s="181">
        <f ca="1">IF($D223&lt;&gt;"Serviço",0,IF(AND(AUTOEVENTO="Manual",$M223=1),0,IF(OFFSET(CRONOPLE!$F$14,$M223,AO$13)="",10^12,OFFSET(CRONOPLE!$F$14,$M223,AO$13))))</f>
        <v>1000000000000</v>
      </c>
      <c r="AP223" s="181">
        <f ca="1">IF($D223&lt;&gt;"Serviço",0,IF(AND(AUTOEVENTO="Manual",$M223=1),0,IF(OFFSET(CRONOPLE!$F$14,$M223,AP$13)="",10^12,OFFSET(CRONOPLE!$F$14,$M223,AP$13))))</f>
        <v>1000000000000</v>
      </c>
      <c r="AQ223" s="181">
        <f ca="1">IF($D223&lt;&gt;"Serviço",0,IF(AND(AUTOEVENTO="Manual",$M223=1),0,IF(OFFSET(CRONOPLE!$F$14,$M223,AQ$13)="",10^12,OFFSET(CRONOPLE!$F$14,$M223,AQ$13))))</f>
        <v>1000000000000</v>
      </c>
      <c r="AR223" s="181">
        <f ca="1">IF($D223&lt;&gt;"Serviço",0,IF(AND(AUTOEVENTO="Manual",$M223=1),0,IF(OFFSET(CRONOPLE!$F$14,$M223,AR$13)="",10^12,OFFSET(CRONOPLE!$F$14,$M223,AR$13))))</f>
        <v>1000000000000</v>
      </c>
      <c r="AS223" s="181">
        <f ca="1">IF($D223&lt;&gt;"Serviço",0,IF(AND(AUTOEVENTO="Manual",$M223=1),0,IF(OFFSET(CRONOPLE!$F$14,$M223,AS$13)="",10^12,OFFSET(CRONOPLE!$F$14,$M223,AS$13))))</f>
        <v>1000000000000</v>
      </c>
      <c r="AT223" s="181">
        <f ca="1">IF($D223&lt;&gt;"Serviço",0,IF(AND(AUTOEVENTO="Manual",$M223=1),0,IF(OFFSET(CRONOPLE!$F$14,$M223,AT$13)="",10^12,OFFSET(CRONOPLE!$F$14,$M223,AT$13))))</f>
        <v>1000000000000</v>
      </c>
      <c r="AU223" s="181">
        <f ca="1">IF($D223&lt;&gt;"Serviço",0,IF(AND(AUTOEVENTO="Manual",$M223=1),0,IF(OFFSET(CRONOPLE!$F$14,$M223,AU$13)="",10^12,OFFSET(CRONOPLE!$F$14,$M223,AU$13))))</f>
        <v>1000000000000</v>
      </c>
      <c r="AV223" s="181">
        <f ca="1">IF($D223&lt;&gt;"Serviço",0,IF(AND(AUTOEVENTO="Manual",$M223=1),0,IF(OFFSET(CRONOPLE!$F$14,$M223,AV$13)="",10^12,OFFSET(CRONOPLE!$F$14,$M223,AV$13))))</f>
        <v>1000000000000</v>
      </c>
      <c r="AX223" s="182">
        <f ca="1">IF($D223&lt;&gt;"Serviço",0,IF(OR(AND(AUTOEVENTO="Manual",$M223=1),$M223&gt;(ROW(PLE.lastrow)-ROW(PLE.firstrow))),0,IF(OFFSET(PLE!$G$14,$M223,AX$13)="",10^12,OFFSET(PLE!$G$14,$M223,AX$13))))</f>
        <v>1000000000000</v>
      </c>
      <c r="AY223" s="182">
        <f ca="1">IF($D223&lt;&gt;"Serviço",0,IF(OR(AND(AUTOEVENTO="Manual",$M223=1),$M223&gt;(ROW(PLE.lastrow)-ROW(PLE.firstrow))),0,IF(OFFSET(PLE!$G$14,$M223,AY$13)="",10^12,OFFSET(PLE!$G$14,$M223,AY$13))))</f>
        <v>1000000000000</v>
      </c>
      <c r="AZ223" s="182">
        <f ca="1">IF($D223&lt;&gt;"Serviço",0,IF(OR(AND(AUTOEVENTO="Manual",$M223=1),$M223&gt;(ROW(PLE.lastrow)-ROW(PLE.firstrow))),0,IF(OFFSET(PLE!$G$14,$M223,AZ$13)="",10^12,OFFSET(PLE!$G$14,$M223,AZ$13))))</f>
        <v>1000000000000</v>
      </c>
      <c r="BA223" s="182">
        <f ca="1">IF($D223&lt;&gt;"Serviço",0,IF(OR(AND(AUTOEVENTO="Manual",$M223=1),$M223&gt;(ROW(PLE.lastrow)-ROW(PLE.firstrow))),0,IF(OFFSET(PLE!$G$14,$M223,BA$13)="",10^12,OFFSET(PLE!$G$14,$M223,BA$13))))</f>
        <v>1000000000000</v>
      </c>
      <c r="BB223" s="182">
        <f ca="1">IF($D223&lt;&gt;"Serviço",0,IF(OR(AND(AUTOEVENTO="Manual",$M223=1),$M223&gt;(ROW(PLE.lastrow)-ROW(PLE.firstrow))),0,IF(OFFSET(PLE!$G$14,$M223,BB$13)="",10^12,OFFSET(PLE!$G$14,$M223,BB$13))))</f>
        <v>1000000000000</v>
      </c>
      <c r="BC223" s="182">
        <f ca="1">IF($D223&lt;&gt;"Serviço",0,IF(OR(AND(AUTOEVENTO="Manual",$M223=1),$M223&gt;(ROW(PLE.lastrow)-ROW(PLE.firstrow))),0,IF(OFFSET(PLE!$G$14,$M223,BC$13)="",10^12,OFFSET(PLE!$G$14,$M223,BC$13))))</f>
        <v>1000000000000</v>
      </c>
      <c r="BD223" s="182">
        <f ca="1">IF($D223&lt;&gt;"Serviço",0,IF(OR(AND(AUTOEVENTO="Manual",$M223=1),$M223&gt;(ROW(PLE.lastrow)-ROW(PLE.firstrow))),0,IF(OFFSET(PLE!$G$14,$M223,BD$13)="",10^12,OFFSET(PLE!$G$14,$M223,BD$13))))</f>
        <v>1000000000000</v>
      </c>
      <c r="BE223" s="182">
        <f ca="1">IF($D223&lt;&gt;"Serviço",0,IF(OR(AND(AUTOEVENTO="Manual",$M223=1),$M223&gt;(ROW(PLE.lastrow)-ROW(PLE.firstrow))),0,IF(OFFSET(PLE!$G$14,$M223,BE$13)="",10^12,OFFSET(PLE!$G$14,$M223,BE$13))))</f>
        <v>1000000000000</v>
      </c>
      <c r="BF223" s="182">
        <f ca="1">IF($D223&lt;&gt;"Serviço",0,IF(OR(AND(AUTOEVENTO="Manual",$M223=1),$M223&gt;(ROW(PLE.lastrow)-ROW(PLE.firstrow))),0,IF(OFFSET(PLE!$G$14,$M223,BF$13)="",10^12,OFFSET(PLE!$G$14,$M223,BF$13))))</f>
        <v>1000000000000</v>
      </c>
      <c r="BG223" s="182">
        <f ca="1">IF($D223&lt;&gt;"Serviço",0,IF(OR(AND(AUTOEVENTO="Manual",$M223=1),$M223&gt;(ROW(PLE.lastrow)-ROW(PLE.firstrow))),0,IF(OFFSET(PLE!$G$14,$M223,BG$13)="",10^12,OFFSET(PLE!$G$14,$M223,BG$13))))</f>
        <v>1000000000000</v>
      </c>
    </row>
    <row r="224" spans="1:59" ht="63.75" x14ac:dyDescent="0.2">
      <c r="A224" s="7" t="str">
        <f t="shared" ca="1" si="10"/>
        <v>197</v>
      </c>
      <c r="B224" s="7" t="str">
        <f ca="1">OFFSET(ORÇAMENTO!C$15,ROW(B224)-ROW(B$15),0)</f>
        <v>S</v>
      </c>
      <c r="C224" s="7" t="str">
        <f ca="1">OFFSET(ORÇAMENTO!L$15,ROW(C224)-ROW(C$15),0)</f>
        <v>F</v>
      </c>
      <c r="D224" s="118" t="str">
        <f ca="1">OFFSET(ORÇAMENTO!N$15,ROW(D224)-ROW(D$15),0)</f>
        <v>Serviço</v>
      </c>
      <c r="E224" s="119" t="str">
        <f ca="1">OFFSET(ORÇAMENTO!O$15,ROW(E224)-ROW(E$15),0)</f>
        <v>1.9.0.12.</v>
      </c>
      <c r="F224" s="172" t="str">
        <f ca="1">OFFSET(ORÇAMENTO!R$15,ROW(F224)-ROW(F$15),0)</f>
        <v>(abra o arquivo 'Referência 03-2024.xlsm)</v>
      </c>
      <c r="G224" s="173" t="str">
        <f ca="1">IF($D224&lt;&gt;"Serviço","",OFFSET(ORÇAMENTO!S$15,ROW(G224)-ROW(G$15),0))</f>
        <v>-</v>
      </c>
      <c r="H224" s="124">
        <f ca="1">IF($D224&lt;&gt;"Serviço",0,IF(ACOMPANHAMENTO="BM",ROUND(OFFSET(ORÇAMENTO!AJ$15,ROW(H224)-ROW(H$15),0),15-13*ORÇAMENTO!$AF$7),SUMPRODUCT(($Q$12:$AA$12&lt;&gt;"")*ROUND($Q224:$AA224,15-13*ORÇAMENTO!$AF$7))))</f>
        <v>3</v>
      </c>
      <c r="I224" s="561"/>
      <c r="K224" s="174"/>
      <c r="L224" s="175" t="s">
        <v>255</v>
      </c>
      <c r="M224" s="176">
        <f ca="1">IF($D224&lt;&gt;"Serviço","",IF(AUTOEVENTO="manual",$A224,IF(ISERROR(MATCH($A224,$A$15:OFFSET($A224,-1,0),0)),MAX($M$15:OFFSET(M224,-1,0))+1,INDEX($M$15:OFFSET(M224,-1,0),MATCH($A224,$A$15:OFFSET($A224,-1,0),0)))))</f>
        <v>10</v>
      </c>
      <c r="N224" s="177" t="str">
        <f ca="1">IF($D224&lt;&gt;"Serviço","",IF(AUTOEVENTO="Manual",IF($A224=0,"&lt;-- defina o número do agrupador",OFFSET(EVENTOS!$D$14,$A224,0)),OFFSET($F$15,$A224,0)))</f>
        <v>QUADRA DE AREIA</v>
      </c>
      <c r="O224" s="178"/>
      <c r="Q224" s="178"/>
      <c r="R224" s="179"/>
      <c r="S224" s="179"/>
      <c r="T224" s="179"/>
      <c r="U224" s="179"/>
      <c r="V224" s="179"/>
      <c r="W224" s="179"/>
      <c r="X224" s="179"/>
      <c r="Y224" s="179"/>
      <c r="Z224" s="180"/>
      <c r="AB224" s="544">
        <f ca="1">IF(AND($D224="Serviço",AB$12&lt;&gt;0,$H224&gt;0,OR(AUTOEVENTO&lt;&gt;"manual",$M224&lt;&gt;1)),
IF(Import.TipoArredondamento&lt;&gt;"TransfereGOV",
ROUND(OFFSET($P224,0,AB$13),15-13*ORÇAMENTO!$AF$7)/$H224*OFFSET(ORÇAMENTO!$X$15,ROW(AB224)-ROW(AB$15),0),
ROUND(ROUND(OFFSET($P224,0,AB$13),15-13*ORÇAMENTO!$AF$7)*OFFSET(ORÇAMENTO!$W$15,ROW(AB224)-ROW(AB$15),0),15-13*ORÇAMENTO!$AF$11)),0)</f>
        <v>0</v>
      </c>
      <c r="AC224" s="545">
        <f ca="1">IF(AND($D224="Serviço",AC$12&lt;&gt;0,$H224&gt;0,OR(AUTOEVENTO&lt;&gt;"manual",$M224&lt;&gt;1)),
IF(Import.TipoArredondamento&lt;&gt;"TransfereGOV",
ROUND(OFFSET($P224,0,AC$13),15-13*ORÇAMENTO!$AF$7)/$H224*OFFSET(ORÇAMENTO!$X$15,ROW(AC224)-ROW(AC$15),0),
ROUND(ROUND(OFFSET($P224,0,AC$13),15-13*ORÇAMENTO!$AF$7)*OFFSET(ORÇAMENTO!$W$15,ROW(AC224)-ROW(AC$15),0),15-13*ORÇAMENTO!$AF$11)),0)</f>
        <v>0</v>
      </c>
      <c r="AD224" s="545">
        <f ca="1">IF(AND($D224="Serviço",AD$12&lt;&gt;0,$H224&gt;0,OR(AUTOEVENTO&lt;&gt;"manual",$M224&lt;&gt;1)),
IF(Import.TipoArredondamento&lt;&gt;"TransfereGOV",
ROUND(OFFSET($P224,0,AD$13),15-13*ORÇAMENTO!$AF$7)/$H224*OFFSET(ORÇAMENTO!$X$15,ROW(AD224)-ROW(AD$15),0),
ROUND(ROUND(OFFSET($P224,0,AD$13),15-13*ORÇAMENTO!$AF$7)*OFFSET(ORÇAMENTO!$W$15,ROW(AD224)-ROW(AD$15),0),15-13*ORÇAMENTO!$AF$11)),0)</f>
        <v>0</v>
      </c>
      <c r="AE224" s="545">
        <f ca="1">IF(AND($D224="Serviço",AE$12&lt;&gt;0,$H224&gt;0,OR(AUTOEVENTO&lt;&gt;"manual",$M224&lt;&gt;1)),
IF(Import.TipoArredondamento&lt;&gt;"TransfereGOV",
ROUND(OFFSET($P224,0,AE$13),15-13*ORÇAMENTO!$AF$7)/$H224*OFFSET(ORÇAMENTO!$X$15,ROW(AE224)-ROW(AE$15),0),
ROUND(ROUND(OFFSET($P224,0,AE$13),15-13*ORÇAMENTO!$AF$7)*OFFSET(ORÇAMENTO!$W$15,ROW(AE224)-ROW(AE$15),0),15-13*ORÇAMENTO!$AF$11)),0)</f>
        <v>0</v>
      </c>
      <c r="AF224" s="545">
        <f ca="1">IF(AND($D224="Serviço",AF$12&lt;&gt;0,$H224&gt;0,OR(AUTOEVENTO&lt;&gt;"manual",$M224&lt;&gt;1)),
IF(Import.TipoArredondamento&lt;&gt;"TransfereGOV",
ROUND(OFFSET($P224,0,AF$13),15-13*ORÇAMENTO!$AF$7)/$H224*OFFSET(ORÇAMENTO!$X$15,ROW(AF224)-ROW(AF$15),0),
ROUND(ROUND(OFFSET($P224,0,AF$13),15-13*ORÇAMENTO!$AF$7)*OFFSET(ORÇAMENTO!$W$15,ROW(AF224)-ROW(AF$15),0),15-13*ORÇAMENTO!$AF$11)),0)</f>
        <v>0</v>
      </c>
      <c r="AG224" s="545">
        <f ca="1">IF(AND($D224="Serviço",AG$12&lt;&gt;0,$H224&gt;0,OR(AUTOEVENTO&lt;&gt;"manual",$M224&lt;&gt;1)),
IF(Import.TipoArredondamento&lt;&gt;"TransfereGOV",
ROUND(OFFSET($P224,0,AG$13),15-13*ORÇAMENTO!$AF$7)/$H224*OFFSET(ORÇAMENTO!$X$15,ROW(AG224)-ROW(AG$15),0),
ROUND(ROUND(OFFSET($P224,0,AG$13),15-13*ORÇAMENTO!$AF$7)*OFFSET(ORÇAMENTO!$W$15,ROW(AG224)-ROW(AG$15),0),15-13*ORÇAMENTO!$AF$11)),0)</f>
        <v>0</v>
      </c>
      <c r="AH224" s="545">
        <f ca="1">IF(AND($D224="Serviço",AH$12&lt;&gt;0,$H224&gt;0,OR(AUTOEVENTO&lt;&gt;"manual",$M224&lt;&gt;1)),
IF(Import.TipoArredondamento&lt;&gt;"TransfereGOV",
ROUND(OFFSET($P224,0,AH$13),15-13*ORÇAMENTO!$AF$7)/$H224*OFFSET(ORÇAMENTO!$X$15,ROW(AH224)-ROW(AH$15),0),
ROUND(ROUND(OFFSET($P224,0,AH$13),15-13*ORÇAMENTO!$AF$7)*OFFSET(ORÇAMENTO!$W$15,ROW(AH224)-ROW(AH$15),0),15-13*ORÇAMENTO!$AF$11)),0)</f>
        <v>0</v>
      </c>
      <c r="AI224" s="545">
        <f ca="1">IF(AND($D224="Serviço",AI$12&lt;&gt;0,$H224&gt;0,OR(AUTOEVENTO&lt;&gt;"manual",$M224&lt;&gt;1)),
IF(Import.TipoArredondamento&lt;&gt;"TransfereGOV",
ROUND(OFFSET($P224,0,AI$13),15-13*ORÇAMENTO!$AF$7)/$H224*OFFSET(ORÇAMENTO!$X$15,ROW(AI224)-ROW(AI$15),0),
ROUND(ROUND(OFFSET($P224,0,AI$13),15-13*ORÇAMENTO!$AF$7)*OFFSET(ORÇAMENTO!$W$15,ROW(AI224)-ROW(AI$15),0),15-13*ORÇAMENTO!$AF$11)),0)</f>
        <v>0</v>
      </c>
      <c r="AJ224" s="545">
        <f ca="1">IF(AND($D224="Serviço",AJ$12&lt;&gt;0,$H224&gt;0,OR(AUTOEVENTO&lt;&gt;"manual",$M224&lt;&gt;1)),
IF(Import.TipoArredondamento&lt;&gt;"TransfereGOV",
ROUND(OFFSET($P224,0,AJ$13),15-13*ORÇAMENTO!$AF$7)/$H224*OFFSET(ORÇAMENTO!$X$15,ROW(AJ224)-ROW(AJ$15),0),
ROUND(ROUND(OFFSET($P224,0,AJ$13),15-13*ORÇAMENTO!$AF$7)*OFFSET(ORÇAMENTO!$W$15,ROW(AJ224)-ROW(AJ$15),0),15-13*ORÇAMENTO!$AF$11)),0)</f>
        <v>0</v>
      </c>
      <c r="AK224" s="546">
        <f ca="1">IF(AND($D224="Serviço",AK$12&lt;&gt;0,$H224&gt;0,OR(AUTOEVENTO&lt;&gt;"manual",$M224&lt;&gt;1)),
IF(Import.TipoArredondamento&lt;&gt;"TransfereGOV",
ROUND(OFFSET($P224,0,AK$13),15-13*ORÇAMENTO!$AF$7)/$H224*OFFSET(ORÇAMENTO!$X$15,ROW(AK224)-ROW(AK$15),0),
ROUND(ROUND(OFFSET($P224,0,AK$13),15-13*ORÇAMENTO!$AF$7)*OFFSET(ORÇAMENTO!$W$15,ROW(AK224)-ROW(AK$15),0),15-13*ORÇAMENTO!$AF$11)),0)</f>
        <v>0</v>
      </c>
      <c r="AM224" s="181">
        <f ca="1">IF($D224&lt;&gt;"Serviço",0,IF(AND(AUTOEVENTO="Manual",$M224=1),0,IF(OFFSET(CRONOPLE!$F$14,$M224,AM$13)="",10^12,OFFSET(CRONOPLE!$F$14,$M224,AM$13))))</f>
        <v>1000000000000</v>
      </c>
      <c r="AN224" s="181">
        <f ca="1">IF($D224&lt;&gt;"Serviço",0,IF(AND(AUTOEVENTO="Manual",$M224=1),0,IF(OFFSET(CRONOPLE!$F$14,$M224,AN$13)="",10^12,OFFSET(CRONOPLE!$F$14,$M224,AN$13))))</f>
        <v>1000000000000</v>
      </c>
      <c r="AO224" s="181">
        <f ca="1">IF($D224&lt;&gt;"Serviço",0,IF(AND(AUTOEVENTO="Manual",$M224=1),0,IF(OFFSET(CRONOPLE!$F$14,$M224,AO$13)="",10^12,OFFSET(CRONOPLE!$F$14,$M224,AO$13))))</f>
        <v>1000000000000</v>
      </c>
      <c r="AP224" s="181">
        <f ca="1">IF($D224&lt;&gt;"Serviço",0,IF(AND(AUTOEVENTO="Manual",$M224=1),0,IF(OFFSET(CRONOPLE!$F$14,$M224,AP$13)="",10^12,OFFSET(CRONOPLE!$F$14,$M224,AP$13))))</f>
        <v>1000000000000</v>
      </c>
      <c r="AQ224" s="181">
        <f ca="1">IF($D224&lt;&gt;"Serviço",0,IF(AND(AUTOEVENTO="Manual",$M224=1),0,IF(OFFSET(CRONOPLE!$F$14,$M224,AQ$13)="",10^12,OFFSET(CRONOPLE!$F$14,$M224,AQ$13))))</f>
        <v>1000000000000</v>
      </c>
      <c r="AR224" s="181">
        <f ca="1">IF($D224&lt;&gt;"Serviço",0,IF(AND(AUTOEVENTO="Manual",$M224=1),0,IF(OFFSET(CRONOPLE!$F$14,$M224,AR$13)="",10^12,OFFSET(CRONOPLE!$F$14,$M224,AR$13))))</f>
        <v>1000000000000</v>
      </c>
      <c r="AS224" s="181">
        <f ca="1">IF($D224&lt;&gt;"Serviço",0,IF(AND(AUTOEVENTO="Manual",$M224=1),0,IF(OFFSET(CRONOPLE!$F$14,$M224,AS$13)="",10^12,OFFSET(CRONOPLE!$F$14,$M224,AS$13))))</f>
        <v>1000000000000</v>
      </c>
      <c r="AT224" s="181">
        <f ca="1">IF($D224&lt;&gt;"Serviço",0,IF(AND(AUTOEVENTO="Manual",$M224=1),0,IF(OFFSET(CRONOPLE!$F$14,$M224,AT$13)="",10^12,OFFSET(CRONOPLE!$F$14,$M224,AT$13))))</f>
        <v>1000000000000</v>
      </c>
      <c r="AU224" s="181">
        <f ca="1">IF($D224&lt;&gt;"Serviço",0,IF(AND(AUTOEVENTO="Manual",$M224=1),0,IF(OFFSET(CRONOPLE!$F$14,$M224,AU$13)="",10^12,OFFSET(CRONOPLE!$F$14,$M224,AU$13))))</f>
        <v>1000000000000</v>
      </c>
      <c r="AV224" s="181">
        <f ca="1">IF($D224&lt;&gt;"Serviço",0,IF(AND(AUTOEVENTO="Manual",$M224=1),0,IF(OFFSET(CRONOPLE!$F$14,$M224,AV$13)="",10^12,OFFSET(CRONOPLE!$F$14,$M224,AV$13))))</f>
        <v>1000000000000</v>
      </c>
      <c r="AX224" s="182">
        <f ca="1">IF($D224&lt;&gt;"Serviço",0,IF(OR(AND(AUTOEVENTO="Manual",$M224=1),$M224&gt;(ROW(PLE.lastrow)-ROW(PLE.firstrow))),0,IF(OFFSET(PLE!$G$14,$M224,AX$13)="",10^12,OFFSET(PLE!$G$14,$M224,AX$13))))</f>
        <v>1000000000000</v>
      </c>
      <c r="AY224" s="182">
        <f ca="1">IF($D224&lt;&gt;"Serviço",0,IF(OR(AND(AUTOEVENTO="Manual",$M224=1),$M224&gt;(ROW(PLE.lastrow)-ROW(PLE.firstrow))),0,IF(OFFSET(PLE!$G$14,$M224,AY$13)="",10^12,OFFSET(PLE!$G$14,$M224,AY$13))))</f>
        <v>1000000000000</v>
      </c>
      <c r="AZ224" s="182">
        <f ca="1">IF($D224&lt;&gt;"Serviço",0,IF(OR(AND(AUTOEVENTO="Manual",$M224=1),$M224&gt;(ROW(PLE.lastrow)-ROW(PLE.firstrow))),0,IF(OFFSET(PLE!$G$14,$M224,AZ$13)="",10^12,OFFSET(PLE!$G$14,$M224,AZ$13))))</f>
        <v>1000000000000</v>
      </c>
      <c r="BA224" s="182">
        <f ca="1">IF($D224&lt;&gt;"Serviço",0,IF(OR(AND(AUTOEVENTO="Manual",$M224=1),$M224&gt;(ROW(PLE.lastrow)-ROW(PLE.firstrow))),0,IF(OFFSET(PLE!$G$14,$M224,BA$13)="",10^12,OFFSET(PLE!$G$14,$M224,BA$13))))</f>
        <v>1000000000000</v>
      </c>
      <c r="BB224" s="182">
        <f ca="1">IF($D224&lt;&gt;"Serviço",0,IF(OR(AND(AUTOEVENTO="Manual",$M224=1),$M224&gt;(ROW(PLE.lastrow)-ROW(PLE.firstrow))),0,IF(OFFSET(PLE!$G$14,$M224,BB$13)="",10^12,OFFSET(PLE!$G$14,$M224,BB$13))))</f>
        <v>1000000000000</v>
      </c>
      <c r="BC224" s="182">
        <f ca="1">IF($D224&lt;&gt;"Serviço",0,IF(OR(AND(AUTOEVENTO="Manual",$M224=1),$M224&gt;(ROW(PLE.lastrow)-ROW(PLE.firstrow))),0,IF(OFFSET(PLE!$G$14,$M224,BC$13)="",10^12,OFFSET(PLE!$G$14,$M224,BC$13))))</f>
        <v>1000000000000</v>
      </c>
      <c r="BD224" s="182">
        <f ca="1">IF($D224&lt;&gt;"Serviço",0,IF(OR(AND(AUTOEVENTO="Manual",$M224=1),$M224&gt;(ROW(PLE.lastrow)-ROW(PLE.firstrow))),0,IF(OFFSET(PLE!$G$14,$M224,BD$13)="",10^12,OFFSET(PLE!$G$14,$M224,BD$13))))</f>
        <v>1000000000000</v>
      </c>
      <c r="BE224" s="182">
        <f ca="1">IF($D224&lt;&gt;"Serviço",0,IF(OR(AND(AUTOEVENTO="Manual",$M224=1),$M224&gt;(ROW(PLE.lastrow)-ROW(PLE.firstrow))),0,IF(OFFSET(PLE!$G$14,$M224,BE$13)="",10^12,OFFSET(PLE!$G$14,$M224,BE$13))))</f>
        <v>1000000000000</v>
      </c>
      <c r="BF224" s="182">
        <f ca="1">IF($D224&lt;&gt;"Serviço",0,IF(OR(AND(AUTOEVENTO="Manual",$M224=1),$M224&gt;(ROW(PLE.lastrow)-ROW(PLE.firstrow))),0,IF(OFFSET(PLE!$G$14,$M224,BF$13)="",10^12,OFFSET(PLE!$G$14,$M224,BF$13))))</f>
        <v>1000000000000</v>
      </c>
      <c r="BG224" s="182">
        <f ca="1">IF($D224&lt;&gt;"Serviço",0,IF(OR(AND(AUTOEVENTO="Manual",$M224=1),$M224&gt;(ROW(PLE.lastrow)-ROW(PLE.firstrow))),0,IF(OFFSET(PLE!$G$14,$M224,BG$13)="",10^12,OFFSET(PLE!$G$14,$M224,BG$13))))</f>
        <v>1000000000000</v>
      </c>
    </row>
    <row r="225" spans="1:59" ht="12.75" x14ac:dyDescent="0.2">
      <c r="A225" s="7" t="str">
        <f t="shared" ca="1" si="10"/>
        <v>210.</v>
      </c>
      <c r="B225" s="7">
        <f ca="1">OFFSET(ORÇAMENTO!C$15,ROW(B225)-ROW(B$15),0)</f>
        <v>2</v>
      </c>
      <c r="C225" s="7" t="str">
        <f ca="1">OFFSET(ORÇAMENTO!L$15,ROW(C225)-ROW(C$15),0)</f>
        <v>F</v>
      </c>
      <c r="D225" s="118" t="str">
        <f ca="1">OFFSET(ORÇAMENTO!N$15,ROW(D225)-ROW(D$15),0)</f>
        <v>Nível 2</v>
      </c>
      <c r="E225" s="119" t="str">
        <f ca="1">OFFSET(ORÇAMENTO!O$15,ROW(E225)-ROW(E$15),0)</f>
        <v>1.10.</v>
      </c>
      <c r="F225" s="172" t="str">
        <f ca="1">OFFSET(ORÇAMENTO!R$15,ROW(F225)-ROW(F$15),0)</f>
        <v>PLAYGROUND</v>
      </c>
      <c r="G225" s="173" t="str">
        <f ca="1">IF($D225&lt;&gt;"Serviço","",OFFSET(ORÇAMENTO!S$15,ROW(G225)-ROW(G$15),0))</f>
        <v/>
      </c>
      <c r="H225" s="124">
        <f ca="1">IF($D225&lt;&gt;"Serviço",0,IF(ACOMPANHAMENTO="BM",ROUND(OFFSET(ORÇAMENTO!AJ$15,ROW(H225)-ROW(H$15),0),15-13*ORÇAMENTO!$AF$7),SUMPRODUCT(($Q$12:$AA$12&lt;&gt;"")*ROUND($Q225:$AA225,15-13*ORÇAMENTO!$AF$7))))</f>
        <v>0</v>
      </c>
      <c r="I225" s="561"/>
      <c r="K225" s="174"/>
      <c r="L225" s="175" t="s">
        <v>255</v>
      </c>
      <c r="M225" s="176" t="str">
        <f ca="1">IF($D225&lt;&gt;"Serviço","",IF(AUTOEVENTO="manual",$A225,IF(ISERROR(MATCH($A225,$A$15:OFFSET($A225,-1,0),0)),MAX($M$15:OFFSET(M225,-1,0))+1,INDEX($M$15:OFFSET(M225,-1,0),MATCH($A225,$A$15:OFFSET($A225,-1,0),0)))))</f>
        <v/>
      </c>
      <c r="N225" s="177" t="str">
        <f ca="1">IF($D225&lt;&gt;"Serviço","",IF(AUTOEVENTO="Manual",IF($A225=0,"&lt;-- defina o número do agrupador",OFFSET(EVENTOS!$D$14,$A225,0)),OFFSET($F$15,$A225,0)))</f>
        <v/>
      </c>
      <c r="O225" s="178"/>
      <c r="Q225" s="178"/>
      <c r="R225" s="179"/>
      <c r="S225" s="179"/>
      <c r="T225" s="179"/>
      <c r="U225" s="179"/>
      <c r="V225" s="179"/>
      <c r="W225" s="179"/>
      <c r="X225" s="179"/>
      <c r="Y225" s="179"/>
      <c r="Z225" s="180"/>
      <c r="AB225" s="544">
        <f ca="1">IF(AND($D225="Serviço",AB$12&lt;&gt;0,$H225&gt;0,OR(AUTOEVENTO&lt;&gt;"manual",$M225&lt;&gt;1)),
IF(Import.TipoArredondamento&lt;&gt;"TransfereGOV",
ROUND(OFFSET($P225,0,AB$13),15-13*ORÇAMENTO!$AF$7)/$H225*OFFSET(ORÇAMENTO!$X$15,ROW(AB225)-ROW(AB$15),0),
ROUND(ROUND(OFFSET($P225,0,AB$13),15-13*ORÇAMENTO!$AF$7)*OFFSET(ORÇAMENTO!$W$15,ROW(AB225)-ROW(AB$15),0),15-13*ORÇAMENTO!$AF$11)),0)</f>
        <v>0</v>
      </c>
      <c r="AC225" s="545">
        <f ca="1">IF(AND($D225="Serviço",AC$12&lt;&gt;0,$H225&gt;0,OR(AUTOEVENTO&lt;&gt;"manual",$M225&lt;&gt;1)),
IF(Import.TipoArredondamento&lt;&gt;"TransfereGOV",
ROUND(OFFSET($P225,0,AC$13),15-13*ORÇAMENTO!$AF$7)/$H225*OFFSET(ORÇAMENTO!$X$15,ROW(AC225)-ROW(AC$15),0),
ROUND(ROUND(OFFSET($P225,0,AC$13),15-13*ORÇAMENTO!$AF$7)*OFFSET(ORÇAMENTO!$W$15,ROW(AC225)-ROW(AC$15),0),15-13*ORÇAMENTO!$AF$11)),0)</f>
        <v>0</v>
      </c>
      <c r="AD225" s="545">
        <f ca="1">IF(AND($D225="Serviço",AD$12&lt;&gt;0,$H225&gt;0,OR(AUTOEVENTO&lt;&gt;"manual",$M225&lt;&gt;1)),
IF(Import.TipoArredondamento&lt;&gt;"TransfereGOV",
ROUND(OFFSET($P225,0,AD$13),15-13*ORÇAMENTO!$AF$7)/$H225*OFFSET(ORÇAMENTO!$X$15,ROW(AD225)-ROW(AD$15),0),
ROUND(ROUND(OFFSET($P225,0,AD$13),15-13*ORÇAMENTO!$AF$7)*OFFSET(ORÇAMENTO!$W$15,ROW(AD225)-ROW(AD$15),0),15-13*ORÇAMENTO!$AF$11)),0)</f>
        <v>0</v>
      </c>
      <c r="AE225" s="545">
        <f ca="1">IF(AND($D225="Serviço",AE$12&lt;&gt;0,$H225&gt;0,OR(AUTOEVENTO&lt;&gt;"manual",$M225&lt;&gt;1)),
IF(Import.TipoArredondamento&lt;&gt;"TransfereGOV",
ROUND(OFFSET($P225,0,AE$13),15-13*ORÇAMENTO!$AF$7)/$H225*OFFSET(ORÇAMENTO!$X$15,ROW(AE225)-ROW(AE$15),0),
ROUND(ROUND(OFFSET($P225,0,AE$13),15-13*ORÇAMENTO!$AF$7)*OFFSET(ORÇAMENTO!$W$15,ROW(AE225)-ROW(AE$15),0),15-13*ORÇAMENTO!$AF$11)),0)</f>
        <v>0</v>
      </c>
      <c r="AF225" s="545">
        <f ca="1">IF(AND($D225="Serviço",AF$12&lt;&gt;0,$H225&gt;0,OR(AUTOEVENTO&lt;&gt;"manual",$M225&lt;&gt;1)),
IF(Import.TipoArredondamento&lt;&gt;"TransfereGOV",
ROUND(OFFSET($P225,0,AF$13),15-13*ORÇAMENTO!$AF$7)/$H225*OFFSET(ORÇAMENTO!$X$15,ROW(AF225)-ROW(AF$15),0),
ROUND(ROUND(OFFSET($P225,0,AF$13),15-13*ORÇAMENTO!$AF$7)*OFFSET(ORÇAMENTO!$W$15,ROW(AF225)-ROW(AF$15),0),15-13*ORÇAMENTO!$AF$11)),0)</f>
        <v>0</v>
      </c>
      <c r="AG225" s="545">
        <f ca="1">IF(AND($D225="Serviço",AG$12&lt;&gt;0,$H225&gt;0,OR(AUTOEVENTO&lt;&gt;"manual",$M225&lt;&gt;1)),
IF(Import.TipoArredondamento&lt;&gt;"TransfereGOV",
ROUND(OFFSET($P225,0,AG$13),15-13*ORÇAMENTO!$AF$7)/$H225*OFFSET(ORÇAMENTO!$X$15,ROW(AG225)-ROW(AG$15),0),
ROUND(ROUND(OFFSET($P225,0,AG$13),15-13*ORÇAMENTO!$AF$7)*OFFSET(ORÇAMENTO!$W$15,ROW(AG225)-ROW(AG$15),0),15-13*ORÇAMENTO!$AF$11)),0)</f>
        <v>0</v>
      </c>
      <c r="AH225" s="545">
        <f ca="1">IF(AND($D225="Serviço",AH$12&lt;&gt;0,$H225&gt;0,OR(AUTOEVENTO&lt;&gt;"manual",$M225&lt;&gt;1)),
IF(Import.TipoArredondamento&lt;&gt;"TransfereGOV",
ROUND(OFFSET($P225,0,AH$13),15-13*ORÇAMENTO!$AF$7)/$H225*OFFSET(ORÇAMENTO!$X$15,ROW(AH225)-ROW(AH$15),0),
ROUND(ROUND(OFFSET($P225,0,AH$13),15-13*ORÇAMENTO!$AF$7)*OFFSET(ORÇAMENTO!$W$15,ROW(AH225)-ROW(AH$15),0),15-13*ORÇAMENTO!$AF$11)),0)</f>
        <v>0</v>
      </c>
      <c r="AI225" s="545">
        <f ca="1">IF(AND($D225="Serviço",AI$12&lt;&gt;0,$H225&gt;0,OR(AUTOEVENTO&lt;&gt;"manual",$M225&lt;&gt;1)),
IF(Import.TipoArredondamento&lt;&gt;"TransfereGOV",
ROUND(OFFSET($P225,0,AI$13),15-13*ORÇAMENTO!$AF$7)/$H225*OFFSET(ORÇAMENTO!$X$15,ROW(AI225)-ROW(AI$15),0),
ROUND(ROUND(OFFSET($P225,0,AI$13),15-13*ORÇAMENTO!$AF$7)*OFFSET(ORÇAMENTO!$W$15,ROW(AI225)-ROW(AI$15),0),15-13*ORÇAMENTO!$AF$11)),0)</f>
        <v>0</v>
      </c>
      <c r="AJ225" s="545">
        <f ca="1">IF(AND($D225="Serviço",AJ$12&lt;&gt;0,$H225&gt;0,OR(AUTOEVENTO&lt;&gt;"manual",$M225&lt;&gt;1)),
IF(Import.TipoArredondamento&lt;&gt;"TransfereGOV",
ROUND(OFFSET($P225,0,AJ$13),15-13*ORÇAMENTO!$AF$7)/$H225*OFFSET(ORÇAMENTO!$X$15,ROW(AJ225)-ROW(AJ$15),0),
ROUND(ROUND(OFFSET($P225,0,AJ$13),15-13*ORÇAMENTO!$AF$7)*OFFSET(ORÇAMENTO!$W$15,ROW(AJ225)-ROW(AJ$15),0),15-13*ORÇAMENTO!$AF$11)),0)</f>
        <v>0</v>
      </c>
      <c r="AK225" s="546">
        <f ca="1">IF(AND($D225="Serviço",AK$12&lt;&gt;0,$H225&gt;0,OR(AUTOEVENTO&lt;&gt;"manual",$M225&lt;&gt;1)),
IF(Import.TipoArredondamento&lt;&gt;"TransfereGOV",
ROUND(OFFSET($P225,0,AK$13),15-13*ORÇAMENTO!$AF$7)/$H225*OFFSET(ORÇAMENTO!$X$15,ROW(AK225)-ROW(AK$15),0),
ROUND(ROUND(OFFSET($P225,0,AK$13),15-13*ORÇAMENTO!$AF$7)*OFFSET(ORÇAMENTO!$W$15,ROW(AK225)-ROW(AK$15),0),15-13*ORÇAMENTO!$AF$11)),0)</f>
        <v>0</v>
      </c>
      <c r="AM225" s="181">
        <f ca="1">IF($D225&lt;&gt;"Serviço",0,IF(AND(AUTOEVENTO="Manual",$M225=1),0,IF(OFFSET(CRONOPLE!$F$14,$M225,AM$13)="",10^12,OFFSET(CRONOPLE!$F$14,$M225,AM$13))))</f>
        <v>0</v>
      </c>
      <c r="AN225" s="181">
        <f ca="1">IF($D225&lt;&gt;"Serviço",0,IF(AND(AUTOEVENTO="Manual",$M225=1),0,IF(OFFSET(CRONOPLE!$F$14,$M225,AN$13)="",10^12,OFFSET(CRONOPLE!$F$14,$M225,AN$13))))</f>
        <v>0</v>
      </c>
      <c r="AO225" s="181">
        <f ca="1">IF($D225&lt;&gt;"Serviço",0,IF(AND(AUTOEVENTO="Manual",$M225=1),0,IF(OFFSET(CRONOPLE!$F$14,$M225,AO$13)="",10^12,OFFSET(CRONOPLE!$F$14,$M225,AO$13))))</f>
        <v>0</v>
      </c>
      <c r="AP225" s="181">
        <f ca="1">IF($D225&lt;&gt;"Serviço",0,IF(AND(AUTOEVENTO="Manual",$M225=1),0,IF(OFFSET(CRONOPLE!$F$14,$M225,AP$13)="",10^12,OFFSET(CRONOPLE!$F$14,$M225,AP$13))))</f>
        <v>0</v>
      </c>
      <c r="AQ225" s="181">
        <f ca="1">IF($D225&lt;&gt;"Serviço",0,IF(AND(AUTOEVENTO="Manual",$M225=1),0,IF(OFFSET(CRONOPLE!$F$14,$M225,AQ$13)="",10^12,OFFSET(CRONOPLE!$F$14,$M225,AQ$13))))</f>
        <v>0</v>
      </c>
      <c r="AR225" s="181">
        <f ca="1">IF($D225&lt;&gt;"Serviço",0,IF(AND(AUTOEVENTO="Manual",$M225=1),0,IF(OFFSET(CRONOPLE!$F$14,$M225,AR$13)="",10^12,OFFSET(CRONOPLE!$F$14,$M225,AR$13))))</f>
        <v>0</v>
      </c>
      <c r="AS225" s="181">
        <f ca="1">IF($D225&lt;&gt;"Serviço",0,IF(AND(AUTOEVENTO="Manual",$M225=1),0,IF(OFFSET(CRONOPLE!$F$14,$M225,AS$13)="",10^12,OFFSET(CRONOPLE!$F$14,$M225,AS$13))))</f>
        <v>0</v>
      </c>
      <c r="AT225" s="181">
        <f ca="1">IF($D225&lt;&gt;"Serviço",0,IF(AND(AUTOEVENTO="Manual",$M225=1),0,IF(OFFSET(CRONOPLE!$F$14,$M225,AT$13)="",10^12,OFFSET(CRONOPLE!$F$14,$M225,AT$13))))</f>
        <v>0</v>
      </c>
      <c r="AU225" s="181">
        <f ca="1">IF($D225&lt;&gt;"Serviço",0,IF(AND(AUTOEVENTO="Manual",$M225=1),0,IF(OFFSET(CRONOPLE!$F$14,$M225,AU$13)="",10^12,OFFSET(CRONOPLE!$F$14,$M225,AU$13))))</f>
        <v>0</v>
      </c>
      <c r="AV225" s="181">
        <f ca="1">IF($D225&lt;&gt;"Serviço",0,IF(AND(AUTOEVENTO="Manual",$M225=1),0,IF(OFFSET(CRONOPLE!$F$14,$M225,AV$13)="",10^12,OFFSET(CRONOPLE!$F$14,$M225,AV$13))))</f>
        <v>0</v>
      </c>
      <c r="AX225" s="182">
        <f ca="1">IF($D225&lt;&gt;"Serviço",0,IF(OR(AND(AUTOEVENTO="Manual",$M225=1),$M225&gt;(ROW(PLE.lastrow)-ROW(PLE.firstrow))),0,IF(OFFSET(PLE!$G$14,$M225,AX$13)="",10^12,OFFSET(PLE!$G$14,$M225,AX$13))))</f>
        <v>0</v>
      </c>
      <c r="AY225" s="182">
        <f ca="1">IF($D225&lt;&gt;"Serviço",0,IF(OR(AND(AUTOEVENTO="Manual",$M225=1),$M225&gt;(ROW(PLE.lastrow)-ROW(PLE.firstrow))),0,IF(OFFSET(PLE!$G$14,$M225,AY$13)="",10^12,OFFSET(PLE!$G$14,$M225,AY$13))))</f>
        <v>0</v>
      </c>
      <c r="AZ225" s="182">
        <f ca="1">IF($D225&lt;&gt;"Serviço",0,IF(OR(AND(AUTOEVENTO="Manual",$M225=1),$M225&gt;(ROW(PLE.lastrow)-ROW(PLE.firstrow))),0,IF(OFFSET(PLE!$G$14,$M225,AZ$13)="",10^12,OFFSET(PLE!$G$14,$M225,AZ$13))))</f>
        <v>0</v>
      </c>
      <c r="BA225" s="182">
        <f ca="1">IF($D225&lt;&gt;"Serviço",0,IF(OR(AND(AUTOEVENTO="Manual",$M225=1),$M225&gt;(ROW(PLE.lastrow)-ROW(PLE.firstrow))),0,IF(OFFSET(PLE!$G$14,$M225,BA$13)="",10^12,OFFSET(PLE!$G$14,$M225,BA$13))))</f>
        <v>0</v>
      </c>
      <c r="BB225" s="182">
        <f ca="1">IF($D225&lt;&gt;"Serviço",0,IF(OR(AND(AUTOEVENTO="Manual",$M225=1),$M225&gt;(ROW(PLE.lastrow)-ROW(PLE.firstrow))),0,IF(OFFSET(PLE!$G$14,$M225,BB$13)="",10^12,OFFSET(PLE!$G$14,$M225,BB$13))))</f>
        <v>0</v>
      </c>
      <c r="BC225" s="182">
        <f ca="1">IF($D225&lt;&gt;"Serviço",0,IF(OR(AND(AUTOEVENTO="Manual",$M225=1),$M225&gt;(ROW(PLE.lastrow)-ROW(PLE.firstrow))),0,IF(OFFSET(PLE!$G$14,$M225,BC$13)="",10^12,OFFSET(PLE!$G$14,$M225,BC$13))))</f>
        <v>0</v>
      </c>
      <c r="BD225" s="182">
        <f ca="1">IF($D225&lt;&gt;"Serviço",0,IF(OR(AND(AUTOEVENTO="Manual",$M225=1),$M225&gt;(ROW(PLE.lastrow)-ROW(PLE.firstrow))),0,IF(OFFSET(PLE!$G$14,$M225,BD$13)="",10^12,OFFSET(PLE!$G$14,$M225,BD$13))))</f>
        <v>0</v>
      </c>
      <c r="BE225" s="182">
        <f ca="1">IF($D225&lt;&gt;"Serviço",0,IF(OR(AND(AUTOEVENTO="Manual",$M225=1),$M225&gt;(ROW(PLE.lastrow)-ROW(PLE.firstrow))),0,IF(OFFSET(PLE!$G$14,$M225,BE$13)="",10^12,OFFSET(PLE!$G$14,$M225,BE$13))))</f>
        <v>0</v>
      </c>
      <c r="BF225" s="182">
        <f ca="1">IF($D225&lt;&gt;"Serviço",0,IF(OR(AND(AUTOEVENTO="Manual",$M225=1),$M225&gt;(ROW(PLE.lastrow)-ROW(PLE.firstrow))),0,IF(OFFSET(PLE!$G$14,$M225,BF$13)="",10^12,OFFSET(PLE!$G$14,$M225,BF$13))))</f>
        <v>0</v>
      </c>
      <c r="BG225" s="182">
        <f ca="1">IF($D225&lt;&gt;"Serviço",0,IF(OR(AND(AUTOEVENTO="Manual",$M225=1),$M225&gt;(ROW(PLE.lastrow)-ROW(PLE.firstrow))),0,IF(OFFSET(PLE!$G$14,$M225,BG$13)="",10^12,OFFSET(PLE!$G$14,$M225,BG$13))))</f>
        <v>0</v>
      </c>
    </row>
    <row r="226" spans="1:59" ht="63.75" x14ac:dyDescent="0.2">
      <c r="A226" s="7" t="str">
        <f t="shared" ca="1" si="10"/>
        <v>210</v>
      </c>
      <c r="B226" s="7" t="str">
        <f ca="1">OFFSET(ORÇAMENTO!C$15,ROW(B226)-ROW(B$15),0)</f>
        <v>S</v>
      </c>
      <c r="C226" s="7" t="str">
        <f ca="1">OFFSET(ORÇAMENTO!L$15,ROW(C226)-ROW(C$15),0)</f>
        <v>F</v>
      </c>
      <c r="D226" s="118" t="str">
        <f ca="1">OFFSET(ORÇAMENTO!N$15,ROW(D226)-ROW(D$15),0)</f>
        <v>Serviço</v>
      </c>
      <c r="E226" s="119" t="str">
        <f ca="1">OFFSET(ORÇAMENTO!O$15,ROW(E226)-ROW(E$15),0)</f>
        <v>1.10.0.1.</v>
      </c>
      <c r="F226" s="172" t="str">
        <f ca="1">OFFSET(ORÇAMENTO!R$15,ROW(F226)-ROW(F$15),0)</f>
        <v>(abra o arquivo 'Referência 03-2024.xlsm)</v>
      </c>
      <c r="G226" s="173" t="str">
        <f ca="1">IF($D226&lt;&gt;"Serviço","",OFFSET(ORÇAMENTO!S$15,ROW(G226)-ROW(G$15),0))</f>
        <v>-</v>
      </c>
      <c r="H226" s="124">
        <f ca="1">IF($D226&lt;&gt;"Serviço",0,IF(ACOMPANHAMENTO="BM",ROUND(OFFSET(ORÇAMENTO!AJ$15,ROW(H226)-ROW(H$15),0),15-13*ORÇAMENTO!$AF$7),SUMPRODUCT(($Q$12:$AA$12&lt;&gt;"")*ROUND($Q226:$AA226,15-13*ORÇAMENTO!$AF$7))))</f>
        <v>3.84</v>
      </c>
      <c r="I226" s="561"/>
      <c r="K226" s="174"/>
      <c r="L226" s="175" t="s">
        <v>255</v>
      </c>
      <c r="M226" s="176">
        <f ca="1">IF($D226&lt;&gt;"Serviço","",IF(AUTOEVENTO="manual",$A226,IF(ISERROR(MATCH($A226,$A$15:OFFSET($A226,-1,0),0)),MAX($M$15:OFFSET(M226,-1,0))+1,INDEX($M$15:OFFSET(M226,-1,0),MATCH($A226,$A$15:OFFSET($A226,-1,0),0)))))</f>
        <v>11</v>
      </c>
      <c r="N226" s="177" t="str">
        <f ca="1">IF($D226&lt;&gt;"Serviço","",IF(AUTOEVENTO="Manual",IF($A226=0,"&lt;-- defina o número do agrupador",OFFSET(EVENTOS!$D$14,$A226,0)),OFFSET($F$15,$A226,0)))</f>
        <v>PLAYGROUND</v>
      </c>
      <c r="O226" s="178"/>
      <c r="Q226" s="178"/>
      <c r="R226" s="179"/>
      <c r="S226" s="179"/>
      <c r="T226" s="179"/>
      <c r="U226" s="179"/>
      <c r="V226" s="179"/>
      <c r="W226" s="179"/>
      <c r="X226" s="179"/>
      <c r="Y226" s="179"/>
      <c r="Z226" s="180"/>
      <c r="AB226" s="544">
        <f ca="1">IF(AND($D226="Serviço",AB$12&lt;&gt;0,$H226&gt;0,OR(AUTOEVENTO&lt;&gt;"manual",$M226&lt;&gt;1)),
IF(Import.TipoArredondamento&lt;&gt;"TransfereGOV",
ROUND(OFFSET($P226,0,AB$13),15-13*ORÇAMENTO!$AF$7)/$H226*OFFSET(ORÇAMENTO!$X$15,ROW(AB226)-ROW(AB$15),0),
ROUND(ROUND(OFFSET($P226,0,AB$13),15-13*ORÇAMENTO!$AF$7)*OFFSET(ORÇAMENTO!$W$15,ROW(AB226)-ROW(AB$15),0),15-13*ORÇAMENTO!$AF$11)),0)</f>
        <v>0</v>
      </c>
      <c r="AC226" s="545">
        <f ca="1">IF(AND($D226="Serviço",AC$12&lt;&gt;0,$H226&gt;0,OR(AUTOEVENTO&lt;&gt;"manual",$M226&lt;&gt;1)),
IF(Import.TipoArredondamento&lt;&gt;"TransfereGOV",
ROUND(OFFSET($P226,0,AC$13),15-13*ORÇAMENTO!$AF$7)/$H226*OFFSET(ORÇAMENTO!$X$15,ROW(AC226)-ROW(AC$15),0),
ROUND(ROUND(OFFSET($P226,0,AC$13),15-13*ORÇAMENTO!$AF$7)*OFFSET(ORÇAMENTO!$W$15,ROW(AC226)-ROW(AC$15),0),15-13*ORÇAMENTO!$AF$11)),0)</f>
        <v>0</v>
      </c>
      <c r="AD226" s="545">
        <f ca="1">IF(AND($D226="Serviço",AD$12&lt;&gt;0,$H226&gt;0,OR(AUTOEVENTO&lt;&gt;"manual",$M226&lt;&gt;1)),
IF(Import.TipoArredondamento&lt;&gt;"TransfereGOV",
ROUND(OFFSET($P226,0,AD$13),15-13*ORÇAMENTO!$AF$7)/$H226*OFFSET(ORÇAMENTO!$X$15,ROW(AD226)-ROW(AD$15),0),
ROUND(ROUND(OFFSET($P226,0,AD$13),15-13*ORÇAMENTO!$AF$7)*OFFSET(ORÇAMENTO!$W$15,ROW(AD226)-ROW(AD$15),0),15-13*ORÇAMENTO!$AF$11)),0)</f>
        <v>0</v>
      </c>
      <c r="AE226" s="545">
        <f ca="1">IF(AND($D226="Serviço",AE$12&lt;&gt;0,$H226&gt;0,OR(AUTOEVENTO&lt;&gt;"manual",$M226&lt;&gt;1)),
IF(Import.TipoArredondamento&lt;&gt;"TransfereGOV",
ROUND(OFFSET($P226,0,AE$13),15-13*ORÇAMENTO!$AF$7)/$H226*OFFSET(ORÇAMENTO!$X$15,ROW(AE226)-ROW(AE$15),0),
ROUND(ROUND(OFFSET($P226,0,AE$13),15-13*ORÇAMENTO!$AF$7)*OFFSET(ORÇAMENTO!$W$15,ROW(AE226)-ROW(AE$15),0),15-13*ORÇAMENTO!$AF$11)),0)</f>
        <v>0</v>
      </c>
      <c r="AF226" s="545">
        <f ca="1">IF(AND($D226="Serviço",AF$12&lt;&gt;0,$H226&gt;0,OR(AUTOEVENTO&lt;&gt;"manual",$M226&lt;&gt;1)),
IF(Import.TipoArredondamento&lt;&gt;"TransfereGOV",
ROUND(OFFSET($P226,0,AF$13),15-13*ORÇAMENTO!$AF$7)/$H226*OFFSET(ORÇAMENTO!$X$15,ROW(AF226)-ROW(AF$15),0),
ROUND(ROUND(OFFSET($P226,0,AF$13),15-13*ORÇAMENTO!$AF$7)*OFFSET(ORÇAMENTO!$W$15,ROW(AF226)-ROW(AF$15),0),15-13*ORÇAMENTO!$AF$11)),0)</f>
        <v>0</v>
      </c>
      <c r="AG226" s="545">
        <f ca="1">IF(AND($D226="Serviço",AG$12&lt;&gt;0,$H226&gt;0,OR(AUTOEVENTO&lt;&gt;"manual",$M226&lt;&gt;1)),
IF(Import.TipoArredondamento&lt;&gt;"TransfereGOV",
ROUND(OFFSET($P226,0,AG$13),15-13*ORÇAMENTO!$AF$7)/$H226*OFFSET(ORÇAMENTO!$X$15,ROW(AG226)-ROW(AG$15),0),
ROUND(ROUND(OFFSET($P226,0,AG$13),15-13*ORÇAMENTO!$AF$7)*OFFSET(ORÇAMENTO!$W$15,ROW(AG226)-ROW(AG$15),0),15-13*ORÇAMENTO!$AF$11)),0)</f>
        <v>0</v>
      </c>
      <c r="AH226" s="545">
        <f ca="1">IF(AND($D226="Serviço",AH$12&lt;&gt;0,$H226&gt;0,OR(AUTOEVENTO&lt;&gt;"manual",$M226&lt;&gt;1)),
IF(Import.TipoArredondamento&lt;&gt;"TransfereGOV",
ROUND(OFFSET($P226,0,AH$13),15-13*ORÇAMENTO!$AF$7)/$H226*OFFSET(ORÇAMENTO!$X$15,ROW(AH226)-ROW(AH$15),0),
ROUND(ROUND(OFFSET($P226,0,AH$13),15-13*ORÇAMENTO!$AF$7)*OFFSET(ORÇAMENTO!$W$15,ROW(AH226)-ROW(AH$15),0),15-13*ORÇAMENTO!$AF$11)),0)</f>
        <v>0</v>
      </c>
      <c r="AI226" s="545">
        <f ca="1">IF(AND($D226="Serviço",AI$12&lt;&gt;0,$H226&gt;0,OR(AUTOEVENTO&lt;&gt;"manual",$M226&lt;&gt;1)),
IF(Import.TipoArredondamento&lt;&gt;"TransfereGOV",
ROUND(OFFSET($P226,0,AI$13),15-13*ORÇAMENTO!$AF$7)/$H226*OFFSET(ORÇAMENTO!$X$15,ROW(AI226)-ROW(AI$15),0),
ROUND(ROUND(OFFSET($P226,0,AI$13),15-13*ORÇAMENTO!$AF$7)*OFFSET(ORÇAMENTO!$W$15,ROW(AI226)-ROW(AI$15),0),15-13*ORÇAMENTO!$AF$11)),0)</f>
        <v>0</v>
      </c>
      <c r="AJ226" s="545">
        <f ca="1">IF(AND($D226="Serviço",AJ$12&lt;&gt;0,$H226&gt;0,OR(AUTOEVENTO&lt;&gt;"manual",$M226&lt;&gt;1)),
IF(Import.TipoArredondamento&lt;&gt;"TransfereGOV",
ROUND(OFFSET($P226,0,AJ$13),15-13*ORÇAMENTO!$AF$7)/$H226*OFFSET(ORÇAMENTO!$X$15,ROW(AJ226)-ROW(AJ$15),0),
ROUND(ROUND(OFFSET($P226,0,AJ$13),15-13*ORÇAMENTO!$AF$7)*OFFSET(ORÇAMENTO!$W$15,ROW(AJ226)-ROW(AJ$15),0),15-13*ORÇAMENTO!$AF$11)),0)</f>
        <v>0</v>
      </c>
      <c r="AK226" s="546">
        <f ca="1">IF(AND($D226="Serviço",AK$12&lt;&gt;0,$H226&gt;0,OR(AUTOEVENTO&lt;&gt;"manual",$M226&lt;&gt;1)),
IF(Import.TipoArredondamento&lt;&gt;"TransfereGOV",
ROUND(OFFSET($P226,0,AK$13),15-13*ORÇAMENTO!$AF$7)/$H226*OFFSET(ORÇAMENTO!$X$15,ROW(AK226)-ROW(AK$15),0),
ROUND(ROUND(OFFSET($P226,0,AK$13),15-13*ORÇAMENTO!$AF$7)*OFFSET(ORÇAMENTO!$W$15,ROW(AK226)-ROW(AK$15),0),15-13*ORÇAMENTO!$AF$11)),0)</f>
        <v>0</v>
      </c>
      <c r="AM226" s="181">
        <f ca="1">IF($D226&lt;&gt;"Serviço",0,IF(AND(AUTOEVENTO="Manual",$M226=1),0,IF(OFFSET(CRONOPLE!$F$14,$M226,AM$13)="",10^12,OFFSET(CRONOPLE!$F$14,$M226,AM$13))))</f>
        <v>1000000000000</v>
      </c>
      <c r="AN226" s="181">
        <f ca="1">IF($D226&lt;&gt;"Serviço",0,IF(AND(AUTOEVENTO="Manual",$M226=1),0,IF(OFFSET(CRONOPLE!$F$14,$M226,AN$13)="",10^12,OFFSET(CRONOPLE!$F$14,$M226,AN$13))))</f>
        <v>1000000000000</v>
      </c>
      <c r="AO226" s="181">
        <f ca="1">IF($D226&lt;&gt;"Serviço",0,IF(AND(AUTOEVENTO="Manual",$M226=1),0,IF(OFFSET(CRONOPLE!$F$14,$M226,AO$13)="",10^12,OFFSET(CRONOPLE!$F$14,$M226,AO$13))))</f>
        <v>1000000000000</v>
      </c>
      <c r="AP226" s="181">
        <f ca="1">IF($D226&lt;&gt;"Serviço",0,IF(AND(AUTOEVENTO="Manual",$M226=1),0,IF(OFFSET(CRONOPLE!$F$14,$M226,AP$13)="",10^12,OFFSET(CRONOPLE!$F$14,$M226,AP$13))))</f>
        <v>1000000000000</v>
      </c>
      <c r="AQ226" s="181">
        <f ca="1">IF($D226&lt;&gt;"Serviço",0,IF(AND(AUTOEVENTO="Manual",$M226=1),0,IF(OFFSET(CRONOPLE!$F$14,$M226,AQ$13)="",10^12,OFFSET(CRONOPLE!$F$14,$M226,AQ$13))))</f>
        <v>1000000000000</v>
      </c>
      <c r="AR226" s="181">
        <f ca="1">IF($D226&lt;&gt;"Serviço",0,IF(AND(AUTOEVENTO="Manual",$M226=1),0,IF(OFFSET(CRONOPLE!$F$14,$M226,AR$13)="",10^12,OFFSET(CRONOPLE!$F$14,$M226,AR$13))))</f>
        <v>1000000000000</v>
      </c>
      <c r="AS226" s="181">
        <f ca="1">IF($D226&lt;&gt;"Serviço",0,IF(AND(AUTOEVENTO="Manual",$M226=1),0,IF(OFFSET(CRONOPLE!$F$14,$M226,AS$13)="",10^12,OFFSET(CRONOPLE!$F$14,$M226,AS$13))))</f>
        <v>1000000000000</v>
      </c>
      <c r="AT226" s="181">
        <f ca="1">IF($D226&lt;&gt;"Serviço",0,IF(AND(AUTOEVENTO="Manual",$M226=1),0,IF(OFFSET(CRONOPLE!$F$14,$M226,AT$13)="",10^12,OFFSET(CRONOPLE!$F$14,$M226,AT$13))))</f>
        <v>1000000000000</v>
      </c>
      <c r="AU226" s="181">
        <f ca="1">IF($D226&lt;&gt;"Serviço",0,IF(AND(AUTOEVENTO="Manual",$M226=1),0,IF(OFFSET(CRONOPLE!$F$14,$M226,AU$13)="",10^12,OFFSET(CRONOPLE!$F$14,$M226,AU$13))))</f>
        <v>1000000000000</v>
      </c>
      <c r="AV226" s="181">
        <f ca="1">IF($D226&lt;&gt;"Serviço",0,IF(AND(AUTOEVENTO="Manual",$M226=1),0,IF(OFFSET(CRONOPLE!$F$14,$M226,AV$13)="",10^12,OFFSET(CRONOPLE!$F$14,$M226,AV$13))))</f>
        <v>1000000000000</v>
      </c>
      <c r="AX226" s="182">
        <f ca="1">IF($D226&lt;&gt;"Serviço",0,IF(OR(AND(AUTOEVENTO="Manual",$M226=1),$M226&gt;(ROW(PLE.lastrow)-ROW(PLE.firstrow))),0,IF(OFFSET(PLE!$G$14,$M226,AX$13)="",10^12,OFFSET(PLE!$G$14,$M226,AX$13))))</f>
        <v>1000000000000</v>
      </c>
      <c r="AY226" s="182">
        <f ca="1">IF($D226&lt;&gt;"Serviço",0,IF(OR(AND(AUTOEVENTO="Manual",$M226=1),$M226&gt;(ROW(PLE.lastrow)-ROW(PLE.firstrow))),0,IF(OFFSET(PLE!$G$14,$M226,AY$13)="",10^12,OFFSET(PLE!$G$14,$M226,AY$13))))</f>
        <v>1000000000000</v>
      </c>
      <c r="AZ226" s="182">
        <f ca="1">IF($D226&lt;&gt;"Serviço",0,IF(OR(AND(AUTOEVENTO="Manual",$M226=1),$M226&gt;(ROW(PLE.lastrow)-ROW(PLE.firstrow))),0,IF(OFFSET(PLE!$G$14,$M226,AZ$13)="",10^12,OFFSET(PLE!$G$14,$M226,AZ$13))))</f>
        <v>1000000000000</v>
      </c>
      <c r="BA226" s="182">
        <f ca="1">IF($D226&lt;&gt;"Serviço",0,IF(OR(AND(AUTOEVENTO="Manual",$M226=1),$M226&gt;(ROW(PLE.lastrow)-ROW(PLE.firstrow))),0,IF(OFFSET(PLE!$G$14,$M226,BA$13)="",10^12,OFFSET(PLE!$G$14,$M226,BA$13))))</f>
        <v>1000000000000</v>
      </c>
      <c r="BB226" s="182">
        <f ca="1">IF($D226&lt;&gt;"Serviço",0,IF(OR(AND(AUTOEVENTO="Manual",$M226=1),$M226&gt;(ROW(PLE.lastrow)-ROW(PLE.firstrow))),0,IF(OFFSET(PLE!$G$14,$M226,BB$13)="",10^12,OFFSET(PLE!$G$14,$M226,BB$13))))</f>
        <v>1000000000000</v>
      </c>
      <c r="BC226" s="182">
        <f ca="1">IF($D226&lt;&gt;"Serviço",0,IF(OR(AND(AUTOEVENTO="Manual",$M226=1),$M226&gt;(ROW(PLE.lastrow)-ROW(PLE.firstrow))),0,IF(OFFSET(PLE!$G$14,$M226,BC$13)="",10^12,OFFSET(PLE!$G$14,$M226,BC$13))))</f>
        <v>1000000000000</v>
      </c>
      <c r="BD226" s="182">
        <f ca="1">IF($D226&lt;&gt;"Serviço",0,IF(OR(AND(AUTOEVENTO="Manual",$M226=1),$M226&gt;(ROW(PLE.lastrow)-ROW(PLE.firstrow))),0,IF(OFFSET(PLE!$G$14,$M226,BD$13)="",10^12,OFFSET(PLE!$G$14,$M226,BD$13))))</f>
        <v>1000000000000</v>
      </c>
      <c r="BE226" s="182">
        <f ca="1">IF($D226&lt;&gt;"Serviço",0,IF(OR(AND(AUTOEVENTO="Manual",$M226=1),$M226&gt;(ROW(PLE.lastrow)-ROW(PLE.firstrow))),0,IF(OFFSET(PLE!$G$14,$M226,BE$13)="",10^12,OFFSET(PLE!$G$14,$M226,BE$13))))</f>
        <v>1000000000000</v>
      </c>
      <c r="BF226" s="182">
        <f ca="1">IF($D226&lt;&gt;"Serviço",0,IF(OR(AND(AUTOEVENTO="Manual",$M226=1),$M226&gt;(ROW(PLE.lastrow)-ROW(PLE.firstrow))),0,IF(OFFSET(PLE!$G$14,$M226,BF$13)="",10^12,OFFSET(PLE!$G$14,$M226,BF$13))))</f>
        <v>1000000000000</v>
      </c>
      <c r="BG226" s="182">
        <f ca="1">IF($D226&lt;&gt;"Serviço",0,IF(OR(AND(AUTOEVENTO="Manual",$M226=1),$M226&gt;(ROW(PLE.lastrow)-ROW(PLE.firstrow))),0,IF(OFFSET(PLE!$G$14,$M226,BG$13)="",10^12,OFFSET(PLE!$G$14,$M226,BG$13))))</f>
        <v>1000000000000</v>
      </c>
    </row>
    <row r="227" spans="1:59" ht="51" x14ac:dyDescent="0.2">
      <c r="A227" s="7" t="str">
        <f t="shared" ca="1" si="10"/>
        <v>210</v>
      </c>
      <c r="B227" s="7" t="str">
        <f ca="1">OFFSET(ORÇAMENTO!C$15,ROW(B227)-ROW(B$15),0)</f>
        <v>S</v>
      </c>
      <c r="C227" s="7" t="str">
        <f ca="1">OFFSET(ORÇAMENTO!L$15,ROW(C227)-ROW(C$15),0)</f>
        <v>F</v>
      </c>
      <c r="D227" s="118" t="str">
        <f ca="1">OFFSET(ORÇAMENTO!N$15,ROW(D227)-ROW(D$15),0)</f>
        <v>Serviço</v>
      </c>
      <c r="E227" s="119" t="str">
        <f ca="1">OFFSET(ORÇAMENTO!O$15,ROW(E227)-ROW(E$15),0)</f>
        <v>1.10.0.2.</v>
      </c>
      <c r="F227" s="172" t="str">
        <f ca="1">OFFSET(ORÇAMENTO!R$15,ROW(F227)-ROW(F$15),0)</f>
        <v>(abra o arquivo 'Referência 03-2024.xlsm)</v>
      </c>
      <c r="G227" s="173" t="str">
        <f ca="1">IF($D227&lt;&gt;"Serviço","",OFFSET(ORÇAMENTO!S$15,ROW(G227)-ROW(G$15),0))</f>
        <v>-</v>
      </c>
      <c r="H227" s="124">
        <f ca="1">IF($D227&lt;&gt;"Serviço",0,IF(ACOMPANHAMENTO="BM",ROUND(OFFSET(ORÇAMENTO!AJ$15,ROW(H227)-ROW(H$15),0),15-13*ORÇAMENTO!$AF$7),SUMPRODUCT(($Q$12:$AA$12&lt;&gt;"")*ROUND($Q227:$AA227,15-13*ORÇAMENTO!$AF$7))))</f>
        <v>0.96</v>
      </c>
      <c r="I227" s="561"/>
      <c r="K227" s="174"/>
      <c r="L227" s="175" t="s">
        <v>255</v>
      </c>
      <c r="M227" s="176">
        <f ca="1">IF($D227&lt;&gt;"Serviço","",IF(AUTOEVENTO="manual",$A227,IF(ISERROR(MATCH($A227,$A$15:OFFSET($A227,-1,0),0)),MAX($M$15:OFFSET(M227,-1,0))+1,INDEX($M$15:OFFSET(M227,-1,0),MATCH($A227,$A$15:OFFSET($A227,-1,0),0)))))</f>
        <v>11</v>
      </c>
      <c r="N227" s="177" t="str">
        <f ca="1">IF($D227&lt;&gt;"Serviço","",IF(AUTOEVENTO="Manual",IF($A227=0,"&lt;-- defina o número do agrupador",OFFSET(EVENTOS!$D$14,$A227,0)),OFFSET($F$15,$A227,0)))</f>
        <v>PLAYGROUND</v>
      </c>
      <c r="O227" s="178"/>
      <c r="Q227" s="178"/>
      <c r="R227" s="179"/>
      <c r="S227" s="179"/>
      <c r="T227" s="179"/>
      <c r="U227" s="179"/>
      <c r="V227" s="179"/>
      <c r="W227" s="179"/>
      <c r="X227" s="179"/>
      <c r="Y227" s="179"/>
      <c r="Z227" s="180"/>
      <c r="AB227" s="544">
        <f ca="1">IF(AND($D227="Serviço",AB$12&lt;&gt;0,$H227&gt;0,OR(AUTOEVENTO&lt;&gt;"manual",$M227&lt;&gt;1)),
IF(Import.TipoArredondamento&lt;&gt;"TransfereGOV",
ROUND(OFFSET($P227,0,AB$13),15-13*ORÇAMENTO!$AF$7)/$H227*OFFSET(ORÇAMENTO!$X$15,ROW(AB227)-ROW(AB$15),0),
ROUND(ROUND(OFFSET($P227,0,AB$13),15-13*ORÇAMENTO!$AF$7)*OFFSET(ORÇAMENTO!$W$15,ROW(AB227)-ROW(AB$15),0),15-13*ORÇAMENTO!$AF$11)),0)</f>
        <v>0</v>
      </c>
      <c r="AC227" s="545">
        <f ca="1">IF(AND($D227="Serviço",AC$12&lt;&gt;0,$H227&gt;0,OR(AUTOEVENTO&lt;&gt;"manual",$M227&lt;&gt;1)),
IF(Import.TipoArredondamento&lt;&gt;"TransfereGOV",
ROUND(OFFSET($P227,0,AC$13),15-13*ORÇAMENTO!$AF$7)/$H227*OFFSET(ORÇAMENTO!$X$15,ROW(AC227)-ROW(AC$15),0),
ROUND(ROUND(OFFSET($P227,0,AC$13),15-13*ORÇAMENTO!$AF$7)*OFFSET(ORÇAMENTO!$W$15,ROW(AC227)-ROW(AC$15),0),15-13*ORÇAMENTO!$AF$11)),0)</f>
        <v>0</v>
      </c>
      <c r="AD227" s="545">
        <f ca="1">IF(AND($D227="Serviço",AD$12&lt;&gt;0,$H227&gt;0,OR(AUTOEVENTO&lt;&gt;"manual",$M227&lt;&gt;1)),
IF(Import.TipoArredondamento&lt;&gt;"TransfereGOV",
ROUND(OFFSET($P227,0,AD$13),15-13*ORÇAMENTO!$AF$7)/$H227*OFFSET(ORÇAMENTO!$X$15,ROW(AD227)-ROW(AD$15),0),
ROUND(ROUND(OFFSET($P227,0,AD$13),15-13*ORÇAMENTO!$AF$7)*OFFSET(ORÇAMENTO!$W$15,ROW(AD227)-ROW(AD$15),0),15-13*ORÇAMENTO!$AF$11)),0)</f>
        <v>0</v>
      </c>
      <c r="AE227" s="545">
        <f ca="1">IF(AND($D227="Serviço",AE$12&lt;&gt;0,$H227&gt;0,OR(AUTOEVENTO&lt;&gt;"manual",$M227&lt;&gt;1)),
IF(Import.TipoArredondamento&lt;&gt;"TransfereGOV",
ROUND(OFFSET($P227,0,AE$13),15-13*ORÇAMENTO!$AF$7)/$H227*OFFSET(ORÇAMENTO!$X$15,ROW(AE227)-ROW(AE$15),0),
ROUND(ROUND(OFFSET($P227,0,AE$13),15-13*ORÇAMENTO!$AF$7)*OFFSET(ORÇAMENTO!$W$15,ROW(AE227)-ROW(AE$15),0),15-13*ORÇAMENTO!$AF$11)),0)</f>
        <v>0</v>
      </c>
      <c r="AF227" s="545">
        <f ca="1">IF(AND($D227="Serviço",AF$12&lt;&gt;0,$H227&gt;0,OR(AUTOEVENTO&lt;&gt;"manual",$M227&lt;&gt;1)),
IF(Import.TipoArredondamento&lt;&gt;"TransfereGOV",
ROUND(OFFSET($P227,0,AF$13),15-13*ORÇAMENTO!$AF$7)/$H227*OFFSET(ORÇAMENTO!$X$15,ROW(AF227)-ROW(AF$15),0),
ROUND(ROUND(OFFSET($P227,0,AF$13),15-13*ORÇAMENTO!$AF$7)*OFFSET(ORÇAMENTO!$W$15,ROW(AF227)-ROW(AF$15),0),15-13*ORÇAMENTO!$AF$11)),0)</f>
        <v>0</v>
      </c>
      <c r="AG227" s="545">
        <f ca="1">IF(AND($D227="Serviço",AG$12&lt;&gt;0,$H227&gt;0,OR(AUTOEVENTO&lt;&gt;"manual",$M227&lt;&gt;1)),
IF(Import.TipoArredondamento&lt;&gt;"TransfereGOV",
ROUND(OFFSET($P227,0,AG$13),15-13*ORÇAMENTO!$AF$7)/$H227*OFFSET(ORÇAMENTO!$X$15,ROW(AG227)-ROW(AG$15),0),
ROUND(ROUND(OFFSET($P227,0,AG$13),15-13*ORÇAMENTO!$AF$7)*OFFSET(ORÇAMENTO!$W$15,ROW(AG227)-ROW(AG$15),0),15-13*ORÇAMENTO!$AF$11)),0)</f>
        <v>0</v>
      </c>
      <c r="AH227" s="545">
        <f ca="1">IF(AND($D227="Serviço",AH$12&lt;&gt;0,$H227&gt;0,OR(AUTOEVENTO&lt;&gt;"manual",$M227&lt;&gt;1)),
IF(Import.TipoArredondamento&lt;&gt;"TransfereGOV",
ROUND(OFFSET($P227,0,AH$13),15-13*ORÇAMENTO!$AF$7)/$H227*OFFSET(ORÇAMENTO!$X$15,ROW(AH227)-ROW(AH$15),0),
ROUND(ROUND(OFFSET($P227,0,AH$13),15-13*ORÇAMENTO!$AF$7)*OFFSET(ORÇAMENTO!$W$15,ROW(AH227)-ROW(AH$15),0),15-13*ORÇAMENTO!$AF$11)),0)</f>
        <v>0</v>
      </c>
      <c r="AI227" s="545">
        <f ca="1">IF(AND($D227="Serviço",AI$12&lt;&gt;0,$H227&gt;0,OR(AUTOEVENTO&lt;&gt;"manual",$M227&lt;&gt;1)),
IF(Import.TipoArredondamento&lt;&gt;"TransfereGOV",
ROUND(OFFSET($P227,0,AI$13),15-13*ORÇAMENTO!$AF$7)/$H227*OFFSET(ORÇAMENTO!$X$15,ROW(AI227)-ROW(AI$15),0),
ROUND(ROUND(OFFSET($P227,0,AI$13),15-13*ORÇAMENTO!$AF$7)*OFFSET(ORÇAMENTO!$W$15,ROW(AI227)-ROW(AI$15),0),15-13*ORÇAMENTO!$AF$11)),0)</f>
        <v>0</v>
      </c>
      <c r="AJ227" s="545">
        <f ca="1">IF(AND($D227="Serviço",AJ$12&lt;&gt;0,$H227&gt;0,OR(AUTOEVENTO&lt;&gt;"manual",$M227&lt;&gt;1)),
IF(Import.TipoArredondamento&lt;&gt;"TransfereGOV",
ROUND(OFFSET($P227,0,AJ$13),15-13*ORÇAMENTO!$AF$7)/$H227*OFFSET(ORÇAMENTO!$X$15,ROW(AJ227)-ROW(AJ$15),0),
ROUND(ROUND(OFFSET($P227,0,AJ$13),15-13*ORÇAMENTO!$AF$7)*OFFSET(ORÇAMENTO!$W$15,ROW(AJ227)-ROW(AJ$15),0),15-13*ORÇAMENTO!$AF$11)),0)</f>
        <v>0</v>
      </c>
      <c r="AK227" s="546">
        <f ca="1">IF(AND($D227="Serviço",AK$12&lt;&gt;0,$H227&gt;0,OR(AUTOEVENTO&lt;&gt;"manual",$M227&lt;&gt;1)),
IF(Import.TipoArredondamento&lt;&gt;"TransfereGOV",
ROUND(OFFSET($P227,0,AK$13),15-13*ORÇAMENTO!$AF$7)/$H227*OFFSET(ORÇAMENTO!$X$15,ROW(AK227)-ROW(AK$15),0),
ROUND(ROUND(OFFSET($P227,0,AK$13),15-13*ORÇAMENTO!$AF$7)*OFFSET(ORÇAMENTO!$W$15,ROW(AK227)-ROW(AK$15),0),15-13*ORÇAMENTO!$AF$11)),0)</f>
        <v>0</v>
      </c>
      <c r="AM227" s="181">
        <f ca="1">IF($D227&lt;&gt;"Serviço",0,IF(AND(AUTOEVENTO="Manual",$M227=1),0,IF(OFFSET(CRONOPLE!$F$14,$M227,AM$13)="",10^12,OFFSET(CRONOPLE!$F$14,$M227,AM$13))))</f>
        <v>1000000000000</v>
      </c>
      <c r="AN227" s="181">
        <f ca="1">IF($D227&lt;&gt;"Serviço",0,IF(AND(AUTOEVENTO="Manual",$M227=1),0,IF(OFFSET(CRONOPLE!$F$14,$M227,AN$13)="",10^12,OFFSET(CRONOPLE!$F$14,$M227,AN$13))))</f>
        <v>1000000000000</v>
      </c>
      <c r="AO227" s="181">
        <f ca="1">IF($D227&lt;&gt;"Serviço",0,IF(AND(AUTOEVENTO="Manual",$M227=1),0,IF(OFFSET(CRONOPLE!$F$14,$M227,AO$13)="",10^12,OFFSET(CRONOPLE!$F$14,$M227,AO$13))))</f>
        <v>1000000000000</v>
      </c>
      <c r="AP227" s="181">
        <f ca="1">IF($D227&lt;&gt;"Serviço",0,IF(AND(AUTOEVENTO="Manual",$M227=1),0,IF(OFFSET(CRONOPLE!$F$14,$M227,AP$13)="",10^12,OFFSET(CRONOPLE!$F$14,$M227,AP$13))))</f>
        <v>1000000000000</v>
      </c>
      <c r="AQ227" s="181">
        <f ca="1">IF($D227&lt;&gt;"Serviço",0,IF(AND(AUTOEVENTO="Manual",$M227=1),0,IF(OFFSET(CRONOPLE!$F$14,$M227,AQ$13)="",10^12,OFFSET(CRONOPLE!$F$14,$M227,AQ$13))))</f>
        <v>1000000000000</v>
      </c>
      <c r="AR227" s="181">
        <f ca="1">IF($D227&lt;&gt;"Serviço",0,IF(AND(AUTOEVENTO="Manual",$M227=1),0,IF(OFFSET(CRONOPLE!$F$14,$M227,AR$13)="",10^12,OFFSET(CRONOPLE!$F$14,$M227,AR$13))))</f>
        <v>1000000000000</v>
      </c>
      <c r="AS227" s="181">
        <f ca="1">IF($D227&lt;&gt;"Serviço",0,IF(AND(AUTOEVENTO="Manual",$M227=1),0,IF(OFFSET(CRONOPLE!$F$14,$M227,AS$13)="",10^12,OFFSET(CRONOPLE!$F$14,$M227,AS$13))))</f>
        <v>1000000000000</v>
      </c>
      <c r="AT227" s="181">
        <f ca="1">IF($D227&lt;&gt;"Serviço",0,IF(AND(AUTOEVENTO="Manual",$M227=1),0,IF(OFFSET(CRONOPLE!$F$14,$M227,AT$13)="",10^12,OFFSET(CRONOPLE!$F$14,$M227,AT$13))))</f>
        <v>1000000000000</v>
      </c>
      <c r="AU227" s="181">
        <f ca="1">IF($D227&lt;&gt;"Serviço",0,IF(AND(AUTOEVENTO="Manual",$M227=1),0,IF(OFFSET(CRONOPLE!$F$14,$M227,AU$13)="",10^12,OFFSET(CRONOPLE!$F$14,$M227,AU$13))))</f>
        <v>1000000000000</v>
      </c>
      <c r="AV227" s="181">
        <f ca="1">IF($D227&lt;&gt;"Serviço",0,IF(AND(AUTOEVENTO="Manual",$M227=1),0,IF(OFFSET(CRONOPLE!$F$14,$M227,AV$13)="",10^12,OFFSET(CRONOPLE!$F$14,$M227,AV$13))))</f>
        <v>1000000000000</v>
      </c>
      <c r="AX227" s="182">
        <f ca="1">IF($D227&lt;&gt;"Serviço",0,IF(OR(AND(AUTOEVENTO="Manual",$M227=1),$M227&gt;(ROW(PLE.lastrow)-ROW(PLE.firstrow))),0,IF(OFFSET(PLE!$G$14,$M227,AX$13)="",10^12,OFFSET(PLE!$G$14,$M227,AX$13))))</f>
        <v>1000000000000</v>
      </c>
      <c r="AY227" s="182">
        <f ca="1">IF($D227&lt;&gt;"Serviço",0,IF(OR(AND(AUTOEVENTO="Manual",$M227=1),$M227&gt;(ROW(PLE.lastrow)-ROW(PLE.firstrow))),0,IF(OFFSET(PLE!$G$14,$M227,AY$13)="",10^12,OFFSET(PLE!$G$14,$M227,AY$13))))</f>
        <v>1000000000000</v>
      </c>
      <c r="AZ227" s="182">
        <f ca="1">IF($D227&lt;&gt;"Serviço",0,IF(OR(AND(AUTOEVENTO="Manual",$M227=1),$M227&gt;(ROW(PLE.lastrow)-ROW(PLE.firstrow))),0,IF(OFFSET(PLE!$G$14,$M227,AZ$13)="",10^12,OFFSET(PLE!$G$14,$M227,AZ$13))))</f>
        <v>1000000000000</v>
      </c>
      <c r="BA227" s="182">
        <f ca="1">IF($D227&lt;&gt;"Serviço",0,IF(OR(AND(AUTOEVENTO="Manual",$M227=1),$M227&gt;(ROW(PLE.lastrow)-ROW(PLE.firstrow))),0,IF(OFFSET(PLE!$G$14,$M227,BA$13)="",10^12,OFFSET(PLE!$G$14,$M227,BA$13))))</f>
        <v>1000000000000</v>
      </c>
      <c r="BB227" s="182">
        <f ca="1">IF($D227&lt;&gt;"Serviço",0,IF(OR(AND(AUTOEVENTO="Manual",$M227=1),$M227&gt;(ROW(PLE.lastrow)-ROW(PLE.firstrow))),0,IF(OFFSET(PLE!$G$14,$M227,BB$13)="",10^12,OFFSET(PLE!$G$14,$M227,BB$13))))</f>
        <v>1000000000000</v>
      </c>
      <c r="BC227" s="182">
        <f ca="1">IF($D227&lt;&gt;"Serviço",0,IF(OR(AND(AUTOEVENTO="Manual",$M227=1),$M227&gt;(ROW(PLE.lastrow)-ROW(PLE.firstrow))),0,IF(OFFSET(PLE!$G$14,$M227,BC$13)="",10^12,OFFSET(PLE!$G$14,$M227,BC$13))))</f>
        <v>1000000000000</v>
      </c>
      <c r="BD227" s="182">
        <f ca="1">IF($D227&lt;&gt;"Serviço",0,IF(OR(AND(AUTOEVENTO="Manual",$M227=1),$M227&gt;(ROW(PLE.lastrow)-ROW(PLE.firstrow))),0,IF(OFFSET(PLE!$G$14,$M227,BD$13)="",10^12,OFFSET(PLE!$G$14,$M227,BD$13))))</f>
        <v>1000000000000</v>
      </c>
      <c r="BE227" s="182">
        <f ca="1">IF($D227&lt;&gt;"Serviço",0,IF(OR(AND(AUTOEVENTO="Manual",$M227=1),$M227&gt;(ROW(PLE.lastrow)-ROW(PLE.firstrow))),0,IF(OFFSET(PLE!$G$14,$M227,BE$13)="",10^12,OFFSET(PLE!$G$14,$M227,BE$13))))</f>
        <v>1000000000000</v>
      </c>
      <c r="BF227" s="182">
        <f ca="1">IF($D227&lt;&gt;"Serviço",0,IF(OR(AND(AUTOEVENTO="Manual",$M227=1),$M227&gt;(ROW(PLE.lastrow)-ROW(PLE.firstrow))),0,IF(OFFSET(PLE!$G$14,$M227,BF$13)="",10^12,OFFSET(PLE!$G$14,$M227,BF$13))))</f>
        <v>1000000000000</v>
      </c>
      <c r="BG227" s="182">
        <f ca="1">IF($D227&lt;&gt;"Serviço",0,IF(OR(AND(AUTOEVENTO="Manual",$M227=1),$M227&gt;(ROW(PLE.lastrow)-ROW(PLE.firstrow))),0,IF(OFFSET(PLE!$G$14,$M227,BG$13)="",10^12,OFFSET(PLE!$G$14,$M227,BG$13))))</f>
        <v>1000000000000</v>
      </c>
    </row>
    <row r="228" spans="1:59" ht="38.25" x14ac:dyDescent="0.2">
      <c r="A228" s="7" t="str">
        <f t="shared" ca="1" si="10"/>
        <v>210</v>
      </c>
      <c r="B228" s="7" t="str">
        <f ca="1">OFFSET(ORÇAMENTO!C$15,ROW(B228)-ROW(B$15),0)</f>
        <v>S</v>
      </c>
      <c r="C228" s="7" t="str">
        <f ca="1">OFFSET(ORÇAMENTO!L$15,ROW(C228)-ROW(C$15),0)</f>
        <v>F</v>
      </c>
      <c r="D228" s="118" t="str">
        <f ca="1">OFFSET(ORÇAMENTO!N$15,ROW(D228)-ROW(D$15),0)</f>
        <v>Serviço</v>
      </c>
      <c r="E228" s="119" t="str">
        <f ca="1">OFFSET(ORÇAMENTO!O$15,ROW(E228)-ROW(E$15),0)</f>
        <v>1.10.0.3.</v>
      </c>
      <c r="F228" s="172" t="str">
        <f ca="1">OFFSET(ORÇAMENTO!R$15,ROW(F228)-ROW(F$15),0)</f>
        <v>(abra o arquivo 'Referência 03-2024.xlsm)</v>
      </c>
      <c r="G228" s="173" t="str">
        <f ca="1">IF($D228&lt;&gt;"Serviço","",OFFSET(ORÇAMENTO!S$15,ROW(G228)-ROW(G$15),0))</f>
        <v>-</v>
      </c>
      <c r="H228" s="124">
        <f ca="1">IF($D228&lt;&gt;"Serviço",0,IF(ACOMPANHAMENTO="BM",ROUND(OFFSET(ORÇAMENTO!AJ$15,ROW(H228)-ROW(H$15),0),15-13*ORÇAMENTO!$AF$7),SUMPRODUCT(($Q$12:$AA$12&lt;&gt;"")*ROUND($Q228:$AA228,15-13*ORÇAMENTO!$AF$7))))</f>
        <v>19.2</v>
      </c>
      <c r="I228" s="561"/>
      <c r="K228" s="174"/>
      <c r="L228" s="175" t="s">
        <v>255</v>
      </c>
      <c r="M228" s="176">
        <f ca="1">IF($D228&lt;&gt;"Serviço","",IF(AUTOEVENTO="manual",$A228,IF(ISERROR(MATCH($A228,$A$15:OFFSET($A228,-1,0),0)),MAX($M$15:OFFSET(M228,-1,0))+1,INDEX($M$15:OFFSET(M228,-1,0),MATCH($A228,$A$15:OFFSET($A228,-1,0),0)))))</f>
        <v>11</v>
      </c>
      <c r="N228" s="177" t="str">
        <f ca="1">IF($D228&lt;&gt;"Serviço","",IF(AUTOEVENTO="Manual",IF($A228=0,"&lt;-- defina o número do agrupador",OFFSET(EVENTOS!$D$14,$A228,0)),OFFSET($F$15,$A228,0)))</f>
        <v>PLAYGROUND</v>
      </c>
      <c r="O228" s="178"/>
      <c r="Q228" s="178"/>
      <c r="R228" s="179"/>
      <c r="S228" s="179"/>
      <c r="T228" s="179"/>
      <c r="U228" s="179"/>
      <c r="V228" s="179"/>
      <c r="W228" s="179"/>
      <c r="X228" s="179"/>
      <c r="Y228" s="179"/>
      <c r="Z228" s="180"/>
      <c r="AB228" s="544">
        <f ca="1">IF(AND($D228="Serviço",AB$12&lt;&gt;0,$H228&gt;0,OR(AUTOEVENTO&lt;&gt;"manual",$M228&lt;&gt;1)),
IF(Import.TipoArredondamento&lt;&gt;"TransfereGOV",
ROUND(OFFSET($P228,0,AB$13),15-13*ORÇAMENTO!$AF$7)/$H228*OFFSET(ORÇAMENTO!$X$15,ROW(AB228)-ROW(AB$15),0),
ROUND(ROUND(OFFSET($P228,0,AB$13),15-13*ORÇAMENTO!$AF$7)*OFFSET(ORÇAMENTO!$W$15,ROW(AB228)-ROW(AB$15),0),15-13*ORÇAMENTO!$AF$11)),0)</f>
        <v>0</v>
      </c>
      <c r="AC228" s="545">
        <f ca="1">IF(AND($D228="Serviço",AC$12&lt;&gt;0,$H228&gt;0,OR(AUTOEVENTO&lt;&gt;"manual",$M228&lt;&gt;1)),
IF(Import.TipoArredondamento&lt;&gt;"TransfereGOV",
ROUND(OFFSET($P228,0,AC$13),15-13*ORÇAMENTO!$AF$7)/$H228*OFFSET(ORÇAMENTO!$X$15,ROW(AC228)-ROW(AC$15),0),
ROUND(ROUND(OFFSET($P228,0,AC$13),15-13*ORÇAMENTO!$AF$7)*OFFSET(ORÇAMENTO!$W$15,ROW(AC228)-ROW(AC$15),0),15-13*ORÇAMENTO!$AF$11)),0)</f>
        <v>0</v>
      </c>
      <c r="AD228" s="545">
        <f ca="1">IF(AND($D228="Serviço",AD$12&lt;&gt;0,$H228&gt;0,OR(AUTOEVENTO&lt;&gt;"manual",$M228&lt;&gt;1)),
IF(Import.TipoArredondamento&lt;&gt;"TransfereGOV",
ROUND(OFFSET($P228,0,AD$13),15-13*ORÇAMENTO!$AF$7)/$H228*OFFSET(ORÇAMENTO!$X$15,ROW(AD228)-ROW(AD$15),0),
ROUND(ROUND(OFFSET($P228,0,AD$13),15-13*ORÇAMENTO!$AF$7)*OFFSET(ORÇAMENTO!$W$15,ROW(AD228)-ROW(AD$15),0),15-13*ORÇAMENTO!$AF$11)),0)</f>
        <v>0</v>
      </c>
      <c r="AE228" s="545">
        <f ca="1">IF(AND($D228="Serviço",AE$12&lt;&gt;0,$H228&gt;0,OR(AUTOEVENTO&lt;&gt;"manual",$M228&lt;&gt;1)),
IF(Import.TipoArredondamento&lt;&gt;"TransfereGOV",
ROUND(OFFSET($P228,0,AE$13),15-13*ORÇAMENTO!$AF$7)/$H228*OFFSET(ORÇAMENTO!$X$15,ROW(AE228)-ROW(AE$15),0),
ROUND(ROUND(OFFSET($P228,0,AE$13),15-13*ORÇAMENTO!$AF$7)*OFFSET(ORÇAMENTO!$W$15,ROW(AE228)-ROW(AE$15),0),15-13*ORÇAMENTO!$AF$11)),0)</f>
        <v>0</v>
      </c>
      <c r="AF228" s="545">
        <f ca="1">IF(AND($D228="Serviço",AF$12&lt;&gt;0,$H228&gt;0,OR(AUTOEVENTO&lt;&gt;"manual",$M228&lt;&gt;1)),
IF(Import.TipoArredondamento&lt;&gt;"TransfereGOV",
ROUND(OFFSET($P228,0,AF$13),15-13*ORÇAMENTO!$AF$7)/$H228*OFFSET(ORÇAMENTO!$X$15,ROW(AF228)-ROW(AF$15),0),
ROUND(ROUND(OFFSET($P228,0,AF$13),15-13*ORÇAMENTO!$AF$7)*OFFSET(ORÇAMENTO!$W$15,ROW(AF228)-ROW(AF$15),0),15-13*ORÇAMENTO!$AF$11)),0)</f>
        <v>0</v>
      </c>
      <c r="AG228" s="545">
        <f ca="1">IF(AND($D228="Serviço",AG$12&lt;&gt;0,$H228&gt;0,OR(AUTOEVENTO&lt;&gt;"manual",$M228&lt;&gt;1)),
IF(Import.TipoArredondamento&lt;&gt;"TransfereGOV",
ROUND(OFFSET($P228,0,AG$13),15-13*ORÇAMENTO!$AF$7)/$H228*OFFSET(ORÇAMENTO!$X$15,ROW(AG228)-ROW(AG$15),0),
ROUND(ROUND(OFFSET($P228,0,AG$13),15-13*ORÇAMENTO!$AF$7)*OFFSET(ORÇAMENTO!$W$15,ROW(AG228)-ROW(AG$15),0),15-13*ORÇAMENTO!$AF$11)),0)</f>
        <v>0</v>
      </c>
      <c r="AH228" s="545">
        <f ca="1">IF(AND($D228="Serviço",AH$12&lt;&gt;0,$H228&gt;0,OR(AUTOEVENTO&lt;&gt;"manual",$M228&lt;&gt;1)),
IF(Import.TipoArredondamento&lt;&gt;"TransfereGOV",
ROUND(OFFSET($P228,0,AH$13),15-13*ORÇAMENTO!$AF$7)/$H228*OFFSET(ORÇAMENTO!$X$15,ROW(AH228)-ROW(AH$15),0),
ROUND(ROUND(OFFSET($P228,0,AH$13),15-13*ORÇAMENTO!$AF$7)*OFFSET(ORÇAMENTO!$W$15,ROW(AH228)-ROW(AH$15),0),15-13*ORÇAMENTO!$AF$11)),0)</f>
        <v>0</v>
      </c>
      <c r="AI228" s="545">
        <f ca="1">IF(AND($D228="Serviço",AI$12&lt;&gt;0,$H228&gt;0,OR(AUTOEVENTO&lt;&gt;"manual",$M228&lt;&gt;1)),
IF(Import.TipoArredondamento&lt;&gt;"TransfereGOV",
ROUND(OFFSET($P228,0,AI$13),15-13*ORÇAMENTO!$AF$7)/$H228*OFFSET(ORÇAMENTO!$X$15,ROW(AI228)-ROW(AI$15),0),
ROUND(ROUND(OFFSET($P228,0,AI$13),15-13*ORÇAMENTO!$AF$7)*OFFSET(ORÇAMENTO!$W$15,ROW(AI228)-ROW(AI$15),0),15-13*ORÇAMENTO!$AF$11)),0)</f>
        <v>0</v>
      </c>
      <c r="AJ228" s="545">
        <f ca="1">IF(AND($D228="Serviço",AJ$12&lt;&gt;0,$H228&gt;0,OR(AUTOEVENTO&lt;&gt;"manual",$M228&lt;&gt;1)),
IF(Import.TipoArredondamento&lt;&gt;"TransfereGOV",
ROUND(OFFSET($P228,0,AJ$13),15-13*ORÇAMENTO!$AF$7)/$H228*OFFSET(ORÇAMENTO!$X$15,ROW(AJ228)-ROW(AJ$15),0),
ROUND(ROUND(OFFSET($P228,0,AJ$13),15-13*ORÇAMENTO!$AF$7)*OFFSET(ORÇAMENTO!$W$15,ROW(AJ228)-ROW(AJ$15),0),15-13*ORÇAMENTO!$AF$11)),0)</f>
        <v>0</v>
      </c>
      <c r="AK228" s="546">
        <f ca="1">IF(AND($D228="Serviço",AK$12&lt;&gt;0,$H228&gt;0,OR(AUTOEVENTO&lt;&gt;"manual",$M228&lt;&gt;1)),
IF(Import.TipoArredondamento&lt;&gt;"TransfereGOV",
ROUND(OFFSET($P228,0,AK$13),15-13*ORÇAMENTO!$AF$7)/$H228*OFFSET(ORÇAMENTO!$X$15,ROW(AK228)-ROW(AK$15),0),
ROUND(ROUND(OFFSET($P228,0,AK$13),15-13*ORÇAMENTO!$AF$7)*OFFSET(ORÇAMENTO!$W$15,ROW(AK228)-ROW(AK$15),0),15-13*ORÇAMENTO!$AF$11)),0)</f>
        <v>0</v>
      </c>
      <c r="AM228" s="181">
        <f ca="1">IF($D228&lt;&gt;"Serviço",0,IF(AND(AUTOEVENTO="Manual",$M228=1),0,IF(OFFSET(CRONOPLE!$F$14,$M228,AM$13)="",10^12,OFFSET(CRONOPLE!$F$14,$M228,AM$13))))</f>
        <v>1000000000000</v>
      </c>
      <c r="AN228" s="181">
        <f ca="1">IF($D228&lt;&gt;"Serviço",0,IF(AND(AUTOEVENTO="Manual",$M228=1),0,IF(OFFSET(CRONOPLE!$F$14,$M228,AN$13)="",10^12,OFFSET(CRONOPLE!$F$14,$M228,AN$13))))</f>
        <v>1000000000000</v>
      </c>
      <c r="AO228" s="181">
        <f ca="1">IF($D228&lt;&gt;"Serviço",0,IF(AND(AUTOEVENTO="Manual",$M228=1),0,IF(OFFSET(CRONOPLE!$F$14,$M228,AO$13)="",10^12,OFFSET(CRONOPLE!$F$14,$M228,AO$13))))</f>
        <v>1000000000000</v>
      </c>
      <c r="AP228" s="181">
        <f ca="1">IF($D228&lt;&gt;"Serviço",0,IF(AND(AUTOEVENTO="Manual",$M228=1),0,IF(OFFSET(CRONOPLE!$F$14,$M228,AP$13)="",10^12,OFFSET(CRONOPLE!$F$14,$M228,AP$13))))</f>
        <v>1000000000000</v>
      </c>
      <c r="AQ228" s="181">
        <f ca="1">IF($D228&lt;&gt;"Serviço",0,IF(AND(AUTOEVENTO="Manual",$M228=1),0,IF(OFFSET(CRONOPLE!$F$14,$M228,AQ$13)="",10^12,OFFSET(CRONOPLE!$F$14,$M228,AQ$13))))</f>
        <v>1000000000000</v>
      </c>
      <c r="AR228" s="181">
        <f ca="1">IF($D228&lt;&gt;"Serviço",0,IF(AND(AUTOEVENTO="Manual",$M228=1),0,IF(OFFSET(CRONOPLE!$F$14,$M228,AR$13)="",10^12,OFFSET(CRONOPLE!$F$14,$M228,AR$13))))</f>
        <v>1000000000000</v>
      </c>
      <c r="AS228" s="181">
        <f ca="1">IF($D228&lt;&gt;"Serviço",0,IF(AND(AUTOEVENTO="Manual",$M228=1),0,IF(OFFSET(CRONOPLE!$F$14,$M228,AS$13)="",10^12,OFFSET(CRONOPLE!$F$14,$M228,AS$13))))</f>
        <v>1000000000000</v>
      </c>
      <c r="AT228" s="181">
        <f ca="1">IF($D228&lt;&gt;"Serviço",0,IF(AND(AUTOEVENTO="Manual",$M228=1),0,IF(OFFSET(CRONOPLE!$F$14,$M228,AT$13)="",10^12,OFFSET(CRONOPLE!$F$14,$M228,AT$13))))</f>
        <v>1000000000000</v>
      </c>
      <c r="AU228" s="181">
        <f ca="1">IF($D228&lt;&gt;"Serviço",0,IF(AND(AUTOEVENTO="Manual",$M228=1),0,IF(OFFSET(CRONOPLE!$F$14,$M228,AU$13)="",10^12,OFFSET(CRONOPLE!$F$14,$M228,AU$13))))</f>
        <v>1000000000000</v>
      </c>
      <c r="AV228" s="181">
        <f ca="1">IF($D228&lt;&gt;"Serviço",0,IF(AND(AUTOEVENTO="Manual",$M228=1),0,IF(OFFSET(CRONOPLE!$F$14,$M228,AV$13)="",10^12,OFFSET(CRONOPLE!$F$14,$M228,AV$13))))</f>
        <v>1000000000000</v>
      </c>
      <c r="AX228" s="182">
        <f ca="1">IF($D228&lt;&gt;"Serviço",0,IF(OR(AND(AUTOEVENTO="Manual",$M228=1),$M228&gt;(ROW(PLE.lastrow)-ROW(PLE.firstrow))),0,IF(OFFSET(PLE!$G$14,$M228,AX$13)="",10^12,OFFSET(PLE!$G$14,$M228,AX$13))))</f>
        <v>1000000000000</v>
      </c>
      <c r="AY228" s="182">
        <f ca="1">IF($D228&lt;&gt;"Serviço",0,IF(OR(AND(AUTOEVENTO="Manual",$M228=1),$M228&gt;(ROW(PLE.lastrow)-ROW(PLE.firstrow))),0,IF(OFFSET(PLE!$G$14,$M228,AY$13)="",10^12,OFFSET(PLE!$G$14,$M228,AY$13))))</f>
        <v>1000000000000</v>
      </c>
      <c r="AZ228" s="182">
        <f ca="1">IF($D228&lt;&gt;"Serviço",0,IF(OR(AND(AUTOEVENTO="Manual",$M228=1),$M228&gt;(ROW(PLE.lastrow)-ROW(PLE.firstrow))),0,IF(OFFSET(PLE!$G$14,$M228,AZ$13)="",10^12,OFFSET(PLE!$G$14,$M228,AZ$13))))</f>
        <v>1000000000000</v>
      </c>
      <c r="BA228" s="182">
        <f ca="1">IF($D228&lt;&gt;"Serviço",0,IF(OR(AND(AUTOEVENTO="Manual",$M228=1),$M228&gt;(ROW(PLE.lastrow)-ROW(PLE.firstrow))),0,IF(OFFSET(PLE!$G$14,$M228,BA$13)="",10^12,OFFSET(PLE!$G$14,$M228,BA$13))))</f>
        <v>1000000000000</v>
      </c>
      <c r="BB228" s="182">
        <f ca="1">IF($D228&lt;&gt;"Serviço",0,IF(OR(AND(AUTOEVENTO="Manual",$M228=1),$M228&gt;(ROW(PLE.lastrow)-ROW(PLE.firstrow))),0,IF(OFFSET(PLE!$G$14,$M228,BB$13)="",10^12,OFFSET(PLE!$G$14,$M228,BB$13))))</f>
        <v>1000000000000</v>
      </c>
      <c r="BC228" s="182">
        <f ca="1">IF($D228&lt;&gt;"Serviço",0,IF(OR(AND(AUTOEVENTO="Manual",$M228=1),$M228&gt;(ROW(PLE.lastrow)-ROW(PLE.firstrow))),0,IF(OFFSET(PLE!$G$14,$M228,BC$13)="",10^12,OFFSET(PLE!$G$14,$M228,BC$13))))</f>
        <v>1000000000000</v>
      </c>
      <c r="BD228" s="182">
        <f ca="1">IF($D228&lt;&gt;"Serviço",0,IF(OR(AND(AUTOEVENTO="Manual",$M228=1),$M228&gt;(ROW(PLE.lastrow)-ROW(PLE.firstrow))),0,IF(OFFSET(PLE!$G$14,$M228,BD$13)="",10^12,OFFSET(PLE!$G$14,$M228,BD$13))))</f>
        <v>1000000000000</v>
      </c>
      <c r="BE228" s="182">
        <f ca="1">IF($D228&lt;&gt;"Serviço",0,IF(OR(AND(AUTOEVENTO="Manual",$M228=1),$M228&gt;(ROW(PLE.lastrow)-ROW(PLE.firstrow))),0,IF(OFFSET(PLE!$G$14,$M228,BE$13)="",10^12,OFFSET(PLE!$G$14,$M228,BE$13))))</f>
        <v>1000000000000</v>
      </c>
      <c r="BF228" s="182">
        <f ca="1">IF($D228&lt;&gt;"Serviço",0,IF(OR(AND(AUTOEVENTO="Manual",$M228=1),$M228&gt;(ROW(PLE.lastrow)-ROW(PLE.firstrow))),0,IF(OFFSET(PLE!$G$14,$M228,BF$13)="",10^12,OFFSET(PLE!$G$14,$M228,BF$13))))</f>
        <v>1000000000000</v>
      </c>
      <c r="BG228" s="182">
        <f ca="1">IF($D228&lt;&gt;"Serviço",0,IF(OR(AND(AUTOEVENTO="Manual",$M228=1),$M228&gt;(ROW(PLE.lastrow)-ROW(PLE.firstrow))),0,IF(OFFSET(PLE!$G$14,$M228,BG$13)="",10^12,OFFSET(PLE!$G$14,$M228,BG$13))))</f>
        <v>1000000000000</v>
      </c>
    </row>
    <row r="229" spans="1:59" ht="51" x14ac:dyDescent="0.2">
      <c r="A229" s="7" t="str">
        <f t="shared" ref="A229:A289" ca="1" si="11">IF(AUTOEVENTO="Manual",IF(K229&lt;&gt;"",MIN(VALUE(LEFT(K229,FIND(".",K229)-1)),COUNTA(EVENTOS.Lista)),0),IF(OR($B229&gt;AUTOEVENTO,$B229="S",$B229=0),SUBSTITUTE(OFFSET($A229,-1,0),IF($D229="Serviço",".",""),""),ROW(A229)-ROW($A$15)&amp;"."))</f>
        <v>210</v>
      </c>
      <c r="B229" s="7" t="str">
        <f ca="1">OFFSET(ORÇAMENTO!C$15,ROW(B229)-ROW(B$15),0)</f>
        <v>S</v>
      </c>
      <c r="C229" s="7" t="str">
        <f ca="1">OFFSET(ORÇAMENTO!L$15,ROW(C229)-ROW(C$15),0)</f>
        <v>F</v>
      </c>
      <c r="D229" s="118" t="str">
        <f ca="1">OFFSET(ORÇAMENTO!N$15,ROW(D229)-ROW(D$15),0)</f>
        <v>Serviço</v>
      </c>
      <c r="E229" s="119" t="str">
        <f ca="1">OFFSET(ORÇAMENTO!O$15,ROW(E229)-ROW(E$15),0)</f>
        <v>1.10.0.4.</v>
      </c>
      <c r="F229" s="172" t="str">
        <f ca="1">OFFSET(ORÇAMENTO!R$15,ROW(F229)-ROW(F$15),0)</f>
        <v>(abra o arquivo 'Referência 03-2024.xlsm)</v>
      </c>
      <c r="G229" s="173" t="str">
        <f ca="1">IF($D229&lt;&gt;"Serviço","",OFFSET(ORÇAMENTO!S$15,ROW(G229)-ROW(G$15),0))</f>
        <v>-</v>
      </c>
      <c r="H229" s="124">
        <f ca="1">IF($D229&lt;&gt;"Serviço",0,IF(ACOMPANHAMENTO="BM",ROUND(OFFSET(ORÇAMENTO!AJ$15,ROW(H229)-ROW(H$15),0),15-13*ORÇAMENTO!$AF$7),SUMPRODUCT(($Q$12:$AA$12&lt;&gt;"")*ROUND($Q229:$AA229,15-13*ORÇAMENTO!$AF$7))))</f>
        <v>1.92</v>
      </c>
      <c r="I229" s="561"/>
      <c r="K229" s="174"/>
      <c r="L229" s="175" t="s">
        <v>255</v>
      </c>
      <c r="M229" s="176">
        <f ca="1">IF($D229&lt;&gt;"Serviço","",IF(AUTOEVENTO="manual",$A229,IF(ISERROR(MATCH($A229,$A$15:OFFSET($A229,-1,0),0)),MAX($M$15:OFFSET(M229,-1,0))+1,INDEX($M$15:OFFSET(M229,-1,0),MATCH($A229,$A$15:OFFSET($A229,-1,0),0)))))</f>
        <v>11</v>
      </c>
      <c r="N229" s="177" t="str">
        <f ca="1">IF($D229&lt;&gt;"Serviço","",IF(AUTOEVENTO="Manual",IF($A229=0,"&lt;-- defina o número do agrupador",OFFSET(EVENTOS!$D$14,$A229,0)),OFFSET($F$15,$A229,0)))</f>
        <v>PLAYGROUND</v>
      </c>
      <c r="O229" s="178"/>
      <c r="Q229" s="178"/>
      <c r="R229" s="179"/>
      <c r="S229" s="179"/>
      <c r="T229" s="179"/>
      <c r="U229" s="179"/>
      <c r="V229" s="179"/>
      <c r="W229" s="179"/>
      <c r="X229" s="179"/>
      <c r="Y229" s="179"/>
      <c r="Z229" s="180"/>
      <c r="AB229" s="544">
        <f ca="1">IF(AND($D229="Serviço",AB$12&lt;&gt;0,$H229&gt;0,OR(AUTOEVENTO&lt;&gt;"manual",$M229&lt;&gt;1)),
IF(Import.TipoArredondamento&lt;&gt;"TransfereGOV",
ROUND(OFFSET($P229,0,AB$13),15-13*ORÇAMENTO!$AF$7)/$H229*OFFSET(ORÇAMENTO!$X$15,ROW(AB229)-ROW(AB$15),0),
ROUND(ROUND(OFFSET($P229,0,AB$13),15-13*ORÇAMENTO!$AF$7)*OFFSET(ORÇAMENTO!$W$15,ROW(AB229)-ROW(AB$15),0),15-13*ORÇAMENTO!$AF$11)),0)</f>
        <v>0</v>
      </c>
      <c r="AC229" s="545">
        <f ca="1">IF(AND($D229="Serviço",AC$12&lt;&gt;0,$H229&gt;0,OR(AUTOEVENTO&lt;&gt;"manual",$M229&lt;&gt;1)),
IF(Import.TipoArredondamento&lt;&gt;"TransfereGOV",
ROUND(OFFSET($P229,0,AC$13),15-13*ORÇAMENTO!$AF$7)/$H229*OFFSET(ORÇAMENTO!$X$15,ROW(AC229)-ROW(AC$15),0),
ROUND(ROUND(OFFSET($P229,0,AC$13),15-13*ORÇAMENTO!$AF$7)*OFFSET(ORÇAMENTO!$W$15,ROW(AC229)-ROW(AC$15),0),15-13*ORÇAMENTO!$AF$11)),0)</f>
        <v>0</v>
      </c>
      <c r="AD229" s="545">
        <f ca="1">IF(AND($D229="Serviço",AD$12&lt;&gt;0,$H229&gt;0,OR(AUTOEVENTO&lt;&gt;"manual",$M229&lt;&gt;1)),
IF(Import.TipoArredondamento&lt;&gt;"TransfereGOV",
ROUND(OFFSET($P229,0,AD$13),15-13*ORÇAMENTO!$AF$7)/$H229*OFFSET(ORÇAMENTO!$X$15,ROW(AD229)-ROW(AD$15),0),
ROUND(ROUND(OFFSET($P229,0,AD$13),15-13*ORÇAMENTO!$AF$7)*OFFSET(ORÇAMENTO!$W$15,ROW(AD229)-ROW(AD$15),0),15-13*ORÇAMENTO!$AF$11)),0)</f>
        <v>0</v>
      </c>
      <c r="AE229" s="545">
        <f ca="1">IF(AND($D229="Serviço",AE$12&lt;&gt;0,$H229&gt;0,OR(AUTOEVENTO&lt;&gt;"manual",$M229&lt;&gt;1)),
IF(Import.TipoArredondamento&lt;&gt;"TransfereGOV",
ROUND(OFFSET($P229,0,AE$13),15-13*ORÇAMENTO!$AF$7)/$H229*OFFSET(ORÇAMENTO!$X$15,ROW(AE229)-ROW(AE$15),0),
ROUND(ROUND(OFFSET($P229,0,AE$13),15-13*ORÇAMENTO!$AF$7)*OFFSET(ORÇAMENTO!$W$15,ROW(AE229)-ROW(AE$15),0),15-13*ORÇAMENTO!$AF$11)),0)</f>
        <v>0</v>
      </c>
      <c r="AF229" s="545">
        <f ca="1">IF(AND($D229="Serviço",AF$12&lt;&gt;0,$H229&gt;0,OR(AUTOEVENTO&lt;&gt;"manual",$M229&lt;&gt;1)),
IF(Import.TipoArredondamento&lt;&gt;"TransfereGOV",
ROUND(OFFSET($P229,0,AF$13),15-13*ORÇAMENTO!$AF$7)/$H229*OFFSET(ORÇAMENTO!$X$15,ROW(AF229)-ROW(AF$15),0),
ROUND(ROUND(OFFSET($P229,0,AF$13),15-13*ORÇAMENTO!$AF$7)*OFFSET(ORÇAMENTO!$W$15,ROW(AF229)-ROW(AF$15),0),15-13*ORÇAMENTO!$AF$11)),0)</f>
        <v>0</v>
      </c>
      <c r="AG229" s="545">
        <f ca="1">IF(AND($D229="Serviço",AG$12&lt;&gt;0,$H229&gt;0,OR(AUTOEVENTO&lt;&gt;"manual",$M229&lt;&gt;1)),
IF(Import.TipoArredondamento&lt;&gt;"TransfereGOV",
ROUND(OFFSET($P229,0,AG$13),15-13*ORÇAMENTO!$AF$7)/$H229*OFFSET(ORÇAMENTO!$X$15,ROW(AG229)-ROW(AG$15),0),
ROUND(ROUND(OFFSET($P229,0,AG$13),15-13*ORÇAMENTO!$AF$7)*OFFSET(ORÇAMENTO!$W$15,ROW(AG229)-ROW(AG$15),0),15-13*ORÇAMENTO!$AF$11)),0)</f>
        <v>0</v>
      </c>
      <c r="AH229" s="545">
        <f ca="1">IF(AND($D229="Serviço",AH$12&lt;&gt;0,$H229&gt;0,OR(AUTOEVENTO&lt;&gt;"manual",$M229&lt;&gt;1)),
IF(Import.TipoArredondamento&lt;&gt;"TransfereGOV",
ROUND(OFFSET($P229,0,AH$13),15-13*ORÇAMENTO!$AF$7)/$H229*OFFSET(ORÇAMENTO!$X$15,ROW(AH229)-ROW(AH$15),0),
ROUND(ROUND(OFFSET($P229,0,AH$13),15-13*ORÇAMENTO!$AF$7)*OFFSET(ORÇAMENTO!$W$15,ROW(AH229)-ROW(AH$15),0),15-13*ORÇAMENTO!$AF$11)),0)</f>
        <v>0</v>
      </c>
      <c r="AI229" s="545">
        <f ca="1">IF(AND($D229="Serviço",AI$12&lt;&gt;0,$H229&gt;0,OR(AUTOEVENTO&lt;&gt;"manual",$M229&lt;&gt;1)),
IF(Import.TipoArredondamento&lt;&gt;"TransfereGOV",
ROUND(OFFSET($P229,0,AI$13),15-13*ORÇAMENTO!$AF$7)/$H229*OFFSET(ORÇAMENTO!$X$15,ROW(AI229)-ROW(AI$15),0),
ROUND(ROUND(OFFSET($P229,0,AI$13),15-13*ORÇAMENTO!$AF$7)*OFFSET(ORÇAMENTO!$W$15,ROW(AI229)-ROW(AI$15),0),15-13*ORÇAMENTO!$AF$11)),0)</f>
        <v>0</v>
      </c>
      <c r="AJ229" s="545">
        <f ca="1">IF(AND($D229="Serviço",AJ$12&lt;&gt;0,$H229&gt;0,OR(AUTOEVENTO&lt;&gt;"manual",$M229&lt;&gt;1)),
IF(Import.TipoArredondamento&lt;&gt;"TransfereGOV",
ROUND(OFFSET($P229,0,AJ$13),15-13*ORÇAMENTO!$AF$7)/$H229*OFFSET(ORÇAMENTO!$X$15,ROW(AJ229)-ROW(AJ$15),0),
ROUND(ROUND(OFFSET($P229,0,AJ$13),15-13*ORÇAMENTO!$AF$7)*OFFSET(ORÇAMENTO!$W$15,ROW(AJ229)-ROW(AJ$15),0),15-13*ORÇAMENTO!$AF$11)),0)</f>
        <v>0</v>
      </c>
      <c r="AK229" s="546">
        <f ca="1">IF(AND($D229="Serviço",AK$12&lt;&gt;0,$H229&gt;0,OR(AUTOEVENTO&lt;&gt;"manual",$M229&lt;&gt;1)),
IF(Import.TipoArredondamento&lt;&gt;"TransfereGOV",
ROUND(OFFSET($P229,0,AK$13),15-13*ORÇAMENTO!$AF$7)/$H229*OFFSET(ORÇAMENTO!$X$15,ROW(AK229)-ROW(AK$15),0),
ROUND(ROUND(OFFSET($P229,0,AK$13),15-13*ORÇAMENTO!$AF$7)*OFFSET(ORÇAMENTO!$W$15,ROW(AK229)-ROW(AK$15),0),15-13*ORÇAMENTO!$AF$11)),0)</f>
        <v>0</v>
      </c>
      <c r="AM229" s="181">
        <f ca="1">IF($D229&lt;&gt;"Serviço",0,IF(AND(AUTOEVENTO="Manual",$M229=1),0,IF(OFFSET(CRONOPLE!$F$14,$M229,AM$13)="",10^12,OFFSET(CRONOPLE!$F$14,$M229,AM$13))))</f>
        <v>1000000000000</v>
      </c>
      <c r="AN229" s="181">
        <f ca="1">IF($D229&lt;&gt;"Serviço",0,IF(AND(AUTOEVENTO="Manual",$M229=1),0,IF(OFFSET(CRONOPLE!$F$14,$M229,AN$13)="",10^12,OFFSET(CRONOPLE!$F$14,$M229,AN$13))))</f>
        <v>1000000000000</v>
      </c>
      <c r="AO229" s="181">
        <f ca="1">IF($D229&lt;&gt;"Serviço",0,IF(AND(AUTOEVENTO="Manual",$M229=1),0,IF(OFFSET(CRONOPLE!$F$14,$M229,AO$13)="",10^12,OFFSET(CRONOPLE!$F$14,$M229,AO$13))))</f>
        <v>1000000000000</v>
      </c>
      <c r="AP229" s="181">
        <f ca="1">IF($D229&lt;&gt;"Serviço",0,IF(AND(AUTOEVENTO="Manual",$M229=1),0,IF(OFFSET(CRONOPLE!$F$14,$M229,AP$13)="",10^12,OFFSET(CRONOPLE!$F$14,$M229,AP$13))))</f>
        <v>1000000000000</v>
      </c>
      <c r="AQ229" s="181">
        <f ca="1">IF($D229&lt;&gt;"Serviço",0,IF(AND(AUTOEVENTO="Manual",$M229=1),0,IF(OFFSET(CRONOPLE!$F$14,$M229,AQ$13)="",10^12,OFFSET(CRONOPLE!$F$14,$M229,AQ$13))))</f>
        <v>1000000000000</v>
      </c>
      <c r="AR229" s="181">
        <f ca="1">IF($D229&lt;&gt;"Serviço",0,IF(AND(AUTOEVENTO="Manual",$M229=1),0,IF(OFFSET(CRONOPLE!$F$14,$M229,AR$13)="",10^12,OFFSET(CRONOPLE!$F$14,$M229,AR$13))))</f>
        <v>1000000000000</v>
      </c>
      <c r="AS229" s="181">
        <f ca="1">IF($D229&lt;&gt;"Serviço",0,IF(AND(AUTOEVENTO="Manual",$M229=1),0,IF(OFFSET(CRONOPLE!$F$14,$M229,AS$13)="",10^12,OFFSET(CRONOPLE!$F$14,$M229,AS$13))))</f>
        <v>1000000000000</v>
      </c>
      <c r="AT229" s="181">
        <f ca="1">IF($D229&lt;&gt;"Serviço",0,IF(AND(AUTOEVENTO="Manual",$M229=1),0,IF(OFFSET(CRONOPLE!$F$14,$M229,AT$13)="",10^12,OFFSET(CRONOPLE!$F$14,$M229,AT$13))))</f>
        <v>1000000000000</v>
      </c>
      <c r="AU229" s="181">
        <f ca="1">IF($D229&lt;&gt;"Serviço",0,IF(AND(AUTOEVENTO="Manual",$M229=1),0,IF(OFFSET(CRONOPLE!$F$14,$M229,AU$13)="",10^12,OFFSET(CRONOPLE!$F$14,$M229,AU$13))))</f>
        <v>1000000000000</v>
      </c>
      <c r="AV229" s="181">
        <f ca="1">IF($D229&lt;&gt;"Serviço",0,IF(AND(AUTOEVENTO="Manual",$M229=1),0,IF(OFFSET(CRONOPLE!$F$14,$M229,AV$13)="",10^12,OFFSET(CRONOPLE!$F$14,$M229,AV$13))))</f>
        <v>1000000000000</v>
      </c>
      <c r="AX229" s="182">
        <f ca="1">IF($D229&lt;&gt;"Serviço",0,IF(OR(AND(AUTOEVENTO="Manual",$M229=1),$M229&gt;(ROW(PLE.lastrow)-ROW(PLE.firstrow))),0,IF(OFFSET(PLE!$G$14,$M229,AX$13)="",10^12,OFFSET(PLE!$G$14,$M229,AX$13))))</f>
        <v>1000000000000</v>
      </c>
      <c r="AY229" s="182">
        <f ca="1">IF($D229&lt;&gt;"Serviço",0,IF(OR(AND(AUTOEVENTO="Manual",$M229=1),$M229&gt;(ROW(PLE.lastrow)-ROW(PLE.firstrow))),0,IF(OFFSET(PLE!$G$14,$M229,AY$13)="",10^12,OFFSET(PLE!$G$14,$M229,AY$13))))</f>
        <v>1000000000000</v>
      </c>
      <c r="AZ229" s="182">
        <f ca="1">IF($D229&lt;&gt;"Serviço",0,IF(OR(AND(AUTOEVENTO="Manual",$M229=1),$M229&gt;(ROW(PLE.lastrow)-ROW(PLE.firstrow))),0,IF(OFFSET(PLE!$G$14,$M229,AZ$13)="",10^12,OFFSET(PLE!$G$14,$M229,AZ$13))))</f>
        <v>1000000000000</v>
      </c>
      <c r="BA229" s="182">
        <f ca="1">IF($D229&lt;&gt;"Serviço",0,IF(OR(AND(AUTOEVENTO="Manual",$M229=1),$M229&gt;(ROW(PLE.lastrow)-ROW(PLE.firstrow))),0,IF(OFFSET(PLE!$G$14,$M229,BA$13)="",10^12,OFFSET(PLE!$G$14,$M229,BA$13))))</f>
        <v>1000000000000</v>
      </c>
      <c r="BB229" s="182">
        <f ca="1">IF($D229&lt;&gt;"Serviço",0,IF(OR(AND(AUTOEVENTO="Manual",$M229=1),$M229&gt;(ROW(PLE.lastrow)-ROW(PLE.firstrow))),0,IF(OFFSET(PLE!$G$14,$M229,BB$13)="",10^12,OFFSET(PLE!$G$14,$M229,BB$13))))</f>
        <v>1000000000000</v>
      </c>
      <c r="BC229" s="182">
        <f ca="1">IF($D229&lt;&gt;"Serviço",0,IF(OR(AND(AUTOEVENTO="Manual",$M229=1),$M229&gt;(ROW(PLE.lastrow)-ROW(PLE.firstrow))),0,IF(OFFSET(PLE!$G$14,$M229,BC$13)="",10^12,OFFSET(PLE!$G$14,$M229,BC$13))))</f>
        <v>1000000000000</v>
      </c>
      <c r="BD229" s="182">
        <f ca="1">IF($D229&lt;&gt;"Serviço",0,IF(OR(AND(AUTOEVENTO="Manual",$M229=1),$M229&gt;(ROW(PLE.lastrow)-ROW(PLE.firstrow))),0,IF(OFFSET(PLE!$G$14,$M229,BD$13)="",10^12,OFFSET(PLE!$G$14,$M229,BD$13))))</f>
        <v>1000000000000</v>
      </c>
      <c r="BE229" s="182">
        <f ca="1">IF($D229&lt;&gt;"Serviço",0,IF(OR(AND(AUTOEVENTO="Manual",$M229=1),$M229&gt;(ROW(PLE.lastrow)-ROW(PLE.firstrow))),0,IF(OFFSET(PLE!$G$14,$M229,BE$13)="",10^12,OFFSET(PLE!$G$14,$M229,BE$13))))</f>
        <v>1000000000000</v>
      </c>
      <c r="BF229" s="182">
        <f ca="1">IF($D229&lt;&gt;"Serviço",0,IF(OR(AND(AUTOEVENTO="Manual",$M229=1),$M229&gt;(ROW(PLE.lastrow)-ROW(PLE.firstrow))),0,IF(OFFSET(PLE!$G$14,$M229,BF$13)="",10^12,OFFSET(PLE!$G$14,$M229,BF$13))))</f>
        <v>1000000000000</v>
      </c>
      <c r="BG229" s="182">
        <f ca="1">IF($D229&lt;&gt;"Serviço",0,IF(OR(AND(AUTOEVENTO="Manual",$M229=1),$M229&gt;(ROW(PLE.lastrow)-ROW(PLE.firstrow))),0,IF(OFFSET(PLE!$G$14,$M229,BG$13)="",10^12,OFFSET(PLE!$G$14,$M229,BG$13))))</f>
        <v>1000000000000</v>
      </c>
    </row>
    <row r="230" spans="1:59" ht="38.25" x14ac:dyDescent="0.2">
      <c r="A230" s="7" t="str">
        <f t="shared" ca="1" si="11"/>
        <v>210</v>
      </c>
      <c r="B230" s="7" t="str">
        <f ca="1">OFFSET(ORÇAMENTO!C$15,ROW(B230)-ROW(B$15),0)</f>
        <v>S</v>
      </c>
      <c r="C230" s="7" t="str">
        <f ca="1">OFFSET(ORÇAMENTO!L$15,ROW(C230)-ROW(C$15),0)</f>
        <v>F</v>
      </c>
      <c r="D230" s="118" t="str">
        <f ca="1">OFFSET(ORÇAMENTO!N$15,ROW(D230)-ROW(D$15),0)</f>
        <v>Serviço</v>
      </c>
      <c r="E230" s="119" t="str">
        <f ca="1">OFFSET(ORÇAMENTO!O$15,ROW(E230)-ROW(E$15),0)</f>
        <v>1.10.0.5.</v>
      </c>
      <c r="F230" s="172" t="str">
        <f ca="1">OFFSET(ORÇAMENTO!R$15,ROW(F230)-ROW(F$15),0)</f>
        <v>(abra o arquivo 'Referência 03-2024.xlsm)</v>
      </c>
      <c r="G230" s="173" t="str">
        <f ca="1">IF($D230&lt;&gt;"Serviço","",OFFSET(ORÇAMENTO!S$15,ROW(G230)-ROW(G$15),0))</f>
        <v>-</v>
      </c>
      <c r="H230" s="124">
        <f ca="1">IF($D230&lt;&gt;"Serviço",0,IF(ACOMPANHAMENTO="BM",ROUND(OFFSET(ORÇAMENTO!AJ$15,ROW(H230)-ROW(H$15),0),15-13*ORÇAMENTO!$AF$7),SUMPRODUCT(($Q$12:$AA$12&lt;&gt;"")*ROUND($Q230:$AA230,15-13*ORÇAMENTO!$AF$7))))</f>
        <v>32.520000000000003</v>
      </c>
      <c r="I230" s="561"/>
      <c r="K230" s="174"/>
      <c r="L230" s="175" t="s">
        <v>255</v>
      </c>
      <c r="M230" s="176">
        <f ca="1">IF($D230&lt;&gt;"Serviço","",IF(AUTOEVENTO="manual",$A230,IF(ISERROR(MATCH($A230,$A$15:OFFSET($A230,-1,0),0)),MAX($M$15:OFFSET(M230,-1,0))+1,INDEX($M$15:OFFSET(M230,-1,0),MATCH($A230,$A$15:OFFSET($A230,-1,0),0)))))</f>
        <v>11</v>
      </c>
      <c r="N230" s="177" t="str">
        <f ca="1">IF($D230&lt;&gt;"Serviço","",IF(AUTOEVENTO="Manual",IF($A230=0,"&lt;-- defina o número do agrupador",OFFSET(EVENTOS!$D$14,$A230,0)),OFFSET($F$15,$A230,0)))</f>
        <v>PLAYGROUND</v>
      </c>
      <c r="O230" s="178"/>
      <c r="Q230" s="178"/>
      <c r="R230" s="179"/>
      <c r="S230" s="179"/>
      <c r="T230" s="179"/>
      <c r="U230" s="179"/>
      <c r="V230" s="179"/>
      <c r="W230" s="179"/>
      <c r="X230" s="179"/>
      <c r="Y230" s="179"/>
      <c r="Z230" s="180"/>
      <c r="AB230" s="544">
        <f ca="1">IF(AND($D230="Serviço",AB$12&lt;&gt;0,$H230&gt;0,OR(AUTOEVENTO&lt;&gt;"manual",$M230&lt;&gt;1)),
IF(Import.TipoArredondamento&lt;&gt;"TransfereGOV",
ROUND(OFFSET($P230,0,AB$13),15-13*ORÇAMENTO!$AF$7)/$H230*OFFSET(ORÇAMENTO!$X$15,ROW(AB230)-ROW(AB$15),0),
ROUND(ROUND(OFFSET($P230,0,AB$13),15-13*ORÇAMENTO!$AF$7)*OFFSET(ORÇAMENTO!$W$15,ROW(AB230)-ROW(AB$15),0),15-13*ORÇAMENTO!$AF$11)),0)</f>
        <v>0</v>
      </c>
      <c r="AC230" s="545">
        <f ca="1">IF(AND($D230="Serviço",AC$12&lt;&gt;0,$H230&gt;0,OR(AUTOEVENTO&lt;&gt;"manual",$M230&lt;&gt;1)),
IF(Import.TipoArredondamento&lt;&gt;"TransfereGOV",
ROUND(OFFSET($P230,0,AC$13),15-13*ORÇAMENTO!$AF$7)/$H230*OFFSET(ORÇAMENTO!$X$15,ROW(AC230)-ROW(AC$15),0),
ROUND(ROUND(OFFSET($P230,0,AC$13),15-13*ORÇAMENTO!$AF$7)*OFFSET(ORÇAMENTO!$W$15,ROW(AC230)-ROW(AC$15),0),15-13*ORÇAMENTO!$AF$11)),0)</f>
        <v>0</v>
      </c>
      <c r="AD230" s="545">
        <f ca="1">IF(AND($D230="Serviço",AD$12&lt;&gt;0,$H230&gt;0,OR(AUTOEVENTO&lt;&gt;"manual",$M230&lt;&gt;1)),
IF(Import.TipoArredondamento&lt;&gt;"TransfereGOV",
ROUND(OFFSET($P230,0,AD$13),15-13*ORÇAMENTO!$AF$7)/$H230*OFFSET(ORÇAMENTO!$X$15,ROW(AD230)-ROW(AD$15),0),
ROUND(ROUND(OFFSET($P230,0,AD$13),15-13*ORÇAMENTO!$AF$7)*OFFSET(ORÇAMENTO!$W$15,ROW(AD230)-ROW(AD$15),0),15-13*ORÇAMENTO!$AF$11)),0)</f>
        <v>0</v>
      </c>
      <c r="AE230" s="545">
        <f ca="1">IF(AND($D230="Serviço",AE$12&lt;&gt;0,$H230&gt;0,OR(AUTOEVENTO&lt;&gt;"manual",$M230&lt;&gt;1)),
IF(Import.TipoArredondamento&lt;&gt;"TransfereGOV",
ROUND(OFFSET($P230,0,AE$13),15-13*ORÇAMENTO!$AF$7)/$H230*OFFSET(ORÇAMENTO!$X$15,ROW(AE230)-ROW(AE$15),0),
ROUND(ROUND(OFFSET($P230,0,AE$13),15-13*ORÇAMENTO!$AF$7)*OFFSET(ORÇAMENTO!$W$15,ROW(AE230)-ROW(AE$15),0),15-13*ORÇAMENTO!$AF$11)),0)</f>
        <v>0</v>
      </c>
      <c r="AF230" s="545">
        <f ca="1">IF(AND($D230="Serviço",AF$12&lt;&gt;0,$H230&gt;0,OR(AUTOEVENTO&lt;&gt;"manual",$M230&lt;&gt;1)),
IF(Import.TipoArredondamento&lt;&gt;"TransfereGOV",
ROUND(OFFSET($P230,0,AF$13),15-13*ORÇAMENTO!$AF$7)/$H230*OFFSET(ORÇAMENTO!$X$15,ROW(AF230)-ROW(AF$15),0),
ROUND(ROUND(OFFSET($P230,0,AF$13),15-13*ORÇAMENTO!$AF$7)*OFFSET(ORÇAMENTO!$W$15,ROW(AF230)-ROW(AF$15),0),15-13*ORÇAMENTO!$AF$11)),0)</f>
        <v>0</v>
      </c>
      <c r="AG230" s="545">
        <f ca="1">IF(AND($D230="Serviço",AG$12&lt;&gt;0,$H230&gt;0,OR(AUTOEVENTO&lt;&gt;"manual",$M230&lt;&gt;1)),
IF(Import.TipoArredondamento&lt;&gt;"TransfereGOV",
ROUND(OFFSET($P230,0,AG$13),15-13*ORÇAMENTO!$AF$7)/$H230*OFFSET(ORÇAMENTO!$X$15,ROW(AG230)-ROW(AG$15),0),
ROUND(ROUND(OFFSET($P230,0,AG$13),15-13*ORÇAMENTO!$AF$7)*OFFSET(ORÇAMENTO!$W$15,ROW(AG230)-ROW(AG$15),0),15-13*ORÇAMENTO!$AF$11)),0)</f>
        <v>0</v>
      </c>
      <c r="AH230" s="545">
        <f ca="1">IF(AND($D230="Serviço",AH$12&lt;&gt;0,$H230&gt;0,OR(AUTOEVENTO&lt;&gt;"manual",$M230&lt;&gt;1)),
IF(Import.TipoArredondamento&lt;&gt;"TransfereGOV",
ROUND(OFFSET($P230,0,AH$13),15-13*ORÇAMENTO!$AF$7)/$H230*OFFSET(ORÇAMENTO!$X$15,ROW(AH230)-ROW(AH$15),0),
ROUND(ROUND(OFFSET($P230,0,AH$13),15-13*ORÇAMENTO!$AF$7)*OFFSET(ORÇAMENTO!$W$15,ROW(AH230)-ROW(AH$15),0),15-13*ORÇAMENTO!$AF$11)),0)</f>
        <v>0</v>
      </c>
      <c r="AI230" s="545">
        <f ca="1">IF(AND($D230="Serviço",AI$12&lt;&gt;0,$H230&gt;0,OR(AUTOEVENTO&lt;&gt;"manual",$M230&lt;&gt;1)),
IF(Import.TipoArredondamento&lt;&gt;"TransfereGOV",
ROUND(OFFSET($P230,0,AI$13),15-13*ORÇAMENTO!$AF$7)/$H230*OFFSET(ORÇAMENTO!$X$15,ROW(AI230)-ROW(AI$15),0),
ROUND(ROUND(OFFSET($P230,0,AI$13),15-13*ORÇAMENTO!$AF$7)*OFFSET(ORÇAMENTO!$W$15,ROW(AI230)-ROW(AI$15),0),15-13*ORÇAMENTO!$AF$11)),0)</f>
        <v>0</v>
      </c>
      <c r="AJ230" s="545">
        <f ca="1">IF(AND($D230="Serviço",AJ$12&lt;&gt;0,$H230&gt;0,OR(AUTOEVENTO&lt;&gt;"manual",$M230&lt;&gt;1)),
IF(Import.TipoArredondamento&lt;&gt;"TransfereGOV",
ROUND(OFFSET($P230,0,AJ$13),15-13*ORÇAMENTO!$AF$7)/$H230*OFFSET(ORÇAMENTO!$X$15,ROW(AJ230)-ROW(AJ$15),0),
ROUND(ROUND(OFFSET($P230,0,AJ$13),15-13*ORÇAMENTO!$AF$7)*OFFSET(ORÇAMENTO!$W$15,ROW(AJ230)-ROW(AJ$15),0),15-13*ORÇAMENTO!$AF$11)),0)</f>
        <v>0</v>
      </c>
      <c r="AK230" s="546">
        <f ca="1">IF(AND($D230="Serviço",AK$12&lt;&gt;0,$H230&gt;0,OR(AUTOEVENTO&lt;&gt;"manual",$M230&lt;&gt;1)),
IF(Import.TipoArredondamento&lt;&gt;"TransfereGOV",
ROUND(OFFSET($P230,0,AK$13),15-13*ORÇAMENTO!$AF$7)/$H230*OFFSET(ORÇAMENTO!$X$15,ROW(AK230)-ROW(AK$15),0),
ROUND(ROUND(OFFSET($P230,0,AK$13),15-13*ORÇAMENTO!$AF$7)*OFFSET(ORÇAMENTO!$W$15,ROW(AK230)-ROW(AK$15),0),15-13*ORÇAMENTO!$AF$11)),0)</f>
        <v>0</v>
      </c>
      <c r="AM230" s="181">
        <f ca="1">IF($D230&lt;&gt;"Serviço",0,IF(AND(AUTOEVENTO="Manual",$M230=1),0,IF(OFFSET(CRONOPLE!$F$14,$M230,AM$13)="",10^12,OFFSET(CRONOPLE!$F$14,$M230,AM$13))))</f>
        <v>1000000000000</v>
      </c>
      <c r="AN230" s="181">
        <f ca="1">IF($D230&lt;&gt;"Serviço",0,IF(AND(AUTOEVENTO="Manual",$M230=1),0,IF(OFFSET(CRONOPLE!$F$14,$M230,AN$13)="",10^12,OFFSET(CRONOPLE!$F$14,$M230,AN$13))))</f>
        <v>1000000000000</v>
      </c>
      <c r="AO230" s="181">
        <f ca="1">IF($D230&lt;&gt;"Serviço",0,IF(AND(AUTOEVENTO="Manual",$M230=1),0,IF(OFFSET(CRONOPLE!$F$14,$M230,AO$13)="",10^12,OFFSET(CRONOPLE!$F$14,$M230,AO$13))))</f>
        <v>1000000000000</v>
      </c>
      <c r="AP230" s="181">
        <f ca="1">IF($D230&lt;&gt;"Serviço",0,IF(AND(AUTOEVENTO="Manual",$M230=1),0,IF(OFFSET(CRONOPLE!$F$14,$M230,AP$13)="",10^12,OFFSET(CRONOPLE!$F$14,$M230,AP$13))))</f>
        <v>1000000000000</v>
      </c>
      <c r="AQ230" s="181">
        <f ca="1">IF($D230&lt;&gt;"Serviço",0,IF(AND(AUTOEVENTO="Manual",$M230=1),0,IF(OFFSET(CRONOPLE!$F$14,$M230,AQ$13)="",10^12,OFFSET(CRONOPLE!$F$14,$M230,AQ$13))))</f>
        <v>1000000000000</v>
      </c>
      <c r="AR230" s="181">
        <f ca="1">IF($D230&lt;&gt;"Serviço",0,IF(AND(AUTOEVENTO="Manual",$M230=1),0,IF(OFFSET(CRONOPLE!$F$14,$M230,AR$13)="",10^12,OFFSET(CRONOPLE!$F$14,$M230,AR$13))))</f>
        <v>1000000000000</v>
      </c>
      <c r="AS230" s="181">
        <f ca="1">IF($D230&lt;&gt;"Serviço",0,IF(AND(AUTOEVENTO="Manual",$M230=1),0,IF(OFFSET(CRONOPLE!$F$14,$M230,AS$13)="",10^12,OFFSET(CRONOPLE!$F$14,$M230,AS$13))))</f>
        <v>1000000000000</v>
      </c>
      <c r="AT230" s="181">
        <f ca="1">IF($D230&lt;&gt;"Serviço",0,IF(AND(AUTOEVENTO="Manual",$M230=1),0,IF(OFFSET(CRONOPLE!$F$14,$M230,AT$13)="",10^12,OFFSET(CRONOPLE!$F$14,$M230,AT$13))))</f>
        <v>1000000000000</v>
      </c>
      <c r="AU230" s="181">
        <f ca="1">IF($D230&lt;&gt;"Serviço",0,IF(AND(AUTOEVENTO="Manual",$M230=1),0,IF(OFFSET(CRONOPLE!$F$14,$M230,AU$13)="",10^12,OFFSET(CRONOPLE!$F$14,$M230,AU$13))))</f>
        <v>1000000000000</v>
      </c>
      <c r="AV230" s="181">
        <f ca="1">IF($D230&lt;&gt;"Serviço",0,IF(AND(AUTOEVENTO="Manual",$M230=1),0,IF(OFFSET(CRONOPLE!$F$14,$M230,AV$13)="",10^12,OFFSET(CRONOPLE!$F$14,$M230,AV$13))))</f>
        <v>1000000000000</v>
      </c>
      <c r="AX230" s="182">
        <f ca="1">IF($D230&lt;&gt;"Serviço",0,IF(OR(AND(AUTOEVENTO="Manual",$M230=1),$M230&gt;(ROW(PLE.lastrow)-ROW(PLE.firstrow))),0,IF(OFFSET(PLE!$G$14,$M230,AX$13)="",10^12,OFFSET(PLE!$G$14,$M230,AX$13))))</f>
        <v>1000000000000</v>
      </c>
      <c r="AY230" s="182">
        <f ca="1">IF($D230&lt;&gt;"Serviço",0,IF(OR(AND(AUTOEVENTO="Manual",$M230=1),$M230&gt;(ROW(PLE.lastrow)-ROW(PLE.firstrow))),0,IF(OFFSET(PLE!$G$14,$M230,AY$13)="",10^12,OFFSET(PLE!$G$14,$M230,AY$13))))</f>
        <v>1000000000000</v>
      </c>
      <c r="AZ230" s="182">
        <f ca="1">IF($D230&lt;&gt;"Serviço",0,IF(OR(AND(AUTOEVENTO="Manual",$M230=1),$M230&gt;(ROW(PLE.lastrow)-ROW(PLE.firstrow))),0,IF(OFFSET(PLE!$G$14,$M230,AZ$13)="",10^12,OFFSET(PLE!$G$14,$M230,AZ$13))))</f>
        <v>1000000000000</v>
      </c>
      <c r="BA230" s="182">
        <f ca="1">IF($D230&lt;&gt;"Serviço",0,IF(OR(AND(AUTOEVENTO="Manual",$M230=1),$M230&gt;(ROW(PLE.lastrow)-ROW(PLE.firstrow))),0,IF(OFFSET(PLE!$G$14,$M230,BA$13)="",10^12,OFFSET(PLE!$G$14,$M230,BA$13))))</f>
        <v>1000000000000</v>
      </c>
      <c r="BB230" s="182">
        <f ca="1">IF($D230&lt;&gt;"Serviço",0,IF(OR(AND(AUTOEVENTO="Manual",$M230=1),$M230&gt;(ROW(PLE.lastrow)-ROW(PLE.firstrow))),0,IF(OFFSET(PLE!$G$14,$M230,BB$13)="",10^12,OFFSET(PLE!$G$14,$M230,BB$13))))</f>
        <v>1000000000000</v>
      </c>
      <c r="BC230" s="182">
        <f ca="1">IF($D230&lt;&gt;"Serviço",0,IF(OR(AND(AUTOEVENTO="Manual",$M230=1),$M230&gt;(ROW(PLE.lastrow)-ROW(PLE.firstrow))),0,IF(OFFSET(PLE!$G$14,$M230,BC$13)="",10^12,OFFSET(PLE!$G$14,$M230,BC$13))))</f>
        <v>1000000000000</v>
      </c>
      <c r="BD230" s="182">
        <f ca="1">IF($D230&lt;&gt;"Serviço",0,IF(OR(AND(AUTOEVENTO="Manual",$M230=1),$M230&gt;(ROW(PLE.lastrow)-ROW(PLE.firstrow))),0,IF(OFFSET(PLE!$G$14,$M230,BD$13)="",10^12,OFFSET(PLE!$G$14,$M230,BD$13))))</f>
        <v>1000000000000</v>
      </c>
      <c r="BE230" s="182">
        <f ca="1">IF($D230&lt;&gt;"Serviço",0,IF(OR(AND(AUTOEVENTO="Manual",$M230=1),$M230&gt;(ROW(PLE.lastrow)-ROW(PLE.firstrow))),0,IF(OFFSET(PLE!$G$14,$M230,BE$13)="",10^12,OFFSET(PLE!$G$14,$M230,BE$13))))</f>
        <v>1000000000000</v>
      </c>
      <c r="BF230" s="182">
        <f ca="1">IF($D230&lt;&gt;"Serviço",0,IF(OR(AND(AUTOEVENTO="Manual",$M230=1),$M230&gt;(ROW(PLE.lastrow)-ROW(PLE.firstrow))),0,IF(OFFSET(PLE!$G$14,$M230,BF$13)="",10^12,OFFSET(PLE!$G$14,$M230,BF$13))))</f>
        <v>1000000000000</v>
      </c>
      <c r="BG230" s="182">
        <f ca="1">IF($D230&lt;&gt;"Serviço",0,IF(OR(AND(AUTOEVENTO="Manual",$M230=1),$M230&gt;(ROW(PLE.lastrow)-ROW(PLE.firstrow))),0,IF(OFFSET(PLE!$G$14,$M230,BG$13)="",10^12,OFFSET(PLE!$G$14,$M230,BG$13))))</f>
        <v>1000000000000</v>
      </c>
    </row>
    <row r="231" spans="1:59" ht="38.25" x14ac:dyDescent="0.2">
      <c r="A231" s="7" t="str">
        <f t="shared" ca="1" si="11"/>
        <v>210</v>
      </c>
      <c r="B231" s="7" t="str">
        <f ca="1">OFFSET(ORÇAMENTO!C$15,ROW(B231)-ROW(B$15),0)</f>
        <v>S</v>
      </c>
      <c r="C231" s="7" t="str">
        <f ca="1">OFFSET(ORÇAMENTO!L$15,ROW(C231)-ROW(C$15),0)</f>
        <v>F</v>
      </c>
      <c r="D231" s="118" t="str">
        <f ca="1">OFFSET(ORÇAMENTO!N$15,ROW(D231)-ROW(D$15),0)</f>
        <v>Serviço</v>
      </c>
      <c r="E231" s="119" t="str">
        <f ca="1">OFFSET(ORÇAMENTO!O$15,ROW(E231)-ROW(E$15),0)</f>
        <v>1.10.0.6.</v>
      </c>
      <c r="F231" s="172" t="str">
        <f ca="1">OFFSET(ORÇAMENTO!R$15,ROW(F231)-ROW(F$15),0)</f>
        <v>(abra o arquivo 'Referência 03-2024.xlsm)</v>
      </c>
      <c r="G231" s="173" t="str">
        <f ca="1">IF($D231&lt;&gt;"Serviço","",OFFSET(ORÇAMENTO!S$15,ROW(G231)-ROW(G$15),0))</f>
        <v>-</v>
      </c>
      <c r="H231" s="124">
        <f ca="1">IF($D231&lt;&gt;"Serviço",0,IF(ACOMPANHAMENTO="BM",ROUND(OFFSET(ORÇAMENTO!AJ$15,ROW(H231)-ROW(H$15),0),15-13*ORÇAMENTO!$AF$7),SUMPRODUCT(($Q$12:$AA$12&lt;&gt;"")*ROUND($Q231:$AA231,15-13*ORÇAMENTO!$AF$7))))</f>
        <v>75.84</v>
      </c>
      <c r="I231" s="561"/>
      <c r="K231" s="174"/>
      <c r="L231" s="175" t="s">
        <v>255</v>
      </c>
      <c r="M231" s="176">
        <f ca="1">IF($D231&lt;&gt;"Serviço","",IF(AUTOEVENTO="manual",$A231,IF(ISERROR(MATCH($A231,$A$15:OFFSET($A231,-1,0),0)),MAX($M$15:OFFSET(M231,-1,0))+1,INDEX($M$15:OFFSET(M231,-1,0),MATCH($A231,$A$15:OFFSET($A231,-1,0),0)))))</f>
        <v>11</v>
      </c>
      <c r="N231" s="177" t="str">
        <f ca="1">IF($D231&lt;&gt;"Serviço","",IF(AUTOEVENTO="Manual",IF($A231=0,"&lt;-- defina o número do agrupador",OFFSET(EVENTOS!$D$14,$A231,0)),OFFSET($F$15,$A231,0)))</f>
        <v>PLAYGROUND</v>
      </c>
      <c r="O231" s="178"/>
      <c r="Q231" s="178"/>
      <c r="R231" s="179"/>
      <c r="S231" s="179"/>
      <c r="T231" s="179"/>
      <c r="U231" s="179"/>
      <c r="V231" s="179"/>
      <c r="W231" s="179"/>
      <c r="X231" s="179"/>
      <c r="Y231" s="179"/>
      <c r="Z231" s="180"/>
      <c r="AB231" s="544">
        <f ca="1">IF(AND($D231="Serviço",AB$12&lt;&gt;0,$H231&gt;0,OR(AUTOEVENTO&lt;&gt;"manual",$M231&lt;&gt;1)),
IF(Import.TipoArredondamento&lt;&gt;"TransfereGOV",
ROUND(OFFSET($P231,0,AB$13),15-13*ORÇAMENTO!$AF$7)/$H231*OFFSET(ORÇAMENTO!$X$15,ROW(AB231)-ROW(AB$15),0),
ROUND(ROUND(OFFSET($P231,0,AB$13),15-13*ORÇAMENTO!$AF$7)*OFFSET(ORÇAMENTO!$W$15,ROW(AB231)-ROW(AB$15),0),15-13*ORÇAMENTO!$AF$11)),0)</f>
        <v>0</v>
      </c>
      <c r="AC231" s="545">
        <f ca="1">IF(AND($D231="Serviço",AC$12&lt;&gt;0,$H231&gt;0,OR(AUTOEVENTO&lt;&gt;"manual",$M231&lt;&gt;1)),
IF(Import.TipoArredondamento&lt;&gt;"TransfereGOV",
ROUND(OFFSET($P231,0,AC$13),15-13*ORÇAMENTO!$AF$7)/$H231*OFFSET(ORÇAMENTO!$X$15,ROW(AC231)-ROW(AC$15),0),
ROUND(ROUND(OFFSET($P231,0,AC$13),15-13*ORÇAMENTO!$AF$7)*OFFSET(ORÇAMENTO!$W$15,ROW(AC231)-ROW(AC$15),0),15-13*ORÇAMENTO!$AF$11)),0)</f>
        <v>0</v>
      </c>
      <c r="AD231" s="545">
        <f ca="1">IF(AND($D231="Serviço",AD$12&lt;&gt;0,$H231&gt;0,OR(AUTOEVENTO&lt;&gt;"manual",$M231&lt;&gt;1)),
IF(Import.TipoArredondamento&lt;&gt;"TransfereGOV",
ROUND(OFFSET($P231,0,AD$13),15-13*ORÇAMENTO!$AF$7)/$H231*OFFSET(ORÇAMENTO!$X$15,ROW(AD231)-ROW(AD$15),0),
ROUND(ROUND(OFFSET($P231,0,AD$13),15-13*ORÇAMENTO!$AF$7)*OFFSET(ORÇAMENTO!$W$15,ROW(AD231)-ROW(AD$15),0),15-13*ORÇAMENTO!$AF$11)),0)</f>
        <v>0</v>
      </c>
      <c r="AE231" s="545">
        <f ca="1">IF(AND($D231="Serviço",AE$12&lt;&gt;0,$H231&gt;0,OR(AUTOEVENTO&lt;&gt;"manual",$M231&lt;&gt;1)),
IF(Import.TipoArredondamento&lt;&gt;"TransfereGOV",
ROUND(OFFSET($P231,0,AE$13),15-13*ORÇAMENTO!$AF$7)/$H231*OFFSET(ORÇAMENTO!$X$15,ROW(AE231)-ROW(AE$15),0),
ROUND(ROUND(OFFSET($P231,0,AE$13),15-13*ORÇAMENTO!$AF$7)*OFFSET(ORÇAMENTO!$W$15,ROW(AE231)-ROW(AE$15),0),15-13*ORÇAMENTO!$AF$11)),0)</f>
        <v>0</v>
      </c>
      <c r="AF231" s="545">
        <f ca="1">IF(AND($D231="Serviço",AF$12&lt;&gt;0,$H231&gt;0,OR(AUTOEVENTO&lt;&gt;"manual",$M231&lt;&gt;1)),
IF(Import.TipoArredondamento&lt;&gt;"TransfereGOV",
ROUND(OFFSET($P231,0,AF$13),15-13*ORÇAMENTO!$AF$7)/$H231*OFFSET(ORÇAMENTO!$X$15,ROW(AF231)-ROW(AF$15),0),
ROUND(ROUND(OFFSET($P231,0,AF$13),15-13*ORÇAMENTO!$AF$7)*OFFSET(ORÇAMENTO!$W$15,ROW(AF231)-ROW(AF$15),0),15-13*ORÇAMENTO!$AF$11)),0)</f>
        <v>0</v>
      </c>
      <c r="AG231" s="545">
        <f ca="1">IF(AND($D231="Serviço",AG$12&lt;&gt;0,$H231&gt;0,OR(AUTOEVENTO&lt;&gt;"manual",$M231&lt;&gt;1)),
IF(Import.TipoArredondamento&lt;&gt;"TransfereGOV",
ROUND(OFFSET($P231,0,AG$13),15-13*ORÇAMENTO!$AF$7)/$H231*OFFSET(ORÇAMENTO!$X$15,ROW(AG231)-ROW(AG$15),0),
ROUND(ROUND(OFFSET($P231,0,AG$13),15-13*ORÇAMENTO!$AF$7)*OFFSET(ORÇAMENTO!$W$15,ROW(AG231)-ROW(AG$15),0),15-13*ORÇAMENTO!$AF$11)),0)</f>
        <v>0</v>
      </c>
      <c r="AH231" s="545">
        <f ca="1">IF(AND($D231="Serviço",AH$12&lt;&gt;0,$H231&gt;0,OR(AUTOEVENTO&lt;&gt;"manual",$M231&lt;&gt;1)),
IF(Import.TipoArredondamento&lt;&gt;"TransfereGOV",
ROUND(OFFSET($P231,0,AH$13),15-13*ORÇAMENTO!$AF$7)/$H231*OFFSET(ORÇAMENTO!$X$15,ROW(AH231)-ROW(AH$15),0),
ROUND(ROUND(OFFSET($P231,0,AH$13),15-13*ORÇAMENTO!$AF$7)*OFFSET(ORÇAMENTO!$W$15,ROW(AH231)-ROW(AH$15),0),15-13*ORÇAMENTO!$AF$11)),0)</f>
        <v>0</v>
      </c>
      <c r="AI231" s="545">
        <f ca="1">IF(AND($D231="Serviço",AI$12&lt;&gt;0,$H231&gt;0,OR(AUTOEVENTO&lt;&gt;"manual",$M231&lt;&gt;1)),
IF(Import.TipoArredondamento&lt;&gt;"TransfereGOV",
ROUND(OFFSET($P231,0,AI$13),15-13*ORÇAMENTO!$AF$7)/$H231*OFFSET(ORÇAMENTO!$X$15,ROW(AI231)-ROW(AI$15),0),
ROUND(ROUND(OFFSET($P231,0,AI$13),15-13*ORÇAMENTO!$AF$7)*OFFSET(ORÇAMENTO!$W$15,ROW(AI231)-ROW(AI$15),0),15-13*ORÇAMENTO!$AF$11)),0)</f>
        <v>0</v>
      </c>
      <c r="AJ231" s="545">
        <f ca="1">IF(AND($D231="Serviço",AJ$12&lt;&gt;0,$H231&gt;0,OR(AUTOEVENTO&lt;&gt;"manual",$M231&lt;&gt;1)),
IF(Import.TipoArredondamento&lt;&gt;"TransfereGOV",
ROUND(OFFSET($P231,0,AJ$13),15-13*ORÇAMENTO!$AF$7)/$H231*OFFSET(ORÇAMENTO!$X$15,ROW(AJ231)-ROW(AJ$15),0),
ROUND(ROUND(OFFSET($P231,0,AJ$13),15-13*ORÇAMENTO!$AF$7)*OFFSET(ORÇAMENTO!$W$15,ROW(AJ231)-ROW(AJ$15),0),15-13*ORÇAMENTO!$AF$11)),0)</f>
        <v>0</v>
      </c>
      <c r="AK231" s="546">
        <f ca="1">IF(AND($D231="Serviço",AK$12&lt;&gt;0,$H231&gt;0,OR(AUTOEVENTO&lt;&gt;"manual",$M231&lt;&gt;1)),
IF(Import.TipoArredondamento&lt;&gt;"TransfereGOV",
ROUND(OFFSET($P231,0,AK$13),15-13*ORÇAMENTO!$AF$7)/$H231*OFFSET(ORÇAMENTO!$X$15,ROW(AK231)-ROW(AK$15),0),
ROUND(ROUND(OFFSET($P231,0,AK$13),15-13*ORÇAMENTO!$AF$7)*OFFSET(ORÇAMENTO!$W$15,ROW(AK231)-ROW(AK$15),0),15-13*ORÇAMENTO!$AF$11)),0)</f>
        <v>0</v>
      </c>
      <c r="AM231" s="181">
        <f ca="1">IF($D231&lt;&gt;"Serviço",0,IF(AND(AUTOEVENTO="Manual",$M231=1),0,IF(OFFSET(CRONOPLE!$F$14,$M231,AM$13)="",10^12,OFFSET(CRONOPLE!$F$14,$M231,AM$13))))</f>
        <v>1000000000000</v>
      </c>
      <c r="AN231" s="181">
        <f ca="1">IF($D231&lt;&gt;"Serviço",0,IF(AND(AUTOEVENTO="Manual",$M231=1),0,IF(OFFSET(CRONOPLE!$F$14,$M231,AN$13)="",10^12,OFFSET(CRONOPLE!$F$14,$M231,AN$13))))</f>
        <v>1000000000000</v>
      </c>
      <c r="AO231" s="181">
        <f ca="1">IF($D231&lt;&gt;"Serviço",0,IF(AND(AUTOEVENTO="Manual",$M231=1),0,IF(OFFSET(CRONOPLE!$F$14,$M231,AO$13)="",10^12,OFFSET(CRONOPLE!$F$14,$M231,AO$13))))</f>
        <v>1000000000000</v>
      </c>
      <c r="AP231" s="181">
        <f ca="1">IF($D231&lt;&gt;"Serviço",0,IF(AND(AUTOEVENTO="Manual",$M231=1),0,IF(OFFSET(CRONOPLE!$F$14,$M231,AP$13)="",10^12,OFFSET(CRONOPLE!$F$14,$M231,AP$13))))</f>
        <v>1000000000000</v>
      </c>
      <c r="AQ231" s="181">
        <f ca="1">IF($D231&lt;&gt;"Serviço",0,IF(AND(AUTOEVENTO="Manual",$M231=1),0,IF(OFFSET(CRONOPLE!$F$14,$M231,AQ$13)="",10^12,OFFSET(CRONOPLE!$F$14,$M231,AQ$13))))</f>
        <v>1000000000000</v>
      </c>
      <c r="AR231" s="181">
        <f ca="1">IF($D231&lt;&gt;"Serviço",0,IF(AND(AUTOEVENTO="Manual",$M231=1),0,IF(OFFSET(CRONOPLE!$F$14,$M231,AR$13)="",10^12,OFFSET(CRONOPLE!$F$14,$M231,AR$13))))</f>
        <v>1000000000000</v>
      </c>
      <c r="AS231" s="181">
        <f ca="1">IF($D231&lt;&gt;"Serviço",0,IF(AND(AUTOEVENTO="Manual",$M231=1),0,IF(OFFSET(CRONOPLE!$F$14,$M231,AS$13)="",10^12,OFFSET(CRONOPLE!$F$14,$M231,AS$13))))</f>
        <v>1000000000000</v>
      </c>
      <c r="AT231" s="181">
        <f ca="1">IF($D231&lt;&gt;"Serviço",0,IF(AND(AUTOEVENTO="Manual",$M231=1),0,IF(OFFSET(CRONOPLE!$F$14,$M231,AT$13)="",10^12,OFFSET(CRONOPLE!$F$14,$M231,AT$13))))</f>
        <v>1000000000000</v>
      </c>
      <c r="AU231" s="181">
        <f ca="1">IF($D231&lt;&gt;"Serviço",0,IF(AND(AUTOEVENTO="Manual",$M231=1),0,IF(OFFSET(CRONOPLE!$F$14,$M231,AU$13)="",10^12,OFFSET(CRONOPLE!$F$14,$M231,AU$13))))</f>
        <v>1000000000000</v>
      </c>
      <c r="AV231" s="181">
        <f ca="1">IF($D231&lt;&gt;"Serviço",0,IF(AND(AUTOEVENTO="Manual",$M231=1),0,IF(OFFSET(CRONOPLE!$F$14,$M231,AV$13)="",10^12,OFFSET(CRONOPLE!$F$14,$M231,AV$13))))</f>
        <v>1000000000000</v>
      </c>
      <c r="AX231" s="182">
        <f ca="1">IF($D231&lt;&gt;"Serviço",0,IF(OR(AND(AUTOEVENTO="Manual",$M231=1),$M231&gt;(ROW(PLE.lastrow)-ROW(PLE.firstrow))),0,IF(OFFSET(PLE!$G$14,$M231,AX$13)="",10^12,OFFSET(PLE!$G$14,$M231,AX$13))))</f>
        <v>1000000000000</v>
      </c>
      <c r="AY231" s="182">
        <f ca="1">IF($D231&lt;&gt;"Serviço",0,IF(OR(AND(AUTOEVENTO="Manual",$M231=1),$M231&gt;(ROW(PLE.lastrow)-ROW(PLE.firstrow))),0,IF(OFFSET(PLE!$G$14,$M231,AY$13)="",10^12,OFFSET(PLE!$G$14,$M231,AY$13))))</f>
        <v>1000000000000</v>
      </c>
      <c r="AZ231" s="182">
        <f ca="1">IF($D231&lt;&gt;"Serviço",0,IF(OR(AND(AUTOEVENTO="Manual",$M231=1),$M231&gt;(ROW(PLE.lastrow)-ROW(PLE.firstrow))),0,IF(OFFSET(PLE!$G$14,$M231,AZ$13)="",10^12,OFFSET(PLE!$G$14,$M231,AZ$13))))</f>
        <v>1000000000000</v>
      </c>
      <c r="BA231" s="182">
        <f ca="1">IF($D231&lt;&gt;"Serviço",0,IF(OR(AND(AUTOEVENTO="Manual",$M231=1),$M231&gt;(ROW(PLE.lastrow)-ROW(PLE.firstrow))),0,IF(OFFSET(PLE!$G$14,$M231,BA$13)="",10^12,OFFSET(PLE!$G$14,$M231,BA$13))))</f>
        <v>1000000000000</v>
      </c>
      <c r="BB231" s="182">
        <f ca="1">IF($D231&lt;&gt;"Serviço",0,IF(OR(AND(AUTOEVENTO="Manual",$M231=1),$M231&gt;(ROW(PLE.lastrow)-ROW(PLE.firstrow))),0,IF(OFFSET(PLE!$G$14,$M231,BB$13)="",10^12,OFFSET(PLE!$G$14,$M231,BB$13))))</f>
        <v>1000000000000</v>
      </c>
      <c r="BC231" s="182">
        <f ca="1">IF($D231&lt;&gt;"Serviço",0,IF(OR(AND(AUTOEVENTO="Manual",$M231=1),$M231&gt;(ROW(PLE.lastrow)-ROW(PLE.firstrow))),0,IF(OFFSET(PLE!$G$14,$M231,BC$13)="",10^12,OFFSET(PLE!$G$14,$M231,BC$13))))</f>
        <v>1000000000000</v>
      </c>
      <c r="BD231" s="182">
        <f ca="1">IF($D231&lt;&gt;"Serviço",0,IF(OR(AND(AUTOEVENTO="Manual",$M231=1),$M231&gt;(ROW(PLE.lastrow)-ROW(PLE.firstrow))),0,IF(OFFSET(PLE!$G$14,$M231,BD$13)="",10^12,OFFSET(PLE!$G$14,$M231,BD$13))))</f>
        <v>1000000000000</v>
      </c>
      <c r="BE231" s="182">
        <f ca="1">IF($D231&lt;&gt;"Serviço",0,IF(OR(AND(AUTOEVENTO="Manual",$M231=1),$M231&gt;(ROW(PLE.lastrow)-ROW(PLE.firstrow))),0,IF(OFFSET(PLE!$G$14,$M231,BE$13)="",10^12,OFFSET(PLE!$G$14,$M231,BE$13))))</f>
        <v>1000000000000</v>
      </c>
      <c r="BF231" s="182">
        <f ca="1">IF($D231&lt;&gt;"Serviço",0,IF(OR(AND(AUTOEVENTO="Manual",$M231=1),$M231&gt;(ROW(PLE.lastrow)-ROW(PLE.firstrow))),0,IF(OFFSET(PLE!$G$14,$M231,BF$13)="",10^12,OFFSET(PLE!$G$14,$M231,BF$13))))</f>
        <v>1000000000000</v>
      </c>
      <c r="BG231" s="182">
        <f ca="1">IF($D231&lt;&gt;"Serviço",0,IF(OR(AND(AUTOEVENTO="Manual",$M231=1),$M231&gt;(ROW(PLE.lastrow)-ROW(PLE.firstrow))),0,IF(OFFSET(PLE!$G$14,$M231,BG$13)="",10^12,OFFSET(PLE!$G$14,$M231,BG$13))))</f>
        <v>1000000000000</v>
      </c>
    </row>
    <row r="232" spans="1:59" ht="51" x14ac:dyDescent="0.2">
      <c r="A232" s="7" t="str">
        <f t="shared" ca="1" si="11"/>
        <v>210</v>
      </c>
      <c r="B232" s="7" t="str">
        <f ca="1">OFFSET(ORÇAMENTO!C$15,ROW(B232)-ROW(B$15),0)</f>
        <v>S</v>
      </c>
      <c r="C232" s="7" t="str">
        <f ca="1">OFFSET(ORÇAMENTO!L$15,ROW(C232)-ROW(C$15),0)</f>
        <v>F</v>
      </c>
      <c r="D232" s="118" t="str">
        <f ca="1">OFFSET(ORÇAMENTO!N$15,ROW(D232)-ROW(D$15),0)</f>
        <v>Serviço</v>
      </c>
      <c r="E232" s="119" t="str">
        <f ca="1">OFFSET(ORÇAMENTO!O$15,ROW(E232)-ROW(E$15),0)</f>
        <v>1.10.0.7.</v>
      </c>
      <c r="F232" s="172" t="str">
        <f ca="1">OFFSET(ORÇAMENTO!R$15,ROW(F232)-ROW(F$15),0)</f>
        <v>(abra o arquivo 'Referência 03-2024.xlsm)</v>
      </c>
      <c r="G232" s="173" t="str">
        <f ca="1">IF($D232&lt;&gt;"Serviço","",OFFSET(ORÇAMENTO!S$15,ROW(G232)-ROW(G$15),0))</f>
        <v>-</v>
      </c>
      <c r="H232" s="124">
        <f ca="1">IF($D232&lt;&gt;"Serviço",0,IF(ACOMPANHAMENTO="BM",ROUND(OFFSET(ORÇAMENTO!AJ$15,ROW(H232)-ROW(H$15),0),15-13*ORÇAMENTO!$AF$7),SUMPRODUCT(($Q$12:$AA$12&lt;&gt;"")*ROUND($Q232:$AA232,15-13*ORÇAMENTO!$AF$7))))</f>
        <v>48</v>
      </c>
      <c r="I232" s="561"/>
      <c r="K232" s="174"/>
      <c r="L232" s="175" t="s">
        <v>255</v>
      </c>
      <c r="M232" s="176">
        <f ca="1">IF($D232&lt;&gt;"Serviço","",IF(AUTOEVENTO="manual",$A232,IF(ISERROR(MATCH($A232,$A$15:OFFSET($A232,-1,0),0)),MAX($M$15:OFFSET(M232,-1,0))+1,INDEX($M$15:OFFSET(M232,-1,0),MATCH($A232,$A$15:OFFSET($A232,-1,0),0)))))</f>
        <v>11</v>
      </c>
      <c r="N232" s="177" t="str">
        <f ca="1">IF($D232&lt;&gt;"Serviço","",IF(AUTOEVENTO="Manual",IF($A232=0,"&lt;-- defina o número do agrupador",OFFSET(EVENTOS!$D$14,$A232,0)),OFFSET($F$15,$A232,0)))</f>
        <v>PLAYGROUND</v>
      </c>
      <c r="O232" s="178"/>
      <c r="Q232" s="178"/>
      <c r="R232" s="179"/>
      <c r="S232" s="179"/>
      <c r="T232" s="179"/>
      <c r="U232" s="179"/>
      <c r="V232" s="179"/>
      <c r="W232" s="179"/>
      <c r="X232" s="179"/>
      <c r="Y232" s="179"/>
      <c r="Z232" s="180"/>
      <c r="AB232" s="544">
        <f ca="1">IF(AND($D232="Serviço",AB$12&lt;&gt;0,$H232&gt;0,OR(AUTOEVENTO&lt;&gt;"manual",$M232&lt;&gt;1)),
IF(Import.TipoArredondamento&lt;&gt;"TransfereGOV",
ROUND(OFFSET($P232,0,AB$13),15-13*ORÇAMENTO!$AF$7)/$H232*OFFSET(ORÇAMENTO!$X$15,ROW(AB232)-ROW(AB$15),0),
ROUND(ROUND(OFFSET($P232,0,AB$13),15-13*ORÇAMENTO!$AF$7)*OFFSET(ORÇAMENTO!$W$15,ROW(AB232)-ROW(AB$15),0),15-13*ORÇAMENTO!$AF$11)),0)</f>
        <v>0</v>
      </c>
      <c r="AC232" s="545">
        <f ca="1">IF(AND($D232="Serviço",AC$12&lt;&gt;0,$H232&gt;0,OR(AUTOEVENTO&lt;&gt;"manual",$M232&lt;&gt;1)),
IF(Import.TipoArredondamento&lt;&gt;"TransfereGOV",
ROUND(OFFSET($P232,0,AC$13),15-13*ORÇAMENTO!$AF$7)/$H232*OFFSET(ORÇAMENTO!$X$15,ROW(AC232)-ROW(AC$15),0),
ROUND(ROUND(OFFSET($P232,0,AC$13),15-13*ORÇAMENTO!$AF$7)*OFFSET(ORÇAMENTO!$W$15,ROW(AC232)-ROW(AC$15),0),15-13*ORÇAMENTO!$AF$11)),0)</f>
        <v>0</v>
      </c>
      <c r="AD232" s="545">
        <f ca="1">IF(AND($D232="Serviço",AD$12&lt;&gt;0,$H232&gt;0,OR(AUTOEVENTO&lt;&gt;"manual",$M232&lt;&gt;1)),
IF(Import.TipoArredondamento&lt;&gt;"TransfereGOV",
ROUND(OFFSET($P232,0,AD$13),15-13*ORÇAMENTO!$AF$7)/$H232*OFFSET(ORÇAMENTO!$X$15,ROW(AD232)-ROW(AD$15),0),
ROUND(ROUND(OFFSET($P232,0,AD$13),15-13*ORÇAMENTO!$AF$7)*OFFSET(ORÇAMENTO!$W$15,ROW(AD232)-ROW(AD$15),0),15-13*ORÇAMENTO!$AF$11)),0)</f>
        <v>0</v>
      </c>
      <c r="AE232" s="545">
        <f ca="1">IF(AND($D232="Serviço",AE$12&lt;&gt;0,$H232&gt;0,OR(AUTOEVENTO&lt;&gt;"manual",$M232&lt;&gt;1)),
IF(Import.TipoArredondamento&lt;&gt;"TransfereGOV",
ROUND(OFFSET($P232,0,AE$13),15-13*ORÇAMENTO!$AF$7)/$H232*OFFSET(ORÇAMENTO!$X$15,ROW(AE232)-ROW(AE$15),0),
ROUND(ROUND(OFFSET($P232,0,AE$13),15-13*ORÇAMENTO!$AF$7)*OFFSET(ORÇAMENTO!$W$15,ROW(AE232)-ROW(AE$15),0),15-13*ORÇAMENTO!$AF$11)),0)</f>
        <v>0</v>
      </c>
      <c r="AF232" s="545">
        <f ca="1">IF(AND($D232="Serviço",AF$12&lt;&gt;0,$H232&gt;0,OR(AUTOEVENTO&lt;&gt;"manual",$M232&lt;&gt;1)),
IF(Import.TipoArredondamento&lt;&gt;"TransfereGOV",
ROUND(OFFSET($P232,0,AF$13),15-13*ORÇAMENTO!$AF$7)/$H232*OFFSET(ORÇAMENTO!$X$15,ROW(AF232)-ROW(AF$15),0),
ROUND(ROUND(OFFSET($P232,0,AF$13),15-13*ORÇAMENTO!$AF$7)*OFFSET(ORÇAMENTO!$W$15,ROW(AF232)-ROW(AF$15),0),15-13*ORÇAMENTO!$AF$11)),0)</f>
        <v>0</v>
      </c>
      <c r="AG232" s="545">
        <f ca="1">IF(AND($D232="Serviço",AG$12&lt;&gt;0,$H232&gt;0,OR(AUTOEVENTO&lt;&gt;"manual",$M232&lt;&gt;1)),
IF(Import.TipoArredondamento&lt;&gt;"TransfereGOV",
ROUND(OFFSET($P232,0,AG$13),15-13*ORÇAMENTO!$AF$7)/$H232*OFFSET(ORÇAMENTO!$X$15,ROW(AG232)-ROW(AG$15),0),
ROUND(ROUND(OFFSET($P232,0,AG$13),15-13*ORÇAMENTO!$AF$7)*OFFSET(ORÇAMENTO!$W$15,ROW(AG232)-ROW(AG$15),0),15-13*ORÇAMENTO!$AF$11)),0)</f>
        <v>0</v>
      </c>
      <c r="AH232" s="545">
        <f ca="1">IF(AND($D232="Serviço",AH$12&lt;&gt;0,$H232&gt;0,OR(AUTOEVENTO&lt;&gt;"manual",$M232&lt;&gt;1)),
IF(Import.TipoArredondamento&lt;&gt;"TransfereGOV",
ROUND(OFFSET($P232,0,AH$13),15-13*ORÇAMENTO!$AF$7)/$H232*OFFSET(ORÇAMENTO!$X$15,ROW(AH232)-ROW(AH$15),0),
ROUND(ROUND(OFFSET($P232,0,AH$13),15-13*ORÇAMENTO!$AF$7)*OFFSET(ORÇAMENTO!$W$15,ROW(AH232)-ROW(AH$15),0),15-13*ORÇAMENTO!$AF$11)),0)</f>
        <v>0</v>
      </c>
      <c r="AI232" s="545">
        <f ca="1">IF(AND($D232="Serviço",AI$12&lt;&gt;0,$H232&gt;0,OR(AUTOEVENTO&lt;&gt;"manual",$M232&lt;&gt;1)),
IF(Import.TipoArredondamento&lt;&gt;"TransfereGOV",
ROUND(OFFSET($P232,0,AI$13),15-13*ORÇAMENTO!$AF$7)/$H232*OFFSET(ORÇAMENTO!$X$15,ROW(AI232)-ROW(AI$15),0),
ROUND(ROUND(OFFSET($P232,0,AI$13),15-13*ORÇAMENTO!$AF$7)*OFFSET(ORÇAMENTO!$W$15,ROW(AI232)-ROW(AI$15),0),15-13*ORÇAMENTO!$AF$11)),0)</f>
        <v>0</v>
      </c>
      <c r="AJ232" s="545">
        <f ca="1">IF(AND($D232="Serviço",AJ$12&lt;&gt;0,$H232&gt;0,OR(AUTOEVENTO&lt;&gt;"manual",$M232&lt;&gt;1)),
IF(Import.TipoArredondamento&lt;&gt;"TransfereGOV",
ROUND(OFFSET($P232,0,AJ$13),15-13*ORÇAMENTO!$AF$7)/$H232*OFFSET(ORÇAMENTO!$X$15,ROW(AJ232)-ROW(AJ$15),0),
ROUND(ROUND(OFFSET($P232,0,AJ$13),15-13*ORÇAMENTO!$AF$7)*OFFSET(ORÇAMENTO!$W$15,ROW(AJ232)-ROW(AJ$15),0),15-13*ORÇAMENTO!$AF$11)),0)</f>
        <v>0</v>
      </c>
      <c r="AK232" s="546">
        <f ca="1">IF(AND($D232="Serviço",AK$12&lt;&gt;0,$H232&gt;0,OR(AUTOEVENTO&lt;&gt;"manual",$M232&lt;&gt;1)),
IF(Import.TipoArredondamento&lt;&gt;"TransfereGOV",
ROUND(OFFSET($P232,0,AK$13),15-13*ORÇAMENTO!$AF$7)/$H232*OFFSET(ORÇAMENTO!$X$15,ROW(AK232)-ROW(AK$15),0),
ROUND(ROUND(OFFSET($P232,0,AK$13),15-13*ORÇAMENTO!$AF$7)*OFFSET(ORÇAMENTO!$W$15,ROW(AK232)-ROW(AK$15),0),15-13*ORÇAMENTO!$AF$11)),0)</f>
        <v>0</v>
      </c>
      <c r="AM232" s="181">
        <f ca="1">IF($D232&lt;&gt;"Serviço",0,IF(AND(AUTOEVENTO="Manual",$M232=1),0,IF(OFFSET(CRONOPLE!$F$14,$M232,AM$13)="",10^12,OFFSET(CRONOPLE!$F$14,$M232,AM$13))))</f>
        <v>1000000000000</v>
      </c>
      <c r="AN232" s="181">
        <f ca="1">IF($D232&lt;&gt;"Serviço",0,IF(AND(AUTOEVENTO="Manual",$M232=1),0,IF(OFFSET(CRONOPLE!$F$14,$M232,AN$13)="",10^12,OFFSET(CRONOPLE!$F$14,$M232,AN$13))))</f>
        <v>1000000000000</v>
      </c>
      <c r="AO232" s="181">
        <f ca="1">IF($D232&lt;&gt;"Serviço",0,IF(AND(AUTOEVENTO="Manual",$M232=1),0,IF(OFFSET(CRONOPLE!$F$14,$M232,AO$13)="",10^12,OFFSET(CRONOPLE!$F$14,$M232,AO$13))))</f>
        <v>1000000000000</v>
      </c>
      <c r="AP232" s="181">
        <f ca="1">IF($D232&lt;&gt;"Serviço",0,IF(AND(AUTOEVENTO="Manual",$M232=1),0,IF(OFFSET(CRONOPLE!$F$14,$M232,AP$13)="",10^12,OFFSET(CRONOPLE!$F$14,$M232,AP$13))))</f>
        <v>1000000000000</v>
      </c>
      <c r="AQ232" s="181">
        <f ca="1">IF($D232&lt;&gt;"Serviço",0,IF(AND(AUTOEVENTO="Manual",$M232=1),0,IF(OFFSET(CRONOPLE!$F$14,$M232,AQ$13)="",10^12,OFFSET(CRONOPLE!$F$14,$M232,AQ$13))))</f>
        <v>1000000000000</v>
      </c>
      <c r="AR232" s="181">
        <f ca="1">IF($D232&lt;&gt;"Serviço",0,IF(AND(AUTOEVENTO="Manual",$M232=1),0,IF(OFFSET(CRONOPLE!$F$14,$M232,AR$13)="",10^12,OFFSET(CRONOPLE!$F$14,$M232,AR$13))))</f>
        <v>1000000000000</v>
      </c>
      <c r="AS232" s="181">
        <f ca="1">IF($D232&lt;&gt;"Serviço",0,IF(AND(AUTOEVENTO="Manual",$M232=1),0,IF(OFFSET(CRONOPLE!$F$14,$M232,AS$13)="",10^12,OFFSET(CRONOPLE!$F$14,$M232,AS$13))))</f>
        <v>1000000000000</v>
      </c>
      <c r="AT232" s="181">
        <f ca="1">IF($D232&lt;&gt;"Serviço",0,IF(AND(AUTOEVENTO="Manual",$M232=1),0,IF(OFFSET(CRONOPLE!$F$14,$M232,AT$13)="",10^12,OFFSET(CRONOPLE!$F$14,$M232,AT$13))))</f>
        <v>1000000000000</v>
      </c>
      <c r="AU232" s="181">
        <f ca="1">IF($D232&lt;&gt;"Serviço",0,IF(AND(AUTOEVENTO="Manual",$M232=1),0,IF(OFFSET(CRONOPLE!$F$14,$M232,AU$13)="",10^12,OFFSET(CRONOPLE!$F$14,$M232,AU$13))))</f>
        <v>1000000000000</v>
      </c>
      <c r="AV232" s="181">
        <f ca="1">IF($D232&lt;&gt;"Serviço",0,IF(AND(AUTOEVENTO="Manual",$M232=1),0,IF(OFFSET(CRONOPLE!$F$14,$M232,AV$13)="",10^12,OFFSET(CRONOPLE!$F$14,$M232,AV$13))))</f>
        <v>1000000000000</v>
      </c>
      <c r="AX232" s="182">
        <f ca="1">IF($D232&lt;&gt;"Serviço",0,IF(OR(AND(AUTOEVENTO="Manual",$M232=1),$M232&gt;(ROW(PLE.lastrow)-ROW(PLE.firstrow))),0,IF(OFFSET(PLE!$G$14,$M232,AX$13)="",10^12,OFFSET(PLE!$G$14,$M232,AX$13))))</f>
        <v>1000000000000</v>
      </c>
      <c r="AY232" s="182">
        <f ca="1">IF($D232&lt;&gt;"Serviço",0,IF(OR(AND(AUTOEVENTO="Manual",$M232=1),$M232&gt;(ROW(PLE.lastrow)-ROW(PLE.firstrow))),0,IF(OFFSET(PLE!$G$14,$M232,AY$13)="",10^12,OFFSET(PLE!$G$14,$M232,AY$13))))</f>
        <v>1000000000000</v>
      </c>
      <c r="AZ232" s="182">
        <f ca="1">IF($D232&lt;&gt;"Serviço",0,IF(OR(AND(AUTOEVENTO="Manual",$M232=1),$M232&gt;(ROW(PLE.lastrow)-ROW(PLE.firstrow))),0,IF(OFFSET(PLE!$G$14,$M232,AZ$13)="",10^12,OFFSET(PLE!$G$14,$M232,AZ$13))))</f>
        <v>1000000000000</v>
      </c>
      <c r="BA232" s="182">
        <f ca="1">IF($D232&lt;&gt;"Serviço",0,IF(OR(AND(AUTOEVENTO="Manual",$M232=1),$M232&gt;(ROW(PLE.lastrow)-ROW(PLE.firstrow))),0,IF(OFFSET(PLE!$G$14,$M232,BA$13)="",10^12,OFFSET(PLE!$G$14,$M232,BA$13))))</f>
        <v>1000000000000</v>
      </c>
      <c r="BB232" s="182">
        <f ca="1">IF($D232&lt;&gt;"Serviço",0,IF(OR(AND(AUTOEVENTO="Manual",$M232=1),$M232&gt;(ROW(PLE.lastrow)-ROW(PLE.firstrow))),0,IF(OFFSET(PLE!$G$14,$M232,BB$13)="",10^12,OFFSET(PLE!$G$14,$M232,BB$13))))</f>
        <v>1000000000000</v>
      </c>
      <c r="BC232" s="182">
        <f ca="1">IF($D232&lt;&gt;"Serviço",0,IF(OR(AND(AUTOEVENTO="Manual",$M232=1),$M232&gt;(ROW(PLE.lastrow)-ROW(PLE.firstrow))),0,IF(OFFSET(PLE!$G$14,$M232,BC$13)="",10^12,OFFSET(PLE!$G$14,$M232,BC$13))))</f>
        <v>1000000000000</v>
      </c>
      <c r="BD232" s="182">
        <f ca="1">IF($D232&lt;&gt;"Serviço",0,IF(OR(AND(AUTOEVENTO="Manual",$M232=1),$M232&gt;(ROW(PLE.lastrow)-ROW(PLE.firstrow))),0,IF(OFFSET(PLE!$G$14,$M232,BD$13)="",10^12,OFFSET(PLE!$G$14,$M232,BD$13))))</f>
        <v>1000000000000</v>
      </c>
      <c r="BE232" s="182">
        <f ca="1">IF($D232&lt;&gt;"Serviço",0,IF(OR(AND(AUTOEVENTO="Manual",$M232=1),$M232&gt;(ROW(PLE.lastrow)-ROW(PLE.firstrow))),0,IF(OFFSET(PLE!$G$14,$M232,BE$13)="",10^12,OFFSET(PLE!$G$14,$M232,BE$13))))</f>
        <v>1000000000000</v>
      </c>
      <c r="BF232" s="182">
        <f ca="1">IF($D232&lt;&gt;"Serviço",0,IF(OR(AND(AUTOEVENTO="Manual",$M232=1),$M232&gt;(ROW(PLE.lastrow)-ROW(PLE.firstrow))),0,IF(OFFSET(PLE!$G$14,$M232,BF$13)="",10^12,OFFSET(PLE!$G$14,$M232,BF$13))))</f>
        <v>1000000000000</v>
      </c>
      <c r="BG232" s="182">
        <f ca="1">IF($D232&lt;&gt;"Serviço",0,IF(OR(AND(AUTOEVENTO="Manual",$M232=1),$M232&gt;(ROW(PLE.lastrow)-ROW(PLE.firstrow))),0,IF(OFFSET(PLE!$G$14,$M232,BG$13)="",10^12,OFFSET(PLE!$G$14,$M232,BG$13))))</f>
        <v>1000000000000</v>
      </c>
    </row>
    <row r="233" spans="1:59" ht="51" x14ac:dyDescent="0.2">
      <c r="A233" s="7" t="str">
        <f t="shared" ca="1" si="11"/>
        <v>210</v>
      </c>
      <c r="B233" s="7" t="str">
        <f ca="1">OFFSET(ORÇAMENTO!C$15,ROW(B233)-ROW(B$15),0)</f>
        <v>S</v>
      </c>
      <c r="C233" s="7" t="str">
        <f ca="1">OFFSET(ORÇAMENTO!L$15,ROW(C233)-ROW(C$15),0)</f>
        <v>F</v>
      </c>
      <c r="D233" s="118" t="str">
        <f ca="1">OFFSET(ORÇAMENTO!N$15,ROW(D233)-ROW(D$15),0)</f>
        <v>Serviço</v>
      </c>
      <c r="E233" s="119" t="str">
        <f ca="1">OFFSET(ORÇAMENTO!O$15,ROW(E233)-ROW(E$15),0)</f>
        <v>1.10.0.8.</v>
      </c>
      <c r="F233" s="172" t="str">
        <f ca="1">OFFSET(ORÇAMENTO!R$15,ROW(F233)-ROW(F$15),0)</f>
        <v>(abra o arquivo 'Referência 03-2024.xlsm)</v>
      </c>
      <c r="G233" s="173" t="str">
        <f ca="1">IF($D233&lt;&gt;"Serviço","",OFFSET(ORÇAMENTO!S$15,ROW(G233)-ROW(G$15),0))</f>
        <v>-</v>
      </c>
      <c r="H233" s="124">
        <f ca="1">IF($D233&lt;&gt;"Serviço",0,IF(ACOMPANHAMENTO="BM",ROUND(OFFSET(ORÇAMENTO!AJ$15,ROW(H233)-ROW(H$15),0),15-13*ORÇAMENTO!$AF$7),SUMPRODUCT(($Q$12:$AA$12&lt;&gt;"")*ROUND($Q233:$AA233,15-13*ORÇAMENTO!$AF$7))))</f>
        <v>144</v>
      </c>
      <c r="I233" s="561"/>
      <c r="K233" s="174"/>
      <c r="L233" s="175" t="s">
        <v>255</v>
      </c>
      <c r="M233" s="176">
        <f ca="1">IF($D233&lt;&gt;"Serviço","",IF(AUTOEVENTO="manual",$A233,IF(ISERROR(MATCH($A233,$A$15:OFFSET($A233,-1,0),0)),MAX($M$15:OFFSET(M233,-1,0))+1,INDEX($M$15:OFFSET(M233,-1,0),MATCH($A233,$A$15:OFFSET($A233,-1,0),0)))))</f>
        <v>11</v>
      </c>
      <c r="N233" s="177" t="str">
        <f ca="1">IF($D233&lt;&gt;"Serviço","",IF(AUTOEVENTO="Manual",IF($A233=0,"&lt;-- defina o número do agrupador",OFFSET(EVENTOS!$D$14,$A233,0)),OFFSET($F$15,$A233,0)))</f>
        <v>PLAYGROUND</v>
      </c>
      <c r="O233" s="178"/>
      <c r="Q233" s="178"/>
      <c r="R233" s="179"/>
      <c r="S233" s="179"/>
      <c r="T233" s="179"/>
      <c r="U233" s="179"/>
      <c r="V233" s="179"/>
      <c r="W233" s="179"/>
      <c r="X233" s="179"/>
      <c r="Y233" s="179"/>
      <c r="Z233" s="180"/>
      <c r="AB233" s="544">
        <f ca="1">IF(AND($D233="Serviço",AB$12&lt;&gt;0,$H233&gt;0,OR(AUTOEVENTO&lt;&gt;"manual",$M233&lt;&gt;1)),
IF(Import.TipoArredondamento&lt;&gt;"TransfereGOV",
ROUND(OFFSET($P233,0,AB$13),15-13*ORÇAMENTO!$AF$7)/$H233*OFFSET(ORÇAMENTO!$X$15,ROW(AB233)-ROW(AB$15),0),
ROUND(ROUND(OFFSET($P233,0,AB$13),15-13*ORÇAMENTO!$AF$7)*OFFSET(ORÇAMENTO!$W$15,ROW(AB233)-ROW(AB$15),0),15-13*ORÇAMENTO!$AF$11)),0)</f>
        <v>0</v>
      </c>
      <c r="AC233" s="545">
        <f ca="1">IF(AND($D233="Serviço",AC$12&lt;&gt;0,$H233&gt;0,OR(AUTOEVENTO&lt;&gt;"manual",$M233&lt;&gt;1)),
IF(Import.TipoArredondamento&lt;&gt;"TransfereGOV",
ROUND(OFFSET($P233,0,AC$13),15-13*ORÇAMENTO!$AF$7)/$H233*OFFSET(ORÇAMENTO!$X$15,ROW(AC233)-ROW(AC$15),0),
ROUND(ROUND(OFFSET($P233,0,AC$13),15-13*ORÇAMENTO!$AF$7)*OFFSET(ORÇAMENTO!$W$15,ROW(AC233)-ROW(AC$15),0),15-13*ORÇAMENTO!$AF$11)),0)</f>
        <v>0</v>
      </c>
      <c r="AD233" s="545">
        <f ca="1">IF(AND($D233="Serviço",AD$12&lt;&gt;0,$H233&gt;0,OR(AUTOEVENTO&lt;&gt;"manual",$M233&lt;&gt;1)),
IF(Import.TipoArredondamento&lt;&gt;"TransfereGOV",
ROUND(OFFSET($P233,0,AD$13),15-13*ORÇAMENTO!$AF$7)/$H233*OFFSET(ORÇAMENTO!$X$15,ROW(AD233)-ROW(AD$15),0),
ROUND(ROUND(OFFSET($P233,0,AD$13),15-13*ORÇAMENTO!$AF$7)*OFFSET(ORÇAMENTO!$W$15,ROW(AD233)-ROW(AD$15),0),15-13*ORÇAMENTO!$AF$11)),0)</f>
        <v>0</v>
      </c>
      <c r="AE233" s="545">
        <f ca="1">IF(AND($D233="Serviço",AE$12&lt;&gt;0,$H233&gt;0,OR(AUTOEVENTO&lt;&gt;"manual",$M233&lt;&gt;1)),
IF(Import.TipoArredondamento&lt;&gt;"TransfereGOV",
ROUND(OFFSET($P233,0,AE$13),15-13*ORÇAMENTO!$AF$7)/$H233*OFFSET(ORÇAMENTO!$X$15,ROW(AE233)-ROW(AE$15),0),
ROUND(ROUND(OFFSET($P233,0,AE$13),15-13*ORÇAMENTO!$AF$7)*OFFSET(ORÇAMENTO!$W$15,ROW(AE233)-ROW(AE$15),0),15-13*ORÇAMENTO!$AF$11)),0)</f>
        <v>0</v>
      </c>
      <c r="AF233" s="545">
        <f ca="1">IF(AND($D233="Serviço",AF$12&lt;&gt;0,$H233&gt;0,OR(AUTOEVENTO&lt;&gt;"manual",$M233&lt;&gt;1)),
IF(Import.TipoArredondamento&lt;&gt;"TransfereGOV",
ROUND(OFFSET($P233,0,AF$13),15-13*ORÇAMENTO!$AF$7)/$H233*OFFSET(ORÇAMENTO!$X$15,ROW(AF233)-ROW(AF$15),0),
ROUND(ROUND(OFFSET($P233,0,AF$13),15-13*ORÇAMENTO!$AF$7)*OFFSET(ORÇAMENTO!$W$15,ROW(AF233)-ROW(AF$15),0),15-13*ORÇAMENTO!$AF$11)),0)</f>
        <v>0</v>
      </c>
      <c r="AG233" s="545">
        <f ca="1">IF(AND($D233="Serviço",AG$12&lt;&gt;0,$H233&gt;0,OR(AUTOEVENTO&lt;&gt;"manual",$M233&lt;&gt;1)),
IF(Import.TipoArredondamento&lt;&gt;"TransfereGOV",
ROUND(OFFSET($P233,0,AG$13),15-13*ORÇAMENTO!$AF$7)/$H233*OFFSET(ORÇAMENTO!$X$15,ROW(AG233)-ROW(AG$15),0),
ROUND(ROUND(OFFSET($P233,0,AG$13),15-13*ORÇAMENTO!$AF$7)*OFFSET(ORÇAMENTO!$W$15,ROW(AG233)-ROW(AG$15),0),15-13*ORÇAMENTO!$AF$11)),0)</f>
        <v>0</v>
      </c>
      <c r="AH233" s="545">
        <f ca="1">IF(AND($D233="Serviço",AH$12&lt;&gt;0,$H233&gt;0,OR(AUTOEVENTO&lt;&gt;"manual",$M233&lt;&gt;1)),
IF(Import.TipoArredondamento&lt;&gt;"TransfereGOV",
ROUND(OFFSET($P233,0,AH$13),15-13*ORÇAMENTO!$AF$7)/$H233*OFFSET(ORÇAMENTO!$X$15,ROW(AH233)-ROW(AH$15),0),
ROUND(ROUND(OFFSET($P233,0,AH$13),15-13*ORÇAMENTO!$AF$7)*OFFSET(ORÇAMENTO!$W$15,ROW(AH233)-ROW(AH$15),0),15-13*ORÇAMENTO!$AF$11)),0)</f>
        <v>0</v>
      </c>
      <c r="AI233" s="545">
        <f ca="1">IF(AND($D233="Serviço",AI$12&lt;&gt;0,$H233&gt;0,OR(AUTOEVENTO&lt;&gt;"manual",$M233&lt;&gt;1)),
IF(Import.TipoArredondamento&lt;&gt;"TransfereGOV",
ROUND(OFFSET($P233,0,AI$13),15-13*ORÇAMENTO!$AF$7)/$H233*OFFSET(ORÇAMENTO!$X$15,ROW(AI233)-ROW(AI$15),0),
ROUND(ROUND(OFFSET($P233,0,AI$13),15-13*ORÇAMENTO!$AF$7)*OFFSET(ORÇAMENTO!$W$15,ROW(AI233)-ROW(AI$15),0),15-13*ORÇAMENTO!$AF$11)),0)</f>
        <v>0</v>
      </c>
      <c r="AJ233" s="545">
        <f ca="1">IF(AND($D233="Serviço",AJ$12&lt;&gt;0,$H233&gt;0,OR(AUTOEVENTO&lt;&gt;"manual",$M233&lt;&gt;1)),
IF(Import.TipoArredondamento&lt;&gt;"TransfereGOV",
ROUND(OFFSET($P233,0,AJ$13),15-13*ORÇAMENTO!$AF$7)/$H233*OFFSET(ORÇAMENTO!$X$15,ROW(AJ233)-ROW(AJ$15),0),
ROUND(ROUND(OFFSET($P233,0,AJ$13),15-13*ORÇAMENTO!$AF$7)*OFFSET(ORÇAMENTO!$W$15,ROW(AJ233)-ROW(AJ$15),0),15-13*ORÇAMENTO!$AF$11)),0)</f>
        <v>0</v>
      </c>
      <c r="AK233" s="546">
        <f ca="1">IF(AND($D233="Serviço",AK$12&lt;&gt;0,$H233&gt;0,OR(AUTOEVENTO&lt;&gt;"manual",$M233&lt;&gt;1)),
IF(Import.TipoArredondamento&lt;&gt;"TransfereGOV",
ROUND(OFFSET($P233,0,AK$13),15-13*ORÇAMENTO!$AF$7)/$H233*OFFSET(ORÇAMENTO!$X$15,ROW(AK233)-ROW(AK$15),0),
ROUND(ROUND(OFFSET($P233,0,AK$13),15-13*ORÇAMENTO!$AF$7)*OFFSET(ORÇAMENTO!$W$15,ROW(AK233)-ROW(AK$15),0),15-13*ORÇAMENTO!$AF$11)),0)</f>
        <v>0</v>
      </c>
      <c r="AM233" s="181">
        <f ca="1">IF($D233&lt;&gt;"Serviço",0,IF(AND(AUTOEVENTO="Manual",$M233=1),0,IF(OFFSET(CRONOPLE!$F$14,$M233,AM$13)="",10^12,OFFSET(CRONOPLE!$F$14,$M233,AM$13))))</f>
        <v>1000000000000</v>
      </c>
      <c r="AN233" s="181">
        <f ca="1">IF($D233&lt;&gt;"Serviço",0,IF(AND(AUTOEVENTO="Manual",$M233=1),0,IF(OFFSET(CRONOPLE!$F$14,$M233,AN$13)="",10^12,OFFSET(CRONOPLE!$F$14,$M233,AN$13))))</f>
        <v>1000000000000</v>
      </c>
      <c r="AO233" s="181">
        <f ca="1">IF($D233&lt;&gt;"Serviço",0,IF(AND(AUTOEVENTO="Manual",$M233=1),0,IF(OFFSET(CRONOPLE!$F$14,$M233,AO$13)="",10^12,OFFSET(CRONOPLE!$F$14,$M233,AO$13))))</f>
        <v>1000000000000</v>
      </c>
      <c r="AP233" s="181">
        <f ca="1">IF($D233&lt;&gt;"Serviço",0,IF(AND(AUTOEVENTO="Manual",$M233=1),0,IF(OFFSET(CRONOPLE!$F$14,$M233,AP$13)="",10^12,OFFSET(CRONOPLE!$F$14,$M233,AP$13))))</f>
        <v>1000000000000</v>
      </c>
      <c r="AQ233" s="181">
        <f ca="1">IF($D233&lt;&gt;"Serviço",0,IF(AND(AUTOEVENTO="Manual",$M233=1),0,IF(OFFSET(CRONOPLE!$F$14,$M233,AQ$13)="",10^12,OFFSET(CRONOPLE!$F$14,$M233,AQ$13))))</f>
        <v>1000000000000</v>
      </c>
      <c r="AR233" s="181">
        <f ca="1">IF($D233&lt;&gt;"Serviço",0,IF(AND(AUTOEVENTO="Manual",$M233=1),0,IF(OFFSET(CRONOPLE!$F$14,$M233,AR$13)="",10^12,OFFSET(CRONOPLE!$F$14,$M233,AR$13))))</f>
        <v>1000000000000</v>
      </c>
      <c r="AS233" s="181">
        <f ca="1">IF($D233&lt;&gt;"Serviço",0,IF(AND(AUTOEVENTO="Manual",$M233=1),0,IF(OFFSET(CRONOPLE!$F$14,$M233,AS$13)="",10^12,OFFSET(CRONOPLE!$F$14,$M233,AS$13))))</f>
        <v>1000000000000</v>
      </c>
      <c r="AT233" s="181">
        <f ca="1">IF($D233&lt;&gt;"Serviço",0,IF(AND(AUTOEVENTO="Manual",$M233=1),0,IF(OFFSET(CRONOPLE!$F$14,$M233,AT$13)="",10^12,OFFSET(CRONOPLE!$F$14,$M233,AT$13))))</f>
        <v>1000000000000</v>
      </c>
      <c r="AU233" s="181">
        <f ca="1">IF($D233&lt;&gt;"Serviço",0,IF(AND(AUTOEVENTO="Manual",$M233=1),0,IF(OFFSET(CRONOPLE!$F$14,$M233,AU$13)="",10^12,OFFSET(CRONOPLE!$F$14,$M233,AU$13))))</f>
        <v>1000000000000</v>
      </c>
      <c r="AV233" s="181">
        <f ca="1">IF($D233&lt;&gt;"Serviço",0,IF(AND(AUTOEVENTO="Manual",$M233=1),0,IF(OFFSET(CRONOPLE!$F$14,$M233,AV$13)="",10^12,OFFSET(CRONOPLE!$F$14,$M233,AV$13))))</f>
        <v>1000000000000</v>
      </c>
      <c r="AX233" s="182">
        <f ca="1">IF($D233&lt;&gt;"Serviço",0,IF(OR(AND(AUTOEVENTO="Manual",$M233=1),$M233&gt;(ROW(PLE.lastrow)-ROW(PLE.firstrow))),0,IF(OFFSET(PLE!$G$14,$M233,AX$13)="",10^12,OFFSET(PLE!$G$14,$M233,AX$13))))</f>
        <v>1000000000000</v>
      </c>
      <c r="AY233" s="182">
        <f ca="1">IF($D233&lt;&gt;"Serviço",0,IF(OR(AND(AUTOEVENTO="Manual",$M233=1),$M233&gt;(ROW(PLE.lastrow)-ROW(PLE.firstrow))),0,IF(OFFSET(PLE!$G$14,$M233,AY$13)="",10^12,OFFSET(PLE!$G$14,$M233,AY$13))))</f>
        <v>1000000000000</v>
      </c>
      <c r="AZ233" s="182">
        <f ca="1">IF($D233&lt;&gt;"Serviço",0,IF(OR(AND(AUTOEVENTO="Manual",$M233=1),$M233&gt;(ROW(PLE.lastrow)-ROW(PLE.firstrow))),0,IF(OFFSET(PLE!$G$14,$M233,AZ$13)="",10^12,OFFSET(PLE!$G$14,$M233,AZ$13))))</f>
        <v>1000000000000</v>
      </c>
      <c r="BA233" s="182">
        <f ca="1">IF($D233&lt;&gt;"Serviço",0,IF(OR(AND(AUTOEVENTO="Manual",$M233=1),$M233&gt;(ROW(PLE.lastrow)-ROW(PLE.firstrow))),0,IF(OFFSET(PLE!$G$14,$M233,BA$13)="",10^12,OFFSET(PLE!$G$14,$M233,BA$13))))</f>
        <v>1000000000000</v>
      </c>
      <c r="BB233" s="182">
        <f ca="1">IF($D233&lt;&gt;"Serviço",0,IF(OR(AND(AUTOEVENTO="Manual",$M233=1),$M233&gt;(ROW(PLE.lastrow)-ROW(PLE.firstrow))),0,IF(OFFSET(PLE!$G$14,$M233,BB$13)="",10^12,OFFSET(PLE!$G$14,$M233,BB$13))))</f>
        <v>1000000000000</v>
      </c>
      <c r="BC233" s="182">
        <f ca="1">IF($D233&lt;&gt;"Serviço",0,IF(OR(AND(AUTOEVENTO="Manual",$M233=1),$M233&gt;(ROW(PLE.lastrow)-ROW(PLE.firstrow))),0,IF(OFFSET(PLE!$G$14,$M233,BC$13)="",10^12,OFFSET(PLE!$G$14,$M233,BC$13))))</f>
        <v>1000000000000</v>
      </c>
      <c r="BD233" s="182">
        <f ca="1">IF($D233&lt;&gt;"Serviço",0,IF(OR(AND(AUTOEVENTO="Manual",$M233=1),$M233&gt;(ROW(PLE.lastrow)-ROW(PLE.firstrow))),0,IF(OFFSET(PLE!$G$14,$M233,BD$13)="",10^12,OFFSET(PLE!$G$14,$M233,BD$13))))</f>
        <v>1000000000000</v>
      </c>
      <c r="BE233" s="182">
        <f ca="1">IF($D233&lt;&gt;"Serviço",0,IF(OR(AND(AUTOEVENTO="Manual",$M233=1),$M233&gt;(ROW(PLE.lastrow)-ROW(PLE.firstrow))),0,IF(OFFSET(PLE!$G$14,$M233,BE$13)="",10^12,OFFSET(PLE!$G$14,$M233,BE$13))))</f>
        <v>1000000000000</v>
      </c>
      <c r="BF233" s="182">
        <f ca="1">IF($D233&lt;&gt;"Serviço",0,IF(OR(AND(AUTOEVENTO="Manual",$M233=1),$M233&gt;(ROW(PLE.lastrow)-ROW(PLE.firstrow))),0,IF(OFFSET(PLE!$G$14,$M233,BF$13)="",10^12,OFFSET(PLE!$G$14,$M233,BF$13))))</f>
        <v>1000000000000</v>
      </c>
      <c r="BG233" s="182">
        <f ca="1">IF($D233&lt;&gt;"Serviço",0,IF(OR(AND(AUTOEVENTO="Manual",$M233=1),$M233&gt;(ROW(PLE.lastrow)-ROW(PLE.firstrow))),0,IF(OFFSET(PLE!$G$14,$M233,BG$13)="",10^12,OFFSET(PLE!$G$14,$M233,BG$13))))</f>
        <v>1000000000000</v>
      </c>
    </row>
    <row r="234" spans="1:59" ht="38.25" x14ac:dyDescent="0.2">
      <c r="A234" s="7" t="str">
        <f t="shared" ca="1" si="11"/>
        <v>210</v>
      </c>
      <c r="B234" s="7" t="str">
        <f ca="1">OFFSET(ORÇAMENTO!C$15,ROW(B234)-ROW(B$15),0)</f>
        <v>S</v>
      </c>
      <c r="C234" s="7" t="str">
        <f ca="1">OFFSET(ORÇAMENTO!L$15,ROW(C234)-ROW(C$15),0)</f>
        <v>F</v>
      </c>
      <c r="D234" s="118" t="str">
        <f ca="1">OFFSET(ORÇAMENTO!N$15,ROW(D234)-ROW(D$15),0)</f>
        <v>Serviço</v>
      </c>
      <c r="E234" s="119" t="str">
        <f ca="1">OFFSET(ORÇAMENTO!O$15,ROW(E234)-ROW(E$15),0)</f>
        <v>1.10.0.9.</v>
      </c>
      <c r="F234" s="172" t="str">
        <f ca="1">OFFSET(ORÇAMENTO!R$15,ROW(F234)-ROW(F$15),0)</f>
        <v>(abra o arquivo 'Referência 03-2024.xlsm)</v>
      </c>
      <c r="G234" s="173" t="str">
        <f ca="1">IF($D234&lt;&gt;"Serviço","",OFFSET(ORÇAMENTO!S$15,ROW(G234)-ROW(G$15),0))</f>
        <v>-</v>
      </c>
      <c r="H234" s="124">
        <f ca="1">IF($D234&lt;&gt;"Serviço",0,IF(ACOMPANHAMENTO="BM",ROUND(OFFSET(ORÇAMENTO!AJ$15,ROW(H234)-ROW(H$15),0),15-13*ORÇAMENTO!$AF$7),SUMPRODUCT(($Q$12:$AA$12&lt;&gt;"")*ROUND($Q234:$AA234,15-13*ORÇAMENTO!$AF$7))))</f>
        <v>14.4</v>
      </c>
      <c r="I234" s="561"/>
      <c r="K234" s="174"/>
      <c r="L234" s="175" t="s">
        <v>255</v>
      </c>
      <c r="M234" s="176">
        <f ca="1">IF($D234&lt;&gt;"Serviço","",IF(AUTOEVENTO="manual",$A234,IF(ISERROR(MATCH($A234,$A$15:OFFSET($A234,-1,0),0)),MAX($M$15:OFFSET(M234,-1,0))+1,INDEX($M$15:OFFSET(M234,-1,0),MATCH($A234,$A$15:OFFSET($A234,-1,0),0)))))</f>
        <v>11</v>
      </c>
      <c r="N234" s="177" t="str">
        <f ca="1">IF($D234&lt;&gt;"Serviço","",IF(AUTOEVENTO="Manual",IF($A234=0,"&lt;-- defina o número do agrupador",OFFSET(EVENTOS!$D$14,$A234,0)),OFFSET($F$15,$A234,0)))</f>
        <v>PLAYGROUND</v>
      </c>
      <c r="O234" s="178"/>
      <c r="Q234" s="178"/>
      <c r="R234" s="179"/>
      <c r="S234" s="179"/>
      <c r="T234" s="179"/>
      <c r="U234" s="179"/>
      <c r="V234" s="179"/>
      <c r="W234" s="179"/>
      <c r="X234" s="179"/>
      <c r="Y234" s="179"/>
      <c r="Z234" s="180"/>
      <c r="AB234" s="544">
        <f ca="1">IF(AND($D234="Serviço",AB$12&lt;&gt;0,$H234&gt;0,OR(AUTOEVENTO&lt;&gt;"manual",$M234&lt;&gt;1)),
IF(Import.TipoArredondamento&lt;&gt;"TransfereGOV",
ROUND(OFFSET($P234,0,AB$13),15-13*ORÇAMENTO!$AF$7)/$H234*OFFSET(ORÇAMENTO!$X$15,ROW(AB234)-ROW(AB$15),0),
ROUND(ROUND(OFFSET($P234,0,AB$13),15-13*ORÇAMENTO!$AF$7)*OFFSET(ORÇAMENTO!$W$15,ROW(AB234)-ROW(AB$15),0),15-13*ORÇAMENTO!$AF$11)),0)</f>
        <v>0</v>
      </c>
      <c r="AC234" s="545">
        <f ca="1">IF(AND($D234="Serviço",AC$12&lt;&gt;0,$H234&gt;0,OR(AUTOEVENTO&lt;&gt;"manual",$M234&lt;&gt;1)),
IF(Import.TipoArredondamento&lt;&gt;"TransfereGOV",
ROUND(OFFSET($P234,0,AC$13),15-13*ORÇAMENTO!$AF$7)/$H234*OFFSET(ORÇAMENTO!$X$15,ROW(AC234)-ROW(AC$15),0),
ROUND(ROUND(OFFSET($P234,0,AC$13),15-13*ORÇAMENTO!$AF$7)*OFFSET(ORÇAMENTO!$W$15,ROW(AC234)-ROW(AC$15),0),15-13*ORÇAMENTO!$AF$11)),0)</f>
        <v>0</v>
      </c>
      <c r="AD234" s="545">
        <f ca="1">IF(AND($D234="Serviço",AD$12&lt;&gt;0,$H234&gt;0,OR(AUTOEVENTO&lt;&gt;"manual",$M234&lt;&gt;1)),
IF(Import.TipoArredondamento&lt;&gt;"TransfereGOV",
ROUND(OFFSET($P234,0,AD$13),15-13*ORÇAMENTO!$AF$7)/$H234*OFFSET(ORÇAMENTO!$X$15,ROW(AD234)-ROW(AD$15),0),
ROUND(ROUND(OFFSET($P234,0,AD$13),15-13*ORÇAMENTO!$AF$7)*OFFSET(ORÇAMENTO!$W$15,ROW(AD234)-ROW(AD$15),0),15-13*ORÇAMENTO!$AF$11)),0)</f>
        <v>0</v>
      </c>
      <c r="AE234" s="545">
        <f ca="1">IF(AND($D234="Serviço",AE$12&lt;&gt;0,$H234&gt;0,OR(AUTOEVENTO&lt;&gt;"manual",$M234&lt;&gt;1)),
IF(Import.TipoArredondamento&lt;&gt;"TransfereGOV",
ROUND(OFFSET($P234,0,AE$13),15-13*ORÇAMENTO!$AF$7)/$H234*OFFSET(ORÇAMENTO!$X$15,ROW(AE234)-ROW(AE$15),0),
ROUND(ROUND(OFFSET($P234,0,AE$13),15-13*ORÇAMENTO!$AF$7)*OFFSET(ORÇAMENTO!$W$15,ROW(AE234)-ROW(AE$15),0),15-13*ORÇAMENTO!$AF$11)),0)</f>
        <v>0</v>
      </c>
      <c r="AF234" s="545">
        <f ca="1">IF(AND($D234="Serviço",AF$12&lt;&gt;0,$H234&gt;0,OR(AUTOEVENTO&lt;&gt;"manual",$M234&lt;&gt;1)),
IF(Import.TipoArredondamento&lt;&gt;"TransfereGOV",
ROUND(OFFSET($P234,0,AF$13),15-13*ORÇAMENTO!$AF$7)/$H234*OFFSET(ORÇAMENTO!$X$15,ROW(AF234)-ROW(AF$15),0),
ROUND(ROUND(OFFSET($P234,0,AF$13),15-13*ORÇAMENTO!$AF$7)*OFFSET(ORÇAMENTO!$W$15,ROW(AF234)-ROW(AF$15),0),15-13*ORÇAMENTO!$AF$11)),0)</f>
        <v>0</v>
      </c>
      <c r="AG234" s="545">
        <f ca="1">IF(AND($D234="Serviço",AG$12&lt;&gt;0,$H234&gt;0,OR(AUTOEVENTO&lt;&gt;"manual",$M234&lt;&gt;1)),
IF(Import.TipoArredondamento&lt;&gt;"TransfereGOV",
ROUND(OFFSET($P234,0,AG$13),15-13*ORÇAMENTO!$AF$7)/$H234*OFFSET(ORÇAMENTO!$X$15,ROW(AG234)-ROW(AG$15),0),
ROUND(ROUND(OFFSET($P234,0,AG$13),15-13*ORÇAMENTO!$AF$7)*OFFSET(ORÇAMENTO!$W$15,ROW(AG234)-ROW(AG$15),0),15-13*ORÇAMENTO!$AF$11)),0)</f>
        <v>0</v>
      </c>
      <c r="AH234" s="545">
        <f ca="1">IF(AND($D234="Serviço",AH$12&lt;&gt;0,$H234&gt;0,OR(AUTOEVENTO&lt;&gt;"manual",$M234&lt;&gt;1)),
IF(Import.TipoArredondamento&lt;&gt;"TransfereGOV",
ROUND(OFFSET($P234,0,AH$13),15-13*ORÇAMENTO!$AF$7)/$H234*OFFSET(ORÇAMENTO!$X$15,ROW(AH234)-ROW(AH$15),0),
ROUND(ROUND(OFFSET($P234,0,AH$13),15-13*ORÇAMENTO!$AF$7)*OFFSET(ORÇAMENTO!$W$15,ROW(AH234)-ROW(AH$15),0),15-13*ORÇAMENTO!$AF$11)),0)</f>
        <v>0</v>
      </c>
      <c r="AI234" s="545">
        <f ca="1">IF(AND($D234="Serviço",AI$12&lt;&gt;0,$H234&gt;0,OR(AUTOEVENTO&lt;&gt;"manual",$M234&lt;&gt;1)),
IF(Import.TipoArredondamento&lt;&gt;"TransfereGOV",
ROUND(OFFSET($P234,0,AI$13),15-13*ORÇAMENTO!$AF$7)/$H234*OFFSET(ORÇAMENTO!$X$15,ROW(AI234)-ROW(AI$15),0),
ROUND(ROUND(OFFSET($P234,0,AI$13),15-13*ORÇAMENTO!$AF$7)*OFFSET(ORÇAMENTO!$W$15,ROW(AI234)-ROW(AI$15),0),15-13*ORÇAMENTO!$AF$11)),0)</f>
        <v>0</v>
      </c>
      <c r="AJ234" s="545">
        <f ca="1">IF(AND($D234="Serviço",AJ$12&lt;&gt;0,$H234&gt;0,OR(AUTOEVENTO&lt;&gt;"manual",$M234&lt;&gt;1)),
IF(Import.TipoArredondamento&lt;&gt;"TransfereGOV",
ROUND(OFFSET($P234,0,AJ$13),15-13*ORÇAMENTO!$AF$7)/$H234*OFFSET(ORÇAMENTO!$X$15,ROW(AJ234)-ROW(AJ$15),0),
ROUND(ROUND(OFFSET($P234,0,AJ$13),15-13*ORÇAMENTO!$AF$7)*OFFSET(ORÇAMENTO!$W$15,ROW(AJ234)-ROW(AJ$15),0),15-13*ORÇAMENTO!$AF$11)),0)</f>
        <v>0</v>
      </c>
      <c r="AK234" s="546">
        <f ca="1">IF(AND($D234="Serviço",AK$12&lt;&gt;0,$H234&gt;0,OR(AUTOEVENTO&lt;&gt;"manual",$M234&lt;&gt;1)),
IF(Import.TipoArredondamento&lt;&gt;"TransfereGOV",
ROUND(OFFSET($P234,0,AK$13),15-13*ORÇAMENTO!$AF$7)/$H234*OFFSET(ORÇAMENTO!$X$15,ROW(AK234)-ROW(AK$15),0),
ROUND(ROUND(OFFSET($P234,0,AK$13),15-13*ORÇAMENTO!$AF$7)*OFFSET(ORÇAMENTO!$W$15,ROW(AK234)-ROW(AK$15),0),15-13*ORÇAMENTO!$AF$11)),0)</f>
        <v>0</v>
      </c>
      <c r="AM234" s="181">
        <f ca="1">IF($D234&lt;&gt;"Serviço",0,IF(AND(AUTOEVENTO="Manual",$M234=1),0,IF(OFFSET(CRONOPLE!$F$14,$M234,AM$13)="",10^12,OFFSET(CRONOPLE!$F$14,$M234,AM$13))))</f>
        <v>1000000000000</v>
      </c>
      <c r="AN234" s="181">
        <f ca="1">IF($D234&lt;&gt;"Serviço",0,IF(AND(AUTOEVENTO="Manual",$M234=1),0,IF(OFFSET(CRONOPLE!$F$14,$M234,AN$13)="",10^12,OFFSET(CRONOPLE!$F$14,$M234,AN$13))))</f>
        <v>1000000000000</v>
      </c>
      <c r="AO234" s="181">
        <f ca="1">IF($D234&lt;&gt;"Serviço",0,IF(AND(AUTOEVENTO="Manual",$M234=1),0,IF(OFFSET(CRONOPLE!$F$14,$M234,AO$13)="",10^12,OFFSET(CRONOPLE!$F$14,$M234,AO$13))))</f>
        <v>1000000000000</v>
      </c>
      <c r="AP234" s="181">
        <f ca="1">IF($D234&lt;&gt;"Serviço",0,IF(AND(AUTOEVENTO="Manual",$M234=1),0,IF(OFFSET(CRONOPLE!$F$14,$M234,AP$13)="",10^12,OFFSET(CRONOPLE!$F$14,$M234,AP$13))))</f>
        <v>1000000000000</v>
      </c>
      <c r="AQ234" s="181">
        <f ca="1">IF($D234&lt;&gt;"Serviço",0,IF(AND(AUTOEVENTO="Manual",$M234=1),0,IF(OFFSET(CRONOPLE!$F$14,$M234,AQ$13)="",10^12,OFFSET(CRONOPLE!$F$14,$M234,AQ$13))))</f>
        <v>1000000000000</v>
      </c>
      <c r="AR234" s="181">
        <f ca="1">IF($D234&lt;&gt;"Serviço",0,IF(AND(AUTOEVENTO="Manual",$M234=1),0,IF(OFFSET(CRONOPLE!$F$14,$M234,AR$13)="",10^12,OFFSET(CRONOPLE!$F$14,$M234,AR$13))))</f>
        <v>1000000000000</v>
      </c>
      <c r="AS234" s="181">
        <f ca="1">IF($D234&lt;&gt;"Serviço",0,IF(AND(AUTOEVENTO="Manual",$M234=1),0,IF(OFFSET(CRONOPLE!$F$14,$M234,AS$13)="",10^12,OFFSET(CRONOPLE!$F$14,$M234,AS$13))))</f>
        <v>1000000000000</v>
      </c>
      <c r="AT234" s="181">
        <f ca="1">IF($D234&lt;&gt;"Serviço",0,IF(AND(AUTOEVENTO="Manual",$M234=1),0,IF(OFFSET(CRONOPLE!$F$14,$M234,AT$13)="",10^12,OFFSET(CRONOPLE!$F$14,$M234,AT$13))))</f>
        <v>1000000000000</v>
      </c>
      <c r="AU234" s="181">
        <f ca="1">IF($D234&lt;&gt;"Serviço",0,IF(AND(AUTOEVENTO="Manual",$M234=1),0,IF(OFFSET(CRONOPLE!$F$14,$M234,AU$13)="",10^12,OFFSET(CRONOPLE!$F$14,$M234,AU$13))))</f>
        <v>1000000000000</v>
      </c>
      <c r="AV234" s="181">
        <f ca="1">IF($D234&lt;&gt;"Serviço",0,IF(AND(AUTOEVENTO="Manual",$M234=1),0,IF(OFFSET(CRONOPLE!$F$14,$M234,AV$13)="",10^12,OFFSET(CRONOPLE!$F$14,$M234,AV$13))))</f>
        <v>1000000000000</v>
      </c>
      <c r="AX234" s="182">
        <f ca="1">IF($D234&lt;&gt;"Serviço",0,IF(OR(AND(AUTOEVENTO="Manual",$M234=1),$M234&gt;(ROW(PLE.lastrow)-ROW(PLE.firstrow))),0,IF(OFFSET(PLE!$G$14,$M234,AX$13)="",10^12,OFFSET(PLE!$G$14,$M234,AX$13))))</f>
        <v>1000000000000</v>
      </c>
      <c r="AY234" s="182">
        <f ca="1">IF($D234&lt;&gt;"Serviço",0,IF(OR(AND(AUTOEVENTO="Manual",$M234=1),$M234&gt;(ROW(PLE.lastrow)-ROW(PLE.firstrow))),0,IF(OFFSET(PLE!$G$14,$M234,AY$13)="",10^12,OFFSET(PLE!$G$14,$M234,AY$13))))</f>
        <v>1000000000000</v>
      </c>
      <c r="AZ234" s="182">
        <f ca="1">IF($D234&lt;&gt;"Serviço",0,IF(OR(AND(AUTOEVENTO="Manual",$M234=1),$M234&gt;(ROW(PLE.lastrow)-ROW(PLE.firstrow))),0,IF(OFFSET(PLE!$G$14,$M234,AZ$13)="",10^12,OFFSET(PLE!$G$14,$M234,AZ$13))))</f>
        <v>1000000000000</v>
      </c>
      <c r="BA234" s="182">
        <f ca="1">IF($D234&lt;&gt;"Serviço",0,IF(OR(AND(AUTOEVENTO="Manual",$M234=1),$M234&gt;(ROW(PLE.lastrow)-ROW(PLE.firstrow))),0,IF(OFFSET(PLE!$G$14,$M234,BA$13)="",10^12,OFFSET(PLE!$G$14,$M234,BA$13))))</f>
        <v>1000000000000</v>
      </c>
      <c r="BB234" s="182">
        <f ca="1">IF($D234&lt;&gt;"Serviço",0,IF(OR(AND(AUTOEVENTO="Manual",$M234=1),$M234&gt;(ROW(PLE.lastrow)-ROW(PLE.firstrow))),0,IF(OFFSET(PLE!$G$14,$M234,BB$13)="",10^12,OFFSET(PLE!$G$14,$M234,BB$13))))</f>
        <v>1000000000000</v>
      </c>
      <c r="BC234" s="182">
        <f ca="1">IF($D234&lt;&gt;"Serviço",0,IF(OR(AND(AUTOEVENTO="Manual",$M234=1),$M234&gt;(ROW(PLE.lastrow)-ROW(PLE.firstrow))),0,IF(OFFSET(PLE!$G$14,$M234,BC$13)="",10^12,OFFSET(PLE!$G$14,$M234,BC$13))))</f>
        <v>1000000000000</v>
      </c>
      <c r="BD234" s="182">
        <f ca="1">IF($D234&lt;&gt;"Serviço",0,IF(OR(AND(AUTOEVENTO="Manual",$M234=1),$M234&gt;(ROW(PLE.lastrow)-ROW(PLE.firstrow))),0,IF(OFFSET(PLE!$G$14,$M234,BD$13)="",10^12,OFFSET(PLE!$G$14,$M234,BD$13))))</f>
        <v>1000000000000</v>
      </c>
      <c r="BE234" s="182">
        <f ca="1">IF($D234&lt;&gt;"Serviço",0,IF(OR(AND(AUTOEVENTO="Manual",$M234=1),$M234&gt;(ROW(PLE.lastrow)-ROW(PLE.firstrow))),0,IF(OFFSET(PLE!$G$14,$M234,BE$13)="",10^12,OFFSET(PLE!$G$14,$M234,BE$13))))</f>
        <v>1000000000000</v>
      </c>
      <c r="BF234" s="182">
        <f ca="1">IF($D234&lt;&gt;"Serviço",0,IF(OR(AND(AUTOEVENTO="Manual",$M234=1),$M234&gt;(ROW(PLE.lastrow)-ROW(PLE.firstrow))),0,IF(OFFSET(PLE!$G$14,$M234,BF$13)="",10^12,OFFSET(PLE!$G$14,$M234,BF$13))))</f>
        <v>1000000000000</v>
      </c>
      <c r="BG234" s="182">
        <f ca="1">IF($D234&lt;&gt;"Serviço",0,IF(OR(AND(AUTOEVENTO="Manual",$M234=1),$M234&gt;(ROW(PLE.lastrow)-ROW(PLE.firstrow))),0,IF(OFFSET(PLE!$G$14,$M234,BG$13)="",10^12,OFFSET(PLE!$G$14,$M234,BG$13))))</f>
        <v>1000000000000</v>
      </c>
    </row>
    <row r="235" spans="1:59" ht="63.75" x14ac:dyDescent="0.2">
      <c r="A235" s="7" t="str">
        <f t="shared" ca="1" si="11"/>
        <v>210</v>
      </c>
      <c r="B235" s="7" t="str">
        <f ca="1">OFFSET(ORÇAMENTO!C$15,ROW(B235)-ROW(B$15),0)</f>
        <v>S</v>
      </c>
      <c r="C235" s="7" t="str">
        <f ca="1">OFFSET(ORÇAMENTO!L$15,ROW(C235)-ROW(C$15),0)</f>
        <v>F</v>
      </c>
      <c r="D235" s="118" t="str">
        <f ca="1">OFFSET(ORÇAMENTO!N$15,ROW(D235)-ROW(D$15),0)</f>
        <v>Serviço</v>
      </c>
      <c r="E235" s="119" t="str">
        <f ca="1">OFFSET(ORÇAMENTO!O$15,ROW(E235)-ROW(E$15),0)</f>
        <v>1.10.0.10.</v>
      </c>
      <c r="F235" s="172" t="str">
        <f ca="1">OFFSET(ORÇAMENTO!R$15,ROW(F235)-ROW(F$15),0)</f>
        <v>(abra o arquivo 'Referência 03-2024.xlsm)</v>
      </c>
      <c r="G235" s="173" t="str">
        <f ca="1">IF($D235&lt;&gt;"Serviço","",OFFSET(ORÇAMENTO!S$15,ROW(G235)-ROW(G$15),0))</f>
        <v>-</v>
      </c>
      <c r="H235" s="124">
        <f ca="1">IF($D235&lt;&gt;"Serviço",0,IF(ACOMPANHAMENTO="BM",ROUND(OFFSET(ORÇAMENTO!AJ$15,ROW(H235)-ROW(H$15),0),15-13*ORÇAMENTO!$AF$7),SUMPRODUCT(($Q$12:$AA$12&lt;&gt;"")*ROUND($Q235:$AA235,15-13*ORÇAMENTO!$AF$7))))</f>
        <v>55.2</v>
      </c>
      <c r="I235" s="561"/>
      <c r="K235" s="174"/>
      <c r="L235" s="175" t="s">
        <v>255</v>
      </c>
      <c r="M235" s="176">
        <f ca="1">IF($D235&lt;&gt;"Serviço","",IF(AUTOEVENTO="manual",$A235,IF(ISERROR(MATCH($A235,$A$15:OFFSET($A235,-1,0),0)),MAX($M$15:OFFSET(M235,-1,0))+1,INDEX($M$15:OFFSET(M235,-1,0),MATCH($A235,$A$15:OFFSET($A235,-1,0),0)))))</f>
        <v>11</v>
      </c>
      <c r="N235" s="177" t="str">
        <f ca="1">IF($D235&lt;&gt;"Serviço","",IF(AUTOEVENTO="Manual",IF($A235=0,"&lt;-- defina o número do agrupador",OFFSET(EVENTOS!$D$14,$A235,0)),OFFSET($F$15,$A235,0)))</f>
        <v>PLAYGROUND</v>
      </c>
      <c r="O235" s="178"/>
      <c r="Q235" s="178"/>
      <c r="R235" s="179"/>
      <c r="S235" s="179"/>
      <c r="T235" s="179"/>
      <c r="U235" s="179"/>
      <c r="V235" s="179"/>
      <c r="W235" s="179"/>
      <c r="X235" s="179"/>
      <c r="Y235" s="179"/>
      <c r="Z235" s="180"/>
      <c r="AB235" s="544">
        <f ca="1">IF(AND($D235="Serviço",AB$12&lt;&gt;0,$H235&gt;0,OR(AUTOEVENTO&lt;&gt;"manual",$M235&lt;&gt;1)),
IF(Import.TipoArredondamento&lt;&gt;"TransfereGOV",
ROUND(OFFSET($P235,0,AB$13),15-13*ORÇAMENTO!$AF$7)/$H235*OFFSET(ORÇAMENTO!$X$15,ROW(AB235)-ROW(AB$15),0),
ROUND(ROUND(OFFSET($P235,0,AB$13),15-13*ORÇAMENTO!$AF$7)*OFFSET(ORÇAMENTO!$W$15,ROW(AB235)-ROW(AB$15),0),15-13*ORÇAMENTO!$AF$11)),0)</f>
        <v>0</v>
      </c>
      <c r="AC235" s="545">
        <f ca="1">IF(AND($D235="Serviço",AC$12&lt;&gt;0,$H235&gt;0,OR(AUTOEVENTO&lt;&gt;"manual",$M235&lt;&gt;1)),
IF(Import.TipoArredondamento&lt;&gt;"TransfereGOV",
ROUND(OFFSET($P235,0,AC$13),15-13*ORÇAMENTO!$AF$7)/$H235*OFFSET(ORÇAMENTO!$X$15,ROW(AC235)-ROW(AC$15),0),
ROUND(ROUND(OFFSET($P235,0,AC$13),15-13*ORÇAMENTO!$AF$7)*OFFSET(ORÇAMENTO!$W$15,ROW(AC235)-ROW(AC$15),0),15-13*ORÇAMENTO!$AF$11)),0)</f>
        <v>0</v>
      </c>
      <c r="AD235" s="545">
        <f ca="1">IF(AND($D235="Serviço",AD$12&lt;&gt;0,$H235&gt;0,OR(AUTOEVENTO&lt;&gt;"manual",$M235&lt;&gt;1)),
IF(Import.TipoArredondamento&lt;&gt;"TransfereGOV",
ROUND(OFFSET($P235,0,AD$13),15-13*ORÇAMENTO!$AF$7)/$H235*OFFSET(ORÇAMENTO!$X$15,ROW(AD235)-ROW(AD$15),0),
ROUND(ROUND(OFFSET($P235,0,AD$13),15-13*ORÇAMENTO!$AF$7)*OFFSET(ORÇAMENTO!$W$15,ROW(AD235)-ROW(AD$15),0),15-13*ORÇAMENTO!$AF$11)),0)</f>
        <v>0</v>
      </c>
      <c r="AE235" s="545">
        <f ca="1">IF(AND($D235="Serviço",AE$12&lt;&gt;0,$H235&gt;0,OR(AUTOEVENTO&lt;&gt;"manual",$M235&lt;&gt;1)),
IF(Import.TipoArredondamento&lt;&gt;"TransfereGOV",
ROUND(OFFSET($P235,0,AE$13),15-13*ORÇAMENTO!$AF$7)/$H235*OFFSET(ORÇAMENTO!$X$15,ROW(AE235)-ROW(AE$15),0),
ROUND(ROUND(OFFSET($P235,0,AE$13),15-13*ORÇAMENTO!$AF$7)*OFFSET(ORÇAMENTO!$W$15,ROW(AE235)-ROW(AE$15),0),15-13*ORÇAMENTO!$AF$11)),0)</f>
        <v>0</v>
      </c>
      <c r="AF235" s="545">
        <f ca="1">IF(AND($D235="Serviço",AF$12&lt;&gt;0,$H235&gt;0,OR(AUTOEVENTO&lt;&gt;"manual",$M235&lt;&gt;1)),
IF(Import.TipoArredondamento&lt;&gt;"TransfereGOV",
ROUND(OFFSET($P235,0,AF$13),15-13*ORÇAMENTO!$AF$7)/$H235*OFFSET(ORÇAMENTO!$X$15,ROW(AF235)-ROW(AF$15),0),
ROUND(ROUND(OFFSET($P235,0,AF$13),15-13*ORÇAMENTO!$AF$7)*OFFSET(ORÇAMENTO!$W$15,ROW(AF235)-ROW(AF$15),0),15-13*ORÇAMENTO!$AF$11)),0)</f>
        <v>0</v>
      </c>
      <c r="AG235" s="545">
        <f ca="1">IF(AND($D235="Serviço",AG$12&lt;&gt;0,$H235&gt;0,OR(AUTOEVENTO&lt;&gt;"manual",$M235&lt;&gt;1)),
IF(Import.TipoArredondamento&lt;&gt;"TransfereGOV",
ROUND(OFFSET($P235,0,AG$13),15-13*ORÇAMENTO!$AF$7)/$H235*OFFSET(ORÇAMENTO!$X$15,ROW(AG235)-ROW(AG$15),0),
ROUND(ROUND(OFFSET($P235,0,AG$13),15-13*ORÇAMENTO!$AF$7)*OFFSET(ORÇAMENTO!$W$15,ROW(AG235)-ROW(AG$15),0),15-13*ORÇAMENTO!$AF$11)),0)</f>
        <v>0</v>
      </c>
      <c r="AH235" s="545">
        <f ca="1">IF(AND($D235="Serviço",AH$12&lt;&gt;0,$H235&gt;0,OR(AUTOEVENTO&lt;&gt;"manual",$M235&lt;&gt;1)),
IF(Import.TipoArredondamento&lt;&gt;"TransfereGOV",
ROUND(OFFSET($P235,0,AH$13),15-13*ORÇAMENTO!$AF$7)/$H235*OFFSET(ORÇAMENTO!$X$15,ROW(AH235)-ROW(AH$15),0),
ROUND(ROUND(OFFSET($P235,0,AH$13),15-13*ORÇAMENTO!$AF$7)*OFFSET(ORÇAMENTO!$W$15,ROW(AH235)-ROW(AH$15),0),15-13*ORÇAMENTO!$AF$11)),0)</f>
        <v>0</v>
      </c>
      <c r="AI235" s="545">
        <f ca="1">IF(AND($D235="Serviço",AI$12&lt;&gt;0,$H235&gt;0,OR(AUTOEVENTO&lt;&gt;"manual",$M235&lt;&gt;1)),
IF(Import.TipoArredondamento&lt;&gt;"TransfereGOV",
ROUND(OFFSET($P235,0,AI$13),15-13*ORÇAMENTO!$AF$7)/$H235*OFFSET(ORÇAMENTO!$X$15,ROW(AI235)-ROW(AI$15),0),
ROUND(ROUND(OFFSET($P235,0,AI$13),15-13*ORÇAMENTO!$AF$7)*OFFSET(ORÇAMENTO!$W$15,ROW(AI235)-ROW(AI$15),0),15-13*ORÇAMENTO!$AF$11)),0)</f>
        <v>0</v>
      </c>
      <c r="AJ235" s="545">
        <f ca="1">IF(AND($D235="Serviço",AJ$12&lt;&gt;0,$H235&gt;0,OR(AUTOEVENTO&lt;&gt;"manual",$M235&lt;&gt;1)),
IF(Import.TipoArredondamento&lt;&gt;"TransfereGOV",
ROUND(OFFSET($P235,0,AJ$13),15-13*ORÇAMENTO!$AF$7)/$H235*OFFSET(ORÇAMENTO!$X$15,ROW(AJ235)-ROW(AJ$15),0),
ROUND(ROUND(OFFSET($P235,0,AJ$13),15-13*ORÇAMENTO!$AF$7)*OFFSET(ORÇAMENTO!$W$15,ROW(AJ235)-ROW(AJ$15),0),15-13*ORÇAMENTO!$AF$11)),0)</f>
        <v>0</v>
      </c>
      <c r="AK235" s="546">
        <f ca="1">IF(AND($D235="Serviço",AK$12&lt;&gt;0,$H235&gt;0,OR(AUTOEVENTO&lt;&gt;"manual",$M235&lt;&gt;1)),
IF(Import.TipoArredondamento&lt;&gt;"TransfereGOV",
ROUND(OFFSET($P235,0,AK$13),15-13*ORÇAMENTO!$AF$7)/$H235*OFFSET(ORÇAMENTO!$X$15,ROW(AK235)-ROW(AK$15),0),
ROUND(ROUND(OFFSET($P235,0,AK$13),15-13*ORÇAMENTO!$AF$7)*OFFSET(ORÇAMENTO!$W$15,ROW(AK235)-ROW(AK$15),0),15-13*ORÇAMENTO!$AF$11)),0)</f>
        <v>0</v>
      </c>
      <c r="AM235" s="181">
        <f ca="1">IF($D235&lt;&gt;"Serviço",0,IF(AND(AUTOEVENTO="Manual",$M235=1),0,IF(OFFSET(CRONOPLE!$F$14,$M235,AM$13)="",10^12,OFFSET(CRONOPLE!$F$14,$M235,AM$13))))</f>
        <v>1000000000000</v>
      </c>
      <c r="AN235" s="181">
        <f ca="1">IF($D235&lt;&gt;"Serviço",0,IF(AND(AUTOEVENTO="Manual",$M235=1),0,IF(OFFSET(CRONOPLE!$F$14,$M235,AN$13)="",10^12,OFFSET(CRONOPLE!$F$14,$M235,AN$13))))</f>
        <v>1000000000000</v>
      </c>
      <c r="AO235" s="181">
        <f ca="1">IF($D235&lt;&gt;"Serviço",0,IF(AND(AUTOEVENTO="Manual",$M235=1),0,IF(OFFSET(CRONOPLE!$F$14,$M235,AO$13)="",10^12,OFFSET(CRONOPLE!$F$14,$M235,AO$13))))</f>
        <v>1000000000000</v>
      </c>
      <c r="AP235" s="181">
        <f ca="1">IF($D235&lt;&gt;"Serviço",0,IF(AND(AUTOEVENTO="Manual",$M235=1),0,IF(OFFSET(CRONOPLE!$F$14,$M235,AP$13)="",10^12,OFFSET(CRONOPLE!$F$14,$M235,AP$13))))</f>
        <v>1000000000000</v>
      </c>
      <c r="AQ235" s="181">
        <f ca="1">IF($D235&lt;&gt;"Serviço",0,IF(AND(AUTOEVENTO="Manual",$M235=1),0,IF(OFFSET(CRONOPLE!$F$14,$M235,AQ$13)="",10^12,OFFSET(CRONOPLE!$F$14,$M235,AQ$13))))</f>
        <v>1000000000000</v>
      </c>
      <c r="AR235" s="181">
        <f ca="1">IF($D235&lt;&gt;"Serviço",0,IF(AND(AUTOEVENTO="Manual",$M235=1),0,IF(OFFSET(CRONOPLE!$F$14,$M235,AR$13)="",10^12,OFFSET(CRONOPLE!$F$14,$M235,AR$13))))</f>
        <v>1000000000000</v>
      </c>
      <c r="AS235" s="181">
        <f ca="1">IF($D235&lt;&gt;"Serviço",0,IF(AND(AUTOEVENTO="Manual",$M235=1),0,IF(OFFSET(CRONOPLE!$F$14,$M235,AS$13)="",10^12,OFFSET(CRONOPLE!$F$14,$M235,AS$13))))</f>
        <v>1000000000000</v>
      </c>
      <c r="AT235" s="181">
        <f ca="1">IF($D235&lt;&gt;"Serviço",0,IF(AND(AUTOEVENTO="Manual",$M235=1),0,IF(OFFSET(CRONOPLE!$F$14,$M235,AT$13)="",10^12,OFFSET(CRONOPLE!$F$14,$M235,AT$13))))</f>
        <v>1000000000000</v>
      </c>
      <c r="AU235" s="181">
        <f ca="1">IF($D235&lt;&gt;"Serviço",0,IF(AND(AUTOEVENTO="Manual",$M235=1),0,IF(OFFSET(CRONOPLE!$F$14,$M235,AU$13)="",10^12,OFFSET(CRONOPLE!$F$14,$M235,AU$13))))</f>
        <v>1000000000000</v>
      </c>
      <c r="AV235" s="181">
        <f ca="1">IF($D235&lt;&gt;"Serviço",0,IF(AND(AUTOEVENTO="Manual",$M235=1),0,IF(OFFSET(CRONOPLE!$F$14,$M235,AV$13)="",10^12,OFFSET(CRONOPLE!$F$14,$M235,AV$13))))</f>
        <v>1000000000000</v>
      </c>
      <c r="AX235" s="182">
        <f ca="1">IF($D235&lt;&gt;"Serviço",0,IF(OR(AND(AUTOEVENTO="Manual",$M235=1),$M235&gt;(ROW(PLE.lastrow)-ROW(PLE.firstrow))),0,IF(OFFSET(PLE!$G$14,$M235,AX$13)="",10^12,OFFSET(PLE!$G$14,$M235,AX$13))))</f>
        <v>1000000000000</v>
      </c>
      <c r="AY235" s="182">
        <f ca="1">IF($D235&lt;&gt;"Serviço",0,IF(OR(AND(AUTOEVENTO="Manual",$M235=1),$M235&gt;(ROW(PLE.lastrow)-ROW(PLE.firstrow))),0,IF(OFFSET(PLE!$G$14,$M235,AY$13)="",10^12,OFFSET(PLE!$G$14,$M235,AY$13))))</f>
        <v>1000000000000</v>
      </c>
      <c r="AZ235" s="182">
        <f ca="1">IF($D235&lt;&gt;"Serviço",0,IF(OR(AND(AUTOEVENTO="Manual",$M235=1),$M235&gt;(ROW(PLE.lastrow)-ROW(PLE.firstrow))),0,IF(OFFSET(PLE!$G$14,$M235,AZ$13)="",10^12,OFFSET(PLE!$G$14,$M235,AZ$13))))</f>
        <v>1000000000000</v>
      </c>
      <c r="BA235" s="182">
        <f ca="1">IF($D235&lt;&gt;"Serviço",0,IF(OR(AND(AUTOEVENTO="Manual",$M235=1),$M235&gt;(ROW(PLE.lastrow)-ROW(PLE.firstrow))),0,IF(OFFSET(PLE!$G$14,$M235,BA$13)="",10^12,OFFSET(PLE!$G$14,$M235,BA$13))))</f>
        <v>1000000000000</v>
      </c>
      <c r="BB235" s="182">
        <f ca="1">IF($D235&lt;&gt;"Serviço",0,IF(OR(AND(AUTOEVENTO="Manual",$M235=1),$M235&gt;(ROW(PLE.lastrow)-ROW(PLE.firstrow))),0,IF(OFFSET(PLE!$G$14,$M235,BB$13)="",10^12,OFFSET(PLE!$G$14,$M235,BB$13))))</f>
        <v>1000000000000</v>
      </c>
      <c r="BC235" s="182">
        <f ca="1">IF($D235&lt;&gt;"Serviço",0,IF(OR(AND(AUTOEVENTO="Manual",$M235=1),$M235&gt;(ROW(PLE.lastrow)-ROW(PLE.firstrow))),0,IF(OFFSET(PLE!$G$14,$M235,BC$13)="",10^12,OFFSET(PLE!$G$14,$M235,BC$13))))</f>
        <v>1000000000000</v>
      </c>
      <c r="BD235" s="182">
        <f ca="1">IF($D235&lt;&gt;"Serviço",0,IF(OR(AND(AUTOEVENTO="Manual",$M235=1),$M235&gt;(ROW(PLE.lastrow)-ROW(PLE.firstrow))),0,IF(OFFSET(PLE!$G$14,$M235,BD$13)="",10^12,OFFSET(PLE!$G$14,$M235,BD$13))))</f>
        <v>1000000000000</v>
      </c>
      <c r="BE235" s="182">
        <f ca="1">IF($D235&lt;&gt;"Serviço",0,IF(OR(AND(AUTOEVENTO="Manual",$M235=1),$M235&gt;(ROW(PLE.lastrow)-ROW(PLE.firstrow))),0,IF(OFFSET(PLE!$G$14,$M235,BE$13)="",10^12,OFFSET(PLE!$G$14,$M235,BE$13))))</f>
        <v>1000000000000</v>
      </c>
      <c r="BF235" s="182">
        <f ca="1">IF($D235&lt;&gt;"Serviço",0,IF(OR(AND(AUTOEVENTO="Manual",$M235=1),$M235&gt;(ROW(PLE.lastrow)-ROW(PLE.firstrow))),0,IF(OFFSET(PLE!$G$14,$M235,BF$13)="",10^12,OFFSET(PLE!$G$14,$M235,BF$13))))</f>
        <v>1000000000000</v>
      </c>
      <c r="BG235" s="182">
        <f ca="1">IF($D235&lt;&gt;"Serviço",0,IF(OR(AND(AUTOEVENTO="Manual",$M235=1),$M235&gt;(ROW(PLE.lastrow)-ROW(PLE.firstrow))),0,IF(OFFSET(PLE!$G$14,$M235,BG$13)="",10^12,OFFSET(PLE!$G$14,$M235,BG$13))))</f>
        <v>1000000000000</v>
      </c>
    </row>
    <row r="236" spans="1:59" ht="63.75" x14ac:dyDescent="0.2">
      <c r="A236" s="7" t="str">
        <f t="shared" ca="1" si="11"/>
        <v>210</v>
      </c>
      <c r="B236" s="7" t="str">
        <f ca="1">OFFSET(ORÇAMENTO!C$15,ROW(B236)-ROW(B$15),0)</f>
        <v>S</v>
      </c>
      <c r="C236" s="7" t="str">
        <f ca="1">OFFSET(ORÇAMENTO!L$15,ROW(C236)-ROW(C$15),0)</f>
        <v>F</v>
      </c>
      <c r="D236" s="118" t="str">
        <f ca="1">OFFSET(ORÇAMENTO!N$15,ROW(D236)-ROW(D$15),0)</f>
        <v>Serviço</v>
      </c>
      <c r="E236" s="119" t="str">
        <f ca="1">OFFSET(ORÇAMENTO!O$15,ROW(E236)-ROW(E$15),0)</f>
        <v>1.10.0.11.</v>
      </c>
      <c r="F236" s="172" t="str">
        <f ca="1">OFFSET(ORÇAMENTO!R$15,ROW(F236)-ROW(F$15),0)</f>
        <v>(abra o arquivo 'Referência 03-2024.xlsm)</v>
      </c>
      <c r="G236" s="173" t="str">
        <f ca="1">IF($D236&lt;&gt;"Serviço","",OFFSET(ORÇAMENTO!S$15,ROW(G236)-ROW(G$15),0))</f>
        <v>-</v>
      </c>
      <c r="H236" s="124">
        <f ca="1">IF($D236&lt;&gt;"Serviço",0,IF(ACOMPANHAMENTO="BM",ROUND(OFFSET(ORÇAMENTO!AJ$15,ROW(H236)-ROW(H$15),0),15-13*ORÇAMENTO!$AF$7),SUMPRODUCT(($Q$12:$AA$12&lt;&gt;"")*ROUND($Q236:$AA236,15-13*ORÇAMENTO!$AF$7))))</f>
        <v>2.4</v>
      </c>
      <c r="I236" s="561"/>
      <c r="K236" s="174"/>
      <c r="L236" s="175" t="s">
        <v>255</v>
      </c>
      <c r="M236" s="176">
        <f ca="1">IF($D236&lt;&gt;"Serviço","",IF(AUTOEVENTO="manual",$A236,IF(ISERROR(MATCH($A236,$A$15:OFFSET($A236,-1,0),0)),MAX($M$15:OFFSET(M236,-1,0))+1,INDEX($M$15:OFFSET(M236,-1,0),MATCH($A236,$A$15:OFFSET($A236,-1,0),0)))))</f>
        <v>11</v>
      </c>
      <c r="N236" s="177" t="str">
        <f ca="1">IF($D236&lt;&gt;"Serviço","",IF(AUTOEVENTO="Manual",IF($A236=0,"&lt;-- defina o número do agrupador",OFFSET(EVENTOS!$D$14,$A236,0)),OFFSET($F$15,$A236,0)))</f>
        <v>PLAYGROUND</v>
      </c>
      <c r="O236" s="178"/>
      <c r="Q236" s="178"/>
      <c r="R236" s="179"/>
      <c r="S236" s="179"/>
      <c r="T236" s="179"/>
      <c r="U236" s="179"/>
      <c r="V236" s="179"/>
      <c r="W236" s="179"/>
      <c r="X236" s="179"/>
      <c r="Y236" s="179"/>
      <c r="Z236" s="180"/>
      <c r="AB236" s="544">
        <f ca="1">IF(AND($D236="Serviço",AB$12&lt;&gt;0,$H236&gt;0,OR(AUTOEVENTO&lt;&gt;"manual",$M236&lt;&gt;1)),
IF(Import.TipoArredondamento&lt;&gt;"TransfereGOV",
ROUND(OFFSET($P236,0,AB$13),15-13*ORÇAMENTO!$AF$7)/$H236*OFFSET(ORÇAMENTO!$X$15,ROW(AB236)-ROW(AB$15),0),
ROUND(ROUND(OFFSET($P236,0,AB$13),15-13*ORÇAMENTO!$AF$7)*OFFSET(ORÇAMENTO!$W$15,ROW(AB236)-ROW(AB$15),0),15-13*ORÇAMENTO!$AF$11)),0)</f>
        <v>0</v>
      </c>
      <c r="AC236" s="545">
        <f ca="1">IF(AND($D236="Serviço",AC$12&lt;&gt;0,$H236&gt;0,OR(AUTOEVENTO&lt;&gt;"manual",$M236&lt;&gt;1)),
IF(Import.TipoArredondamento&lt;&gt;"TransfereGOV",
ROUND(OFFSET($P236,0,AC$13),15-13*ORÇAMENTO!$AF$7)/$H236*OFFSET(ORÇAMENTO!$X$15,ROW(AC236)-ROW(AC$15),0),
ROUND(ROUND(OFFSET($P236,0,AC$13),15-13*ORÇAMENTO!$AF$7)*OFFSET(ORÇAMENTO!$W$15,ROW(AC236)-ROW(AC$15),0),15-13*ORÇAMENTO!$AF$11)),0)</f>
        <v>0</v>
      </c>
      <c r="AD236" s="545">
        <f ca="1">IF(AND($D236="Serviço",AD$12&lt;&gt;0,$H236&gt;0,OR(AUTOEVENTO&lt;&gt;"manual",$M236&lt;&gt;1)),
IF(Import.TipoArredondamento&lt;&gt;"TransfereGOV",
ROUND(OFFSET($P236,0,AD$13),15-13*ORÇAMENTO!$AF$7)/$H236*OFFSET(ORÇAMENTO!$X$15,ROW(AD236)-ROW(AD$15),0),
ROUND(ROUND(OFFSET($P236,0,AD$13),15-13*ORÇAMENTO!$AF$7)*OFFSET(ORÇAMENTO!$W$15,ROW(AD236)-ROW(AD$15),0),15-13*ORÇAMENTO!$AF$11)),0)</f>
        <v>0</v>
      </c>
      <c r="AE236" s="545">
        <f ca="1">IF(AND($D236="Serviço",AE$12&lt;&gt;0,$H236&gt;0,OR(AUTOEVENTO&lt;&gt;"manual",$M236&lt;&gt;1)),
IF(Import.TipoArredondamento&lt;&gt;"TransfereGOV",
ROUND(OFFSET($P236,0,AE$13),15-13*ORÇAMENTO!$AF$7)/$H236*OFFSET(ORÇAMENTO!$X$15,ROW(AE236)-ROW(AE$15),0),
ROUND(ROUND(OFFSET($P236,0,AE$13),15-13*ORÇAMENTO!$AF$7)*OFFSET(ORÇAMENTO!$W$15,ROW(AE236)-ROW(AE$15),0),15-13*ORÇAMENTO!$AF$11)),0)</f>
        <v>0</v>
      </c>
      <c r="AF236" s="545">
        <f ca="1">IF(AND($D236="Serviço",AF$12&lt;&gt;0,$H236&gt;0,OR(AUTOEVENTO&lt;&gt;"manual",$M236&lt;&gt;1)),
IF(Import.TipoArredondamento&lt;&gt;"TransfereGOV",
ROUND(OFFSET($P236,0,AF$13),15-13*ORÇAMENTO!$AF$7)/$H236*OFFSET(ORÇAMENTO!$X$15,ROW(AF236)-ROW(AF$15),0),
ROUND(ROUND(OFFSET($P236,0,AF$13),15-13*ORÇAMENTO!$AF$7)*OFFSET(ORÇAMENTO!$W$15,ROW(AF236)-ROW(AF$15),0),15-13*ORÇAMENTO!$AF$11)),0)</f>
        <v>0</v>
      </c>
      <c r="AG236" s="545">
        <f ca="1">IF(AND($D236="Serviço",AG$12&lt;&gt;0,$H236&gt;0,OR(AUTOEVENTO&lt;&gt;"manual",$M236&lt;&gt;1)),
IF(Import.TipoArredondamento&lt;&gt;"TransfereGOV",
ROUND(OFFSET($P236,0,AG$13),15-13*ORÇAMENTO!$AF$7)/$H236*OFFSET(ORÇAMENTO!$X$15,ROW(AG236)-ROW(AG$15),0),
ROUND(ROUND(OFFSET($P236,0,AG$13),15-13*ORÇAMENTO!$AF$7)*OFFSET(ORÇAMENTO!$W$15,ROW(AG236)-ROW(AG$15),0),15-13*ORÇAMENTO!$AF$11)),0)</f>
        <v>0</v>
      </c>
      <c r="AH236" s="545">
        <f ca="1">IF(AND($D236="Serviço",AH$12&lt;&gt;0,$H236&gt;0,OR(AUTOEVENTO&lt;&gt;"manual",$M236&lt;&gt;1)),
IF(Import.TipoArredondamento&lt;&gt;"TransfereGOV",
ROUND(OFFSET($P236,0,AH$13),15-13*ORÇAMENTO!$AF$7)/$H236*OFFSET(ORÇAMENTO!$X$15,ROW(AH236)-ROW(AH$15),0),
ROUND(ROUND(OFFSET($P236,0,AH$13),15-13*ORÇAMENTO!$AF$7)*OFFSET(ORÇAMENTO!$W$15,ROW(AH236)-ROW(AH$15),0),15-13*ORÇAMENTO!$AF$11)),0)</f>
        <v>0</v>
      </c>
      <c r="AI236" s="545">
        <f ca="1">IF(AND($D236="Serviço",AI$12&lt;&gt;0,$H236&gt;0,OR(AUTOEVENTO&lt;&gt;"manual",$M236&lt;&gt;1)),
IF(Import.TipoArredondamento&lt;&gt;"TransfereGOV",
ROUND(OFFSET($P236,0,AI$13),15-13*ORÇAMENTO!$AF$7)/$H236*OFFSET(ORÇAMENTO!$X$15,ROW(AI236)-ROW(AI$15),0),
ROUND(ROUND(OFFSET($P236,0,AI$13),15-13*ORÇAMENTO!$AF$7)*OFFSET(ORÇAMENTO!$W$15,ROW(AI236)-ROW(AI$15),0),15-13*ORÇAMENTO!$AF$11)),0)</f>
        <v>0</v>
      </c>
      <c r="AJ236" s="545">
        <f ca="1">IF(AND($D236="Serviço",AJ$12&lt;&gt;0,$H236&gt;0,OR(AUTOEVENTO&lt;&gt;"manual",$M236&lt;&gt;1)),
IF(Import.TipoArredondamento&lt;&gt;"TransfereGOV",
ROUND(OFFSET($P236,0,AJ$13),15-13*ORÇAMENTO!$AF$7)/$H236*OFFSET(ORÇAMENTO!$X$15,ROW(AJ236)-ROW(AJ$15),0),
ROUND(ROUND(OFFSET($P236,0,AJ$13),15-13*ORÇAMENTO!$AF$7)*OFFSET(ORÇAMENTO!$W$15,ROW(AJ236)-ROW(AJ$15),0),15-13*ORÇAMENTO!$AF$11)),0)</f>
        <v>0</v>
      </c>
      <c r="AK236" s="546">
        <f ca="1">IF(AND($D236="Serviço",AK$12&lt;&gt;0,$H236&gt;0,OR(AUTOEVENTO&lt;&gt;"manual",$M236&lt;&gt;1)),
IF(Import.TipoArredondamento&lt;&gt;"TransfereGOV",
ROUND(OFFSET($P236,0,AK$13),15-13*ORÇAMENTO!$AF$7)/$H236*OFFSET(ORÇAMENTO!$X$15,ROW(AK236)-ROW(AK$15),0),
ROUND(ROUND(OFFSET($P236,0,AK$13),15-13*ORÇAMENTO!$AF$7)*OFFSET(ORÇAMENTO!$W$15,ROW(AK236)-ROW(AK$15),0),15-13*ORÇAMENTO!$AF$11)),0)</f>
        <v>0</v>
      </c>
      <c r="AM236" s="181">
        <f ca="1">IF($D236&lt;&gt;"Serviço",0,IF(AND(AUTOEVENTO="Manual",$M236=1),0,IF(OFFSET(CRONOPLE!$F$14,$M236,AM$13)="",10^12,OFFSET(CRONOPLE!$F$14,$M236,AM$13))))</f>
        <v>1000000000000</v>
      </c>
      <c r="AN236" s="181">
        <f ca="1">IF($D236&lt;&gt;"Serviço",0,IF(AND(AUTOEVENTO="Manual",$M236=1),0,IF(OFFSET(CRONOPLE!$F$14,$M236,AN$13)="",10^12,OFFSET(CRONOPLE!$F$14,$M236,AN$13))))</f>
        <v>1000000000000</v>
      </c>
      <c r="AO236" s="181">
        <f ca="1">IF($D236&lt;&gt;"Serviço",0,IF(AND(AUTOEVENTO="Manual",$M236=1),0,IF(OFFSET(CRONOPLE!$F$14,$M236,AO$13)="",10^12,OFFSET(CRONOPLE!$F$14,$M236,AO$13))))</f>
        <v>1000000000000</v>
      </c>
      <c r="AP236" s="181">
        <f ca="1">IF($D236&lt;&gt;"Serviço",0,IF(AND(AUTOEVENTO="Manual",$M236=1),0,IF(OFFSET(CRONOPLE!$F$14,$M236,AP$13)="",10^12,OFFSET(CRONOPLE!$F$14,$M236,AP$13))))</f>
        <v>1000000000000</v>
      </c>
      <c r="AQ236" s="181">
        <f ca="1">IF($D236&lt;&gt;"Serviço",0,IF(AND(AUTOEVENTO="Manual",$M236=1),0,IF(OFFSET(CRONOPLE!$F$14,$M236,AQ$13)="",10^12,OFFSET(CRONOPLE!$F$14,$M236,AQ$13))))</f>
        <v>1000000000000</v>
      </c>
      <c r="AR236" s="181">
        <f ca="1">IF($D236&lt;&gt;"Serviço",0,IF(AND(AUTOEVENTO="Manual",$M236=1),0,IF(OFFSET(CRONOPLE!$F$14,$M236,AR$13)="",10^12,OFFSET(CRONOPLE!$F$14,$M236,AR$13))))</f>
        <v>1000000000000</v>
      </c>
      <c r="AS236" s="181">
        <f ca="1">IF($D236&lt;&gt;"Serviço",0,IF(AND(AUTOEVENTO="Manual",$M236=1),0,IF(OFFSET(CRONOPLE!$F$14,$M236,AS$13)="",10^12,OFFSET(CRONOPLE!$F$14,$M236,AS$13))))</f>
        <v>1000000000000</v>
      </c>
      <c r="AT236" s="181">
        <f ca="1">IF($D236&lt;&gt;"Serviço",0,IF(AND(AUTOEVENTO="Manual",$M236=1),0,IF(OFFSET(CRONOPLE!$F$14,$M236,AT$13)="",10^12,OFFSET(CRONOPLE!$F$14,$M236,AT$13))))</f>
        <v>1000000000000</v>
      </c>
      <c r="AU236" s="181">
        <f ca="1">IF($D236&lt;&gt;"Serviço",0,IF(AND(AUTOEVENTO="Manual",$M236=1),0,IF(OFFSET(CRONOPLE!$F$14,$M236,AU$13)="",10^12,OFFSET(CRONOPLE!$F$14,$M236,AU$13))))</f>
        <v>1000000000000</v>
      </c>
      <c r="AV236" s="181">
        <f ca="1">IF($D236&lt;&gt;"Serviço",0,IF(AND(AUTOEVENTO="Manual",$M236=1),0,IF(OFFSET(CRONOPLE!$F$14,$M236,AV$13)="",10^12,OFFSET(CRONOPLE!$F$14,$M236,AV$13))))</f>
        <v>1000000000000</v>
      </c>
      <c r="AX236" s="182">
        <f ca="1">IF($D236&lt;&gt;"Serviço",0,IF(OR(AND(AUTOEVENTO="Manual",$M236=1),$M236&gt;(ROW(PLE.lastrow)-ROW(PLE.firstrow))),0,IF(OFFSET(PLE!$G$14,$M236,AX$13)="",10^12,OFFSET(PLE!$G$14,$M236,AX$13))))</f>
        <v>1000000000000</v>
      </c>
      <c r="AY236" s="182">
        <f ca="1">IF($D236&lt;&gt;"Serviço",0,IF(OR(AND(AUTOEVENTO="Manual",$M236=1),$M236&gt;(ROW(PLE.lastrow)-ROW(PLE.firstrow))),0,IF(OFFSET(PLE!$G$14,$M236,AY$13)="",10^12,OFFSET(PLE!$G$14,$M236,AY$13))))</f>
        <v>1000000000000</v>
      </c>
      <c r="AZ236" s="182">
        <f ca="1">IF($D236&lt;&gt;"Serviço",0,IF(OR(AND(AUTOEVENTO="Manual",$M236=1),$M236&gt;(ROW(PLE.lastrow)-ROW(PLE.firstrow))),0,IF(OFFSET(PLE!$G$14,$M236,AZ$13)="",10^12,OFFSET(PLE!$G$14,$M236,AZ$13))))</f>
        <v>1000000000000</v>
      </c>
      <c r="BA236" s="182">
        <f ca="1">IF($D236&lt;&gt;"Serviço",0,IF(OR(AND(AUTOEVENTO="Manual",$M236=1),$M236&gt;(ROW(PLE.lastrow)-ROW(PLE.firstrow))),0,IF(OFFSET(PLE!$G$14,$M236,BA$13)="",10^12,OFFSET(PLE!$G$14,$M236,BA$13))))</f>
        <v>1000000000000</v>
      </c>
      <c r="BB236" s="182">
        <f ca="1">IF($D236&lt;&gt;"Serviço",0,IF(OR(AND(AUTOEVENTO="Manual",$M236=1),$M236&gt;(ROW(PLE.lastrow)-ROW(PLE.firstrow))),0,IF(OFFSET(PLE!$G$14,$M236,BB$13)="",10^12,OFFSET(PLE!$G$14,$M236,BB$13))))</f>
        <v>1000000000000</v>
      </c>
      <c r="BC236" s="182">
        <f ca="1">IF($D236&lt;&gt;"Serviço",0,IF(OR(AND(AUTOEVENTO="Manual",$M236=1),$M236&gt;(ROW(PLE.lastrow)-ROW(PLE.firstrow))),0,IF(OFFSET(PLE!$G$14,$M236,BC$13)="",10^12,OFFSET(PLE!$G$14,$M236,BC$13))))</f>
        <v>1000000000000</v>
      </c>
      <c r="BD236" s="182">
        <f ca="1">IF($D236&lt;&gt;"Serviço",0,IF(OR(AND(AUTOEVENTO="Manual",$M236=1),$M236&gt;(ROW(PLE.lastrow)-ROW(PLE.firstrow))),0,IF(OFFSET(PLE!$G$14,$M236,BD$13)="",10^12,OFFSET(PLE!$G$14,$M236,BD$13))))</f>
        <v>1000000000000</v>
      </c>
      <c r="BE236" s="182">
        <f ca="1">IF($D236&lt;&gt;"Serviço",0,IF(OR(AND(AUTOEVENTO="Manual",$M236=1),$M236&gt;(ROW(PLE.lastrow)-ROW(PLE.firstrow))),0,IF(OFFSET(PLE!$G$14,$M236,BE$13)="",10^12,OFFSET(PLE!$G$14,$M236,BE$13))))</f>
        <v>1000000000000</v>
      </c>
      <c r="BF236" s="182">
        <f ca="1">IF($D236&lt;&gt;"Serviço",0,IF(OR(AND(AUTOEVENTO="Manual",$M236=1),$M236&gt;(ROW(PLE.lastrow)-ROW(PLE.firstrow))),0,IF(OFFSET(PLE!$G$14,$M236,BF$13)="",10^12,OFFSET(PLE!$G$14,$M236,BF$13))))</f>
        <v>1000000000000</v>
      </c>
      <c r="BG236" s="182">
        <f ca="1">IF($D236&lt;&gt;"Serviço",0,IF(OR(AND(AUTOEVENTO="Manual",$M236=1),$M236&gt;(ROW(PLE.lastrow)-ROW(PLE.firstrow))),0,IF(OFFSET(PLE!$G$14,$M236,BG$13)="",10^12,OFFSET(PLE!$G$14,$M236,BG$13))))</f>
        <v>1000000000000</v>
      </c>
    </row>
    <row r="237" spans="1:59" ht="12.75" x14ac:dyDescent="0.2">
      <c r="A237" s="7" t="str">
        <f t="shared" ca="1" si="11"/>
        <v>222.</v>
      </c>
      <c r="B237" s="7">
        <f ca="1">OFFSET(ORÇAMENTO!C$15,ROW(B237)-ROW(B$15),0)</f>
        <v>2</v>
      </c>
      <c r="C237" s="7" t="str">
        <f ca="1">OFFSET(ORÇAMENTO!L$15,ROW(C237)-ROW(C$15),0)</f>
        <v>F</v>
      </c>
      <c r="D237" s="118" t="str">
        <f ca="1">OFFSET(ORÇAMENTO!N$15,ROW(D237)-ROW(D$15),0)</f>
        <v>Nível 2</v>
      </c>
      <c r="E237" s="119" t="str">
        <f ca="1">OFFSET(ORÇAMENTO!O$15,ROW(E237)-ROW(E$15),0)</f>
        <v>1.11.</v>
      </c>
      <c r="F237" s="172" t="str">
        <f ca="1">OFFSET(ORÇAMENTO!R$15,ROW(F237)-ROW(F$15),0)</f>
        <v>ACADEMIA DE SAÚDE AO AR LIVRE</v>
      </c>
      <c r="G237" s="173" t="str">
        <f ca="1">IF($D237&lt;&gt;"Serviço","",OFFSET(ORÇAMENTO!S$15,ROW(G237)-ROW(G$15),0))</f>
        <v/>
      </c>
      <c r="H237" s="124">
        <f ca="1">IF($D237&lt;&gt;"Serviço",0,IF(ACOMPANHAMENTO="BM",ROUND(OFFSET(ORÇAMENTO!AJ$15,ROW(H237)-ROW(H$15),0),15-13*ORÇAMENTO!$AF$7),SUMPRODUCT(($Q$12:$AA$12&lt;&gt;"")*ROUND($Q237:$AA237,15-13*ORÇAMENTO!$AF$7))))</f>
        <v>0</v>
      </c>
      <c r="I237" s="561"/>
      <c r="K237" s="174"/>
      <c r="L237" s="175" t="s">
        <v>255</v>
      </c>
      <c r="M237" s="176" t="str">
        <f ca="1">IF($D237&lt;&gt;"Serviço","",IF(AUTOEVENTO="manual",$A237,IF(ISERROR(MATCH($A237,$A$15:OFFSET($A237,-1,0),0)),MAX($M$15:OFFSET(M237,-1,0))+1,INDEX($M$15:OFFSET(M237,-1,0),MATCH($A237,$A$15:OFFSET($A237,-1,0),0)))))</f>
        <v/>
      </c>
      <c r="N237" s="177" t="str">
        <f ca="1">IF($D237&lt;&gt;"Serviço","",IF(AUTOEVENTO="Manual",IF($A237=0,"&lt;-- defina o número do agrupador",OFFSET(EVENTOS!$D$14,$A237,0)),OFFSET($F$15,$A237,0)))</f>
        <v/>
      </c>
      <c r="O237" s="178"/>
      <c r="Q237" s="178"/>
      <c r="R237" s="179"/>
      <c r="S237" s="179"/>
      <c r="T237" s="179"/>
      <c r="U237" s="179"/>
      <c r="V237" s="179"/>
      <c r="W237" s="179"/>
      <c r="X237" s="179"/>
      <c r="Y237" s="179"/>
      <c r="Z237" s="180"/>
      <c r="AB237" s="544">
        <f ca="1">IF(AND($D237="Serviço",AB$12&lt;&gt;0,$H237&gt;0,OR(AUTOEVENTO&lt;&gt;"manual",$M237&lt;&gt;1)),
IF(Import.TipoArredondamento&lt;&gt;"TransfereGOV",
ROUND(OFFSET($P237,0,AB$13),15-13*ORÇAMENTO!$AF$7)/$H237*OFFSET(ORÇAMENTO!$X$15,ROW(AB237)-ROW(AB$15),0),
ROUND(ROUND(OFFSET($P237,0,AB$13),15-13*ORÇAMENTO!$AF$7)*OFFSET(ORÇAMENTO!$W$15,ROW(AB237)-ROW(AB$15),0),15-13*ORÇAMENTO!$AF$11)),0)</f>
        <v>0</v>
      </c>
      <c r="AC237" s="545">
        <f ca="1">IF(AND($D237="Serviço",AC$12&lt;&gt;0,$H237&gt;0,OR(AUTOEVENTO&lt;&gt;"manual",$M237&lt;&gt;1)),
IF(Import.TipoArredondamento&lt;&gt;"TransfereGOV",
ROUND(OFFSET($P237,0,AC$13),15-13*ORÇAMENTO!$AF$7)/$H237*OFFSET(ORÇAMENTO!$X$15,ROW(AC237)-ROW(AC$15),0),
ROUND(ROUND(OFFSET($P237,0,AC$13),15-13*ORÇAMENTO!$AF$7)*OFFSET(ORÇAMENTO!$W$15,ROW(AC237)-ROW(AC$15),0),15-13*ORÇAMENTO!$AF$11)),0)</f>
        <v>0</v>
      </c>
      <c r="AD237" s="545">
        <f ca="1">IF(AND($D237="Serviço",AD$12&lt;&gt;0,$H237&gt;0,OR(AUTOEVENTO&lt;&gt;"manual",$M237&lt;&gt;1)),
IF(Import.TipoArredondamento&lt;&gt;"TransfereGOV",
ROUND(OFFSET($P237,0,AD$13),15-13*ORÇAMENTO!$AF$7)/$H237*OFFSET(ORÇAMENTO!$X$15,ROW(AD237)-ROW(AD$15),0),
ROUND(ROUND(OFFSET($P237,0,AD$13),15-13*ORÇAMENTO!$AF$7)*OFFSET(ORÇAMENTO!$W$15,ROW(AD237)-ROW(AD$15),0),15-13*ORÇAMENTO!$AF$11)),0)</f>
        <v>0</v>
      </c>
      <c r="AE237" s="545">
        <f ca="1">IF(AND($D237="Serviço",AE$12&lt;&gt;0,$H237&gt;0,OR(AUTOEVENTO&lt;&gt;"manual",$M237&lt;&gt;1)),
IF(Import.TipoArredondamento&lt;&gt;"TransfereGOV",
ROUND(OFFSET($P237,0,AE$13),15-13*ORÇAMENTO!$AF$7)/$H237*OFFSET(ORÇAMENTO!$X$15,ROW(AE237)-ROW(AE$15),0),
ROUND(ROUND(OFFSET($P237,0,AE$13),15-13*ORÇAMENTO!$AF$7)*OFFSET(ORÇAMENTO!$W$15,ROW(AE237)-ROW(AE$15),0),15-13*ORÇAMENTO!$AF$11)),0)</f>
        <v>0</v>
      </c>
      <c r="AF237" s="545">
        <f ca="1">IF(AND($D237="Serviço",AF$12&lt;&gt;0,$H237&gt;0,OR(AUTOEVENTO&lt;&gt;"manual",$M237&lt;&gt;1)),
IF(Import.TipoArredondamento&lt;&gt;"TransfereGOV",
ROUND(OFFSET($P237,0,AF$13),15-13*ORÇAMENTO!$AF$7)/$H237*OFFSET(ORÇAMENTO!$X$15,ROW(AF237)-ROW(AF$15),0),
ROUND(ROUND(OFFSET($P237,0,AF$13),15-13*ORÇAMENTO!$AF$7)*OFFSET(ORÇAMENTO!$W$15,ROW(AF237)-ROW(AF$15),0),15-13*ORÇAMENTO!$AF$11)),0)</f>
        <v>0</v>
      </c>
      <c r="AG237" s="545">
        <f ca="1">IF(AND($D237="Serviço",AG$12&lt;&gt;0,$H237&gt;0,OR(AUTOEVENTO&lt;&gt;"manual",$M237&lt;&gt;1)),
IF(Import.TipoArredondamento&lt;&gt;"TransfereGOV",
ROUND(OFFSET($P237,0,AG$13),15-13*ORÇAMENTO!$AF$7)/$H237*OFFSET(ORÇAMENTO!$X$15,ROW(AG237)-ROW(AG$15),0),
ROUND(ROUND(OFFSET($P237,0,AG$13),15-13*ORÇAMENTO!$AF$7)*OFFSET(ORÇAMENTO!$W$15,ROW(AG237)-ROW(AG$15),0),15-13*ORÇAMENTO!$AF$11)),0)</f>
        <v>0</v>
      </c>
      <c r="AH237" s="545">
        <f ca="1">IF(AND($D237="Serviço",AH$12&lt;&gt;0,$H237&gt;0,OR(AUTOEVENTO&lt;&gt;"manual",$M237&lt;&gt;1)),
IF(Import.TipoArredondamento&lt;&gt;"TransfereGOV",
ROUND(OFFSET($P237,0,AH$13),15-13*ORÇAMENTO!$AF$7)/$H237*OFFSET(ORÇAMENTO!$X$15,ROW(AH237)-ROW(AH$15),0),
ROUND(ROUND(OFFSET($P237,0,AH$13),15-13*ORÇAMENTO!$AF$7)*OFFSET(ORÇAMENTO!$W$15,ROW(AH237)-ROW(AH$15),0),15-13*ORÇAMENTO!$AF$11)),0)</f>
        <v>0</v>
      </c>
      <c r="AI237" s="545">
        <f ca="1">IF(AND($D237="Serviço",AI$12&lt;&gt;0,$H237&gt;0,OR(AUTOEVENTO&lt;&gt;"manual",$M237&lt;&gt;1)),
IF(Import.TipoArredondamento&lt;&gt;"TransfereGOV",
ROUND(OFFSET($P237,0,AI$13),15-13*ORÇAMENTO!$AF$7)/$H237*OFFSET(ORÇAMENTO!$X$15,ROW(AI237)-ROW(AI$15),0),
ROUND(ROUND(OFFSET($P237,0,AI$13),15-13*ORÇAMENTO!$AF$7)*OFFSET(ORÇAMENTO!$W$15,ROW(AI237)-ROW(AI$15),0),15-13*ORÇAMENTO!$AF$11)),0)</f>
        <v>0</v>
      </c>
      <c r="AJ237" s="545">
        <f ca="1">IF(AND($D237="Serviço",AJ$12&lt;&gt;0,$H237&gt;0,OR(AUTOEVENTO&lt;&gt;"manual",$M237&lt;&gt;1)),
IF(Import.TipoArredondamento&lt;&gt;"TransfereGOV",
ROUND(OFFSET($P237,0,AJ$13),15-13*ORÇAMENTO!$AF$7)/$H237*OFFSET(ORÇAMENTO!$X$15,ROW(AJ237)-ROW(AJ$15),0),
ROUND(ROUND(OFFSET($P237,0,AJ$13),15-13*ORÇAMENTO!$AF$7)*OFFSET(ORÇAMENTO!$W$15,ROW(AJ237)-ROW(AJ$15),0),15-13*ORÇAMENTO!$AF$11)),0)</f>
        <v>0</v>
      </c>
      <c r="AK237" s="546">
        <f ca="1">IF(AND($D237="Serviço",AK$12&lt;&gt;0,$H237&gt;0,OR(AUTOEVENTO&lt;&gt;"manual",$M237&lt;&gt;1)),
IF(Import.TipoArredondamento&lt;&gt;"TransfereGOV",
ROUND(OFFSET($P237,0,AK$13),15-13*ORÇAMENTO!$AF$7)/$H237*OFFSET(ORÇAMENTO!$X$15,ROW(AK237)-ROW(AK$15),0),
ROUND(ROUND(OFFSET($P237,0,AK$13),15-13*ORÇAMENTO!$AF$7)*OFFSET(ORÇAMENTO!$W$15,ROW(AK237)-ROW(AK$15),0),15-13*ORÇAMENTO!$AF$11)),0)</f>
        <v>0</v>
      </c>
      <c r="AM237" s="181">
        <f ca="1">IF($D237&lt;&gt;"Serviço",0,IF(AND(AUTOEVENTO="Manual",$M237=1),0,IF(OFFSET(CRONOPLE!$F$14,$M237,AM$13)="",10^12,OFFSET(CRONOPLE!$F$14,$M237,AM$13))))</f>
        <v>0</v>
      </c>
      <c r="AN237" s="181">
        <f ca="1">IF($D237&lt;&gt;"Serviço",0,IF(AND(AUTOEVENTO="Manual",$M237=1),0,IF(OFFSET(CRONOPLE!$F$14,$M237,AN$13)="",10^12,OFFSET(CRONOPLE!$F$14,$M237,AN$13))))</f>
        <v>0</v>
      </c>
      <c r="AO237" s="181">
        <f ca="1">IF($D237&lt;&gt;"Serviço",0,IF(AND(AUTOEVENTO="Manual",$M237=1),0,IF(OFFSET(CRONOPLE!$F$14,$M237,AO$13)="",10^12,OFFSET(CRONOPLE!$F$14,$M237,AO$13))))</f>
        <v>0</v>
      </c>
      <c r="AP237" s="181">
        <f ca="1">IF($D237&lt;&gt;"Serviço",0,IF(AND(AUTOEVENTO="Manual",$M237=1),0,IF(OFFSET(CRONOPLE!$F$14,$M237,AP$13)="",10^12,OFFSET(CRONOPLE!$F$14,$M237,AP$13))))</f>
        <v>0</v>
      </c>
      <c r="AQ237" s="181">
        <f ca="1">IF($D237&lt;&gt;"Serviço",0,IF(AND(AUTOEVENTO="Manual",$M237=1),0,IF(OFFSET(CRONOPLE!$F$14,$M237,AQ$13)="",10^12,OFFSET(CRONOPLE!$F$14,$M237,AQ$13))))</f>
        <v>0</v>
      </c>
      <c r="AR237" s="181">
        <f ca="1">IF($D237&lt;&gt;"Serviço",0,IF(AND(AUTOEVENTO="Manual",$M237=1),0,IF(OFFSET(CRONOPLE!$F$14,$M237,AR$13)="",10^12,OFFSET(CRONOPLE!$F$14,$M237,AR$13))))</f>
        <v>0</v>
      </c>
      <c r="AS237" s="181">
        <f ca="1">IF($D237&lt;&gt;"Serviço",0,IF(AND(AUTOEVENTO="Manual",$M237=1),0,IF(OFFSET(CRONOPLE!$F$14,$M237,AS$13)="",10^12,OFFSET(CRONOPLE!$F$14,$M237,AS$13))))</f>
        <v>0</v>
      </c>
      <c r="AT237" s="181">
        <f ca="1">IF($D237&lt;&gt;"Serviço",0,IF(AND(AUTOEVENTO="Manual",$M237=1),0,IF(OFFSET(CRONOPLE!$F$14,$M237,AT$13)="",10^12,OFFSET(CRONOPLE!$F$14,$M237,AT$13))))</f>
        <v>0</v>
      </c>
      <c r="AU237" s="181">
        <f ca="1">IF($D237&lt;&gt;"Serviço",0,IF(AND(AUTOEVENTO="Manual",$M237=1),0,IF(OFFSET(CRONOPLE!$F$14,$M237,AU$13)="",10^12,OFFSET(CRONOPLE!$F$14,$M237,AU$13))))</f>
        <v>0</v>
      </c>
      <c r="AV237" s="181">
        <f ca="1">IF($D237&lt;&gt;"Serviço",0,IF(AND(AUTOEVENTO="Manual",$M237=1),0,IF(OFFSET(CRONOPLE!$F$14,$M237,AV$13)="",10^12,OFFSET(CRONOPLE!$F$14,$M237,AV$13))))</f>
        <v>0</v>
      </c>
      <c r="AX237" s="182">
        <f ca="1">IF($D237&lt;&gt;"Serviço",0,IF(OR(AND(AUTOEVENTO="Manual",$M237=1),$M237&gt;(ROW(PLE.lastrow)-ROW(PLE.firstrow))),0,IF(OFFSET(PLE!$G$14,$M237,AX$13)="",10^12,OFFSET(PLE!$G$14,$M237,AX$13))))</f>
        <v>0</v>
      </c>
      <c r="AY237" s="182">
        <f ca="1">IF($D237&lt;&gt;"Serviço",0,IF(OR(AND(AUTOEVENTO="Manual",$M237=1),$M237&gt;(ROW(PLE.lastrow)-ROW(PLE.firstrow))),0,IF(OFFSET(PLE!$G$14,$M237,AY$13)="",10^12,OFFSET(PLE!$G$14,$M237,AY$13))))</f>
        <v>0</v>
      </c>
      <c r="AZ237" s="182">
        <f ca="1">IF($D237&lt;&gt;"Serviço",0,IF(OR(AND(AUTOEVENTO="Manual",$M237=1),$M237&gt;(ROW(PLE.lastrow)-ROW(PLE.firstrow))),0,IF(OFFSET(PLE!$G$14,$M237,AZ$13)="",10^12,OFFSET(PLE!$G$14,$M237,AZ$13))))</f>
        <v>0</v>
      </c>
      <c r="BA237" s="182">
        <f ca="1">IF($D237&lt;&gt;"Serviço",0,IF(OR(AND(AUTOEVENTO="Manual",$M237=1),$M237&gt;(ROW(PLE.lastrow)-ROW(PLE.firstrow))),0,IF(OFFSET(PLE!$G$14,$M237,BA$13)="",10^12,OFFSET(PLE!$G$14,$M237,BA$13))))</f>
        <v>0</v>
      </c>
      <c r="BB237" s="182">
        <f ca="1">IF($D237&lt;&gt;"Serviço",0,IF(OR(AND(AUTOEVENTO="Manual",$M237=1),$M237&gt;(ROW(PLE.lastrow)-ROW(PLE.firstrow))),0,IF(OFFSET(PLE!$G$14,$M237,BB$13)="",10^12,OFFSET(PLE!$G$14,$M237,BB$13))))</f>
        <v>0</v>
      </c>
      <c r="BC237" s="182">
        <f ca="1">IF($D237&lt;&gt;"Serviço",0,IF(OR(AND(AUTOEVENTO="Manual",$M237=1),$M237&gt;(ROW(PLE.lastrow)-ROW(PLE.firstrow))),0,IF(OFFSET(PLE!$G$14,$M237,BC$13)="",10^12,OFFSET(PLE!$G$14,$M237,BC$13))))</f>
        <v>0</v>
      </c>
      <c r="BD237" s="182">
        <f ca="1">IF($D237&lt;&gt;"Serviço",0,IF(OR(AND(AUTOEVENTO="Manual",$M237=1),$M237&gt;(ROW(PLE.lastrow)-ROW(PLE.firstrow))),0,IF(OFFSET(PLE!$G$14,$M237,BD$13)="",10^12,OFFSET(PLE!$G$14,$M237,BD$13))))</f>
        <v>0</v>
      </c>
      <c r="BE237" s="182">
        <f ca="1">IF($D237&lt;&gt;"Serviço",0,IF(OR(AND(AUTOEVENTO="Manual",$M237=1),$M237&gt;(ROW(PLE.lastrow)-ROW(PLE.firstrow))),0,IF(OFFSET(PLE!$G$14,$M237,BE$13)="",10^12,OFFSET(PLE!$G$14,$M237,BE$13))))</f>
        <v>0</v>
      </c>
      <c r="BF237" s="182">
        <f ca="1">IF($D237&lt;&gt;"Serviço",0,IF(OR(AND(AUTOEVENTO="Manual",$M237=1),$M237&gt;(ROW(PLE.lastrow)-ROW(PLE.firstrow))),0,IF(OFFSET(PLE!$G$14,$M237,BF$13)="",10^12,OFFSET(PLE!$G$14,$M237,BF$13))))</f>
        <v>0</v>
      </c>
      <c r="BG237" s="182">
        <f ca="1">IF($D237&lt;&gt;"Serviço",0,IF(OR(AND(AUTOEVENTO="Manual",$M237=1),$M237&gt;(ROW(PLE.lastrow)-ROW(PLE.firstrow))),0,IF(OFFSET(PLE!$G$14,$M237,BG$13)="",10^12,OFFSET(PLE!$G$14,$M237,BG$13))))</f>
        <v>0</v>
      </c>
    </row>
    <row r="238" spans="1:59" ht="51" x14ac:dyDescent="0.2">
      <c r="A238" s="7" t="str">
        <f ca="1">IF(AUTOEVENTO="Manual",IF(K238&lt;&gt;"",MIN(VALUE(LEFT(K238,FIND(".",K238)-1)),COUNTA(EVENTOS.Lista)),0),IF(OR($B238&gt;AUTOEVENTO,$B238="S",$B238=0),SUBSTITUTE(OFFSET($A238,-1,0),IF($D238="Serviço",".",""),""),ROW(A238)-ROW($A$15)&amp;"."))</f>
        <v>222</v>
      </c>
      <c r="B238" s="7" t="str">
        <f ca="1">OFFSET(ORÇAMENTO!C$15,ROW(B238)-ROW(B$15),0)</f>
        <v>S</v>
      </c>
      <c r="C238" s="7" t="str">
        <f ca="1">OFFSET(ORÇAMENTO!L$15,ROW(C238)-ROW(C$15),0)</f>
        <v>F</v>
      </c>
      <c r="D238" s="118" t="str">
        <f ca="1">OFFSET(ORÇAMENTO!N$15,ROW(D238)-ROW(D$15),0)</f>
        <v>Serviço</v>
      </c>
      <c r="E238" s="119" t="str">
        <f ca="1">OFFSET(ORÇAMENTO!O$15,ROW(E238)-ROW(E$15),0)</f>
        <v>1.11.0.1.</v>
      </c>
      <c r="F238" s="172" t="str">
        <f ca="1">OFFSET(ORÇAMENTO!R$15,ROW(F238)-ROW(F$15),0)</f>
        <v>(abra o arquivo 'Referência 03-2024.xlsm)</v>
      </c>
      <c r="G238" s="173" t="str">
        <f ca="1">IF($D238&lt;&gt;"Serviço","",OFFSET(ORÇAMENTO!S$15,ROW(G238)-ROW(G$15),0))</f>
        <v>-</v>
      </c>
      <c r="H238" s="124">
        <f ca="1">IF($D238&lt;&gt;"Serviço",0,IF(ACOMPANHAMENTO="BM",ROUND(OFFSET(ORÇAMENTO!AJ$15,ROW(H238)-ROW(H$15),0),15-13*ORÇAMENTO!$AF$7),SUMPRODUCT(($Q$12:$AA$12&lt;&gt;"")*ROUND($Q238:$AA238,15-13*ORÇAMENTO!$AF$7))))</f>
        <v>1</v>
      </c>
      <c r="I238" s="561"/>
      <c r="K238" s="174"/>
      <c r="L238" s="175" t="s">
        <v>255</v>
      </c>
      <c r="M238" s="176">
        <f ca="1">IF($D238&lt;&gt;"Serviço","",IF(AUTOEVENTO="manual",$A238,IF(ISERROR(MATCH($A238,$A$15:OFFSET($A238,-1,0),0)),MAX($M$15:OFFSET(M238,-1,0))+1,INDEX($M$15:OFFSET(M238,-1,0),MATCH($A238,$A$15:OFFSET($A238,-1,0),0)))))</f>
        <v>12</v>
      </c>
      <c r="N238" s="177" t="str">
        <f ca="1">IF($D238&lt;&gt;"Serviço","",IF(AUTOEVENTO="Manual",IF($A238=0,"&lt;-- defina o número do agrupador",OFFSET(EVENTOS!$D$14,$A238,0)),OFFSET($F$15,$A238,0)))</f>
        <v>ACADEMIA DE SAÚDE AO AR LIVRE</v>
      </c>
      <c r="O238" s="178"/>
      <c r="Q238" s="178"/>
      <c r="R238" s="179"/>
      <c r="S238" s="179"/>
      <c r="T238" s="179"/>
      <c r="U238" s="179"/>
      <c r="V238" s="179"/>
      <c r="W238" s="179"/>
      <c r="X238" s="179"/>
      <c r="Y238" s="179"/>
      <c r="Z238" s="180"/>
      <c r="AB238" s="544">
        <f ca="1">IF(AND($D238="Serviço",AB$12&lt;&gt;0,$H238&gt;0,OR(AUTOEVENTO&lt;&gt;"manual",$M238&lt;&gt;1)),
IF(Import.TipoArredondamento&lt;&gt;"TransfereGOV",
ROUND(OFFSET($P238,0,AB$13),15-13*ORÇAMENTO!$AF$7)/$H238*OFFSET(ORÇAMENTO!$X$15,ROW(AB238)-ROW(AB$15),0),
ROUND(ROUND(OFFSET($P238,0,AB$13),15-13*ORÇAMENTO!$AF$7)*OFFSET(ORÇAMENTO!$W$15,ROW(AB238)-ROW(AB$15),0),15-13*ORÇAMENTO!$AF$11)),0)</f>
        <v>0</v>
      </c>
      <c r="AC238" s="545">
        <f ca="1">IF(AND($D238="Serviço",AC$12&lt;&gt;0,$H238&gt;0,OR(AUTOEVENTO&lt;&gt;"manual",$M238&lt;&gt;1)),
IF(Import.TipoArredondamento&lt;&gt;"TransfereGOV",
ROUND(OFFSET($P238,0,AC$13),15-13*ORÇAMENTO!$AF$7)/$H238*OFFSET(ORÇAMENTO!$X$15,ROW(AC238)-ROW(AC$15),0),
ROUND(ROUND(OFFSET($P238,0,AC$13),15-13*ORÇAMENTO!$AF$7)*OFFSET(ORÇAMENTO!$W$15,ROW(AC238)-ROW(AC$15),0),15-13*ORÇAMENTO!$AF$11)),0)</f>
        <v>0</v>
      </c>
      <c r="AD238" s="545">
        <f ca="1">IF(AND($D238="Serviço",AD$12&lt;&gt;0,$H238&gt;0,OR(AUTOEVENTO&lt;&gt;"manual",$M238&lt;&gt;1)),
IF(Import.TipoArredondamento&lt;&gt;"TransfereGOV",
ROUND(OFFSET($P238,0,AD$13),15-13*ORÇAMENTO!$AF$7)/$H238*OFFSET(ORÇAMENTO!$X$15,ROW(AD238)-ROW(AD$15),0),
ROUND(ROUND(OFFSET($P238,0,AD$13),15-13*ORÇAMENTO!$AF$7)*OFFSET(ORÇAMENTO!$W$15,ROW(AD238)-ROW(AD$15),0),15-13*ORÇAMENTO!$AF$11)),0)</f>
        <v>0</v>
      </c>
      <c r="AE238" s="545">
        <f ca="1">IF(AND($D238="Serviço",AE$12&lt;&gt;0,$H238&gt;0,OR(AUTOEVENTO&lt;&gt;"manual",$M238&lt;&gt;1)),
IF(Import.TipoArredondamento&lt;&gt;"TransfereGOV",
ROUND(OFFSET($P238,0,AE$13),15-13*ORÇAMENTO!$AF$7)/$H238*OFFSET(ORÇAMENTO!$X$15,ROW(AE238)-ROW(AE$15),0),
ROUND(ROUND(OFFSET($P238,0,AE$13),15-13*ORÇAMENTO!$AF$7)*OFFSET(ORÇAMENTO!$W$15,ROW(AE238)-ROW(AE$15),0),15-13*ORÇAMENTO!$AF$11)),0)</f>
        <v>0</v>
      </c>
      <c r="AF238" s="545">
        <f ca="1">IF(AND($D238="Serviço",AF$12&lt;&gt;0,$H238&gt;0,OR(AUTOEVENTO&lt;&gt;"manual",$M238&lt;&gt;1)),
IF(Import.TipoArredondamento&lt;&gt;"TransfereGOV",
ROUND(OFFSET($P238,0,AF$13),15-13*ORÇAMENTO!$AF$7)/$H238*OFFSET(ORÇAMENTO!$X$15,ROW(AF238)-ROW(AF$15),0),
ROUND(ROUND(OFFSET($P238,0,AF$13),15-13*ORÇAMENTO!$AF$7)*OFFSET(ORÇAMENTO!$W$15,ROW(AF238)-ROW(AF$15),0),15-13*ORÇAMENTO!$AF$11)),0)</f>
        <v>0</v>
      </c>
      <c r="AG238" s="545">
        <f ca="1">IF(AND($D238="Serviço",AG$12&lt;&gt;0,$H238&gt;0,OR(AUTOEVENTO&lt;&gt;"manual",$M238&lt;&gt;1)),
IF(Import.TipoArredondamento&lt;&gt;"TransfereGOV",
ROUND(OFFSET($P238,0,AG$13),15-13*ORÇAMENTO!$AF$7)/$H238*OFFSET(ORÇAMENTO!$X$15,ROW(AG238)-ROW(AG$15),0),
ROUND(ROUND(OFFSET($P238,0,AG$13),15-13*ORÇAMENTO!$AF$7)*OFFSET(ORÇAMENTO!$W$15,ROW(AG238)-ROW(AG$15),0),15-13*ORÇAMENTO!$AF$11)),0)</f>
        <v>0</v>
      </c>
      <c r="AH238" s="545">
        <f ca="1">IF(AND($D238="Serviço",AH$12&lt;&gt;0,$H238&gt;0,OR(AUTOEVENTO&lt;&gt;"manual",$M238&lt;&gt;1)),
IF(Import.TipoArredondamento&lt;&gt;"TransfereGOV",
ROUND(OFFSET($P238,0,AH$13),15-13*ORÇAMENTO!$AF$7)/$H238*OFFSET(ORÇAMENTO!$X$15,ROW(AH238)-ROW(AH$15),0),
ROUND(ROUND(OFFSET($P238,0,AH$13),15-13*ORÇAMENTO!$AF$7)*OFFSET(ORÇAMENTO!$W$15,ROW(AH238)-ROW(AH$15),0),15-13*ORÇAMENTO!$AF$11)),0)</f>
        <v>0</v>
      </c>
      <c r="AI238" s="545">
        <f ca="1">IF(AND($D238="Serviço",AI$12&lt;&gt;0,$H238&gt;0,OR(AUTOEVENTO&lt;&gt;"manual",$M238&lt;&gt;1)),
IF(Import.TipoArredondamento&lt;&gt;"TransfereGOV",
ROUND(OFFSET($P238,0,AI$13),15-13*ORÇAMENTO!$AF$7)/$H238*OFFSET(ORÇAMENTO!$X$15,ROW(AI238)-ROW(AI$15),0),
ROUND(ROUND(OFFSET($P238,0,AI$13),15-13*ORÇAMENTO!$AF$7)*OFFSET(ORÇAMENTO!$W$15,ROW(AI238)-ROW(AI$15),0),15-13*ORÇAMENTO!$AF$11)),0)</f>
        <v>0</v>
      </c>
      <c r="AJ238" s="545">
        <f ca="1">IF(AND($D238="Serviço",AJ$12&lt;&gt;0,$H238&gt;0,OR(AUTOEVENTO&lt;&gt;"manual",$M238&lt;&gt;1)),
IF(Import.TipoArredondamento&lt;&gt;"TransfereGOV",
ROUND(OFFSET($P238,0,AJ$13),15-13*ORÇAMENTO!$AF$7)/$H238*OFFSET(ORÇAMENTO!$X$15,ROW(AJ238)-ROW(AJ$15),0),
ROUND(ROUND(OFFSET($P238,0,AJ$13),15-13*ORÇAMENTO!$AF$7)*OFFSET(ORÇAMENTO!$W$15,ROW(AJ238)-ROW(AJ$15),0),15-13*ORÇAMENTO!$AF$11)),0)</f>
        <v>0</v>
      </c>
      <c r="AK238" s="546">
        <f ca="1">IF(AND($D238="Serviço",AK$12&lt;&gt;0,$H238&gt;0,OR(AUTOEVENTO&lt;&gt;"manual",$M238&lt;&gt;1)),
IF(Import.TipoArredondamento&lt;&gt;"TransfereGOV",
ROUND(OFFSET($P238,0,AK$13),15-13*ORÇAMENTO!$AF$7)/$H238*OFFSET(ORÇAMENTO!$X$15,ROW(AK238)-ROW(AK$15),0),
ROUND(ROUND(OFFSET($P238,0,AK$13),15-13*ORÇAMENTO!$AF$7)*OFFSET(ORÇAMENTO!$W$15,ROW(AK238)-ROW(AK$15),0),15-13*ORÇAMENTO!$AF$11)),0)</f>
        <v>0</v>
      </c>
      <c r="AM238" s="181">
        <f ca="1">IF($D238&lt;&gt;"Serviço",0,IF(AND(AUTOEVENTO="Manual",$M238=1),0,IF(OFFSET(CRONOPLE!$F$14,$M238,AM$13)="",10^12,OFFSET(CRONOPLE!$F$14,$M238,AM$13))))</f>
        <v>1000000000000</v>
      </c>
      <c r="AN238" s="181">
        <f ca="1">IF($D238&lt;&gt;"Serviço",0,IF(AND(AUTOEVENTO="Manual",$M238=1),0,IF(OFFSET(CRONOPLE!$F$14,$M238,AN$13)="",10^12,OFFSET(CRONOPLE!$F$14,$M238,AN$13))))</f>
        <v>1000000000000</v>
      </c>
      <c r="AO238" s="181">
        <f ca="1">IF($D238&lt;&gt;"Serviço",0,IF(AND(AUTOEVENTO="Manual",$M238=1),0,IF(OFFSET(CRONOPLE!$F$14,$M238,AO$13)="",10^12,OFFSET(CRONOPLE!$F$14,$M238,AO$13))))</f>
        <v>1000000000000</v>
      </c>
      <c r="AP238" s="181">
        <f ca="1">IF($D238&lt;&gt;"Serviço",0,IF(AND(AUTOEVENTO="Manual",$M238=1),0,IF(OFFSET(CRONOPLE!$F$14,$M238,AP$13)="",10^12,OFFSET(CRONOPLE!$F$14,$M238,AP$13))))</f>
        <v>1000000000000</v>
      </c>
      <c r="AQ238" s="181">
        <f ca="1">IF($D238&lt;&gt;"Serviço",0,IF(AND(AUTOEVENTO="Manual",$M238=1),0,IF(OFFSET(CRONOPLE!$F$14,$M238,AQ$13)="",10^12,OFFSET(CRONOPLE!$F$14,$M238,AQ$13))))</f>
        <v>1000000000000</v>
      </c>
      <c r="AR238" s="181">
        <f ca="1">IF($D238&lt;&gt;"Serviço",0,IF(AND(AUTOEVENTO="Manual",$M238=1),0,IF(OFFSET(CRONOPLE!$F$14,$M238,AR$13)="",10^12,OFFSET(CRONOPLE!$F$14,$M238,AR$13))))</f>
        <v>1000000000000</v>
      </c>
      <c r="AS238" s="181">
        <f ca="1">IF($D238&lt;&gt;"Serviço",0,IF(AND(AUTOEVENTO="Manual",$M238=1),0,IF(OFFSET(CRONOPLE!$F$14,$M238,AS$13)="",10^12,OFFSET(CRONOPLE!$F$14,$M238,AS$13))))</f>
        <v>1000000000000</v>
      </c>
      <c r="AT238" s="181">
        <f ca="1">IF($D238&lt;&gt;"Serviço",0,IF(AND(AUTOEVENTO="Manual",$M238=1),0,IF(OFFSET(CRONOPLE!$F$14,$M238,AT$13)="",10^12,OFFSET(CRONOPLE!$F$14,$M238,AT$13))))</f>
        <v>1000000000000</v>
      </c>
      <c r="AU238" s="181">
        <f ca="1">IF($D238&lt;&gt;"Serviço",0,IF(AND(AUTOEVENTO="Manual",$M238=1),0,IF(OFFSET(CRONOPLE!$F$14,$M238,AU$13)="",10^12,OFFSET(CRONOPLE!$F$14,$M238,AU$13))))</f>
        <v>1000000000000</v>
      </c>
      <c r="AV238" s="181">
        <f ca="1">IF($D238&lt;&gt;"Serviço",0,IF(AND(AUTOEVENTO="Manual",$M238=1),0,IF(OFFSET(CRONOPLE!$F$14,$M238,AV$13)="",10^12,OFFSET(CRONOPLE!$F$14,$M238,AV$13))))</f>
        <v>1000000000000</v>
      </c>
      <c r="AX238" s="182">
        <f ca="1">IF($D238&lt;&gt;"Serviço",0,IF(OR(AND(AUTOEVENTO="Manual",$M238=1),$M238&gt;(ROW(PLE.lastrow)-ROW(PLE.firstrow))),0,IF(OFFSET(PLE!$G$14,$M238,AX$13)="",10^12,OFFSET(PLE!$G$14,$M238,AX$13))))</f>
        <v>1000000000000</v>
      </c>
      <c r="AY238" s="182">
        <f ca="1">IF($D238&lt;&gt;"Serviço",0,IF(OR(AND(AUTOEVENTO="Manual",$M238=1),$M238&gt;(ROW(PLE.lastrow)-ROW(PLE.firstrow))),0,IF(OFFSET(PLE!$G$14,$M238,AY$13)="",10^12,OFFSET(PLE!$G$14,$M238,AY$13))))</f>
        <v>1000000000000</v>
      </c>
      <c r="AZ238" s="182">
        <f ca="1">IF($D238&lt;&gt;"Serviço",0,IF(OR(AND(AUTOEVENTO="Manual",$M238=1),$M238&gt;(ROW(PLE.lastrow)-ROW(PLE.firstrow))),0,IF(OFFSET(PLE!$G$14,$M238,AZ$13)="",10^12,OFFSET(PLE!$G$14,$M238,AZ$13))))</f>
        <v>1000000000000</v>
      </c>
      <c r="BA238" s="182">
        <f ca="1">IF($D238&lt;&gt;"Serviço",0,IF(OR(AND(AUTOEVENTO="Manual",$M238=1),$M238&gt;(ROW(PLE.lastrow)-ROW(PLE.firstrow))),0,IF(OFFSET(PLE!$G$14,$M238,BA$13)="",10^12,OFFSET(PLE!$G$14,$M238,BA$13))))</f>
        <v>1000000000000</v>
      </c>
      <c r="BB238" s="182">
        <f ca="1">IF($D238&lt;&gt;"Serviço",0,IF(OR(AND(AUTOEVENTO="Manual",$M238=1),$M238&gt;(ROW(PLE.lastrow)-ROW(PLE.firstrow))),0,IF(OFFSET(PLE!$G$14,$M238,BB$13)="",10^12,OFFSET(PLE!$G$14,$M238,BB$13))))</f>
        <v>1000000000000</v>
      </c>
      <c r="BC238" s="182">
        <f ca="1">IF($D238&lt;&gt;"Serviço",0,IF(OR(AND(AUTOEVENTO="Manual",$M238=1),$M238&gt;(ROW(PLE.lastrow)-ROW(PLE.firstrow))),0,IF(OFFSET(PLE!$G$14,$M238,BC$13)="",10^12,OFFSET(PLE!$G$14,$M238,BC$13))))</f>
        <v>1000000000000</v>
      </c>
      <c r="BD238" s="182">
        <f ca="1">IF($D238&lt;&gt;"Serviço",0,IF(OR(AND(AUTOEVENTO="Manual",$M238=1),$M238&gt;(ROW(PLE.lastrow)-ROW(PLE.firstrow))),0,IF(OFFSET(PLE!$G$14,$M238,BD$13)="",10^12,OFFSET(PLE!$G$14,$M238,BD$13))))</f>
        <v>1000000000000</v>
      </c>
      <c r="BE238" s="182">
        <f ca="1">IF($D238&lt;&gt;"Serviço",0,IF(OR(AND(AUTOEVENTO="Manual",$M238=1),$M238&gt;(ROW(PLE.lastrow)-ROW(PLE.firstrow))),0,IF(OFFSET(PLE!$G$14,$M238,BE$13)="",10^12,OFFSET(PLE!$G$14,$M238,BE$13))))</f>
        <v>1000000000000</v>
      </c>
      <c r="BF238" s="182">
        <f ca="1">IF($D238&lt;&gt;"Serviço",0,IF(OR(AND(AUTOEVENTO="Manual",$M238=1),$M238&gt;(ROW(PLE.lastrow)-ROW(PLE.firstrow))),0,IF(OFFSET(PLE!$G$14,$M238,BF$13)="",10^12,OFFSET(PLE!$G$14,$M238,BF$13))))</f>
        <v>1000000000000</v>
      </c>
      <c r="BG238" s="182">
        <f ca="1">IF($D238&lt;&gt;"Serviço",0,IF(OR(AND(AUTOEVENTO="Manual",$M238=1),$M238&gt;(ROW(PLE.lastrow)-ROW(PLE.firstrow))),0,IF(OFFSET(PLE!$G$14,$M238,BG$13)="",10^12,OFFSET(PLE!$G$14,$M238,BG$13))))</f>
        <v>1000000000000</v>
      </c>
    </row>
    <row r="239" spans="1:59" ht="51" x14ac:dyDescent="0.2">
      <c r="A239" s="7" t="str">
        <f t="shared" ca="1" si="11"/>
        <v>222</v>
      </c>
      <c r="B239" s="7" t="str">
        <f ca="1">OFFSET(ORÇAMENTO!C$15,ROW(B239)-ROW(B$15),0)</f>
        <v>S</v>
      </c>
      <c r="C239" s="7" t="str">
        <f ca="1">OFFSET(ORÇAMENTO!L$15,ROW(C239)-ROW(C$15),0)</f>
        <v>F</v>
      </c>
      <c r="D239" s="118" t="str">
        <f ca="1">OFFSET(ORÇAMENTO!N$15,ROW(D239)-ROW(D$15),0)</f>
        <v>Serviço</v>
      </c>
      <c r="E239" s="119" t="str">
        <f ca="1">OFFSET(ORÇAMENTO!O$15,ROW(E239)-ROW(E$15),0)</f>
        <v>1.11.0.2.</v>
      </c>
      <c r="F239" s="172" t="str">
        <f ca="1">OFFSET(ORÇAMENTO!R$15,ROW(F239)-ROW(F$15),0)</f>
        <v>(abra o arquivo 'Referência 03-2024.xlsm)</v>
      </c>
      <c r="G239" s="173" t="str">
        <f ca="1">IF($D239&lt;&gt;"Serviço","",OFFSET(ORÇAMENTO!S$15,ROW(G239)-ROW(G$15),0))</f>
        <v>-</v>
      </c>
      <c r="H239" s="124">
        <f ca="1">IF($D239&lt;&gt;"Serviço",0,IF(ACOMPANHAMENTO="BM",ROUND(OFFSET(ORÇAMENTO!AJ$15,ROW(H239)-ROW(H$15),0),15-13*ORÇAMENTO!$AF$7),SUMPRODUCT(($Q$12:$AA$12&lt;&gt;"")*ROUND($Q239:$AA239,15-13*ORÇAMENTO!$AF$7))))</f>
        <v>1</v>
      </c>
      <c r="I239" s="561"/>
      <c r="K239" s="174"/>
      <c r="L239" s="175" t="s">
        <v>255</v>
      </c>
      <c r="M239" s="176">
        <f ca="1">IF($D239&lt;&gt;"Serviço","",IF(AUTOEVENTO="manual",$A239,IF(ISERROR(MATCH($A239,$A$15:OFFSET($A239,-1,0),0)),MAX($M$15:OFFSET(M239,-1,0))+1,INDEX($M$15:OFFSET(M239,-1,0),MATCH($A239,$A$15:OFFSET($A239,-1,0),0)))))</f>
        <v>12</v>
      </c>
      <c r="N239" s="177" t="str">
        <f ca="1">IF($D239&lt;&gt;"Serviço","",IF(AUTOEVENTO="Manual",IF($A239=0,"&lt;-- defina o número do agrupador",OFFSET(EVENTOS!$D$14,$A239,0)),OFFSET($F$15,$A239,0)))</f>
        <v>ACADEMIA DE SAÚDE AO AR LIVRE</v>
      </c>
      <c r="O239" s="178"/>
      <c r="Q239" s="178"/>
      <c r="R239" s="179"/>
      <c r="S239" s="179"/>
      <c r="T239" s="179"/>
      <c r="U239" s="179"/>
      <c r="V239" s="179"/>
      <c r="W239" s="179"/>
      <c r="X239" s="179"/>
      <c r="Y239" s="179"/>
      <c r="Z239" s="180"/>
      <c r="AB239" s="544">
        <f ca="1">IF(AND($D239="Serviço",AB$12&lt;&gt;0,$H239&gt;0,OR(AUTOEVENTO&lt;&gt;"manual",$M239&lt;&gt;1)),
IF(Import.TipoArredondamento&lt;&gt;"TransfereGOV",
ROUND(OFFSET($P239,0,AB$13),15-13*ORÇAMENTO!$AF$7)/$H239*OFFSET(ORÇAMENTO!$X$15,ROW(AB239)-ROW(AB$15),0),
ROUND(ROUND(OFFSET($P239,0,AB$13),15-13*ORÇAMENTO!$AF$7)*OFFSET(ORÇAMENTO!$W$15,ROW(AB239)-ROW(AB$15),0),15-13*ORÇAMENTO!$AF$11)),0)</f>
        <v>0</v>
      </c>
      <c r="AC239" s="545">
        <f ca="1">IF(AND($D239="Serviço",AC$12&lt;&gt;0,$H239&gt;0,OR(AUTOEVENTO&lt;&gt;"manual",$M239&lt;&gt;1)),
IF(Import.TipoArredondamento&lt;&gt;"TransfereGOV",
ROUND(OFFSET($P239,0,AC$13),15-13*ORÇAMENTO!$AF$7)/$H239*OFFSET(ORÇAMENTO!$X$15,ROW(AC239)-ROW(AC$15),0),
ROUND(ROUND(OFFSET($P239,0,AC$13),15-13*ORÇAMENTO!$AF$7)*OFFSET(ORÇAMENTO!$W$15,ROW(AC239)-ROW(AC$15),0),15-13*ORÇAMENTO!$AF$11)),0)</f>
        <v>0</v>
      </c>
      <c r="AD239" s="545">
        <f ca="1">IF(AND($D239="Serviço",AD$12&lt;&gt;0,$H239&gt;0,OR(AUTOEVENTO&lt;&gt;"manual",$M239&lt;&gt;1)),
IF(Import.TipoArredondamento&lt;&gt;"TransfereGOV",
ROUND(OFFSET($P239,0,AD$13),15-13*ORÇAMENTO!$AF$7)/$H239*OFFSET(ORÇAMENTO!$X$15,ROW(AD239)-ROW(AD$15),0),
ROUND(ROUND(OFFSET($P239,0,AD$13),15-13*ORÇAMENTO!$AF$7)*OFFSET(ORÇAMENTO!$W$15,ROW(AD239)-ROW(AD$15),0),15-13*ORÇAMENTO!$AF$11)),0)</f>
        <v>0</v>
      </c>
      <c r="AE239" s="545">
        <f ca="1">IF(AND($D239="Serviço",AE$12&lt;&gt;0,$H239&gt;0,OR(AUTOEVENTO&lt;&gt;"manual",$M239&lt;&gt;1)),
IF(Import.TipoArredondamento&lt;&gt;"TransfereGOV",
ROUND(OFFSET($P239,0,AE$13),15-13*ORÇAMENTO!$AF$7)/$H239*OFFSET(ORÇAMENTO!$X$15,ROW(AE239)-ROW(AE$15),0),
ROUND(ROUND(OFFSET($P239,0,AE$13),15-13*ORÇAMENTO!$AF$7)*OFFSET(ORÇAMENTO!$W$15,ROW(AE239)-ROW(AE$15),0),15-13*ORÇAMENTO!$AF$11)),0)</f>
        <v>0</v>
      </c>
      <c r="AF239" s="545">
        <f ca="1">IF(AND($D239="Serviço",AF$12&lt;&gt;0,$H239&gt;0,OR(AUTOEVENTO&lt;&gt;"manual",$M239&lt;&gt;1)),
IF(Import.TipoArredondamento&lt;&gt;"TransfereGOV",
ROUND(OFFSET($P239,0,AF$13),15-13*ORÇAMENTO!$AF$7)/$H239*OFFSET(ORÇAMENTO!$X$15,ROW(AF239)-ROW(AF$15),0),
ROUND(ROUND(OFFSET($P239,0,AF$13),15-13*ORÇAMENTO!$AF$7)*OFFSET(ORÇAMENTO!$W$15,ROW(AF239)-ROW(AF$15),0),15-13*ORÇAMENTO!$AF$11)),0)</f>
        <v>0</v>
      </c>
      <c r="AG239" s="545">
        <f ca="1">IF(AND($D239="Serviço",AG$12&lt;&gt;0,$H239&gt;0,OR(AUTOEVENTO&lt;&gt;"manual",$M239&lt;&gt;1)),
IF(Import.TipoArredondamento&lt;&gt;"TransfereGOV",
ROUND(OFFSET($P239,0,AG$13),15-13*ORÇAMENTO!$AF$7)/$H239*OFFSET(ORÇAMENTO!$X$15,ROW(AG239)-ROW(AG$15),0),
ROUND(ROUND(OFFSET($P239,0,AG$13),15-13*ORÇAMENTO!$AF$7)*OFFSET(ORÇAMENTO!$W$15,ROW(AG239)-ROW(AG$15),0),15-13*ORÇAMENTO!$AF$11)),0)</f>
        <v>0</v>
      </c>
      <c r="AH239" s="545">
        <f ca="1">IF(AND($D239="Serviço",AH$12&lt;&gt;0,$H239&gt;0,OR(AUTOEVENTO&lt;&gt;"manual",$M239&lt;&gt;1)),
IF(Import.TipoArredondamento&lt;&gt;"TransfereGOV",
ROUND(OFFSET($P239,0,AH$13),15-13*ORÇAMENTO!$AF$7)/$H239*OFFSET(ORÇAMENTO!$X$15,ROW(AH239)-ROW(AH$15),0),
ROUND(ROUND(OFFSET($P239,0,AH$13),15-13*ORÇAMENTO!$AF$7)*OFFSET(ORÇAMENTO!$W$15,ROW(AH239)-ROW(AH$15),0),15-13*ORÇAMENTO!$AF$11)),0)</f>
        <v>0</v>
      </c>
      <c r="AI239" s="545">
        <f ca="1">IF(AND($D239="Serviço",AI$12&lt;&gt;0,$H239&gt;0,OR(AUTOEVENTO&lt;&gt;"manual",$M239&lt;&gt;1)),
IF(Import.TipoArredondamento&lt;&gt;"TransfereGOV",
ROUND(OFFSET($P239,0,AI$13),15-13*ORÇAMENTO!$AF$7)/$H239*OFFSET(ORÇAMENTO!$X$15,ROW(AI239)-ROW(AI$15),0),
ROUND(ROUND(OFFSET($P239,0,AI$13),15-13*ORÇAMENTO!$AF$7)*OFFSET(ORÇAMENTO!$W$15,ROW(AI239)-ROW(AI$15),0),15-13*ORÇAMENTO!$AF$11)),0)</f>
        <v>0</v>
      </c>
      <c r="AJ239" s="545">
        <f ca="1">IF(AND($D239="Serviço",AJ$12&lt;&gt;0,$H239&gt;0,OR(AUTOEVENTO&lt;&gt;"manual",$M239&lt;&gt;1)),
IF(Import.TipoArredondamento&lt;&gt;"TransfereGOV",
ROUND(OFFSET($P239,0,AJ$13),15-13*ORÇAMENTO!$AF$7)/$H239*OFFSET(ORÇAMENTO!$X$15,ROW(AJ239)-ROW(AJ$15),0),
ROUND(ROUND(OFFSET($P239,0,AJ$13),15-13*ORÇAMENTO!$AF$7)*OFFSET(ORÇAMENTO!$W$15,ROW(AJ239)-ROW(AJ$15),0),15-13*ORÇAMENTO!$AF$11)),0)</f>
        <v>0</v>
      </c>
      <c r="AK239" s="546">
        <f ca="1">IF(AND($D239="Serviço",AK$12&lt;&gt;0,$H239&gt;0,OR(AUTOEVENTO&lt;&gt;"manual",$M239&lt;&gt;1)),
IF(Import.TipoArredondamento&lt;&gt;"TransfereGOV",
ROUND(OFFSET($P239,0,AK$13),15-13*ORÇAMENTO!$AF$7)/$H239*OFFSET(ORÇAMENTO!$X$15,ROW(AK239)-ROW(AK$15),0),
ROUND(ROUND(OFFSET($P239,0,AK$13),15-13*ORÇAMENTO!$AF$7)*OFFSET(ORÇAMENTO!$W$15,ROW(AK239)-ROW(AK$15),0),15-13*ORÇAMENTO!$AF$11)),0)</f>
        <v>0</v>
      </c>
      <c r="AM239" s="181">
        <f ca="1">IF($D239&lt;&gt;"Serviço",0,IF(AND(AUTOEVENTO="Manual",$M239=1),0,IF(OFFSET(CRONOPLE!$F$14,$M239,AM$13)="",10^12,OFFSET(CRONOPLE!$F$14,$M239,AM$13))))</f>
        <v>1000000000000</v>
      </c>
      <c r="AN239" s="181">
        <f ca="1">IF($D239&lt;&gt;"Serviço",0,IF(AND(AUTOEVENTO="Manual",$M239=1),0,IF(OFFSET(CRONOPLE!$F$14,$M239,AN$13)="",10^12,OFFSET(CRONOPLE!$F$14,$M239,AN$13))))</f>
        <v>1000000000000</v>
      </c>
      <c r="AO239" s="181">
        <f ca="1">IF($D239&lt;&gt;"Serviço",0,IF(AND(AUTOEVENTO="Manual",$M239=1),0,IF(OFFSET(CRONOPLE!$F$14,$M239,AO$13)="",10^12,OFFSET(CRONOPLE!$F$14,$M239,AO$13))))</f>
        <v>1000000000000</v>
      </c>
      <c r="AP239" s="181">
        <f ca="1">IF($D239&lt;&gt;"Serviço",0,IF(AND(AUTOEVENTO="Manual",$M239=1),0,IF(OFFSET(CRONOPLE!$F$14,$M239,AP$13)="",10^12,OFFSET(CRONOPLE!$F$14,$M239,AP$13))))</f>
        <v>1000000000000</v>
      </c>
      <c r="AQ239" s="181">
        <f ca="1">IF($D239&lt;&gt;"Serviço",0,IF(AND(AUTOEVENTO="Manual",$M239=1),0,IF(OFFSET(CRONOPLE!$F$14,$M239,AQ$13)="",10^12,OFFSET(CRONOPLE!$F$14,$M239,AQ$13))))</f>
        <v>1000000000000</v>
      </c>
      <c r="AR239" s="181">
        <f ca="1">IF($D239&lt;&gt;"Serviço",0,IF(AND(AUTOEVENTO="Manual",$M239=1),0,IF(OFFSET(CRONOPLE!$F$14,$M239,AR$13)="",10^12,OFFSET(CRONOPLE!$F$14,$M239,AR$13))))</f>
        <v>1000000000000</v>
      </c>
      <c r="AS239" s="181">
        <f ca="1">IF($D239&lt;&gt;"Serviço",0,IF(AND(AUTOEVENTO="Manual",$M239=1),0,IF(OFFSET(CRONOPLE!$F$14,$M239,AS$13)="",10^12,OFFSET(CRONOPLE!$F$14,$M239,AS$13))))</f>
        <v>1000000000000</v>
      </c>
      <c r="AT239" s="181">
        <f ca="1">IF($D239&lt;&gt;"Serviço",0,IF(AND(AUTOEVENTO="Manual",$M239=1),0,IF(OFFSET(CRONOPLE!$F$14,$M239,AT$13)="",10^12,OFFSET(CRONOPLE!$F$14,$M239,AT$13))))</f>
        <v>1000000000000</v>
      </c>
      <c r="AU239" s="181">
        <f ca="1">IF($D239&lt;&gt;"Serviço",0,IF(AND(AUTOEVENTO="Manual",$M239=1),0,IF(OFFSET(CRONOPLE!$F$14,$M239,AU$13)="",10^12,OFFSET(CRONOPLE!$F$14,$M239,AU$13))))</f>
        <v>1000000000000</v>
      </c>
      <c r="AV239" s="181">
        <f ca="1">IF($D239&lt;&gt;"Serviço",0,IF(AND(AUTOEVENTO="Manual",$M239=1),0,IF(OFFSET(CRONOPLE!$F$14,$M239,AV$13)="",10^12,OFFSET(CRONOPLE!$F$14,$M239,AV$13))))</f>
        <v>1000000000000</v>
      </c>
      <c r="AX239" s="182">
        <f ca="1">IF($D239&lt;&gt;"Serviço",0,IF(OR(AND(AUTOEVENTO="Manual",$M239=1),$M239&gt;(ROW(PLE.lastrow)-ROW(PLE.firstrow))),0,IF(OFFSET(PLE!$G$14,$M239,AX$13)="",10^12,OFFSET(PLE!$G$14,$M239,AX$13))))</f>
        <v>1000000000000</v>
      </c>
      <c r="AY239" s="182">
        <f ca="1">IF($D239&lt;&gt;"Serviço",0,IF(OR(AND(AUTOEVENTO="Manual",$M239=1),$M239&gt;(ROW(PLE.lastrow)-ROW(PLE.firstrow))),0,IF(OFFSET(PLE!$G$14,$M239,AY$13)="",10^12,OFFSET(PLE!$G$14,$M239,AY$13))))</f>
        <v>1000000000000</v>
      </c>
      <c r="AZ239" s="182">
        <f ca="1">IF($D239&lt;&gt;"Serviço",0,IF(OR(AND(AUTOEVENTO="Manual",$M239=1),$M239&gt;(ROW(PLE.lastrow)-ROW(PLE.firstrow))),0,IF(OFFSET(PLE!$G$14,$M239,AZ$13)="",10^12,OFFSET(PLE!$G$14,$M239,AZ$13))))</f>
        <v>1000000000000</v>
      </c>
      <c r="BA239" s="182">
        <f ca="1">IF($D239&lt;&gt;"Serviço",0,IF(OR(AND(AUTOEVENTO="Manual",$M239=1),$M239&gt;(ROW(PLE.lastrow)-ROW(PLE.firstrow))),0,IF(OFFSET(PLE!$G$14,$M239,BA$13)="",10^12,OFFSET(PLE!$G$14,$M239,BA$13))))</f>
        <v>1000000000000</v>
      </c>
      <c r="BB239" s="182">
        <f ca="1">IF($D239&lt;&gt;"Serviço",0,IF(OR(AND(AUTOEVENTO="Manual",$M239=1),$M239&gt;(ROW(PLE.lastrow)-ROW(PLE.firstrow))),0,IF(OFFSET(PLE!$G$14,$M239,BB$13)="",10^12,OFFSET(PLE!$G$14,$M239,BB$13))))</f>
        <v>1000000000000</v>
      </c>
      <c r="BC239" s="182">
        <f ca="1">IF($D239&lt;&gt;"Serviço",0,IF(OR(AND(AUTOEVENTO="Manual",$M239=1),$M239&gt;(ROW(PLE.lastrow)-ROW(PLE.firstrow))),0,IF(OFFSET(PLE!$G$14,$M239,BC$13)="",10^12,OFFSET(PLE!$G$14,$M239,BC$13))))</f>
        <v>1000000000000</v>
      </c>
      <c r="BD239" s="182">
        <f ca="1">IF($D239&lt;&gt;"Serviço",0,IF(OR(AND(AUTOEVENTO="Manual",$M239=1),$M239&gt;(ROW(PLE.lastrow)-ROW(PLE.firstrow))),0,IF(OFFSET(PLE!$G$14,$M239,BD$13)="",10^12,OFFSET(PLE!$G$14,$M239,BD$13))))</f>
        <v>1000000000000</v>
      </c>
      <c r="BE239" s="182">
        <f ca="1">IF($D239&lt;&gt;"Serviço",0,IF(OR(AND(AUTOEVENTO="Manual",$M239=1),$M239&gt;(ROW(PLE.lastrow)-ROW(PLE.firstrow))),0,IF(OFFSET(PLE!$G$14,$M239,BE$13)="",10^12,OFFSET(PLE!$G$14,$M239,BE$13))))</f>
        <v>1000000000000</v>
      </c>
      <c r="BF239" s="182">
        <f ca="1">IF($D239&lt;&gt;"Serviço",0,IF(OR(AND(AUTOEVENTO="Manual",$M239=1),$M239&gt;(ROW(PLE.lastrow)-ROW(PLE.firstrow))),0,IF(OFFSET(PLE!$G$14,$M239,BF$13)="",10^12,OFFSET(PLE!$G$14,$M239,BF$13))))</f>
        <v>1000000000000</v>
      </c>
      <c r="BG239" s="182">
        <f ca="1">IF($D239&lt;&gt;"Serviço",0,IF(OR(AND(AUTOEVENTO="Manual",$M239=1),$M239&gt;(ROW(PLE.lastrow)-ROW(PLE.firstrow))),0,IF(OFFSET(PLE!$G$14,$M239,BG$13)="",10^12,OFFSET(PLE!$G$14,$M239,BG$13))))</f>
        <v>1000000000000</v>
      </c>
    </row>
    <row r="240" spans="1:59" ht="51" x14ac:dyDescent="0.2">
      <c r="A240" s="7" t="str">
        <f t="shared" ca="1" si="11"/>
        <v>222</v>
      </c>
      <c r="B240" s="7" t="str">
        <f ca="1">OFFSET(ORÇAMENTO!C$15,ROW(B240)-ROW(B$15),0)</f>
        <v>S</v>
      </c>
      <c r="C240" s="7" t="str">
        <f ca="1">OFFSET(ORÇAMENTO!L$15,ROW(C240)-ROW(C$15),0)</f>
        <v>F</v>
      </c>
      <c r="D240" s="118" t="str">
        <f ca="1">OFFSET(ORÇAMENTO!N$15,ROW(D240)-ROW(D$15),0)</f>
        <v>Serviço</v>
      </c>
      <c r="E240" s="119" t="str">
        <f ca="1">OFFSET(ORÇAMENTO!O$15,ROW(E240)-ROW(E$15),0)</f>
        <v>1.11.0.3.</v>
      </c>
      <c r="F240" s="172" t="str">
        <f ca="1">OFFSET(ORÇAMENTO!R$15,ROW(F240)-ROW(F$15),0)</f>
        <v>(abra o arquivo 'Referência 03-2024.xlsm)</v>
      </c>
      <c r="G240" s="173" t="str">
        <f ca="1">IF($D240&lt;&gt;"Serviço","",OFFSET(ORÇAMENTO!S$15,ROW(G240)-ROW(G$15),0))</f>
        <v>-</v>
      </c>
      <c r="H240" s="124">
        <f ca="1">IF($D240&lt;&gt;"Serviço",0,IF(ACOMPANHAMENTO="BM",ROUND(OFFSET(ORÇAMENTO!AJ$15,ROW(H240)-ROW(H$15),0),15-13*ORÇAMENTO!$AF$7),SUMPRODUCT(($Q$12:$AA$12&lt;&gt;"")*ROUND($Q240:$AA240,15-13*ORÇAMENTO!$AF$7))))</f>
        <v>1</v>
      </c>
      <c r="I240" s="561"/>
      <c r="K240" s="174"/>
      <c r="L240" s="175" t="s">
        <v>255</v>
      </c>
      <c r="M240" s="176">
        <f ca="1">IF($D240&lt;&gt;"Serviço","",IF(AUTOEVENTO="manual",$A240,IF(ISERROR(MATCH($A240,$A$15:OFFSET($A240,-1,0),0)),MAX($M$15:OFFSET(M240,-1,0))+1,INDEX($M$15:OFFSET(M240,-1,0),MATCH($A240,$A$15:OFFSET($A240,-1,0),0)))))</f>
        <v>12</v>
      </c>
      <c r="N240" s="177" t="str">
        <f ca="1">IF($D240&lt;&gt;"Serviço","",IF(AUTOEVENTO="Manual",IF($A240=0,"&lt;-- defina o número do agrupador",OFFSET(EVENTOS!$D$14,$A240,0)),OFFSET($F$15,$A240,0)))</f>
        <v>ACADEMIA DE SAÚDE AO AR LIVRE</v>
      </c>
      <c r="O240" s="178"/>
      <c r="Q240" s="178"/>
      <c r="R240" s="179"/>
      <c r="S240" s="179"/>
      <c r="T240" s="179"/>
      <c r="U240" s="179"/>
      <c r="V240" s="179"/>
      <c r="W240" s="179"/>
      <c r="X240" s="179"/>
      <c r="Y240" s="179"/>
      <c r="Z240" s="180"/>
      <c r="AB240" s="544">
        <f ca="1">IF(AND($D240="Serviço",AB$12&lt;&gt;0,$H240&gt;0,OR(AUTOEVENTO&lt;&gt;"manual",$M240&lt;&gt;1)),
IF(Import.TipoArredondamento&lt;&gt;"TransfereGOV",
ROUND(OFFSET($P240,0,AB$13),15-13*ORÇAMENTO!$AF$7)/$H240*OFFSET(ORÇAMENTO!$X$15,ROW(AB240)-ROW(AB$15),0),
ROUND(ROUND(OFFSET($P240,0,AB$13),15-13*ORÇAMENTO!$AF$7)*OFFSET(ORÇAMENTO!$W$15,ROW(AB240)-ROW(AB$15),0),15-13*ORÇAMENTO!$AF$11)),0)</f>
        <v>0</v>
      </c>
      <c r="AC240" s="545">
        <f ca="1">IF(AND($D240="Serviço",AC$12&lt;&gt;0,$H240&gt;0,OR(AUTOEVENTO&lt;&gt;"manual",$M240&lt;&gt;1)),
IF(Import.TipoArredondamento&lt;&gt;"TransfereGOV",
ROUND(OFFSET($P240,0,AC$13),15-13*ORÇAMENTO!$AF$7)/$H240*OFFSET(ORÇAMENTO!$X$15,ROW(AC240)-ROW(AC$15),0),
ROUND(ROUND(OFFSET($P240,0,AC$13),15-13*ORÇAMENTO!$AF$7)*OFFSET(ORÇAMENTO!$W$15,ROW(AC240)-ROW(AC$15),0),15-13*ORÇAMENTO!$AF$11)),0)</f>
        <v>0</v>
      </c>
      <c r="AD240" s="545">
        <f ca="1">IF(AND($D240="Serviço",AD$12&lt;&gt;0,$H240&gt;0,OR(AUTOEVENTO&lt;&gt;"manual",$M240&lt;&gt;1)),
IF(Import.TipoArredondamento&lt;&gt;"TransfereGOV",
ROUND(OFFSET($P240,0,AD$13),15-13*ORÇAMENTO!$AF$7)/$H240*OFFSET(ORÇAMENTO!$X$15,ROW(AD240)-ROW(AD$15),0),
ROUND(ROUND(OFFSET($P240,0,AD$13),15-13*ORÇAMENTO!$AF$7)*OFFSET(ORÇAMENTO!$W$15,ROW(AD240)-ROW(AD$15),0),15-13*ORÇAMENTO!$AF$11)),0)</f>
        <v>0</v>
      </c>
      <c r="AE240" s="545">
        <f ca="1">IF(AND($D240="Serviço",AE$12&lt;&gt;0,$H240&gt;0,OR(AUTOEVENTO&lt;&gt;"manual",$M240&lt;&gt;1)),
IF(Import.TipoArredondamento&lt;&gt;"TransfereGOV",
ROUND(OFFSET($P240,0,AE$13),15-13*ORÇAMENTO!$AF$7)/$H240*OFFSET(ORÇAMENTO!$X$15,ROW(AE240)-ROW(AE$15),0),
ROUND(ROUND(OFFSET($P240,0,AE$13),15-13*ORÇAMENTO!$AF$7)*OFFSET(ORÇAMENTO!$W$15,ROW(AE240)-ROW(AE$15),0),15-13*ORÇAMENTO!$AF$11)),0)</f>
        <v>0</v>
      </c>
      <c r="AF240" s="545">
        <f ca="1">IF(AND($D240="Serviço",AF$12&lt;&gt;0,$H240&gt;0,OR(AUTOEVENTO&lt;&gt;"manual",$M240&lt;&gt;1)),
IF(Import.TipoArredondamento&lt;&gt;"TransfereGOV",
ROUND(OFFSET($P240,0,AF$13),15-13*ORÇAMENTO!$AF$7)/$H240*OFFSET(ORÇAMENTO!$X$15,ROW(AF240)-ROW(AF$15),0),
ROUND(ROUND(OFFSET($P240,0,AF$13),15-13*ORÇAMENTO!$AF$7)*OFFSET(ORÇAMENTO!$W$15,ROW(AF240)-ROW(AF$15),0),15-13*ORÇAMENTO!$AF$11)),0)</f>
        <v>0</v>
      </c>
      <c r="AG240" s="545">
        <f ca="1">IF(AND($D240="Serviço",AG$12&lt;&gt;0,$H240&gt;0,OR(AUTOEVENTO&lt;&gt;"manual",$M240&lt;&gt;1)),
IF(Import.TipoArredondamento&lt;&gt;"TransfereGOV",
ROUND(OFFSET($P240,0,AG$13),15-13*ORÇAMENTO!$AF$7)/$H240*OFFSET(ORÇAMENTO!$X$15,ROW(AG240)-ROW(AG$15),0),
ROUND(ROUND(OFFSET($P240,0,AG$13),15-13*ORÇAMENTO!$AF$7)*OFFSET(ORÇAMENTO!$W$15,ROW(AG240)-ROW(AG$15),0),15-13*ORÇAMENTO!$AF$11)),0)</f>
        <v>0</v>
      </c>
      <c r="AH240" s="545">
        <f ca="1">IF(AND($D240="Serviço",AH$12&lt;&gt;0,$H240&gt;0,OR(AUTOEVENTO&lt;&gt;"manual",$M240&lt;&gt;1)),
IF(Import.TipoArredondamento&lt;&gt;"TransfereGOV",
ROUND(OFFSET($P240,0,AH$13),15-13*ORÇAMENTO!$AF$7)/$H240*OFFSET(ORÇAMENTO!$X$15,ROW(AH240)-ROW(AH$15),0),
ROUND(ROUND(OFFSET($P240,0,AH$13),15-13*ORÇAMENTO!$AF$7)*OFFSET(ORÇAMENTO!$W$15,ROW(AH240)-ROW(AH$15),0),15-13*ORÇAMENTO!$AF$11)),0)</f>
        <v>0</v>
      </c>
      <c r="AI240" s="545">
        <f ca="1">IF(AND($D240="Serviço",AI$12&lt;&gt;0,$H240&gt;0,OR(AUTOEVENTO&lt;&gt;"manual",$M240&lt;&gt;1)),
IF(Import.TipoArredondamento&lt;&gt;"TransfereGOV",
ROUND(OFFSET($P240,0,AI$13),15-13*ORÇAMENTO!$AF$7)/$H240*OFFSET(ORÇAMENTO!$X$15,ROW(AI240)-ROW(AI$15),0),
ROUND(ROUND(OFFSET($P240,0,AI$13),15-13*ORÇAMENTO!$AF$7)*OFFSET(ORÇAMENTO!$W$15,ROW(AI240)-ROW(AI$15),0),15-13*ORÇAMENTO!$AF$11)),0)</f>
        <v>0</v>
      </c>
      <c r="AJ240" s="545">
        <f ca="1">IF(AND($D240="Serviço",AJ$12&lt;&gt;0,$H240&gt;0,OR(AUTOEVENTO&lt;&gt;"manual",$M240&lt;&gt;1)),
IF(Import.TipoArredondamento&lt;&gt;"TransfereGOV",
ROUND(OFFSET($P240,0,AJ$13),15-13*ORÇAMENTO!$AF$7)/$H240*OFFSET(ORÇAMENTO!$X$15,ROW(AJ240)-ROW(AJ$15),0),
ROUND(ROUND(OFFSET($P240,0,AJ$13),15-13*ORÇAMENTO!$AF$7)*OFFSET(ORÇAMENTO!$W$15,ROW(AJ240)-ROW(AJ$15),0),15-13*ORÇAMENTO!$AF$11)),0)</f>
        <v>0</v>
      </c>
      <c r="AK240" s="546">
        <f ca="1">IF(AND($D240="Serviço",AK$12&lt;&gt;0,$H240&gt;0,OR(AUTOEVENTO&lt;&gt;"manual",$M240&lt;&gt;1)),
IF(Import.TipoArredondamento&lt;&gt;"TransfereGOV",
ROUND(OFFSET($P240,0,AK$13),15-13*ORÇAMENTO!$AF$7)/$H240*OFFSET(ORÇAMENTO!$X$15,ROW(AK240)-ROW(AK$15),0),
ROUND(ROUND(OFFSET($P240,0,AK$13),15-13*ORÇAMENTO!$AF$7)*OFFSET(ORÇAMENTO!$W$15,ROW(AK240)-ROW(AK$15),0),15-13*ORÇAMENTO!$AF$11)),0)</f>
        <v>0</v>
      </c>
      <c r="AM240" s="181">
        <f ca="1">IF($D240&lt;&gt;"Serviço",0,IF(AND(AUTOEVENTO="Manual",$M240=1),0,IF(OFFSET(CRONOPLE!$F$14,$M240,AM$13)="",10^12,OFFSET(CRONOPLE!$F$14,$M240,AM$13))))</f>
        <v>1000000000000</v>
      </c>
      <c r="AN240" s="181">
        <f ca="1">IF($D240&lt;&gt;"Serviço",0,IF(AND(AUTOEVENTO="Manual",$M240=1),0,IF(OFFSET(CRONOPLE!$F$14,$M240,AN$13)="",10^12,OFFSET(CRONOPLE!$F$14,$M240,AN$13))))</f>
        <v>1000000000000</v>
      </c>
      <c r="AO240" s="181">
        <f ca="1">IF($D240&lt;&gt;"Serviço",0,IF(AND(AUTOEVENTO="Manual",$M240=1),0,IF(OFFSET(CRONOPLE!$F$14,$M240,AO$13)="",10^12,OFFSET(CRONOPLE!$F$14,$M240,AO$13))))</f>
        <v>1000000000000</v>
      </c>
      <c r="AP240" s="181">
        <f ca="1">IF($D240&lt;&gt;"Serviço",0,IF(AND(AUTOEVENTO="Manual",$M240=1),0,IF(OFFSET(CRONOPLE!$F$14,$M240,AP$13)="",10^12,OFFSET(CRONOPLE!$F$14,$M240,AP$13))))</f>
        <v>1000000000000</v>
      </c>
      <c r="AQ240" s="181">
        <f ca="1">IF($D240&lt;&gt;"Serviço",0,IF(AND(AUTOEVENTO="Manual",$M240=1),0,IF(OFFSET(CRONOPLE!$F$14,$M240,AQ$13)="",10^12,OFFSET(CRONOPLE!$F$14,$M240,AQ$13))))</f>
        <v>1000000000000</v>
      </c>
      <c r="AR240" s="181">
        <f ca="1">IF($D240&lt;&gt;"Serviço",0,IF(AND(AUTOEVENTO="Manual",$M240=1),0,IF(OFFSET(CRONOPLE!$F$14,$M240,AR$13)="",10^12,OFFSET(CRONOPLE!$F$14,$M240,AR$13))))</f>
        <v>1000000000000</v>
      </c>
      <c r="AS240" s="181">
        <f ca="1">IF($D240&lt;&gt;"Serviço",0,IF(AND(AUTOEVENTO="Manual",$M240=1),0,IF(OFFSET(CRONOPLE!$F$14,$M240,AS$13)="",10^12,OFFSET(CRONOPLE!$F$14,$M240,AS$13))))</f>
        <v>1000000000000</v>
      </c>
      <c r="AT240" s="181">
        <f ca="1">IF($D240&lt;&gt;"Serviço",0,IF(AND(AUTOEVENTO="Manual",$M240=1),0,IF(OFFSET(CRONOPLE!$F$14,$M240,AT$13)="",10^12,OFFSET(CRONOPLE!$F$14,$M240,AT$13))))</f>
        <v>1000000000000</v>
      </c>
      <c r="AU240" s="181">
        <f ca="1">IF($D240&lt;&gt;"Serviço",0,IF(AND(AUTOEVENTO="Manual",$M240=1),0,IF(OFFSET(CRONOPLE!$F$14,$M240,AU$13)="",10^12,OFFSET(CRONOPLE!$F$14,$M240,AU$13))))</f>
        <v>1000000000000</v>
      </c>
      <c r="AV240" s="181">
        <f ca="1">IF($D240&lt;&gt;"Serviço",0,IF(AND(AUTOEVENTO="Manual",$M240=1),0,IF(OFFSET(CRONOPLE!$F$14,$M240,AV$13)="",10^12,OFFSET(CRONOPLE!$F$14,$M240,AV$13))))</f>
        <v>1000000000000</v>
      </c>
      <c r="AX240" s="182">
        <f ca="1">IF($D240&lt;&gt;"Serviço",0,IF(OR(AND(AUTOEVENTO="Manual",$M240=1),$M240&gt;(ROW(PLE.lastrow)-ROW(PLE.firstrow))),0,IF(OFFSET(PLE!$G$14,$M240,AX$13)="",10^12,OFFSET(PLE!$G$14,$M240,AX$13))))</f>
        <v>1000000000000</v>
      </c>
      <c r="AY240" s="182">
        <f ca="1">IF($D240&lt;&gt;"Serviço",0,IF(OR(AND(AUTOEVENTO="Manual",$M240=1),$M240&gt;(ROW(PLE.lastrow)-ROW(PLE.firstrow))),0,IF(OFFSET(PLE!$G$14,$M240,AY$13)="",10^12,OFFSET(PLE!$G$14,$M240,AY$13))))</f>
        <v>1000000000000</v>
      </c>
      <c r="AZ240" s="182">
        <f ca="1">IF($D240&lt;&gt;"Serviço",0,IF(OR(AND(AUTOEVENTO="Manual",$M240=1),$M240&gt;(ROW(PLE.lastrow)-ROW(PLE.firstrow))),0,IF(OFFSET(PLE!$G$14,$M240,AZ$13)="",10^12,OFFSET(PLE!$G$14,$M240,AZ$13))))</f>
        <v>1000000000000</v>
      </c>
      <c r="BA240" s="182">
        <f ca="1">IF($D240&lt;&gt;"Serviço",0,IF(OR(AND(AUTOEVENTO="Manual",$M240=1),$M240&gt;(ROW(PLE.lastrow)-ROW(PLE.firstrow))),0,IF(OFFSET(PLE!$G$14,$M240,BA$13)="",10^12,OFFSET(PLE!$G$14,$M240,BA$13))))</f>
        <v>1000000000000</v>
      </c>
      <c r="BB240" s="182">
        <f ca="1">IF($D240&lt;&gt;"Serviço",0,IF(OR(AND(AUTOEVENTO="Manual",$M240=1),$M240&gt;(ROW(PLE.lastrow)-ROW(PLE.firstrow))),0,IF(OFFSET(PLE!$G$14,$M240,BB$13)="",10^12,OFFSET(PLE!$G$14,$M240,BB$13))))</f>
        <v>1000000000000</v>
      </c>
      <c r="BC240" s="182">
        <f ca="1">IF($D240&lt;&gt;"Serviço",0,IF(OR(AND(AUTOEVENTO="Manual",$M240=1),$M240&gt;(ROW(PLE.lastrow)-ROW(PLE.firstrow))),0,IF(OFFSET(PLE!$G$14,$M240,BC$13)="",10^12,OFFSET(PLE!$G$14,$M240,BC$13))))</f>
        <v>1000000000000</v>
      </c>
      <c r="BD240" s="182">
        <f ca="1">IF($D240&lt;&gt;"Serviço",0,IF(OR(AND(AUTOEVENTO="Manual",$M240=1),$M240&gt;(ROW(PLE.lastrow)-ROW(PLE.firstrow))),0,IF(OFFSET(PLE!$G$14,$M240,BD$13)="",10^12,OFFSET(PLE!$G$14,$M240,BD$13))))</f>
        <v>1000000000000</v>
      </c>
      <c r="BE240" s="182">
        <f ca="1">IF($D240&lt;&gt;"Serviço",0,IF(OR(AND(AUTOEVENTO="Manual",$M240=1),$M240&gt;(ROW(PLE.lastrow)-ROW(PLE.firstrow))),0,IF(OFFSET(PLE!$G$14,$M240,BE$13)="",10^12,OFFSET(PLE!$G$14,$M240,BE$13))))</f>
        <v>1000000000000</v>
      </c>
      <c r="BF240" s="182">
        <f ca="1">IF($D240&lt;&gt;"Serviço",0,IF(OR(AND(AUTOEVENTO="Manual",$M240=1),$M240&gt;(ROW(PLE.lastrow)-ROW(PLE.firstrow))),0,IF(OFFSET(PLE!$G$14,$M240,BF$13)="",10^12,OFFSET(PLE!$G$14,$M240,BF$13))))</f>
        <v>1000000000000</v>
      </c>
      <c r="BG240" s="182">
        <f ca="1">IF($D240&lt;&gt;"Serviço",0,IF(OR(AND(AUTOEVENTO="Manual",$M240=1),$M240&gt;(ROW(PLE.lastrow)-ROW(PLE.firstrow))),0,IF(OFFSET(PLE!$G$14,$M240,BG$13)="",10^12,OFFSET(PLE!$G$14,$M240,BG$13))))</f>
        <v>1000000000000</v>
      </c>
    </row>
    <row r="241" spans="1:59" ht="51" x14ac:dyDescent="0.2">
      <c r="A241" s="7" t="str">
        <f t="shared" ca="1" si="11"/>
        <v>222</v>
      </c>
      <c r="B241" s="7" t="str">
        <f ca="1">OFFSET(ORÇAMENTO!C$15,ROW(B241)-ROW(B$15),0)</f>
        <v>S</v>
      </c>
      <c r="C241" s="7" t="str">
        <f ca="1">OFFSET(ORÇAMENTO!L$15,ROW(C241)-ROW(C$15),0)</f>
        <v>F</v>
      </c>
      <c r="D241" s="118" t="str">
        <f ca="1">OFFSET(ORÇAMENTO!N$15,ROW(D241)-ROW(D$15),0)</f>
        <v>Serviço</v>
      </c>
      <c r="E241" s="119" t="str">
        <f ca="1">OFFSET(ORÇAMENTO!O$15,ROW(E241)-ROW(E$15),0)</f>
        <v>1.11.0.4.</v>
      </c>
      <c r="F241" s="172" t="str">
        <f ca="1">OFFSET(ORÇAMENTO!R$15,ROW(F241)-ROW(F$15),0)</f>
        <v>(abra o arquivo 'Referência 03-2024.xlsm)</v>
      </c>
      <c r="G241" s="173" t="str">
        <f ca="1">IF($D241&lt;&gt;"Serviço","",OFFSET(ORÇAMENTO!S$15,ROW(G241)-ROW(G$15),0))</f>
        <v>-</v>
      </c>
      <c r="H241" s="124">
        <f ca="1">IF($D241&lt;&gt;"Serviço",0,IF(ACOMPANHAMENTO="BM",ROUND(OFFSET(ORÇAMENTO!AJ$15,ROW(H241)-ROW(H$15),0),15-13*ORÇAMENTO!$AF$7),SUMPRODUCT(($Q$12:$AA$12&lt;&gt;"")*ROUND($Q241:$AA241,15-13*ORÇAMENTO!$AF$7))))</f>
        <v>1</v>
      </c>
      <c r="I241" s="561"/>
      <c r="K241" s="174"/>
      <c r="L241" s="175" t="s">
        <v>255</v>
      </c>
      <c r="M241" s="176">
        <f ca="1">IF($D241&lt;&gt;"Serviço","",IF(AUTOEVENTO="manual",$A241,IF(ISERROR(MATCH($A241,$A$15:OFFSET($A241,-1,0),0)),MAX($M$15:OFFSET(M241,-1,0))+1,INDEX($M$15:OFFSET(M241,-1,0),MATCH($A241,$A$15:OFFSET($A241,-1,0),0)))))</f>
        <v>12</v>
      </c>
      <c r="N241" s="177" t="str">
        <f ca="1">IF($D241&lt;&gt;"Serviço","",IF(AUTOEVENTO="Manual",IF($A241=0,"&lt;-- defina o número do agrupador",OFFSET(EVENTOS!$D$14,$A241,0)),OFFSET($F$15,$A241,0)))</f>
        <v>ACADEMIA DE SAÚDE AO AR LIVRE</v>
      </c>
      <c r="O241" s="178"/>
      <c r="Q241" s="178"/>
      <c r="R241" s="179"/>
      <c r="S241" s="179"/>
      <c r="T241" s="179"/>
      <c r="U241" s="179"/>
      <c r="V241" s="179"/>
      <c r="W241" s="179"/>
      <c r="X241" s="179"/>
      <c r="Y241" s="179"/>
      <c r="Z241" s="180"/>
      <c r="AB241" s="544">
        <f ca="1">IF(AND($D241="Serviço",AB$12&lt;&gt;0,$H241&gt;0,OR(AUTOEVENTO&lt;&gt;"manual",$M241&lt;&gt;1)),
IF(Import.TipoArredondamento&lt;&gt;"TransfereGOV",
ROUND(OFFSET($P241,0,AB$13),15-13*ORÇAMENTO!$AF$7)/$H241*OFFSET(ORÇAMENTO!$X$15,ROW(AB241)-ROW(AB$15),0),
ROUND(ROUND(OFFSET($P241,0,AB$13),15-13*ORÇAMENTO!$AF$7)*OFFSET(ORÇAMENTO!$W$15,ROW(AB241)-ROW(AB$15),0),15-13*ORÇAMENTO!$AF$11)),0)</f>
        <v>0</v>
      </c>
      <c r="AC241" s="545">
        <f ca="1">IF(AND($D241="Serviço",AC$12&lt;&gt;0,$H241&gt;0,OR(AUTOEVENTO&lt;&gt;"manual",$M241&lt;&gt;1)),
IF(Import.TipoArredondamento&lt;&gt;"TransfereGOV",
ROUND(OFFSET($P241,0,AC$13),15-13*ORÇAMENTO!$AF$7)/$H241*OFFSET(ORÇAMENTO!$X$15,ROW(AC241)-ROW(AC$15),0),
ROUND(ROUND(OFFSET($P241,0,AC$13),15-13*ORÇAMENTO!$AF$7)*OFFSET(ORÇAMENTO!$W$15,ROW(AC241)-ROW(AC$15),0),15-13*ORÇAMENTO!$AF$11)),0)</f>
        <v>0</v>
      </c>
      <c r="AD241" s="545">
        <f ca="1">IF(AND($D241="Serviço",AD$12&lt;&gt;0,$H241&gt;0,OR(AUTOEVENTO&lt;&gt;"manual",$M241&lt;&gt;1)),
IF(Import.TipoArredondamento&lt;&gt;"TransfereGOV",
ROUND(OFFSET($P241,0,AD$13),15-13*ORÇAMENTO!$AF$7)/$H241*OFFSET(ORÇAMENTO!$X$15,ROW(AD241)-ROW(AD$15),0),
ROUND(ROUND(OFFSET($P241,0,AD$13),15-13*ORÇAMENTO!$AF$7)*OFFSET(ORÇAMENTO!$W$15,ROW(AD241)-ROW(AD$15),0),15-13*ORÇAMENTO!$AF$11)),0)</f>
        <v>0</v>
      </c>
      <c r="AE241" s="545">
        <f ca="1">IF(AND($D241="Serviço",AE$12&lt;&gt;0,$H241&gt;0,OR(AUTOEVENTO&lt;&gt;"manual",$M241&lt;&gt;1)),
IF(Import.TipoArredondamento&lt;&gt;"TransfereGOV",
ROUND(OFFSET($P241,0,AE$13),15-13*ORÇAMENTO!$AF$7)/$H241*OFFSET(ORÇAMENTO!$X$15,ROW(AE241)-ROW(AE$15),0),
ROUND(ROUND(OFFSET($P241,0,AE$13),15-13*ORÇAMENTO!$AF$7)*OFFSET(ORÇAMENTO!$W$15,ROW(AE241)-ROW(AE$15),0),15-13*ORÇAMENTO!$AF$11)),0)</f>
        <v>0</v>
      </c>
      <c r="AF241" s="545">
        <f ca="1">IF(AND($D241="Serviço",AF$12&lt;&gt;0,$H241&gt;0,OR(AUTOEVENTO&lt;&gt;"manual",$M241&lt;&gt;1)),
IF(Import.TipoArredondamento&lt;&gt;"TransfereGOV",
ROUND(OFFSET($P241,0,AF$13),15-13*ORÇAMENTO!$AF$7)/$H241*OFFSET(ORÇAMENTO!$X$15,ROW(AF241)-ROW(AF$15),0),
ROUND(ROUND(OFFSET($P241,0,AF$13),15-13*ORÇAMENTO!$AF$7)*OFFSET(ORÇAMENTO!$W$15,ROW(AF241)-ROW(AF$15),0),15-13*ORÇAMENTO!$AF$11)),0)</f>
        <v>0</v>
      </c>
      <c r="AG241" s="545">
        <f ca="1">IF(AND($D241="Serviço",AG$12&lt;&gt;0,$H241&gt;0,OR(AUTOEVENTO&lt;&gt;"manual",$M241&lt;&gt;1)),
IF(Import.TipoArredondamento&lt;&gt;"TransfereGOV",
ROUND(OFFSET($P241,0,AG$13),15-13*ORÇAMENTO!$AF$7)/$H241*OFFSET(ORÇAMENTO!$X$15,ROW(AG241)-ROW(AG$15),0),
ROUND(ROUND(OFFSET($P241,0,AG$13),15-13*ORÇAMENTO!$AF$7)*OFFSET(ORÇAMENTO!$W$15,ROW(AG241)-ROW(AG$15),0),15-13*ORÇAMENTO!$AF$11)),0)</f>
        <v>0</v>
      </c>
      <c r="AH241" s="545">
        <f ca="1">IF(AND($D241="Serviço",AH$12&lt;&gt;0,$H241&gt;0,OR(AUTOEVENTO&lt;&gt;"manual",$M241&lt;&gt;1)),
IF(Import.TipoArredondamento&lt;&gt;"TransfereGOV",
ROUND(OFFSET($P241,0,AH$13),15-13*ORÇAMENTO!$AF$7)/$H241*OFFSET(ORÇAMENTO!$X$15,ROW(AH241)-ROW(AH$15),0),
ROUND(ROUND(OFFSET($P241,0,AH$13),15-13*ORÇAMENTO!$AF$7)*OFFSET(ORÇAMENTO!$W$15,ROW(AH241)-ROW(AH$15),0),15-13*ORÇAMENTO!$AF$11)),0)</f>
        <v>0</v>
      </c>
      <c r="AI241" s="545">
        <f ca="1">IF(AND($D241="Serviço",AI$12&lt;&gt;0,$H241&gt;0,OR(AUTOEVENTO&lt;&gt;"manual",$M241&lt;&gt;1)),
IF(Import.TipoArredondamento&lt;&gt;"TransfereGOV",
ROUND(OFFSET($P241,0,AI$13),15-13*ORÇAMENTO!$AF$7)/$H241*OFFSET(ORÇAMENTO!$X$15,ROW(AI241)-ROW(AI$15),0),
ROUND(ROUND(OFFSET($P241,0,AI$13),15-13*ORÇAMENTO!$AF$7)*OFFSET(ORÇAMENTO!$W$15,ROW(AI241)-ROW(AI$15),0),15-13*ORÇAMENTO!$AF$11)),0)</f>
        <v>0</v>
      </c>
      <c r="AJ241" s="545">
        <f ca="1">IF(AND($D241="Serviço",AJ$12&lt;&gt;0,$H241&gt;0,OR(AUTOEVENTO&lt;&gt;"manual",$M241&lt;&gt;1)),
IF(Import.TipoArredondamento&lt;&gt;"TransfereGOV",
ROUND(OFFSET($P241,0,AJ$13),15-13*ORÇAMENTO!$AF$7)/$H241*OFFSET(ORÇAMENTO!$X$15,ROW(AJ241)-ROW(AJ$15),0),
ROUND(ROUND(OFFSET($P241,0,AJ$13),15-13*ORÇAMENTO!$AF$7)*OFFSET(ORÇAMENTO!$W$15,ROW(AJ241)-ROW(AJ$15),0),15-13*ORÇAMENTO!$AF$11)),0)</f>
        <v>0</v>
      </c>
      <c r="AK241" s="546">
        <f ca="1">IF(AND($D241="Serviço",AK$12&lt;&gt;0,$H241&gt;0,OR(AUTOEVENTO&lt;&gt;"manual",$M241&lt;&gt;1)),
IF(Import.TipoArredondamento&lt;&gt;"TransfereGOV",
ROUND(OFFSET($P241,0,AK$13),15-13*ORÇAMENTO!$AF$7)/$H241*OFFSET(ORÇAMENTO!$X$15,ROW(AK241)-ROW(AK$15),0),
ROUND(ROUND(OFFSET($P241,0,AK$13),15-13*ORÇAMENTO!$AF$7)*OFFSET(ORÇAMENTO!$W$15,ROW(AK241)-ROW(AK$15),0),15-13*ORÇAMENTO!$AF$11)),0)</f>
        <v>0</v>
      </c>
      <c r="AM241" s="181">
        <f ca="1">IF($D241&lt;&gt;"Serviço",0,IF(AND(AUTOEVENTO="Manual",$M241=1),0,IF(OFFSET(CRONOPLE!$F$14,$M241,AM$13)="",10^12,OFFSET(CRONOPLE!$F$14,$M241,AM$13))))</f>
        <v>1000000000000</v>
      </c>
      <c r="AN241" s="181">
        <f ca="1">IF($D241&lt;&gt;"Serviço",0,IF(AND(AUTOEVENTO="Manual",$M241=1),0,IF(OFFSET(CRONOPLE!$F$14,$M241,AN$13)="",10^12,OFFSET(CRONOPLE!$F$14,$M241,AN$13))))</f>
        <v>1000000000000</v>
      </c>
      <c r="AO241" s="181">
        <f ca="1">IF($D241&lt;&gt;"Serviço",0,IF(AND(AUTOEVENTO="Manual",$M241=1),0,IF(OFFSET(CRONOPLE!$F$14,$M241,AO$13)="",10^12,OFFSET(CRONOPLE!$F$14,$M241,AO$13))))</f>
        <v>1000000000000</v>
      </c>
      <c r="AP241" s="181">
        <f ca="1">IF($D241&lt;&gt;"Serviço",0,IF(AND(AUTOEVENTO="Manual",$M241=1),0,IF(OFFSET(CRONOPLE!$F$14,$M241,AP$13)="",10^12,OFFSET(CRONOPLE!$F$14,$M241,AP$13))))</f>
        <v>1000000000000</v>
      </c>
      <c r="AQ241" s="181">
        <f ca="1">IF($D241&lt;&gt;"Serviço",0,IF(AND(AUTOEVENTO="Manual",$M241=1),0,IF(OFFSET(CRONOPLE!$F$14,$M241,AQ$13)="",10^12,OFFSET(CRONOPLE!$F$14,$M241,AQ$13))))</f>
        <v>1000000000000</v>
      </c>
      <c r="AR241" s="181">
        <f ca="1">IF($D241&lt;&gt;"Serviço",0,IF(AND(AUTOEVENTO="Manual",$M241=1),0,IF(OFFSET(CRONOPLE!$F$14,$M241,AR$13)="",10^12,OFFSET(CRONOPLE!$F$14,$M241,AR$13))))</f>
        <v>1000000000000</v>
      </c>
      <c r="AS241" s="181">
        <f ca="1">IF($D241&lt;&gt;"Serviço",0,IF(AND(AUTOEVENTO="Manual",$M241=1),0,IF(OFFSET(CRONOPLE!$F$14,$M241,AS$13)="",10^12,OFFSET(CRONOPLE!$F$14,$M241,AS$13))))</f>
        <v>1000000000000</v>
      </c>
      <c r="AT241" s="181">
        <f ca="1">IF($D241&lt;&gt;"Serviço",0,IF(AND(AUTOEVENTO="Manual",$M241=1),0,IF(OFFSET(CRONOPLE!$F$14,$M241,AT$13)="",10^12,OFFSET(CRONOPLE!$F$14,$M241,AT$13))))</f>
        <v>1000000000000</v>
      </c>
      <c r="AU241" s="181">
        <f ca="1">IF($D241&lt;&gt;"Serviço",0,IF(AND(AUTOEVENTO="Manual",$M241=1),0,IF(OFFSET(CRONOPLE!$F$14,$M241,AU$13)="",10^12,OFFSET(CRONOPLE!$F$14,$M241,AU$13))))</f>
        <v>1000000000000</v>
      </c>
      <c r="AV241" s="181">
        <f ca="1">IF($D241&lt;&gt;"Serviço",0,IF(AND(AUTOEVENTO="Manual",$M241=1),0,IF(OFFSET(CRONOPLE!$F$14,$M241,AV$13)="",10^12,OFFSET(CRONOPLE!$F$14,$M241,AV$13))))</f>
        <v>1000000000000</v>
      </c>
      <c r="AX241" s="182">
        <f ca="1">IF($D241&lt;&gt;"Serviço",0,IF(OR(AND(AUTOEVENTO="Manual",$M241=1),$M241&gt;(ROW(PLE.lastrow)-ROW(PLE.firstrow))),0,IF(OFFSET(PLE!$G$14,$M241,AX$13)="",10^12,OFFSET(PLE!$G$14,$M241,AX$13))))</f>
        <v>1000000000000</v>
      </c>
      <c r="AY241" s="182">
        <f ca="1">IF($D241&lt;&gt;"Serviço",0,IF(OR(AND(AUTOEVENTO="Manual",$M241=1),$M241&gt;(ROW(PLE.lastrow)-ROW(PLE.firstrow))),0,IF(OFFSET(PLE!$G$14,$M241,AY$13)="",10^12,OFFSET(PLE!$G$14,$M241,AY$13))))</f>
        <v>1000000000000</v>
      </c>
      <c r="AZ241" s="182">
        <f ca="1">IF($D241&lt;&gt;"Serviço",0,IF(OR(AND(AUTOEVENTO="Manual",$M241=1),$M241&gt;(ROW(PLE.lastrow)-ROW(PLE.firstrow))),0,IF(OFFSET(PLE!$G$14,$M241,AZ$13)="",10^12,OFFSET(PLE!$G$14,$M241,AZ$13))))</f>
        <v>1000000000000</v>
      </c>
      <c r="BA241" s="182">
        <f ca="1">IF($D241&lt;&gt;"Serviço",0,IF(OR(AND(AUTOEVENTO="Manual",$M241=1),$M241&gt;(ROW(PLE.lastrow)-ROW(PLE.firstrow))),0,IF(OFFSET(PLE!$G$14,$M241,BA$13)="",10^12,OFFSET(PLE!$G$14,$M241,BA$13))))</f>
        <v>1000000000000</v>
      </c>
      <c r="BB241" s="182">
        <f ca="1">IF($D241&lt;&gt;"Serviço",0,IF(OR(AND(AUTOEVENTO="Manual",$M241=1),$M241&gt;(ROW(PLE.lastrow)-ROW(PLE.firstrow))),0,IF(OFFSET(PLE!$G$14,$M241,BB$13)="",10^12,OFFSET(PLE!$G$14,$M241,BB$13))))</f>
        <v>1000000000000</v>
      </c>
      <c r="BC241" s="182">
        <f ca="1">IF($D241&lt;&gt;"Serviço",0,IF(OR(AND(AUTOEVENTO="Manual",$M241=1),$M241&gt;(ROW(PLE.lastrow)-ROW(PLE.firstrow))),0,IF(OFFSET(PLE!$G$14,$M241,BC$13)="",10^12,OFFSET(PLE!$G$14,$M241,BC$13))))</f>
        <v>1000000000000</v>
      </c>
      <c r="BD241" s="182">
        <f ca="1">IF($D241&lt;&gt;"Serviço",0,IF(OR(AND(AUTOEVENTO="Manual",$M241=1),$M241&gt;(ROW(PLE.lastrow)-ROW(PLE.firstrow))),0,IF(OFFSET(PLE!$G$14,$M241,BD$13)="",10^12,OFFSET(PLE!$G$14,$M241,BD$13))))</f>
        <v>1000000000000</v>
      </c>
      <c r="BE241" s="182">
        <f ca="1">IF($D241&lt;&gt;"Serviço",0,IF(OR(AND(AUTOEVENTO="Manual",$M241=1),$M241&gt;(ROW(PLE.lastrow)-ROW(PLE.firstrow))),0,IF(OFFSET(PLE!$G$14,$M241,BE$13)="",10^12,OFFSET(PLE!$G$14,$M241,BE$13))))</f>
        <v>1000000000000</v>
      </c>
      <c r="BF241" s="182">
        <f ca="1">IF($D241&lt;&gt;"Serviço",0,IF(OR(AND(AUTOEVENTO="Manual",$M241=1),$M241&gt;(ROW(PLE.lastrow)-ROW(PLE.firstrow))),0,IF(OFFSET(PLE!$G$14,$M241,BF$13)="",10^12,OFFSET(PLE!$G$14,$M241,BF$13))))</f>
        <v>1000000000000</v>
      </c>
      <c r="BG241" s="182">
        <f ca="1">IF($D241&lt;&gt;"Serviço",0,IF(OR(AND(AUTOEVENTO="Manual",$M241=1),$M241&gt;(ROW(PLE.lastrow)-ROW(PLE.firstrow))),0,IF(OFFSET(PLE!$G$14,$M241,BG$13)="",10^12,OFFSET(PLE!$G$14,$M241,BG$13))))</f>
        <v>1000000000000</v>
      </c>
    </row>
    <row r="242" spans="1:59" ht="51" x14ac:dyDescent="0.2">
      <c r="A242" s="7" t="str">
        <f t="shared" ca="1" si="11"/>
        <v>222</v>
      </c>
      <c r="B242" s="7" t="str">
        <f ca="1">OFFSET(ORÇAMENTO!C$15,ROW(B242)-ROW(B$15),0)</f>
        <v>S</v>
      </c>
      <c r="C242" s="7" t="str">
        <f ca="1">OFFSET(ORÇAMENTO!L$15,ROW(C242)-ROW(C$15),0)</f>
        <v>F</v>
      </c>
      <c r="D242" s="118" t="str">
        <f ca="1">OFFSET(ORÇAMENTO!N$15,ROW(D242)-ROW(D$15),0)</f>
        <v>Serviço</v>
      </c>
      <c r="E242" s="119" t="str">
        <f ca="1">OFFSET(ORÇAMENTO!O$15,ROW(E242)-ROW(E$15),0)</f>
        <v>1.11.0.5.</v>
      </c>
      <c r="F242" s="172" t="str">
        <f ca="1">OFFSET(ORÇAMENTO!R$15,ROW(F242)-ROW(F$15),0)</f>
        <v>(abra o arquivo 'Referência 03-2024.xlsm)</v>
      </c>
      <c r="G242" s="173" t="str">
        <f ca="1">IF($D242&lt;&gt;"Serviço","",OFFSET(ORÇAMENTO!S$15,ROW(G242)-ROW(G$15),0))</f>
        <v>-</v>
      </c>
      <c r="H242" s="124">
        <f ca="1">IF($D242&lt;&gt;"Serviço",0,IF(ACOMPANHAMENTO="BM",ROUND(OFFSET(ORÇAMENTO!AJ$15,ROW(H242)-ROW(H$15),0),15-13*ORÇAMENTO!$AF$7),SUMPRODUCT(($Q$12:$AA$12&lt;&gt;"")*ROUND($Q242:$AA242,15-13*ORÇAMENTO!$AF$7))))</f>
        <v>1</v>
      </c>
      <c r="I242" s="561"/>
      <c r="K242" s="174"/>
      <c r="L242" s="175" t="s">
        <v>255</v>
      </c>
      <c r="M242" s="176">
        <f ca="1">IF($D242&lt;&gt;"Serviço","",IF(AUTOEVENTO="manual",$A242,IF(ISERROR(MATCH($A242,$A$15:OFFSET($A242,-1,0),0)),MAX($M$15:OFFSET(M242,-1,0))+1,INDEX($M$15:OFFSET(M242,-1,0),MATCH($A242,$A$15:OFFSET($A242,-1,0),0)))))</f>
        <v>12</v>
      </c>
      <c r="N242" s="177" t="str">
        <f ca="1">IF($D242&lt;&gt;"Serviço","",IF(AUTOEVENTO="Manual",IF($A242=0,"&lt;-- defina o número do agrupador",OFFSET(EVENTOS!$D$14,$A242,0)),OFFSET($F$15,$A242,0)))</f>
        <v>ACADEMIA DE SAÚDE AO AR LIVRE</v>
      </c>
      <c r="O242" s="178"/>
      <c r="Q242" s="178"/>
      <c r="R242" s="179"/>
      <c r="S242" s="179"/>
      <c r="T242" s="179"/>
      <c r="U242" s="179"/>
      <c r="V242" s="179"/>
      <c r="W242" s="179"/>
      <c r="X242" s="179"/>
      <c r="Y242" s="179"/>
      <c r="Z242" s="180"/>
      <c r="AB242" s="544">
        <f ca="1">IF(AND($D242="Serviço",AB$12&lt;&gt;0,$H242&gt;0,OR(AUTOEVENTO&lt;&gt;"manual",$M242&lt;&gt;1)),
IF(Import.TipoArredondamento&lt;&gt;"TransfereGOV",
ROUND(OFFSET($P242,0,AB$13),15-13*ORÇAMENTO!$AF$7)/$H242*OFFSET(ORÇAMENTO!$X$15,ROW(AB242)-ROW(AB$15),0),
ROUND(ROUND(OFFSET($P242,0,AB$13),15-13*ORÇAMENTO!$AF$7)*OFFSET(ORÇAMENTO!$W$15,ROW(AB242)-ROW(AB$15),0),15-13*ORÇAMENTO!$AF$11)),0)</f>
        <v>0</v>
      </c>
      <c r="AC242" s="545">
        <f ca="1">IF(AND($D242="Serviço",AC$12&lt;&gt;0,$H242&gt;0,OR(AUTOEVENTO&lt;&gt;"manual",$M242&lt;&gt;1)),
IF(Import.TipoArredondamento&lt;&gt;"TransfereGOV",
ROUND(OFFSET($P242,0,AC$13),15-13*ORÇAMENTO!$AF$7)/$H242*OFFSET(ORÇAMENTO!$X$15,ROW(AC242)-ROW(AC$15),0),
ROUND(ROUND(OFFSET($P242,0,AC$13),15-13*ORÇAMENTO!$AF$7)*OFFSET(ORÇAMENTO!$W$15,ROW(AC242)-ROW(AC$15),0),15-13*ORÇAMENTO!$AF$11)),0)</f>
        <v>0</v>
      </c>
      <c r="AD242" s="545">
        <f ca="1">IF(AND($D242="Serviço",AD$12&lt;&gt;0,$H242&gt;0,OR(AUTOEVENTO&lt;&gt;"manual",$M242&lt;&gt;1)),
IF(Import.TipoArredondamento&lt;&gt;"TransfereGOV",
ROUND(OFFSET($P242,0,AD$13),15-13*ORÇAMENTO!$AF$7)/$H242*OFFSET(ORÇAMENTO!$X$15,ROW(AD242)-ROW(AD$15),0),
ROUND(ROUND(OFFSET($P242,0,AD$13),15-13*ORÇAMENTO!$AF$7)*OFFSET(ORÇAMENTO!$W$15,ROW(AD242)-ROW(AD$15),0),15-13*ORÇAMENTO!$AF$11)),0)</f>
        <v>0</v>
      </c>
      <c r="AE242" s="545">
        <f ca="1">IF(AND($D242="Serviço",AE$12&lt;&gt;0,$H242&gt;0,OR(AUTOEVENTO&lt;&gt;"manual",$M242&lt;&gt;1)),
IF(Import.TipoArredondamento&lt;&gt;"TransfereGOV",
ROUND(OFFSET($P242,0,AE$13),15-13*ORÇAMENTO!$AF$7)/$H242*OFFSET(ORÇAMENTO!$X$15,ROW(AE242)-ROW(AE$15),0),
ROUND(ROUND(OFFSET($P242,0,AE$13),15-13*ORÇAMENTO!$AF$7)*OFFSET(ORÇAMENTO!$W$15,ROW(AE242)-ROW(AE$15),0),15-13*ORÇAMENTO!$AF$11)),0)</f>
        <v>0</v>
      </c>
      <c r="AF242" s="545">
        <f ca="1">IF(AND($D242="Serviço",AF$12&lt;&gt;0,$H242&gt;0,OR(AUTOEVENTO&lt;&gt;"manual",$M242&lt;&gt;1)),
IF(Import.TipoArredondamento&lt;&gt;"TransfereGOV",
ROUND(OFFSET($P242,0,AF$13),15-13*ORÇAMENTO!$AF$7)/$H242*OFFSET(ORÇAMENTO!$X$15,ROW(AF242)-ROW(AF$15),0),
ROUND(ROUND(OFFSET($P242,0,AF$13),15-13*ORÇAMENTO!$AF$7)*OFFSET(ORÇAMENTO!$W$15,ROW(AF242)-ROW(AF$15),0),15-13*ORÇAMENTO!$AF$11)),0)</f>
        <v>0</v>
      </c>
      <c r="AG242" s="545">
        <f ca="1">IF(AND($D242="Serviço",AG$12&lt;&gt;0,$H242&gt;0,OR(AUTOEVENTO&lt;&gt;"manual",$M242&lt;&gt;1)),
IF(Import.TipoArredondamento&lt;&gt;"TransfereGOV",
ROUND(OFFSET($P242,0,AG$13),15-13*ORÇAMENTO!$AF$7)/$H242*OFFSET(ORÇAMENTO!$X$15,ROW(AG242)-ROW(AG$15),0),
ROUND(ROUND(OFFSET($P242,0,AG$13),15-13*ORÇAMENTO!$AF$7)*OFFSET(ORÇAMENTO!$W$15,ROW(AG242)-ROW(AG$15),0),15-13*ORÇAMENTO!$AF$11)),0)</f>
        <v>0</v>
      </c>
      <c r="AH242" s="545">
        <f ca="1">IF(AND($D242="Serviço",AH$12&lt;&gt;0,$H242&gt;0,OR(AUTOEVENTO&lt;&gt;"manual",$M242&lt;&gt;1)),
IF(Import.TipoArredondamento&lt;&gt;"TransfereGOV",
ROUND(OFFSET($P242,0,AH$13),15-13*ORÇAMENTO!$AF$7)/$H242*OFFSET(ORÇAMENTO!$X$15,ROW(AH242)-ROW(AH$15),0),
ROUND(ROUND(OFFSET($P242,0,AH$13),15-13*ORÇAMENTO!$AF$7)*OFFSET(ORÇAMENTO!$W$15,ROW(AH242)-ROW(AH$15),0),15-13*ORÇAMENTO!$AF$11)),0)</f>
        <v>0</v>
      </c>
      <c r="AI242" s="545">
        <f ca="1">IF(AND($D242="Serviço",AI$12&lt;&gt;0,$H242&gt;0,OR(AUTOEVENTO&lt;&gt;"manual",$M242&lt;&gt;1)),
IF(Import.TipoArredondamento&lt;&gt;"TransfereGOV",
ROUND(OFFSET($P242,0,AI$13),15-13*ORÇAMENTO!$AF$7)/$H242*OFFSET(ORÇAMENTO!$X$15,ROW(AI242)-ROW(AI$15),0),
ROUND(ROUND(OFFSET($P242,0,AI$13),15-13*ORÇAMENTO!$AF$7)*OFFSET(ORÇAMENTO!$W$15,ROW(AI242)-ROW(AI$15),0),15-13*ORÇAMENTO!$AF$11)),0)</f>
        <v>0</v>
      </c>
      <c r="AJ242" s="545">
        <f ca="1">IF(AND($D242="Serviço",AJ$12&lt;&gt;0,$H242&gt;0,OR(AUTOEVENTO&lt;&gt;"manual",$M242&lt;&gt;1)),
IF(Import.TipoArredondamento&lt;&gt;"TransfereGOV",
ROUND(OFFSET($P242,0,AJ$13),15-13*ORÇAMENTO!$AF$7)/$H242*OFFSET(ORÇAMENTO!$X$15,ROW(AJ242)-ROW(AJ$15),0),
ROUND(ROUND(OFFSET($P242,0,AJ$13),15-13*ORÇAMENTO!$AF$7)*OFFSET(ORÇAMENTO!$W$15,ROW(AJ242)-ROW(AJ$15),0),15-13*ORÇAMENTO!$AF$11)),0)</f>
        <v>0</v>
      </c>
      <c r="AK242" s="546">
        <f ca="1">IF(AND($D242="Serviço",AK$12&lt;&gt;0,$H242&gt;0,OR(AUTOEVENTO&lt;&gt;"manual",$M242&lt;&gt;1)),
IF(Import.TipoArredondamento&lt;&gt;"TransfereGOV",
ROUND(OFFSET($P242,0,AK$13),15-13*ORÇAMENTO!$AF$7)/$H242*OFFSET(ORÇAMENTO!$X$15,ROW(AK242)-ROW(AK$15),0),
ROUND(ROUND(OFFSET($P242,0,AK$13),15-13*ORÇAMENTO!$AF$7)*OFFSET(ORÇAMENTO!$W$15,ROW(AK242)-ROW(AK$15),0),15-13*ORÇAMENTO!$AF$11)),0)</f>
        <v>0</v>
      </c>
      <c r="AM242" s="181">
        <f ca="1">IF($D242&lt;&gt;"Serviço",0,IF(AND(AUTOEVENTO="Manual",$M242=1),0,IF(OFFSET(CRONOPLE!$F$14,$M242,AM$13)="",10^12,OFFSET(CRONOPLE!$F$14,$M242,AM$13))))</f>
        <v>1000000000000</v>
      </c>
      <c r="AN242" s="181">
        <f ca="1">IF($D242&lt;&gt;"Serviço",0,IF(AND(AUTOEVENTO="Manual",$M242=1),0,IF(OFFSET(CRONOPLE!$F$14,$M242,AN$13)="",10^12,OFFSET(CRONOPLE!$F$14,$M242,AN$13))))</f>
        <v>1000000000000</v>
      </c>
      <c r="AO242" s="181">
        <f ca="1">IF($D242&lt;&gt;"Serviço",0,IF(AND(AUTOEVENTO="Manual",$M242=1),0,IF(OFFSET(CRONOPLE!$F$14,$M242,AO$13)="",10^12,OFFSET(CRONOPLE!$F$14,$M242,AO$13))))</f>
        <v>1000000000000</v>
      </c>
      <c r="AP242" s="181">
        <f ca="1">IF($D242&lt;&gt;"Serviço",0,IF(AND(AUTOEVENTO="Manual",$M242=1),0,IF(OFFSET(CRONOPLE!$F$14,$M242,AP$13)="",10^12,OFFSET(CRONOPLE!$F$14,$M242,AP$13))))</f>
        <v>1000000000000</v>
      </c>
      <c r="AQ242" s="181">
        <f ca="1">IF($D242&lt;&gt;"Serviço",0,IF(AND(AUTOEVENTO="Manual",$M242=1),0,IF(OFFSET(CRONOPLE!$F$14,$M242,AQ$13)="",10^12,OFFSET(CRONOPLE!$F$14,$M242,AQ$13))))</f>
        <v>1000000000000</v>
      </c>
      <c r="AR242" s="181">
        <f ca="1">IF($D242&lt;&gt;"Serviço",0,IF(AND(AUTOEVENTO="Manual",$M242=1),0,IF(OFFSET(CRONOPLE!$F$14,$M242,AR$13)="",10^12,OFFSET(CRONOPLE!$F$14,$M242,AR$13))))</f>
        <v>1000000000000</v>
      </c>
      <c r="AS242" s="181">
        <f ca="1">IF($D242&lt;&gt;"Serviço",0,IF(AND(AUTOEVENTO="Manual",$M242=1),0,IF(OFFSET(CRONOPLE!$F$14,$M242,AS$13)="",10^12,OFFSET(CRONOPLE!$F$14,$M242,AS$13))))</f>
        <v>1000000000000</v>
      </c>
      <c r="AT242" s="181">
        <f ca="1">IF($D242&lt;&gt;"Serviço",0,IF(AND(AUTOEVENTO="Manual",$M242=1),0,IF(OFFSET(CRONOPLE!$F$14,$M242,AT$13)="",10^12,OFFSET(CRONOPLE!$F$14,$M242,AT$13))))</f>
        <v>1000000000000</v>
      </c>
      <c r="AU242" s="181">
        <f ca="1">IF($D242&lt;&gt;"Serviço",0,IF(AND(AUTOEVENTO="Manual",$M242=1),0,IF(OFFSET(CRONOPLE!$F$14,$M242,AU$13)="",10^12,OFFSET(CRONOPLE!$F$14,$M242,AU$13))))</f>
        <v>1000000000000</v>
      </c>
      <c r="AV242" s="181">
        <f ca="1">IF($D242&lt;&gt;"Serviço",0,IF(AND(AUTOEVENTO="Manual",$M242=1),0,IF(OFFSET(CRONOPLE!$F$14,$M242,AV$13)="",10^12,OFFSET(CRONOPLE!$F$14,$M242,AV$13))))</f>
        <v>1000000000000</v>
      </c>
      <c r="AX242" s="182">
        <f ca="1">IF($D242&lt;&gt;"Serviço",0,IF(OR(AND(AUTOEVENTO="Manual",$M242=1),$M242&gt;(ROW(PLE.lastrow)-ROW(PLE.firstrow))),0,IF(OFFSET(PLE!$G$14,$M242,AX$13)="",10^12,OFFSET(PLE!$G$14,$M242,AX$13))))</f>
        <v>1000000000000</v>
      </c>
      <c r="AY242" s="182">
        <f ca="1">IF($D242&lt;&gt;"Serviço",0,IF(OR(AND(AUTOEVENTO="Manual",$M242=1),$M242&gt;(ROW(PLE.lastrow)-ROW(PLE.firstrow))),0,IF(OFFSET(PLE!$G$14,$M242,AY$13)="",10^12,OFFSET(PLE!$G$14,$M242,AY$13))))</f>
        <v>1000000000000</v>
      </c>
      <c r="AZ242" s="182">
        <f ca="1">IF($D242&lt;&gt;"Serviço",0,IF(OR(AND(AUTOEVENTO="Manual",$M242=1),$M242&gt;(ROW(PLE.lastrow)-ROW(PLE.firstrow))),0,IF(OFFSET(PLE!$G$14,$M242,AZ$13)="",10^12,OFFSET(PLE!$G$14,$M242,AZ$13))))</f>
        <v>1000000000000</v>
      </c>
      <c r="BA242" s="182">
        <f ca="1">IF($D242&lt;&gt;"Serviço",0,IF(OR(AND(AUTOEVENTO="Manual",$M242=1),$M242&gt;(ROW(PLE.lastrow)-ROW(PLE.firstrow))),0,IF(OFFSET(PLE!$G$14,$M242,BA$13)="",10^12,OFFSET(PLE!$G$14,$M242,BA$13))))</f>
        <v>1000000000000</v>
      </c>
      <c r="BB242" s="182">
        <f ca="1">IF($D242&lt;&gt;"Serviço",0,IF(OR(AND(AUTOEVENTO="Manual",$M242=1),$M242&gt;(ROW(PLE.lastrow)-ROW(PLE.firstrow))),0,IF(OFFSET(PLE!$G$14,$M242,BB$13)="",10^12,OFFSET(PLE!$G$14,$M242,BB$13))))</f>
        <v>1000000000000</v>
      </c>
      <c r="BC242" s="182">
        <f ca="1">IF($D242&lt;&gt;"Serviço",0,IF(OR(AND(AUTOEVENTO="Manual",$M242=1),$M242&gt;(ROW(PLE.lastrow)-ROW(PLE.firstrow))),0,IF(OFFSET(PLE!$G$14,$M242,BC$13)="",10^12,OFFSET(PLE!$G$14,$M242,BC$13))))</f>
        <v>1000000000000</v>
      </c>
      <c r="BD242" s="182">
        <f ca="1">IF($D242&lt;&gt;"Serviço",0,IF(OR(AND(AUTOEVENTO="Manual",$M242=1),$M242&gt;(ROW(PLE.lastrow)-ROW(PLE.firstrow))),0,IF(OFFSET(PLE!$G$14,$M242,BD$13)="",10^12,OFFSET(PLE!$G$14,$M242,BD$13))))</f>
        <v>1000000000000</v>
      </c>
      <c r="BE242" s="182">
        <f ca="1">IF($D242&lt;&gt;"Serviço",0,IF(OR(AND(AUTOEVENTO="Manual",$M242=1),$M242&gt;(ROW(PLE.lastrow)-ROW(PLE.firstrow))),0,IF(OFFSET(PLE!$G$14,$M242,BE$13)="",10^12,OFFSET(PLE!$G$14,$M242,BE$13))))</f>
        <v>1000000000000</v>
      </c>
      <c r="BF242" s="182">
        <f ca="1">IF($D242&lt;&gt;"Serviço",0,IF(OR(AND(AUTOEVENTO="Manual",$M242=1),$M242&gt;(ROW(PLE.lastrow)-ROW(PLE.firstrow))),0,IF(OFFSET(PLE!$G$14,$M242,BF$13)="",10^12,OFFSET(PLE!$G$14,$M242,BF$13))))</f>
        <v>1000000000000</v>
      </c>
      <c r="BG242" s="182">
        <f ca="1">IF($D242&lt;&gt;"Serviço",0,IF(OR(AND(AUTOEVENTO="Manual",$M242=1),$M242&gt;(ROW(PLE.lastrow)-ROW(PLE.firstrow))),0,IF(OFFSET(PLE!$G$14,$M242,BG$13)="",10^12,OFFSET(PLE!$G$14,$M242,BG$13))))</f>
        <v>1000000000000</v>
      </c>
    </row>
    <row r="243" spans="1:59" ht="51" x14ac:dyDescent="0.2">
      <c r="A243" s="7" t="str">
        <f t="shared" ca="1" si="11"/>
        <v>222</v>
      </c>
      <c r="B243" s="7" t="str">
        <f ca="1">OFFSET(ORÇAMENTO!C$15,ROW(B243)-ROW(B$15),0)</f>
        <v>S</v>
      </c>
      <c r="C243" s="7" t="str">
        <f ca="1">OFFSET(ORÇAMENTO!L$15,ROW(C243)-ROW(C$15),0)</f>
        <v>F</v>
      </c>
      <c r="D243" s="118" t="str">
        <f ca="1">OFFSET(ORÇAMENTO!N$15,ROW(D243)-ROW(D$15),0)</f>
        <v>Serviço</v>
      </c>
      <c r="E243" s="119" t="str">
        <f ca="1">OFFSET(ORÇAMENTO!O$15,ROW(E243)-ROW(E$15),0)</f>
        <v>1.11.0.6.</v>
      </c>
      <c r="F243" s="172" t="str">
        <f ca="1">OFFSET(ORÇAMENTO!R$15,ROW(F243)-ROW(F$15),0)</f>
        <v>(abra o arquivo 'Referência 03-2024.xlsm)</v>
      </c>
      <c r="G243" s="173" t="str">
        <f ca="1">IF($D243&lt;&gt;"Serviço","",OFFSET(ORÇAMENTO!S$15,ROW(G243)-ROW(G$15),0))</f>
        <v>-</v>
      </c>
      <c r="H243" s="124">
        <f ca="1">IF($D243&lt;&gt;"Serviço",0,IF(ACOMPANHAMENTO="BM",ROUND(OFFSET(ORÇAMENTO!AJ$15,ROW(H243)-ROW(H$15),0),15-13*ORÇAMENTO!$AF$7),SUMPRODUCT(($Q$12:$AA$12&lt;&gt;"")*ROUND($Q243:$AA243,15-13*ORÇAMENTO!$AF$7))))</f>
        <v>1</v>
      </c>
      <c r="I243" s="561"/>
      <c r="K243" s="174"/>
      <c r="L243" s="175" t="s">
        <v>255</v>
      </c>
      <c r="M243" s="176">
        <f ca="1">IF($D243&lt;&gt;"Serviço","",IF(AUTOEVENTO="manual",$A243,IF(ISERROR(MATCH($A243,$A$15:OFFSET($A243,-1,0),0)),MAX($M$15:OFFSET(M243,-1,0))+1,INDEX($M$15:OFFSET(M243,-1,0),MATCH($A243,$A$15:OFFSET($A243,-1,0),0)))))</f>
        <v>12</v>
      </c>
      <c r="N243" s="177" t="str">
        <f ca="1">IF($D243&lt;&gt;"Serviço","",IF(AUTOEVENTO="Manual",IF($A243=0,"&lt;-- defina o número do agrupador",OFFSET(EVENTOS!$D$14,$A243,0)),OFFSET($F$15,$A243,0)))</f>
        <v>ACADEMIA DE SAÚDE AO AR LIVRE</v>
      </c>
      <c r="O243" s="178"/>
      <c r="Q243" s="178"/>
      <c r="R243" s="179"/>
      <c r="S243" s="179"/>
      <c r="T243" s="179"/>
      <c r="U243" s="179"/>
      <c r="V243" s="179"/>
      <c r="W243" s="179"/>
      <c r="X243" s="179"/>
      <c r="Y243" s="179"/>
      <c r="Z243" s="180"/>
      <c r="AB243" s="544">
        <f ca="1">IF(AND($D243="Serviço",AB$12&lt;&gt;0,$H243&gt;0,OR(AUTOEVENTO&lt;&gt;"manual",$M243&lt;&gt;1)),
IF(Import.TipoArredondamento&lt;&gt;"TransfereGOV",
ROUND(OFFSET($P243,0,AB$13),15-13*ORÇAMENTO!$AF$7)/$H243*OFFSET(ORÇAMENTO!$X$15,ROW(AB243)-ROW(AB$15),0),
ROUND(ROUND(OFFSET($P243,0,AB$13),15-13*ORÇAMENTO!$AF$7)*OFFSET(ORÇAMENTO!$W$15,ROW(AB243)-ROW(AB$15),0),15-13*ORÇAMENTO!$AF$11)),0)</f>
        <v>0</v>
      </c>
      <c r="AC243" s="545">
        <f ca="1">IF(AND($D243="Serviço",AC$12&lt;&gt;0,$H243&gt;0,OR(AUTOEVENTO&lt;&gt;"manual",$M243&lt;&gt;1)),
IF(Import.TipoArredondamento&lt;&gt;"TransfereGOV",
ROUND(OFFSET($P243,0,AC$13),15-13*ORÇAMENTO!$AF$7)/$H243*OFFSET(ORÇAMENTO!$X$15,ROW(AC243)-ROW(AC$15),0),
ROUND(ROUND(OFFSET($P243,0,AC$13),15-13*ORÇAMENTO!$AF$7)*OFFSET(ORÇAMENTO!$W$15,ROW(AC243)-ROW(AC$15),0),15-13*ORÇAMENTO!$AF$11)),0)</f>
        <v>0</v>
      </c>
      <c r="AD243" s="545">
        <f ca="1">IF(AND($D243="Serviço",AD$12&lt;&gt;0,$H243&gt;0,OR(AUTOEVENTO&lt;&gt;"manual",$M243&lt;&gt;1)),
IF(Import.TipoArredondamento&lt;&gt;"TransfereGOV",
ROUND(OFFSET($P243,0,AD$13),15-13*ORÇAMENTO!$AF$7)/$H243*OFFSET(ORÇAMENTO!$X$15,ROW(AD243)-ROW(AD$15),0),
ROUND(ROUND(OFFSET($P243,0,AD$13),15-13*ORÇAMENTO!$AF$7)*OFFSET(ORÇAMENTO!$W$15,ROW(AD243)-ROW(AD$15),0),15-13*ORÇAMENTO!$AF$11)),0)</f>
        <v>0</v>
      </c>
      <c r="AE243" s="545">
        <f ca="1">IF(AND($D243="Serviço",AE$12&lt;&gt;0,$H243&gt;0,OR(AUTOEVENTO&lt;&gt;"manual",$M243&lt;&gt;1)),
IF(Import.TipoArredondamento&lt;&gt;"TransfereGOV",
ROUND(OFFSET($P243,0,AE$13),15-13*ORÇAMENTO!$AF$7)/$H243*OFFSET(ORÇAMENTO!$X$15,ROW(AE243)-ROW(AE$15),0),
ROUND(ROUND(OFFSET($P243,0,AE$13),15-13*ORÇAMENTO!$AF$7)*OFFSET(ORÇAMENTO!$W$15,ROW(AE243)-ROW(AE$15),0),15-13*ORÇAMENTO!$AF$11)),0)</f>
        <v>0</v>
      </c>
      <c r="AF243" s="545">
        <f ca="1">IF(AND($D243="Serviço",AF$12&lt;&gt;0,$H243&gt;0,OR(AUTOEVENTO&lt;&gt;"manual",$M243&lt;&gt;1)),
IF(Import.TipoArredondamento&lt;&gt;"TransfereGOV",
ROUND(OFFSET($P243,0,AF$13),15-13*ORÇAMENTO!$AF$7)/$H243*OFFSET(ORÇAMENTO!$X$15,ROW(AF243)-ROW(AF$15),0),
ROUND(ROUND(OFFSET($P243,0,AF$13),15-13*ORÇAMENTO!$AF$7)*OFFSET(ORÇAMENTO!$W$15,ROW(AF243)-ROW(AF$15),0),15-13*ORÇAMENTO!$AF$11)),0)</f>
        <v>0</v>
      </c>
      <c r="AG243" s="545">
        <f ca="1">IF(AND($D243="Serviço",AG$12&lt;&gt;0,$H243&gt;0,OR(AUTOEVENTO&lt;&gt;"manual",$M243&lt;&gt;1)),
IF(Import.TipoArredondamento&lt;&gt;"TransfereGOV",
ROUND(OFFSET($P243,0,AG$13),15-13*ORÇAMENTO!$AF$7)/$H243*OFFSET(ORÇAMENTO!$X$15,ROW(AG243)-ROW(AG$15),0),
ROUND(ROUND(OFFSET($P243,0,AG$13),15-13*ORÇAMENTO!$AF$7)*OFFSET(ORÇAMENTO!$W$15,ROW(AG243)-ROW(AG$15),0),15-13*ORÇAMENTO!$AF$11)),0)</f>
        <v>0</v>
      </c>
      <c r="AH243" s="545">
        <f ca="1">IF(AND($D243="Serviço",AH$12&lt;&gt;0,$H243&gt;0,OR(AUTOEVENTO&lt;&gt;"manual",$M243&lt;&gt;1)),
IF(Import.TipoArredondamento&lt;&gt;"TransfereGOV",
ROUND(OFFSET($P243,0,AH$13),15-13*ORÇAMENTO!$AF$7)/$H243*OFFSET(ORÇAMENTO!$X$15,ROW(AH243)-ROW(AH$15),0),
ROUND(ROUND(OFFSET($P243,0,AH$13),15-13*ORÇAMENTO!$AF$7)*OFFSET(ORÇAMENTO!$W$15,ROW(AH243)-ROW(AH$15),0),15-13*ORÇAMENTO!$AF$11)),0)</f>
        <v>0</v>
      </c>
      <c r="AI243" s="545">
        <f ca="1">IF(AND($D243="Serviço",AI$12&lt;&gt;0,$H243&gt;0,OR(AUTOEVENTO&lt;&gt;"manual",$M243&lt;&gt;1)),
IF(Import.TipoArredondamento&lt;&gt;"TransfereGOV",
ROUND(OFFSET($P243,0,AI$13),15-13*ORÇAMENTO!$AF$7)/$H243*OFFSET(ORÇAMENTO!$X$15,ROW(AI243)-ROW(AI$15),0),
ROUND(ROUND(OFFSET($P243,0,AI$13),15-13*ORÇAMENTO!$AF$7)*OFFSET(ORÇAMENTO!$W$15,ROW(AI243)-ROW(AI$15),0),15-13*ORÇAMENTO!$AF$11)),0)</f>
        <v>0</v>
      </c>
      <c r="AJ243" s="545">
        <f ca="1">IF(AND($D243="Serviço",AJ$12&lt;&gt;0,$H243&gt;0,OR(AUTOEVENTO&lt;&gt;"manual",$M243&lt;&gt;1)),
IF(Import.TipoArredondamento&lt;&gt;"TransfereGOV",
ROUND(OFFSET($P243,0,AJ$13),15-13*ORÇAMENTO!$AF$7)/$H243*OFFSET(ORÇAMENTO!$X$15,ROW(AJ243)-ROW(AJ$15),0),
ROUND(ROUND(OFFSET($P243,0,AJ$13),15-13*ORÇAMENTO!$AF$7)*OFFSET(ORÇAMENTO!$W$15,ROW(AJ243)-ROW(AJ$15),0),15-13*ORÇAMENTO!$AF$11)),0)</f>
        <v>0</v>
      </c>
      <c r="AK243" s="546">
        <f ca="1">IF(AND($D243="Serviço",AK$12&lt;&gt;0,$H243&gt;0,OR(AUTOEVENTO&lt;&gt;"manual",$M243&lt;&gt;1)),
IF(Import.TipoArredondamento&lt;&gt;"TransfereGOV",
ROUND(OFFSET($P243,0,AK$13),15-13*ORÇAMENTO!$AF$7)/$H243*OFFSET(ORÇAMENTO!$X$15,ROW(AK243)-ROW(AK$15),0),
ROUND(ROUND(OFFSET($P243,0,AK$13),15-13*ORÇAMENTO!$AF$7)*OFFSET(ORÇAMENTO!$W$15,ROW(AK243)-ROW(AK$15),0),15-13*ORÇAMENTO!$AF$11)),0)</f>
        <v>0</v>
      </c>
      <c r="AM243" s="181">
        <f ca="1">IF($D243&lt;&gt;"Serviço",0,IF(AND(AUTOEVENTO="Manual",$M243=1),0,IF(OFFSET(CRONOPLE!$F$14,$M243,AM$13)="",10^12,OFFSET(CRONOPLE!$F$14,$M243,AM$13))))</f>
        <v>1000000000000</v>
      </c>
      <c r="AN243" s="181">
        <f ca="1">IF($D243&lt;&gt;"Serviço",0,IF(AND(AUTOEVENTO="Manual",$M243=1),0,IF(OFFSET(CRONOPLE!$F$14,$M243,AN$13)="",10^12,OFFSET(CRONOPLE!$F$14,$M243,AN$13))))</f>
        <v>1000000000000</v>
      </c>
      <c r="AO243" s="181">
        <f ca="1">IF($D243&lt;&gt;"Serviço",0,IF(AND(AUTOEVENTO="Manual",$M243=1),0,IF(OFFSET(CRONOPLE!$F$14,$M243,AO$13)="",10^12,OFFSET(CRONOPLE!$F$14,$M243,AO$13))))</f>
        <v>1000000000000</v>
      </c>
      <c r="AP243" s="181">
        <f ca="1">IF($D243&lt;&gt;"Serviço",0,IF(AND(AUTOEVENTO="Manual",$M243=1),0,IF(OFFSET(CRONOPLE!$F$14,$M243,AP$13)="",10^12,OFFSET(CRONOPLE!$F$14,$M243,AP$13))))</f>
        <v>1000000000000</v>
      </c>
      <c r="AQ243" s="181">
        <f ca="1">IF($D243&lt;&gt;"Serviço",0,IF(AND(AUTOEVENTO="Manual",$M243=1),0,IF(OFFSET(CRONOPLE!$F$14,$M243,AQ$13)="",10^12,OFFSET(CRONOPLE!$F$14,$M243,AQ$13))))</f>
        <v>1000000000000</v>
      </c>
      <c r="AR243" s="181">
        <f ca="1">IF($D243&lt;&gt;"Serviço",0,IF(AND(AUTOEVENTO="Manual",$M243=1),0,IF(OFFSET(CRONOPLE!$F$14,$M243,AR$13)="",10^12,OFFSET(CRONOPLE!$F$14,$M243,AR$13))))</f>
        <v>1000000000000</v>
      </c>
      <c r="AS243" s="181">
        <f ca="1">IF($D243&lt;&gt;"Serviço",0,IF(AND(AUTOEVENTO="Manual",$M243=1),0,IF(OFFSET(CRONOPLE!$F$14,$M243,AS$13)="",10^12,OFFSET(CRONOPLE!$F$14,$M243,AS$13))))</f>
        <v>1000000000000</v>
      </c>
      <c r="AT243" s="181">
        <f ca="1">IF($D243&lt;&gt;"Serviço",0,IF(AND(AUTOEVENTO="Manual",$M243=1),0,IF(OFFSET(CRONOPLE!$F$14,$M243,AT$13)="",10^12,OFFSET(CRONOPLE!$F$14,$M243,AT$13))))</f>
        <v>1000000000000</v>
      </c>
      <c r="AU243" s="181">
        <f ca="1">IF($D243&lt;&gt;"Serviço",0,IF(AND(AUTOEVENTO="Manual",$M243=1),0,IF(OFFSET(CRONOPLE!$F$14,$M243,AU$13)="",10^12,OFFSET(CRONOPLE!$F$14,$M243,AU$13))))</f>
        <v>1000000000000</v>
      </c>
      <c r="AV243" s="181">
        <f ca="1">IF($D243&lt;&gt;"Serviço",0,IF(AND(AUTOEVENTO="Manual",$M243=1),0,IF(OFFSET(CRONOPLE!$F$14,$M243,AV$13)="",10^12,OFFSET(CRONOPLE!$F$14,$M243,AV$13))))</f>
        <v>1000000000000</v>
      </c>
      <c r="AX243" s="182">
        <f ca="1">IF($D243&lt;&gt;"Serviço",0,IF(OR(AND(AUTOEVENTO="Manual",$M243=1),$M243&gt;(ROW(PLE.lastrow)-ROW(PLE.firstrow))),0,IF(OFFSET(PLE!$G$14,$M243,AX$13)="",10^12,OFFSET(PLE!$G$14,$M243,AX$13))))</f>
        <v>1000000000000</v>
      </c>
      <c r="AY243" s="182">
        <f ca="1">IF($D243&lt;&gt;"Serviço",0,IF(OR(AND(AUTOEVENTO="Manual",$M243=1),$M243&gt;(ROW(PLE.lastrow)-ROW(PLE.firstrow))),0,IF(OFFSET(PLE!$G$14,$M243,AY$13)="",10^12,OFFSET(PLE!$G$14,$M243,AY$13))))</f>
        <v>1000000000000</v>
      </c>
      <c r="AZ243" s="182">
        <f ca="1">IF($D243&lt;&gt;"Serviço",0,IF(OR(AND(AUTOEVENTO="Manual",$M243=1),$M243&gt;(ROW(PLE.lastrow)-ROW(PLE.firstrow))),0,IF(OFFSET(PLE!$G$14,$M243,AZ$13)="",10^12,OFFSET(PLE!$G$14,$M243,AZ$13))))</f>
        <v>1000000000000</v>
      </c>
      <c r="BA243" s="182">
        <f ca="1">IF($D243&lt;&gt;"Serviço",0,IF(OR(AND(AUTOEVENTO="Manual",$M243=1),$M243&gt;(ROW(PLE.lastrow)-ROW(PLE.firstrow))),0,IF(OFFSET(PLE!$G$14,$M243,BA$13)="",10^12,OFFSET(PLE!$G$14,$M243,BA$13))))</f>
        <v>1000000000000</v>
      </c>
      <c r="BB243" s="182">
        <f ca="1">IF($D243&lt;&gt;"Serviço",0,IF(OR(AND(AUTOEVENTO="Manual",$M243=1),$M243&gt;(ROW(PLE.lastrow)-ROW(PLE.firstrow))),0,IF(OFFSET(PLE!$G$14,$M243,BB$13)="",10^12,OFFSET(PLE!$G$14,$M243,BB$13))))</f>
        <v>1000000000000</v>
      </c>
      <c r="BC243" s="182">
        <f ca="1">IF($D243&lt;&gt;"Serviço",0,IF(OR(AND(AUTOEVENTO="Manual",$M243=1),$M243&gt;(ROW(PLE.lastrow)-ROW(PLE.firstrow))),0,IF(OFFSET(PLE!$G$14,$M243,BC$13)="",10^12,OFFSET(PLE!$G$14,$M243,BC$13))))</f>
        <v>1000000000000</v>
      </c>
      <c r="BD243" s="182">
        <f ca="1">IF($D243&lt;&gt;"Serviço",0,IF(OR(AND(AUTOEVENTO="Manual",$M243=1),$M243&gt;(ROW(PLE.lastrow)-ROW(PLE.firstrow))),0,IF(OFFSET(PLE!$G$14,$M243,BD$13)="",10^12,OFFSET(PLE!$G$14,$M243,BD$13))))</f>
        <v>1000000000000</v>
      </c>
      <c r="BE243" s="182">
        <f ca="1">IF($D243&lt;&gt;"Serviço",0,IF(OR(AND(AUTOEVENTO="Manual",$M243=1),$M243&gt;(ROW(PLE.lastrow)-ROW(PLE.firstrow))),0,IF(OFFSET(PLE!$G$14,$M243,BE$13)="",10^12,OFFSET(PLE!$G$14,$M243,BE$13))))</f>
        <v>1000000000000</v>
      </c>
      <c r="BF243" s="182">
        <f ca="1">IF($D243&lt;&gt;"Serviço",0,IF(OR(AND(AUTOEVENTO="Manual",$M243=1),$M243&gt;(ROW(PLE.lastrow)-ROW(PLE.firstrow))),0,IF(OFFSET(PLE!$G$14,$M243,BF$13)="",10^12,OFFSET(PLE!$G$14,$M243,BF$13))))</f>
        <v>1000000000000</v>
      </c>
      <c r="BG243" s="182">
        <f ca="1">IF($D243&lt;&gt;"Serviço",0,IF(OR(AND(AUTOEVENTO="Manual",$M243=1),$M243&gt;(ROW(PLE.lastrow)-ROW(PLE.firstrow))),0,IF(OFFSET(PLE!$G$14,$M243,BG$13)="",10^12,OFFSET(PLE!$G$14,$M243,BG$13))))</f>
        <v>1000000000000</v>
      </c>
    </row>
    <row r="244" spans="1:59" ht="51" x14ac:dyDescent="0.2">
      <c r="A244" s="7" t="str">
        <f t="shared" ca="1" si="11"/>
        <v>222</v>
      </c>
      <c r="B244" s="7" t="str">
        <f ca="1">OFFSET(ORÇAMENTO!C$15,ROW(B244)-ROW(B$15),0)</f>
        <v>S</v>
      </c>
      <c r="C244" s="7" t="str">
        <f ca="1">OFFSET(ORÇAMENTO!L$15,ROW(C244)-ROW(C$15),0)</f>
        <v>F</v>
      </c>
      <c r="D244" s="118" t="str">
        <f ca="1">OFFSET(ORÇAMENTO!N$15,ROW(D244)-ROW(D$15),0)</f>
        <v>Serviço</v>
      </c>
      <c r="E244" s="119" t="str">
        <f ca="1">OFFSET(ORÇAMENTO!O$15,ROW(E244)-ROW(E$15),0)</f>
        <v>1.11.0.7.</v>
      </c>
      <c r="F244" s="172" t="str">
        <f ca="1">OFFSET(ORÇAMENTO!R$15,ROW(F244)-ROW(F$15),0)</f>
        <v>(abra o arquivo 'Referência 03-2024.xlsm)</v>
      </c>
      <c r="G244" s="173" t="str">
        <f ca="1">IF($D244&lt;&gt;"Serviço","",OFFSET(ORÇAMENTO!S$15,ROW(G244)-ROW(G$15),0))</f>
        <v>-</v>
      </c>
      <c r="H244" s="124">
        <f ca="1">IF($D244&lt;&gt;"Serviço",0,IF(ACOMPANHAMENTO="BM",ROUND(OFFSET(ORÇAMENTO!AJ$15,ROW(H244)-ROW(H$15),0),15-13*ORÇAMENTO!$AF$7),SUMPRODUCT(($Q$12:$AA$12&lt;&gt;"")*ROUND($Q244:$AA244,15-13*ORÇAMENTO!$AF$7))))</f>
        <v>2</v>
      </c>
      <c r="I244" s="561"/>
      <c r="K244" s="174"/>
      <c r="L244" s="175" t="s">
        <v>255</v>
      </c>
      <c r="M244" s="176">
        <f ca="1">IF($D244&lt;&gt;"Serviço","",IF(AUTOEVENTO="manual",$A244,IF(ISERROR(MATCH($A244,$A$15:OFFSET($A244,-1,0),0)),MAX($M$15:OFFSET(M244,-1,0))+1,INDEX($M$15:OFFSET(M244,-1,0),MATCH($A244,$A$15:OFFSET($A244,-1,0),0)))))</f>
        <v>12</v>
      </c>
      <c r="N244" s="177" t="str">
        <f ca="1">IF($D244&lt;&gt;"Serviço","",IF(AUTOEVENTO="Manual",IF($A244=0,"&lt;-- defina o número do agrupador",OFFSET(EVENTOS!$D$14,$A244,0)),OFFSET($F$15,$A244,0)))</f>
        <v>ACADEMIA DE SAÚDE AO AR LIVRE</v>
      </c>
      <c r="O244" s="178"/>
      <c r="Q244" s="178"/>
      <c r="R244" s="179"/>
      <c r="S244" s="179"/>
      <c r="T244" s="179"/>
      <c r="U244" s="179"/>
      <c r="V244" s="179"/>
      <c r="W244" s="179"/>
      <c r="X244" s="179"/>
      <c r="Y244" s="179"/>
      <c r="Z244" s="180"/>
      <c r="AB244" s="544">
        <f ca="1">IF(AND($D244="Serviço",AB$12&lt;&gt;0,$H244&gt;0,OR(AUTOEVENTO&lt;&gt;"manual",$M244&lt;&gt;1)),
IF(Import.TipoArredondamento&lt;&gt;"TransfereGOV",
ROUND(OFFSET($P244,0,AB$13),15-13*ORÇAMENTO!$AF$7)/$H244*OFFSET(ORÇAMENTO!$X$15,ROW(AB244)-ROW(AB$15),0),
ROUND(ROUND(OFFSET($P244,0,AB$13),15-13*ORÇAMENTO!$AF$7)*OFFSET(ORÇAMENTO!$W$15,ROW(AB244)-ROW(AB$15),0),15-13*ORÇAMENTO!$AF$11)),0)</f>
        <v>0</v>
      </c>
      <c r="AC244" s="545">
        <f ca="1">IF(AND($D244="Serviço",AC$12&lt;&gt;0,$H244&gt;0,OR(AUTOEVENTO&lt;&gt;"manual",$M244&lt;&gt;1)),
IF(Import.TipoArredondamento&lt;&gt;"TransfereGOV",
ROUND(OFFSET($P244,0,AC$13),15-13*ORÇAMENTO!$AF$7)/$H244*OFFSET(ORÇAMENTO!$X$15,ROW(AC244)-ROW(AC$15),0),
ROUND(ROUND(OFFSET($P244,0,AC$13),15-13*ORÇAMENTO!$AF$7)*OFFSET(ORÇAMENTO!$W$15,ROW(AC244)-ROW(AC$15),0),15-13*ORÇAMENTO!$AF$11)),0)</f>
        <v>0</v>
      </c>
      <c r="AD244" s="545">
        <f ca="1">IF(AND($D244="Serviço",AD$12&lt;&gt;0,$H244&gt;0,OR(AUTOEVENTO&lt;&gt;"manual",$M244&lt;&gt;1)),
IF(Import.TipoArredondamento&lt;&gt;"TransfereGOV",
ROUND(OFFSET($P244,0,AD$13),15-13*ORÇAMENTO!$AF$7)/$H244*OFFSET(ORÇAMENTO!$X$15,ROW(AD244)-ROW(AD$15),0),
ROUND(ROUND(OFFSET($P244,0,AD$13),15-13*ORÇAMENTO!$AF$7)*OFFSET(ORÇAMENTO!$W$15,ROW(AD244)-ROW(AD$15),0),15-13*ORÇAMENTO!$AF$11)),0)</f>
        <v>0</v>
      </c>
      <c r="AE244" s="545">
        <f ca="1">IF(AND($D244="Serviço",AE$12&lt;&gt;0,$H244&gt;0,OR(AUTOEVENTO&lt;&gt;"manual",$M244&lt;&gt;1)),
IF(Import.TipoArredondamento&lt;&gt;"TransfereGOV",
ROUND(OFFSET($P244,0,AE$13),15-13*ORÇAMENTO!$AF$7)/$H244*OFFSET(ORÇAMENTO!$X$15,ROW(AE244)-ROW(AE$15),0),
ROUND(ROUND(OFFSET($P244,0,AE$13),15-13*ORÇAMENTO!$AF$7)*OFFSET(ORÇAMENTO!$W$15,ROW(AE244)-ROW(AE$15),0),15-13*ORÇAMENTO!$AF$11)),0)</f>
        <v>0</v>
      </c>
      <c r="AF244" s="545">
        <f ca="1">IF(AND($D244="Serviço",AF$12&lt;&gt;0,$H244&gt;0,OR(AUTOEVENTO&lt;&gt;"manual",$M244&lt;&gt;1)),
IF(Import.TipoArredondamento&lt;&gt;"TransfereGOV",
ROUND(OFFSET($P244,0,AF$13),15-13*ORÇAMENTO!$AF$7)/$H244*OFFSET(ORÇAMENTO!$X$15,ROW(AF244)-ROW(AF$15),0),
ROUND(ROUND(OFFSET($P244,0,AF$13),15-13*ORÇAMENTO!$AF$7)*OFFSET(ORÇAMENTO!$W$15,ROW(AF244)-ROW(AF$15),0),15-13*ORÇAMENTO!$AF$11)),0)</f>
        <v>0</v>
      </c>
      <c r="AG244" s="545">
        <f ca="1">IF(AND($D244="Serviço",AG$12&lt;&gt;0,$H244&gt;0,OR(AUTOEVENTO&lt;&gt;"manual",$M244&lt;&gt;1)),
IF(Import.TipoArredondamento&lt;&gt;"TransfereGOV",
ROUND(OFFSET($P244,0,AG$13),15-13*ORÇAMENTO!$AF$7)/$H244*OFFSET(ORÇAMENTO!$X$15,ROW(AG244)-ROW(AG$15),0),
ROUND(ROUND(OFFSET($P244,0,AG$13),15-13*ORÇAMENTO!$AF$7)*OFFSET(ORÇAMENTO!$W$15,ROW(AG244)-ROW(AG$15),0),15-13*ORÇAMENTO!$AF$11)),0)</f>
        <v>0</v>
      </c>
      <c r="AH244" s="545">
        <f ca="1">IF(AND($D244="Serviço",AH$12&lt;&gt;0,$H244&gt;0,OR(AUTOEVENTO&lt;&gt;"manual",$M244&lt;&gt;1)),
IF(Import.TipoArredondamento&lt;&gt;"TransfereGOV",
ROUND(OFFSET($P244,0,AH$13),15-13*ORÇAMENTO!$AF$7)/$H244*OFFSET(ORÇAMENTO!$X$15,ROW(AH244)-ROW(AH$15),0),
ROUND(ROUND(OFFSET($P244,0,AH$13),15-13*ORÇAMENTO!$AF$7)*OFFSET(ORÇAMENTO!$W$15,ROW(AH244)-ROW(AH$15),0),15-13*ORÇAMENTO!$AF$11)),0)</f>
        <v>0</v>
      </c>
      <c r="AI244" s="545">
        <f ca="1">IF(AND($D244="Serviço",AI$12&lt;&gt;0,$H244&gt;0,OR(AUTOEVENTO&lt;&gt;"manual",$M244&lt;&gt;1)),
IF(Import.TipoArredondamento&lt;&gt;"TransfereGOV",
ROUND(OFFSET($P244,0,AI$13),15-13*ORÇAMENTO!$AF$7)/$H244*OFFSET(ORÇAMENTO!$X$15,ROW(AI244)-ROW(AI$15),0),
ROUND(ROUND(OFFSET($P244,0,AI$13),15-13*ORÇAMENTO!$AF$7)*OFFSET(ORÇAMENTO!$W$15,ROW(AI244)-ROW(AI$15),0),15-13*ORÇAMENTO!$AF$11)),0)</f>
        <v>0</v>
      </c>
      <c r="AJ244" s="545">
        <f ca="1">IF(AND($D244="Serviço",AJ$12&lt;&gt;0,$H244&gt;0,OR(AUTOEVENTO&lt;&gt;"manual",$M244&lt;&gt;1)),
IF(Import.TipoArredondamento&lt;&gt;"TransfereGOV",
ROUND(OFFSET($P244,0,AJ$13),15-13*ORÇAMENTO!$AF$7)/$H244*OFFSET(ORÇAMENTO!$X$15,ROW(AJ244)-ROW(AJ$15),0),
ROUND(ROUND(OFFSET($P244,0,AJ$13),15-13*ORÇAMENTO!$AF$7)*OFFSET(ORÇAMENTO!$W$15,ROW(AJ244)-ROW(AJ$15),0),15-13*ORÇAMENTO!$AF$11)),0)</f>
        <v>0</v>
      </c>
      <c r="AK244" s="546">
        <f ca="1">IF(AND($D244="Serviço",AK$12&lt;&gt;0,$H244&gt;0,OR(AUTOEVENTO&lt;&gt;"manual",$M244&lt;&gt;1)),
IF(Import.TipoArredondamento&lt;&gt;"TransfereGOV",
ROUND(OFFSET($P244,0,AK$13),15-13*ORÇAMENTO!$AF$7)/$H244*OFFSET(ORÇAMENTO!$X$15,ROW(AK244)-ROW(AK$15),0),
ROUND(ROUND(OFFSET($P244,0,AK$13),15-13*ORÇAMENTO!$AF$7)*OFFSET(ORÇAMENTO!$W$15,ROW(AK244)-ROW(AK$15),0),15-13*ORÇAMENTO!$AF$11)),0)</f>
        <v>0</v>
      </c>
      <c r="AM244" s="181">
        <f ca="1">IF($D244&lt;&gt;"Serviço",0,IF(AND(AUTOEVENTO="Manual",$M244=1),0,IF(OFFSET(CRONOPLE!$F$14,$M244,AM$13)="",10^12,OFFSET(CRONOPLE!$F$14,$M244,AM$13))))</f>
        <v>1000000000000</v>
      </c>
      <c r="AN244" s="181">
        <f ca="1">IF($D244&lt;&gt;"Serviço",0,IF(AND(AUTOEVENTO="Manual",$M244=1),0,IF(OFFSET(CRONOPLE!$F$14,$M244,AN$13)="",10^12,OFFSET(CRONOPLE!$F$14,$M244,AN$13))))</f>
        <v>1000000000000</v>
      </c>
      <c r="AO244" s="181">
        <f ca="1">IF($D244&lt;&gt;"Serviço",0,IF(AND(AUTOEVENTO="Manual",$M244=1),0,IF(OFFSET(CRONOPLE!$F$14,$M244,AO$13)="",10^12,OFFSET(CRONOPLE!$F$14,$M244,AO$13))))</f>
        <v>1000000000000</v>
      </c>
      <c r="AP244" s="181">
        <f ca="1">IF($D244&lt;&gt;"Serviço",0,IF(AND(AUTOEVENTO="Manual",$M244=1),0,IF(OFFSET(CRONOPLE!$F$14,$M244,AP$13)="",10^12,OFFSET(CRONOPLE!$F$14,$M244,AP$13))))</f>
        <v>1000000000000</v>
      </c>
      <c r="AQ244" s="181">
        <f ca="1">IF($D244&lt;&gt;"Serviço",0,IF(AND(AUTOEVENTO="Manual",$M244=1),0,IF(OFFSET(CRONOPLE!$F$14,$M244,AQ$13)="",10^12,OFFSET(CRONOPLE!$F$14,$M244,AQ$13))))</f>
        <v>1000000000000</v>
      </c>
      <c r="AR244" s="181">
        <f ca="1">IF($D244&lt;&gt;"Serviço",0,IF(AND(AUTOEVENTO="Manual",$M244=1),0,IF(OFFSET(CRONOPLE!$F$14,$M244,AR$13)="",10^12,OFFSET(CRONOPLE!$F$14,$M244,AR$13))))</f>
        <v>1000000000000</v>
      </c>
      <c r="AS244" s="181">
        <f ca="1">IF($D244&lt;&gt;"Serviço",0,IF(AND(AUTOEVENTO="Manual",$M244=1),0,IF(OFFSET(CRONOPLE!$F$14,$M244,AS$13)="",10^12,OFFSET(CRONOPLE!$F$14,$M244,AS$13))))</f>
        <v>1000000000000</v>
      </c>
      <c r="AT244" s="181">
        <f ca="1">IF($D244&lt;&gt;"Serviço",0,IF(AND(AUTOEVENTO="Manual",$M244=1),0,IF(OFFSET(CRONOPLE!$F$14,$M244,AT$13)="",10^12,OFFSET(CRONOPLE!$F$14,$M244,AT$13))))</f>
        <v>1000000000000</v>
      </c>
      <c r="AU244" s="181">
        <f ca="1">IF($D244&lt;&gt;"Serviço",0,IF(AND(AUTOEVENTO="Manual",$M244=1),0,IF(OFFSET(CRONOPLE!$F$14,$M244,AU$13)="",10^12,OFFSET(CRONOPLE!$F$14,$M244,AU$13))))</f>
        <v>1000000000000</v>
      </c>
      <c r="AV244" s="181">
        <f ca="1">IF($D244&lt;&gt;"Serviço",0,IF(AND(AUTOEVENTO="Manual",$M244=1),0,IF(OFFSET(CRONOPLE!$F$14,$M244,AV$13)="",10^12,OFFSET(CRONOPLE!$F$14,$M244,AV$13))))</f>
        <v>1000000000000</v>
      </c>
      <c r="AX244" s="182">
        <f ca="1">IF($D244&lt;&gt;"Serviço",0,IF(OR(AND(AUTOEVENTO="Manual",$M244=1),$M244&gt;(ROW(PLE.lastrow)-ROW(PLE.firstrow))),0,IF(OFFSET(PLE!$G$14,$M244,AX$13)="",10^12,OFFSET(PLE!$G$14,$M244,AX$13))))</f>
        <v>1000000000000</v>
      </c>
      <c r="AY244" s="182">
        <f ca="1">IF($D244&lt;&gt;"Serviço",0,IF(OR(AND(AUTOEVENTO="Manual",$M244=1),$M244&gt;(ROW(PLE.lastrow)-ROW(PLE.firstrow))),0,IF(OFFSET(PLE!$G$14,$M244,AY$13)="",10^12,OFFSET(PLE!$G$14,$M244,AY$13))))</f>
        <v>1000000000000</v>
      </c>
      <c r="AZ244" s="182">
        <f ca="1">IF($D244&lt;&gt;"Serviço",0,IF(OR(AND(AUTOEVENTO="Manual",$M244=1),$M244&gt;(ROW(PLE.lastrow)-ROW(PLE.firstrow))),0,IF(OFFSET(PLE!$G$14,$M244,AZ$13)="",10^12,OFFSET(PLE!$G$14,$M244,AZ$13))))</f>
        <v>1000000000000</v>
      </c>
      <c r="BA244" s="182">
        <f ca="1">IF($D244&lt;&gt;"Serviço",0,IF(OR(AND(AUTOEVENTO="Manual",$M244=1),$M244&gt;(ROW(PLE.lastrow)-ROW(PLE.firstrow))),0,IF(OFFSET(PLE!$G$14,$M244,BA$13)="",10^12,OFFSET(PLE!$G$14,$M244,BA$13))))</f>
        <v>1000000000000</v>
      </c>
      <c r="BB244" s="182">
        <f ca="1">IF($D244&lt;&gt;"Serviço",0,IF(OR(AND(AUTOEVENTO="Manual",$M244=1),$M244&gt;(ROW(PLE.lastrow)-ROW(PLE.firstrow))),0,IF(OFFSET(PLE!$G$14,$M244,BB$13)="",10^12,OFFSET(PLE!$G$14,$M244,BB$13))))</f>
        <v>1000000000000</v>
      </c>
      <c r="BC244" s="182">
        <f ca="1">IF($D244&lt;&gt;"Serviço",0,IF(OR(AND(AUTOEVENTO="Manual",$M244=1),$M244&gt;(ROW(PLE.lastrow)-ROW(PLE.firstrow))),0,IF(OFFSET(PLE!$G$14,$M244,BC$13)="",10^12,OFFSET(PLE!$G$14,$M244,BC$13))))</f>
        <v>1000000000000</v>
      </c>
      <c r="BD244" s="182">
        <f ca="1">IF($D244&lt;&gt;"Serviço",0,IF(OR(AND(AUTOEVENTO="Manual",$M244=1),$M244&gt;(ROW(PLE.lastrow)-ROW(PLE.firstrow))),0,IF(OFFSET(PLE!$G$14,$M244,BD$13)="",10^12,OFFSET(PLE!$G$14,$M244,BD$13))))</f>
        <v>1000000000000</v>
      </c>
      <c r="BE244" s="182">
        <f ca="1">IF($D244&lt;&gt;"Serviço",0,IF(OR(AND(AUTOEVENTO="Manual",$M244=1),$M244&gt;(ROW(PLE.lastrow)-ROW(PLE.firstrow))),0,IF(OFFSET(PLE!$G$14,$M244,BE$13)="",10^12,OFFSET(PLE!$G$14,$M244,BE$13))))</f>
        <v>1000000000000</v>
      </c>
      <c r="BF244" s="182">
        <f ca="1">IF($D244&lt;&gt;"Serviço",0,IF(OR(AND(AUTOEVENTO="Manual",$M244=1),$M244&gt;(ROW(PLE.lastrow)-ROW(PLE.firstrow))),0,IF(OFFSET(PLE!$G$14,$M244,BF$13)="",10^12,OFFSET(PLE!$G$14,$M244,BF$13))))</f>
        <v>1000000000000</v>
      </c>
      <c r="BG244" s="182">
        <f ca="1">IF($D244&lt;&gt;"Serviço",0,IF(OR(AND(AUTOEVENTO="Manual",$M244=1),$M244&gt;(ROW(PLE.lastrow)-ROW(PLE.firstrow))),0,IF(OFFSET(PLE!$G$14,$M244,BG$13)="",10^12,OFFSET(PLE!$G$14,$M244,BG$13))))</f>
        <v>1000000000000</v>
      </c>
    </row>
    <row r="245" spans="1:59" ht="12.75" x14ac:dyDescent="0.2">
      <c r="A245" s="7" t="str">
        <f t="shared" ca="1" si="11"/>
        <v>230.</v>
      </c>
      <c r="B245" s="7">
        <f ca="1">OFFSET(ORÇAMENTO!C$15,ROW(B245)-ROW(B$15),0)</f>
        <v>2</v>
      </c>
      <c r="C245" s="7" t="str">
        <f ca="1">OFFSET(ORÇAMENTO!L$15,ROW(C245)-ROW(C$15),0)</f>
        <v>F</v>
      </c>
      <c r="D245" s="118" t="str">
        <f ca="1">OFFSET(ORÇAMENTO!N$15,ROW(D245)-ROW(D$15),0)</f>
        <v>Nível 2</v>
      </c>
      <c r="E245" s="119" t="str">
        <f ca="1">OFFSET(ORÇAMENTO!O$15,ROW(E245)-ROW(E$15),0)</f>
        <v>1.12.</v>
      </c>
      <c r="F245" s="172" t="str">
        <f ca="1">OFFSET(ORÇAMENTO!R$15,ROW(F245)-ROW(F$15),0)</f>
        <v>ÁREA DE CONFRATERNIZAÇÃO</v>
      </c>
      <c r="G245" s="173" t="str">
        <f ca="1">IF($D245&lt;&gt;"Serviço","",OFFSET(ORÇAMENTO!S$15,ROW(G245)-ROW(G$15),0))</f>
        <v/>
      </c>
      <c r="H245" s="124">
        <f ca="1">IF($D245&lt;&gt;"Serviço",0,IF(ACOMPANHAMENTO="BM",ROUND(OFFSET(ORÇAMENTO!AJ$15,ROW(H245)-ROW(H$15),0),15-13*ORÇAMENTO!$AF$7),SUMPRODUCT(($Q$12:$AA$12&lt;&gt;"")*ROUND($Q245:$AA245,15-13*ORÇAMENTO!$AF$7))))</f>
        <v>0</v>
      </c>
      <c r="I245" s="561"/>
      <c r="K245" s="174"/>
      <c r="L245" s="175" t="s">
        <v>255</v>
      </c>
      <c r="M245" s="176" t="str">
        <f ca="1">IF($D245&lt;&gt;"Serviço","",IF(AUTOEVENTO="manual",$A245,IF(ISERROR(MATCH($A245,$A$15:OFFSET($A245,-1,0),0)),MAX($M$15:OFFSET(M245,-1,0))+1,INDEX($M$15:OFFSET(M245,-1,0),MATCH($A245,$A$15:OFFSET($A245,-1,0),0)))))</f>
        <v/>
      </c>
      <c r="N245" s="177" t="str">
        <f ca="1">IF($D245&lt;&gt;"Serviço","",IF(AUTOEVENTO="Manual",IF($A245=0,"&lt;-- defina o número do agrupador",OFFSET(EVENTOS!$D$14,$A245,0)),OFFSET($F$15,$A245,0)))</f>
        <v/>
      </c>
      <c r="O245" s="178"/>
      <c r="Q245" s="178"/>
      <c r="R245" s="179"/>
      <c r="S245" s="179"/>
      <c r="T245" s="179"/>
      <c r="U245" s="179"/>
      <c r="V245" s="179"/>
      <c r="W245" s="179"/>
      <c r="X245" s="179"/>
      <c r="Y245" s="179"/>
      <c r="Z245" s="180"/>
      <c r="AB245" s="544">
        <f ca="1">IF(AND($D245="Serviço",AB$12&lt;&gt;0,$H245&gt;0,OR(AUTOEVENTO&lt;&gt;"manual",$M245&lt;&gt;1)),
IF(Import.TipoArredondamento&lt;&gt;"TransfereGOV",
ROUND(OFFSET($P245,0,AB$13),15-13*ORÇAMENTO!$AF$7)/$H245*OFFSET(ORÇAMENTO!$X$15,ROW(AB245)-ROW(AB$15),0),
ROUND(ROUND(OFFSET($P245,0,AB$13),15-13*ORÇAMENTO!$AF$7)*OFFSET(ORÇAMENTO!$W$15,ROW(AB245)-ROW(AB$15),0),15-13*ORÇAMENTO!$AF$11)),0)</f>
        <v>0</v>
      </c>
      <c r="AC245" s="545">
        <f ca="1">IF(AND($D245="Serviço",AC$12&lt;&gt;0,$H245&gt;0,OR(AUTOEVENTO&lt;&gt;"manual",$M245&lt;&gt;1)),
IF(Import.TipoArredondamento&lt;&gt;"TransfereGOV",
ROUND(OFFSET($P245,0,AC$13),15-13*ORÇAMENTO!$AF$7)/$H245*OFFSET(ORÇAMENTO!$X$15,ROW(AC245)-ROW(AC$15),0),
ROUND(ROUND(OFFSET($P245,0,AC$13),15-13*ORÇAMENTO!$AF$7)*OFFSET(ORÇAMENTO!$W$15,ROW(AC245)-ROW(AC$15),0),15-13*ORÇAMENTO!$AF$11)),0)</f>
        <v>0</v>
      </c>
      <c r="AD245" s="545">
        <f ca="1">IF(AND($D245="Serviço",AD$12&lt;&gt;0,$H245&gt;0,OR(AUTOEVENTO&lt;&gt;"manual",$M245&lt;&gt;1)),
IF(Import.TipoArredondamento&lt;&gt;"TransfereGOV",
ROUND(OFFSET($P245,0,AD$13),15-13*ORÇAMENTO!$AF$7)/$H245*OFFSET(ORÇAMENTO!$X$15,ROW(AD245)-ROW(AD$15),0),
ROUND(ROUND(OFFSET($P245,0,AD$13),15-13*ORÇAMENTO!$AF$7)*OFFSET(ORÇAMENTO!$W$15,ROW(AD245)-ROW(AD$15),0),15-13*ORÇAMENTO!$AF$11)),0)</f>
        <v>0</v>
      </c>
      <c r="AE245" s="545">
        <f ca="1">IF(AND($D245="Serviço",AE$12&lt;&gt;0,$H245&gt;0,OR(AUTOEVENTO&lt;&gt;"manual",$M245&lt;&gt;1)),
IF(Import.TipoArredondamento&lt;&gt;"TransfereGOV",
ROUND(OFFSET($P245,0,AE$13),15-13*ORÇAMENTO!$AF$7)/$H245*OFFSET(ORÇAMENTO!$X$15,ROW(AE245)-ROW(AE$15),0),
ROUND(ROUND(OFFSET($P245,0,AE$13),15-13*ORÇAMENTO!$AF$7)*OFFSET(ORÇAMENTO!$W$15,ROW(AE245)-ROW(AE$15),0),15-13*ORÇAMENTO!$AF$11)),0)</f>
        <v>0</v>
      </c>
      <c r="AF245" s="545">
        <f ca="1">IF(AND($D245="Serviço",AF$12&lt;&gt;0,$H245&gt;0,OR(AUTOEVENTO&lt;&gt;"manual",$M245&lt;&gt;1)),
IF(Import.TipoArredondamento&lt;&gt;"TransfereGOV",
ROUND(OFFSET($P245,0,AF$13),15-13*ORÇAMENTO!$AF$7)/$H245*OFFSET(ORÇAMENTO!$X$15,ROW(AF245)-ROW(AF$15),0),
ROUND(ROUND(OFFSET($P245,0,AF$13),15-13*ORÇAMENTO!$AF$7)*OFFSET(ORÇAMENTO!$W$15,ROW(AF245)-ROW(AF$15),0),15-13*ORÇAMENTO!$AF$11)),0)</f>
        <v>0</v>
      </c>
      <c r="AG245" s="545">
        <f ca="1">IF(AND($D245="Serviço",AG$12&lt;&gt;0,$H245&gt;0,OR(AUTOEVENTO&lt;&gt;"manual",$M245&lt;&gt;1)),
IF(Import.TipoArredondamento&lt;&gt;"TransfereGOV",
ROUND(OFFSET($P245,0,AG$13),15-13*ORÇAMENTO!$AF$7)/$H245*OFFSET(ORÇAMENTO!$X$15,ROW(AG245)-ROW(AG$15),0),
ROUND(ROUND(OFFSET($P245,0,AG$13),15-13*ORÇAMENTO!$AF$7)*OFFSET(ORÇAMENTO!$W$15,ROW(AG245)-ROW(AG$15),0),15-13*ORÇAMENTO!$AF$11)),0)</f>
        <v>0</v>
      </c>
      <c r="AH245" s="545">
        <f ca="1">IF(AND($D245="Serviço",AH$12&lt;&gt;0,$H245&gt;0,OR(AUTOEVENTO&lt;&gt;"manual",$M245&lt;&gt;1)),
IF(Import.TipoArredondamento&lt;&gt;"TransfereGOV",
ROUND(OFFSET($P245,0,AH$13),15-13*ORÇAMENTO!$AF$7)/$H245*OFFSET(ORÇAMENTO!$X$15,ROW(AH245)-ROW(AH$15),0),
ROUND(ROUND(OFFSET($P245,0,AH$13),15-13*ORÇAMENTO!$AF$7)*OFFSET(ORÇAMENTO!$W$15,ROW(AH245)-ROW(AH$15),0),15-13*ORÇAMENTO!$AF$11)),0)</f>
        <v>0</v>
      </c>
      <c r="AI245" s="545">
        <f ca="1">IF(AND($D245="Serviço",AI$12&lt;&gt;0,$H245&gt;0,OR(AUTOEVENTO&lt;&gt;"manual",$M245&lt;&gt;1)),
IF(Import.TipoArredondamento&lt;&gt;"TransfereGOV",
ROUND(OFFSET($P245,0,AI$13),15-13*ORÇAMENTO!$AF$7)/$H245*OFFSET(ORÇAMENTO!$X$15,ROW(AI245)-ROW(AI$15),0),
ROUND(ROUND(OFFSET($P245,0,AI$13),15-13*ORÇAMENTO!$AF$7)*OFFSET(ORÇAMENTO!$W$15,ROW(AI245)-ROW(AI$15),0),15-13*ORÇAMENTO!$AF$11)),0)</f>
        <v>0</v>
      </c>
      <c r="AJ245" s="545">
        <f ca="1">IF(AND($D245="Serviço",AJ$12&lt;&gt;0,$H245&gt;0,OR(AUTOEVENTO&lt;&gt;"manual",$M245&lt;&gt;1)),
IF(Import.TipoArredondamento&lt;&gt;"TransfereGOV",
ROUND(OFFSET($P245,0,AJ$13),15-13*ORÇAMENTO!$AF$7)/$H245*OFFSET(ORÇAMENTO!$X$15,ROW(AJ245)-ROW(AJ$15),0),
ROUND(ROUND(OFFSET($P245,0,AJ$13),15-13*ORÇAMENTO!$AF$7)*OFFSET(ORÇAMENTO!$W$15,ROW(AJ245)-ROW(AJ$15),0),15-13*ORÇAMENTO!$AF$11)),0)</f>
        <v>0</v>
      </c>
      <c r="AK245" s="546">
        <f ca="1">IF(AND($D245="Serviço",AK$12&lt;&gt;0,$H245&gt;0,OR(AUTOEVENTO&lt;&gt;"manual",$M245&lt;&gt;1)),
IF(Import.TipoArredondamento&lt;&gt;"TransfereGOV",
ROUND(OFFSET($P245,0,AK$13),15-13*ORÇAMENTO!$AF$7)/$H245*OFFSET(ORÇAMENTO!$X$15,ROW(AK245)-ROW(AK$15),0),
ROUND(ROUND(OFFSET($P245,0,AK$13),15-13*ORÇAMENTO!$AF$7)*OFFSET(ORÇAMENTO!$W$15,ROW(AK245)-ROW(AK$15),0),15-13*ORÇAMENTO!$AF$11)),0)</f>
        <v>0</v>
      </c>
      <c r="AM245" s="181">
        <f ca="1">IF($D245&lt;&gt;"Serviço",0,IF(AND(AUTOEVENTO="Manual",$M245=1),0,IF(OFFSET(CRONOPLE!$F$14,$M245,AM$13)="",10^12,OFFSET(CRONOPLE!$F$14,$M245,AM$13))))</f>
        <v>0</v>
      </c>
      <c r="AN245" s="181">
        <f ca="1">IF($D245&lt;&gt;"Serviço",0,IF(AND(AUTOEVENTO="Manual",$M245=1),0,IF(OFFSET(CRONOPLE!$F$14,$M245,AN$13)="",10^12,OFFSET(CRONOPLE!$F$14,$M245,AN$13))))</f>
        <v>0</v>
      </c>
      <c r="AO245" s="181">
        <f ca="1">IF($D245&lt;&gt;"Serviço",0,IF(AND(AUTOEVENTO="Manual",$M245=1),0,IF(OFFSET(CRONOPLE!$F$14,$M245,AO$13)="",10^12,OFFSET(CRONOPLE!$F$14,$M245,AO$13))))</f>
        <v>0</v>
      </c>
      <c r="AP245" s="181">
        <f ca="1">IF($D245&lt;&gt;"Serviço",0,IF(AND(AUTOEVENTO="Manual",$M245=1),0,IF(OFFSET(CRONOPLE!$F$14,$M245,AP$13)="",10^12,OFFSET(CRONOPLE!$F$14,$M245,AP$13))))</f>
        <v>0</v>
      </c>
      <c r="AQ245" s="181">
        <f ca="1">IF($D245&lt;&gt;"Serviço",0,IF(AND(AUTOEVENTO="Manual",$M245=1),0,IF(OFFSET(CRONOPLE!$F$14,$M245,AQ$13)="",10^12,OFFSET(CRONOPLE!$F$14,$M245,AQ$13))))</f>
        <v>0</v>
      </c>
      <c r="AR245" s="181">
        <f ca="1">IF($D245&lt;&gt;"Serviço",0,IF(AND(AUTOEVENTO="Manual",$M245=1),0,IF(OFFSET(CRONOPLE!$F$14,$M245,AR$13)="",10^12,OFFSET(CRONOPLE!$F$14,$M245,AR$13))))</f>
        <v>0</v>
      </c>
      <c r="AS245" s="181">
        <f ca="1">IF($D245&lt;&gt;"Serviço",0,IF(AND(AUTOEVENTO="Manual",$M245=1),0,IF(OFFSET(CRONOPLE!$F$14,$M245,AS$13)="",10^12,OFFSET(CRONOPLE!$F$14,$M245,AS$13))))</f>
        <v>0</v>
      </c>
      <c r="AT245" s="181">
        <f ca="1">IF($D245&lt;&gt;"Serviço",0,IF(AND(AUTOEVENTO="Manual",$M245=1),0,IF(OFFSET(CRONOPLE!$F$14,$M245,AT$13)="",10^12,OFFSET(CRONOPLE!$F$14,$M245,AT$13))))</f>
        <v>0</v>
      </c>
      <c r="AU245" s="181">
        <f ca="1">IF($D245&lt;&gt;"Serviço",0,IF(AND(AUTOEVENTO="Manual",$M245=1),0,IF(OFFSET(CRONOPLE!$F$14,$M245,AU$13)="",10^12,OFFSET(CRONOPLE!$F$14,$M245,AU$13))))</f>
        <v>0</v>
      </c>
      <c r="AV245" s="181">
        <f ca="1">IF($D245&lt;&gt;"Serviço",0,IF(AND(AUTOEVENTO="Manual",$M245=1),0,IF(OFFSET(CRONOPLE!$F$14,$M245,AV$13)="",10^12,OFFSET(CRONOPLE!$F$14,$M245,AV$13))))</f>
        <v>0</v>
      </c>
      <c r="AX245" s="182">
        <f ca="1">IF($D245&lt;&gt;"Serviço",0,IF(OR(AND(AUTOEVENTO="Manual",$M245=1),$M245&gt;(ROW(PLE.lastrow)-ROW(PLE.firstrow))),0,IF(OFFSET(PLE!$G$14,$M245,AX$13)="",10^12,OFFSET(PLE!$G$14,$M245,AX$13))))</f>
        <v>0</v>
      </c>
      <c r="AY245" s="182">
        <f ca="1">IF($D245&lt;&gt;"Serviço",0,IF(OR(AND(AUTOEVENTO="Manual",$M245=1),$M245&gt;(ROW(PLE.lastrow)-ROW(PLE.firstrow))),0,IF(OFFSET(PLE!$G$14,$M245,AY$13)="",10^12,OFFSET(PLE!$G$14,$M245,AY$13))))</f>
        <v>0</v>
      </c>
      <c r="AZ245" s="182">
        <f ca="1">IF($D245&lt;&gt;"Serviço",0,IF(OR(AND(AUTOEVENTO="Manual",$M245=1),$M245&gt;(ROW(PLE.lastrow)-ROW(PLE.firstrow))),0,IF(OFFSET(PLE!$G$14,$M245,AZ$13)="",10^12,OFFSET(PLE!$G$14,$M245,AZ$13))))</f>
        <v>0</v>
      </c>
      <c r="BA245" s="182">
        <f ca="1">IF($D245&lt;&gt;"Serviço",0,IF(OR(AND(AUTOEVENTO="Manual",$M245=1),$M245&gt;(ROW(PLE.lastrow)-ROW(PLE.firstrow))),0,IF(OFFSET(PLE!$G$14,$M245,BA$13)="",10^12,OFFSET(PLE!$G$14,$M245,BA$13))))</f>
        <v>0</v>
      </c>
      <c r="BB245" s="182">
        <f ca="1">IF($D245&lt;&gt;"Serviço",0,IF(OR(AND(AUTOEVENTO="Manual",$M245=1),$M245&gt;(ROW(PLE.lastrow)-ROW(PLE.firstrow))),0,IF(OFFSET(PLE!$G$14,$M245,BB$13)="",10^12,OFFSET(PLE!$G$14,$M245,BB$13))))</f>
        <v>0</v>
      </c>
      <c r="BC245" s="182">
        <f ca="1">IF($D245&lt;&gt;"Serviço",0,IF(OR(AND(AUTOEVENTO="Manual",$M245=1),$M245&gt;(ROW(PLE.lastrow)-ROW(PLE.firstrow))),0,IF(OFFSET(PLE!$G$14,$M245,BC$13)="",10^12,OFFSET(PLE!$G$14,$M245,BC$13))))</f>
        <v>0</v>
      </c>
      <c r="BD245" s="182">
        <f ca="1">IF($D245&lt;&gt;"Serviço",0,IF(OR(AND(AUTOEVENTO="Manual",$M245=1),$M245&gt;(ROW(PLE.lastrow)-ROW(PLE.firstrow))),0,IF(OFFSET(PLE!$G$14,$M245,BD$13)="",10^12,OFFSET(PLE!$G$14,$M245,BD$13))))</f>
        <v>0</v>
      </c>
      <c r="BE245" s="182">
        <f ca="1">IF($D245&lt;&gt;"Serviço",0,IF(OR(AND(AUTOEVENTO="Manual",$M245=1),$M245&gt;(ROW(PLE.lastrow)-ROW(PLE.firstrow))),0,IF(OFFSET(PLE!$G$14,$M245,BE$13)="",10^12,OFFSET(PLE!$G$14,$M245,BE$13))))</f>
        <v>0</v>
      </c>
      <c r="BF245" s="182">
        <f ca="1">IF($D245&lt;&gt;"Serviço",0,IF(OR(AND(AUTOEVENTO="Manual",$M245=1),$M245&gt;(ROW(PLE.lastrow)-ROW(PLE.firstrow))),0,IF(OFFSET(PLE!$G$14,$M245,BF$13)="",10^12,OFFSET(PLE!$G$14,$M245,BF$13))))</f>
        <v>0</v>
      </c>
      <c r="BG245" s="182">
        <f ca="1">IF($D245&lt;&gt;"Serviço",0,IF(OR(AND(AUTOEVENTO="Manual",$M245=1),$M245&gt;(ROW(PLE.lastrow)-ROW(PLE.firstrow))),0,IF(OFFSET(PLE!$G$14,$M245,BG$13)="",10^12,OFFSET(PLE!$G$14,$M245,BG$13))))</f>
        <v>0</v>
      </c>
    </row>
    <row r="246" spans="1:59" ht="51" x14ac:dyDescent="0.2">
      <c r="A246" s="7" t="str">
        <f t="shared" ca="1" si="11"/>
        <v>230</v>
      </c>
      <c r="B246" s="7" t="str">
        <f ca="1">OFFSET(ORÇAMENTO!C$15,ROW(B246)-ROW(B$15),0)</f>
        <v>S</v>
      </c>
      <c r="C246" s="7" t="str">
        <f ca="1">OFFSET(ORÇAMENTO!L$15,ROW(C246)-ROW(C$15),0)</f>
        <v>F</v>
      </c>
      <c r="D246" s="118" t="str">
        <f ca="1">OFFSET(ORÇAMENTO!N$15,ROW(D246)-ROW(D$15),0)</f>
        <v>Serviço</v>
      </c>
      <c r="E246" s="119" t="str">
        <f ca="1">OFFSET(ORÇAMENTO!O$15,ROW(E246)-ROW(E$15),0)</f>
        <v>1.12.0.1.</v>
      </c>
      <c r="F246" s="172" t="str">
        <f ca="1">OFFSET(ORÇAMENTO!R$15,ROW(F246)-ROW(F$15),0)</f>
        <v>(abra o arquivo 'Referência 03-2024.xlsm)</v>
      </c>
      <c r="G246" s="173" t="str">
        <f ca="1">IF($D246&lt;&gt;"Serviço","",OFFSET(ORÇAMENTO!S$15,ROW(G246)-ROW(G$15),0))</f>
        <v>-</v>
      </c>
      <c r="H246" s="124">
        <f ca="1">IF($D246&lt;&gt;"Serviço",0,IF(ACOMPANHAMENTO="BM",ROUND(OFFSET(ORÇAMENTO!AJ$15,ROW(H246)-ROW(H$15),0),15-13*ORÇAMENTO!$AF$7),SUMPRODUCT(($Q$12:$AA$12&lt;&gt;"")*ROUND($Q246:$AA246,15-13*ORÇAMENTO!$AF$7))))</f>
        <v>100</v>
      </c>
      <c r="I246" s="561"/>
      <c r="K246" s="174"/>
      <c r="L246" s="175" t="s">
        <v>255</v>
      </c>
      <c r="M246" s="176">
        <f ca="1">IF($D246&lt;&gt;"Serviço","",IF(AUTOEVENTO="manual",$A246,IF(ISERROR(MATCH($A246,$A$15:OFFSET($A246,-1,0),0)),MAX($M$15:OFFSET(M246,-1,0))+1,INDEX($M$15:OFFSET(M246,-1,0),MATCH($A246,$A$15:OFFSET($A246,-1,0),0)))))</f>
        <v>13</v>
      </c>
      <c r="N246" s="177" t="str">
        <f ca="1">IF($D246&lt;&gt;"Serviço","",IF(AUTOEVENTO="Manual",IF($A246=0,"&lt;-- defina o número do agrupador",OFFSET(EVENTOS!$D$14,$A246,0)),OFFSET($F$15,$A246,0)))</f>
        <v>ÁREA DE CONFRATERNIZAÇÃO</v>
      </c>
      <c r="O246" s="178"/>
      <c r="Q246" s="178"/>
      <c r="R246" s="179"/>
      <c r="S246" s="179"/>
      <c r="T246" s="179"/>
      <c r="U246" s="179"/>
      <c r="V246" s="179"/>
      <c r="W246" s="179"/>
      <c r="X246" s="179"/>
      <c r="Y246" s="179"/>
      <c r="Z246" s="180"/>
      <c r="AB246" s="544">
        <f ca="1">IF(AND($D246="Serviço",AB$12&lt;&gt;0,$H246&gt;0,OR(AUTOEVENTO&lt;&gt;"manual",$M246&lt;&gt;1)),
IF(Import.TipoArredondamento&lt;&gt;"TransfereGOV",
ROUND(OFFSET($P246,0,AB$13),15-13*ORÇAMENTO!$AF$7)/$H246*OFFSET(ORÇAMENTO!$X$15,ROW(AB246)-ROW(AB$15),0),
ROUND(ROUND(OFFSET($P246,0,AB$13),15-13*ORÇAMENTO!$AF$7)*OFFSET(ORÇAMENTO!$W$15,ROW(AB246)-ROW(AB$15),0),15-13*ORÇAMENTO!$AF$11)),0)</f>
        <v>0</v>
      </c>
      <c r="AC246" s="545">
        <f ca="1">IF(AND($D246="Serviço",AC$12&lt;&gt;0,$H246&gt;0,OR(AUTOEVENTO&lt;&gt;"manual",$M246&lt;&gt;1)),
IF(Import.TipoArredondamento&lt;&gt;"TransfereGOV",
ROUND(OFFSET($P246,0,AC$13),15-13*ORÇAMENTO!$AF$7)/$H246*OFFSET(ORÇAMENTO!$X$15,ROW(AC246)-ROW(AC$15),0),
ROUND(ROUND(OFFSET($P246,0,AC$13),15-13*ORÇAMENTO!$AF$7)*OFFSET(ORÇAMENTO!$W$15,ROW(AC246)-ROW(AC$15),0),15-13*ORÇAMENTO!$AF$11)),0)</f>
        <v>0</v>
      </c>
      <c r="AD246" s="545">
        <f ca="1">IF(AND($D246="Serviço",AD$12&lt;&gt;0,$H246&gt;0,OR(AUTOEVENTO&lt;&gt;"manual",$M246&lt;&gt;1)),
IF(Import.TipoArredondamento&lt;&gt;"TransfereGOV",
ROUND(OFFSET($P246,0,AD$13),15-13*ORÇAMENTO!$AF$7)/$H246*OFFSET(ORÇAMENTO!$X$15,ROW(AD246)-ROW(AD$15),0),
ROUND(ROUND(OFFSET($P246,0,AD$13),15-13*ORÇAMENTO!$AF$7)*OFFSET(ORÇAMENTO!$W$15,ROW(AD246)-ROW(AD$15),0),15-13*ORÇAMENTO!$AF$11)),0)</f>
        <v>0</v>
      </c>
      <c r="AE246" s="545">
        <f ca="1">IF(AND($D246="Serviço",AE$12&lt;&gt;0,$H246&gt;0,OR(AUTOEVENTO&lt;&gt;"manual",$M246&lt;&gt;1)),
IF(Import.TipoArredondamento&lt;&gt;"TransfereGOV",
ROUND(OFFSET($P246,0,AE$13),15-13*ORÇAMENTO!$AF$7)/$H246*OFFSET(ORÇAMENTO!$X$15,ROW(AE246)-ROW(AE$15),0),
ROUND(ROUND(OFFSET($P246,0,AE$13),15-13*ORÇAMENTO!$AF$7)*OFFSET(ORÇAMENTO!$W$15,ROW(AE246)-ROW(AE$15),0),15-13*ORÇAMENTO!$AF$11)),0)</f>
        <v>0</v>
      </c>
      <c r="AF246" s="545">
        <f ca="1">IF(AND($D246="Serviço",AF$12&lt;&gt;0,$H246&gt;0,OR(AUTOEVENTO&lt;&gt;"manual",$M246&lt;&gt;1)),
IF(Import.TipoArredondamento&lt;&gt;"TransfereGOV",
ROUND(OFFSET($P246,0,AF$13),15-13*ORÇAMENTO!$AF$7)/$H246*OFFSET(ORÇAMENTO!$X$15,ROW(AF246)-ROW(AF$15),0),
ROUND(ROUND(OFFSET($P246,0,AF$13),15-13*ORÇAMENTO!$AF$7)*OFFSET(ORÇAMENTO!$W$15,ROW(AF246)-ROW(AF$15),0),15-13*ORÇAMENTO!$AF$11)),0)</f>
        <v>0</v>
      </c>
      <c r="AG246" s="545">
        <f ca="1">IF(AND($D246="Serviço",AG$12&lt;&gt;0,$H246&gt;0,OR(AUTOEVENTO&lt;&gt;"manual",$M246&lt;&gt;1)),
IF(Import.TipoArredondamento&lt;&gt;"TransfereGOV",
ROUND(OFFSET($P246,0,AG$13),15-13*ORÇAMENTO!$AF$7)/$H246*OFFSET(ORÇAMENTO!$X$15,ROW(AG246)-ROW(AG$15),0),
ROUND(ROUND(OFFSET($P246,0,AG$13),15-13*ORÇAMENTO!$AF$7)*OFFSET(ORÇAMENTO!$W$15,ROW(AG246)-ROW(AG$15),0),15-13*ORÇAMENTO!$AF$11)),0)</f>
        <v>0</v>
      </c>
      <c r="AH246" s="545">
        <f ca="1">IF(AND($D246="Serviço",AH$12&lt;&gt;0,$H246&gt;0,OR(AUTOEVENTO&lt;&gt;"manual",$M246&lt;&gt;1)),
IF(Import.TipoArredondamento&lt;&gt;"TransfereGOV",
ROUND(OFFSET($P246,0,AH$13),15-13*ORÇAMENTO!$AF$7)/$H246*OFFSET(ORÇAMENTO!$X$15,ROW(AH246)-ROW(AH$15),0),
ROUND(ROUND(OFFSET($P246,0,AH$13),15-13*ORÇAMENTO!$AF$7)*OFFSET(ORÇAMENTO!$W$15,ROW(AH246)-ROW(AH$15),0),15-13*ORÇAMENTO!$AF$11)),0)</f>
        <v>0</v>
      </c>
      <c r="AI246" s="545">
        <f ca="1">IF(AND($D246="Serviço",AI$12&lt;&gt;0,$H246&gt;0,OR(AUTOEVENTO&lt;&gt;"manual",$M246&lt;&gt;1)),
IF(Import.TipoArredondamento&lt;&gt;"TransfereGOV",
ROUND(OFFSET($P246,0,AI$13),15-13*ORÇAMENTO!$AF$7)/$H246*OFFSET(ORÇAMENTO!$X$15,ROW(AI246)-ROW(AI$15),0),
ROUND(ROUND(OFFSET($P246,0,AI$13),15-13*ORÇAMENTO!$AF$7)*OFFSET(ORÇAMENTO!$W$15,ROW(AI246)-ROW(AI$15),0),15-13*ORÇAMENTO!$AF$11)),0)</f>
        <v>0</v>
      </c>
      <c r="AJ246" s="545">
        <f ca="1">IF(AND($D246="Serviço",AJ$12&lt;&gt;0,$H246&gt;0,OR(AUTOEVENTO&lt;&gt;"manual",$M246&lt;&gt;1)),
IF(Import.TipoArredondamento&lt;&gt;"TransfereGOV",
ROUND(OFFSET($P246,0,AJ$13),15-13*ORÇAMENTO!$AF$7)/$H246*OFFSET(ORÇAMENTO!$X$15,ROW(AJ246)-ROW(AJ$15),0),
ROUND(ROUND(OFFSET($P246,0,AJ$13),15-13*ORÇAMENTO!$AF$7)*OFFSET(ORÇAMENTO!$W$15,ROW(AJ246)-ROW(AJ$15),0),15-13*ORÇAMENTO!$AF$11)),0)</f>
        <v>0</v>
      </c>
      <c r="AK246" s="546">
        <f ca="1">IF(AND($D246="Serviço",AK$12&lt;&gt;0,$H246&gt;0,OR(AUTOEVENTO&lt;&gt;"manual",$M246&lt;&gt;1)),
IF(Import.TipoArredondamento&lt;&gt;"TransfereGOV",
ROUND(OFFSET($P246,0,AK$13),15-13*ORÇAMENTO!$AF$7)/$H246*OFFSET(ORÇAMENTO!$X$15,ROW(AK246)-ROW(AK$15),0),
ROUND(ROUND(OFFSET($P246,0,AK$13),15-13*ORÇAMENTO!$AF$7)*OFFSET(ORÇAMENTO!$W$15,ROW(AK246)-ROW(AK$15),0),15-13*ORÇAMENTO!$AF$11)),0)</f>
        <v>0</v>
      </c>
      <c r="AM246" s="181">
        <f ca="1">IF($D246&lt;&gt;"Serviço",0,IF(AND(AUTOEVENTO="Manual",$M246=1),0,IF(OFFSET(CRONOPLE!$F$14,$M246,AM$13)="",10^12,OFFSET(CRONOPLE!$F$14,$M246,AM$13))))</f>
        <v>1000000000000</v>
      </c>
      <c r="AN246" s="181">
        <f ca="1">IF($D246&lt;&gt;"Serviço",0,IF(AND(AUTOEVENTO="Manual",$M246=1),0,IF(OFFSET(CRONOPLE!$F$14,$M246,AN$13)="",10^12,OFFSET(CRONOPLE!$F$14,$M246,AN$13))))</f>
        <v>1000000000000</v>
      </c>
      <c r="AO246" s="181">
        <f ca="1">IF($D246&lt;&gt;"Serviço",0,IF(AND(AUTOEVENTO="Manual",$M246=1),0,IF(OFFSET(CRONOPLE!$F$14,$M246,AO$13)="",10^12,OFFSET(CRONOPLE!$F$14,$M246,AO$13))))</f>
        <v>1000000000000</v>
      </c>
      <c r="AP246" s="181">
        <f ca="1">IF($D246&lt;&gt;"Serviço",0,IF(AND(AUTOEVENTO="Manual",$M246=1),0,IF(OFFSET(CRONOPLE!$F$14,$M246,AP$13)="",10^12,OFFSET(CRONOPLE!$F$14,$M246,AP$13))))</f>
        <v>1000000000000</v>
      </c>
      <c r="AQ246" s="181">
        <f ca="1">IF($D246&lt;&gt;"Serviço",0,IF(AND(AUTOEVENTO="Manual",$M246=1),0,IF(OFFSET(CRONOPLE!$F$14,$M246,AQ$13)="",10^12,OFFSET(CRONOPLE!$F$14,$M246,AQ$13))))</f>
        <v>1000000000000</v>
      </c>
      <c r="AR246" s="181">
        <f ca="1">IF($D246&lt;&gt;"Serviço",0,IF(AND(AUTOEVENTO="Manual",$M246=1),0,IF(OFFSET(CRONOPLE!$F$14,$M246,AR$13)="",10^12,OFFSET(CRONOPLE!$F$14,$M246,AR$13))))</f>
        <v>1000000000000</v>
      </c>
      <c r="AS246" s="181">
        <f ca="1">IF($D246&lt;&gt;"Serviço",0,IF(AND(AUTOEVENTO="Manual",$M246=1),0,IF(OFFSET(CRONOPLE!$F$14,$M246,AS$13)="",10^12,OFFSET(CRONOPLE!$F$14,$M246,AS$13))))</f>
        <v>1000000000000</v>
      </c>
      <c r="AT246" s="181">
        <f ca="1">IF($D246&lt;&gt;"Serviço",0,IF(AND(AUTOEVENTO="Manual",$M246=1),0,IF(OFFSET(CRONOPLE!$F$14,$M246,AT$13)="",10^12,OFFSET(CRONOPLE!$F$14,$M246,AT$13))))</f>
        <v>1000000000000</v>
      </c>
      <c r="AU246" s="181">
        <f ca="1">IF($D246&lt;&gt;"Serviço",0,IF(AND(AUTOEVENTO="Manual",$M246=1),0,IF(OFFSET(CRONOPLE!$F$14,$M246,AU$13)="",10^12,OFFSET(CRONOPLE!$F$14,$M246,AU$13))))</f>
        <v>1000000000000</v>
      </c>
      <c r="AV246" s="181">
        <f ca="1">IF($D246&lt;&gt;"Serviço",0,IF(AND(AUTOEVENTO="Manual",$M246=1),0,IF(OFFSET(CRONOPLE!$F$14,$M246,AV$13)="",10^12,OFFSET(CRONOPLE!$F$14,$M246,AV$13))))</f>
        <v>1000000000000</v>
      </c>
      <c r="AX246" s="182">
        <f ca="1">IF($D246&lt;&gt;"Serviço",0,IF(OR(AND(AUTOEVENTO="Manual",$M246=1),$M246&gt;(ROW(PLE.lastrow)-ROW(PLE.firstrow))),0,IF(OFFSET(PLE!$G$14,$M246,AX$13)="",10^12,OFFSET(PLE!$G$14,$M246,AX$13))))</f>
        <v>1000000000000</v>
      </c>
      <c r="AY246" s="182">
        <f ca="1">IF($D246&lt;&gt;"Serviço",0,IF(OR(AND(AUTOEVENTO="Manual",$M246=1),$M246&gt;(ROW(PLE.lastrow)-ROW(PLE.firstrow))),0,IF(OFFSET(PLE!$G$14,$M246,AY$13)="",10^12,OFFSET(PLE!$G$14,$M246,AY$13))))</f>
        <v>1000000000000</v>
      </c>
      <c r="AZ246" s="182">
        <f ca="1">IF($D246&lt;&gt;"Serviço",0,IF(OR(AND(AUTOEVENTO="Manual",$M246=1),$M246&gt;(ROW(PLE.lastrow)-ROW(PLE.firstrow))),0,IF(OFFSET(PLE!$G$14,$M246,AZ$13)="",10^12,OFFSET(PLE!$G$14,$M246,AZ$13))))</f>
        <v>1000000000000</v>
      </c>
      <c r="BA246" s="182">
        <f ca="1">IF($D246&lt;&gt;"Serviço",0,IF(OR(AND(AUTOEVENTO="Manual",$M246=1),$M246&gt;(ROW(PLE.lastrow)-ROW(PLE.firstrow))),0,IF(OFFSET(PLE!$G$14,$M246,BA$13)="",10^12,OFFSET(PLE!$G$14,$M246,BA$13))))</f>
        <v>1000000000000</v>
      </c>
      <c r="BB246" s="182">
        <f ca="1">IF($D246&lt;&gt;"Serviço",0,IF(OR(AND(AUTOEVENTO="Manual",$M246=1),$M246&gt;(ROW(PLE.lastrow)-ROW(PLE.firstrow))),0,IF(OFFSET(PLE!$G$14,$M246,BB$13)="",10^12,OFFSET(PLE!$G$14,$M246,BB$13))))</f>
        <v>1000000000000</v>
      </c>
      <c r="BC246" s="182">
        <f ca="1">IF($D246&lt;&gt;"Serviço",0,IF(OR(AND(AUTOEVENTO="Manual",$M246=1),$M246&gt;(ROW(PLE.lastrow)-ROW(PLE.firstrow))),0,IF(OFFSET(PLE!$G$14,$M246,BC$13)="",10^12,OFFSET(PLE!$G$14,$M246,BC$13))))</f>
        <v>1000000000000</v>
      </c>
      <c r="BD246" s="182">
        <f ca="1">IF($D246&lt;&gt;"Serviço",0,IF(OR(AND(AUTOEVENTO="Manual",$M246=1),$M246&gt;(ROW(PLE.lastrow)-ROW(PLE.firstrow))),0,IF(OFFSET(PLE!$G$14,$M246,BD$13)="",10^12,OFFSET(PLE!$G$14,$M246,BD$13))))</f>
        <v>1000000000000</v>
      </c>
      <c r="BE246" s="182">
        <f ca="1">IF($D246&lt;&gt;"Serviço",0,IF(OR(AND(AUTOEVENTO="Manual",$M246=1),$M246&gt;(ROW(PLE.lastrow)-ROW(PLE.firstrow))),0,IF(OFFSET(PLE!$G$14,$M246,BE$13)="",10^12,OFFSET(PLE!$G$14,$M246,BE$13))))</f>
        <v>1000000000000</v>
      </c>
      <c r="BF246" s="182">
        <f ca="1">IF($D246&lt;&gt;"Serviço",0,IF(OR(AND(AUTOEVENTO="Manual",$M246=1),$M246&gt;(ROW(PLE.lastrow)-ROW(PLE.firstrow))),0,IF(OFFSET(PLE!$G$14,$M246,BF$13)="",10^12,OFFSET(PLE!$G$14,$M246,BF$13))))</f>
        <v>1000000000000</v>
      </c>
      <c r="BG246" s="182">
        <f ca="1">IF($D246&lt;&gt;"Serviço",0,IF(OR(AND(AUTOEVENTO="Manual",$M246=1),$M246&gt;(ROW(PLE.lastrow)-ROW(PLE.firstrow))),0,IF(OFFSET(PLE!$G$14,$M246,BG$13)="",10^12,OFFSET(PLE!$G$14,$M246,BG$13))))</f>
        <v>1000000000000</v>
      </c>
    </row>
    <row r="247" spans="1:59" ht="25.5" x14ac:dyDescent="0.2">
      <c r="A247" s="7" t="str">
        <f t="shared" ca="1" si="11"/>
        <v>230</v>
      </c>
      <c r="B247" s="7" t="str">
        <f ca="1">OFFSET(ORÇAMENTO!C$15,ROW(B247)-ROW(B$15),0)</f>
        <v>S</v>
      </c>
      <c r="C247" s="7" t="str">
        <f ca="1">OFFSET(ORÇAMENTO!L$15,ROW(C247)-ROW(C$15),0)</f>
        <v>F</v>
      </c>
      <c r="D247" s="118" t="str">
        <f ca="1">OFFSET(ORÇAMENTO!N$15,ROW(D247)-ROW(D$15),0)</f>
        <v>Serviço</v>
      </c>
      <c r="E247" s="119" t="str">
        <f ca="1">OFFSET(ORÇAMENTO!O$15,ROW(E247)-ROW(E$15),0)</f>
        <v>1.12.0.2.</v>
      </c>
      <c r="F247" s="172" t="str">
        <f ca="1">OFFSET(ORÇAMENTO!R$15,ROW(F247)-ROW(F$15),0)</f>
        <v>(abra o arquivo 'Referência 03-2024.xlsm)</v>
      </c>
      <c r="G247" s="173" t="str">
        <f ca="1">IF($D247&lt;&gt;"Serviço","",OFFSET(ORÇAMENTO!S$15,ROW(G247)-ROW(G$15),0))</f>
        <v>-</v>
      </c>
      <c r="H247" s="124">
        <f ca="1">IF($D247&lt;&gt;"Serviço",0,IF(ACOMPANHAMENTO="BM",ROUND(OFFSET(ORÇAMENTO!AJ$15,ROW(H247)-ROW(H$15),0),15-13*ORÇAMENTO!$AF$7),SUMPRODUCT(($Q$12:$AA$12&lt;&gt;"")*ROUND($Q247:$AA247,15-13*ORÇAMENTO!$AF$7))))</f>
        <v>100</v>
      </c>
      <c r="I247" s="561"/>
      <c r="K247" s="174"/>
      <c r="L247" s="175" t="s">
        <v>255</v>
      </c>
      <c r="M247" s="176">
        <f ca="1">IF($D247&lt;&gt;"Serviço","",IF(AUTOEVENTO="manual",$A247,IF(ISERROR(MATCH($A247,$A$15:OFFSET($A247,-1,0),0)),MAX($M$15:OFFSET(M247,-1,0))+1,INDEX($M$15:OFFSET(M247,-1,0),MATCH($A247,$A$15:OFFSET($A247,-1,0),0)))))</f>
        <v>13</v>
      </c>
      <c r="N247" s="177" t="str">
        <f ca="1">IF($D247&lt;&gt;"Serviço","",IF(AUTOEVENTO="Manual",IF($A247=0,"&lt;-- defina o número do agrupador",OFFSET(EVENTOS!$D$14,$A247,0)),OFFSET($F$15,$A247,0)))</f>
        <v>ÁREA DE CONFRATERNIZAÇÃO</v>
      </c>
      <c r="O247" s="178"/>
      <c r="Q247" s="178"/>
      <c r="R247" s="179"/>
      <c r="S247" s="179"/>
      <c r="T247" s="179"/>
      <c r="U247" s="179"/>
      <c r="V247" s="179"/>
      <c r="W247" s="179"/>
      <c r="X247" s="179"/>
      <c r="Y247" s="179"/>
      <c r="Z247" s="180"/>
      <c r="AB247" s="544">
        <f ca="1">IF(AND($D247="Serviço",AB$12&lt;&gt;0,$H247&gt;0,OR(AUTOEVENTO&lt;&gt;"manual",$M247&lt;&gt;1)),
IF(Import.TipoArredondamento&lt;&gt;"TransfereGOV",
ROUND(OFFSET($P247,0,AB$13),15-13*ORÇAMENTO!$AF$7)/$H247*OFFSET(ORÇAMENTO!$X$15,ROW(AB247)-ROW(AB$15),0),
ROUND(ROUND(OFFSET($P247,0,AB$13),15-13*ORÇAMENTO!$AF$7)*OFFSET(ORÇAMENTO!$W$15,ROW(AB247)-ROW(AB$15),0),15-13*ORÇAMENTO!$AF$11)),0)</f>
        <v>0</v>
      </c>
      <c r="AC247" s="545">
        <f ca="1">IF(AND($D247="Serviço",AC$12&lt;&gt;0,$H247&gt;0,OR(AUTOEVENTO&lt;&gt;"manual",$M247&lt;&gt;1)),
IF(Import.TipoArredondamento&lt;&gt;"TransfereGOV",
ROUND(OFFSET($P247,0,AC$13),15-13*ORÇAMENTO!$AF$7)/$H247*OFFSET(ORÇAMENTO!$X$15,ROW(AC247)-ROW(AC$15),0),
ROUND(ROUND(OFFSET($P247,0,AC$13),15-13*ORÇAMENTO!$AF$7)*OFFSET(ORÇAMENTO!$W$15,ROW(AC247)-ROW(AC$15),0),15-13*ORÇAMENTO!$AF$11)),0)</f>
        <v>0</v>
      </c>
      <c r="AD247" s="545">
        <f ca="1">IF(AND($D247="Serviço",AD$12&lt;&gt;0,$H247&gt;0,OR(AUTOEVENTO&lt;&gt;"manual",$M247&lt;&gt;1)),
IF(Import.TipoArredondamento&lt;&gt;"TransfereGOV",
ROUND(OFFSET($P247,0,AD$13),15-13*ORÇAMENTO!$AF$7)/$H247*OFFSET(ORÇAMENTO!$X$15,ROW(AD247)-ROW(AD$15),0),
ROUND(ROUND(OFFSET($P247,0,AD$13),15-13*ORÇAMENTO!$AF$7)*OFFSET(ORÇAMENTO!$W$15,ROW(AD247)-ROW(AD$15),0),15-13*ORÇAMENTO!$AF$11)),0)</f>
        <v>0</v>
      </c>
      <c r="AE247" s="545">
        <f ca="1">IF(AND($D247="Serviço",AE$12&lt;&gt;0,$H247&gt;0,OR(AUTOEVENTO&lt;&gt;"manual",$M247&lt;&gt;1)),
IF(Import.TipoArredondamento&lt;&gt;"TransfereGOV",
ROUND(OFFSET($P247,0,AE$13),15-13*ORÇAMENTO!$AF$7)/$H247*OFFSET(ORÇAMENTO!$X$15,ROW(AE247)-ROW(AE$15),0),
ROUND(ROUND(OFFSET($P247,0,AE$13),15-13*ORÇAMENTO!$AF$7)*OFFSET(ORÇAMENTO!$W$15,ROW(AE247)-ROW(AE$15),0),15-13*ORÇAMENTO!$AF$11)),0)</f>
        <v>0</v>
      </c>
      <c r="AF247" s="545">
        <f ca="1">IF(AND($D247="Serviço",AF$12&lt;&gt;0,$H247&gt;0,OR(AUTOEVENTO&lt;&gt;"manual",$M247&lt;&gt;1)),
IF(Import.TipoArredondamento&lt;&gt;"TransfereGOV",
ROUND(OFFSET($P247,0,AF$13),15-13*ORÇAMENTO!$AF$7)/$H247*OFFSET(ORÇAMENTO!$X$15,ROW(AF247)-ROW(AF$15),0),
ROUND(ROUND(OFFSET($P247,0,AF$13),15-13*ORÇAMENTO!$AF$7)*OFFSET(ORÇAMENTO!$W$15,ROW(AF247)-ROW(AF$15),0),15-13*ORÇAMENTO!$AF$11)),0)</f>
        <v>0</v>
      </c>
      <c r="AG247" s="545">
        <f ca="1">IF(AND($D247="Serviço",AG$12&lt;&gt;0,$H247&gt;0,OR(AUTOEVENTO&lt;&gt;"manual",$M247&lt;&gt;1)),
IF(Import.TipoArredondamento&lt;&gt;"TransfereGOV",
ROUND(OFFSET($P247,0,AG$13),15-13*ORÇAMENTO!$AF$7)/$H247*OFFSET(ORÇAMENTO!$X$15,ROW(AG247)-ROW(AG$15),0),
ROUND(ROUND(OFFSET($P247,0,AG$13),15-13*ORÇAMENTO!$AF$7)*OFFSET(ORÇAMENTO!$W$15,ROW(AG247)-ROW(AG$15),0),15-13*ORÇAMENTO!$AF$11)),0)</f>
        <v>0</v>
      </c>
      <c r="AH247" s="545">
        <f ca="1">IF(AND($D247="Serviço",AH$12&lt;&gt;0,$H247&gt;0,OR(AUTOEVENTO&lt;&gt;"manual",$M247&lt;&gt;1)),
IF(Import.TipoArredondamento&lt;&gt;"TransfereGOV",
ROUND(OFFSET($P247,0,AH$13),15-13*ORÇAMENTO!$AF$7)/$H247*OFFSET(ORÇAMENTO!$X$15,ROW(AH247)-ROW(AH$15),0),
ROUND(ROUND(OFFSET($P247,0,AH$13),15-13*ORÇAMENTO!$AF$7)*OFFSET(ORÇAMENTO!$W$15,ROW(AH247)-ROW(AH$15),0),15-13*ORÇAMENTO!$AF$11)),0)</f>
        <v>0</v>
      </c>
      <c r="AI247" s="545">
        <f ca="1">IF(AND($D247="Serviço",AI$12&lt;&gt;0,$H247&gt;0,OR(AUTOEVENTO&lt;&gt;"manual",$M247&lt;&gt;1)),
IF(Import.TipoArredondamento&lt;&gt;"TransfereGOV",
ROUND(OFFSET($P247,0,AI$13),15-13*ORÇAMENTO!$AF$7)/$H247*OFFSET(ORÇAMENTO!$X$15,ROW(AI247)-ROW(AI$15),0),
ROUND(ROUND(OFFSET($P247,0,AI$13),15-13*ORÇAMENTO!$AF$7)*OFFSET(ORÇAMENTO!$W$15,ROW(AI247)-ROW(AI$15),0),15-13*ORÇAMENTO!$AF$11)),0)</f>
        <v>0</v>
      </c>
      <c r="AJ247" s="545">
        <f ca="1">IF(AND($D247="Serviço",AJ$12&lt;&gt;0,$H247&gt;0,OR(AUTOEVENTO&lt;&gt;"manual",$M247&lt;&gt;1)),
IF(Import.TipoArredondamento&lt;&gt;"TransfereGOV",
ROUND(OFFSET($P247,0,AJ$13),15-13*ORÇAMENTO!$AF$7)/$H247*OFFSET(ORÇAMENTO!$X$15,ROW(AJ247)-ROW(AJ$15),0),
ROUND(ROUND(OFFSET($P247,0,AJ$13),15-13*ORÇAMENTO!$AF$7)*OFFSET(ORÇAMENTO!$W$15,ROW(AJ247)-ROW(AJ$15),0),15-13*ORÇAMENTO!$AF$11)),0)</f>
        <v>0</v>
      </c>
      <c r="AK247" s="546">
        <f ca="1">IF(AND($D247="Serviço",AK$12&lt;&gt;0,$H247&gt;0,OR(AUTOEVENTO&lt;&gt;"manual",$M247&lt;&gt;1)),
IF(Import.TipoArredondamento&lt;&gt;"TransfereGOV",
ROUND(OFFSET($P247,0,AK$13),15-13*ORÇAMENTO!$AF$7)/$H247*OFFSET(ORÇAMENTO!$X$15,ROW(AK247)-ROW(AK$15),0),
ROUND(ROUND(OFFSET($P247,0,AK$13),15-13*ORÇAMENTO!$AF$7)*OFFSET(ORÇAMENTO!$W$15,ROW(AK247)-ROW(AK$15),0),15-13*ORÇAMENTO!$AF$11)),0)</f>
        <v>0</v>
      </c>
      <c r="AM247" s="181">
        <f ca="1">IF($D247&lt;&gt;"Serviço",0,IF(AND(AUTOEVENTO="Manual",$M247=1),0,IF(OFFSET(CRONOPLE!$F$14,$M247,AM$13)="",10^12,OFFSET(CRONOPLE!$F$14,$M247,AM$13))))</f>
        <v>1000000000000</v>
      </c>
      <c r="AN247" s="181">
        <f ca="1">IF($D247&lt;&gt;"Serviço",0,IF(AND(AUTOEVENTO="Manual",$M247=1),0,IF(OFFSET(CRONOPLE!$F$14,$M247,AN$13)="",10^12,OFFSET(CRONOPLE!$F$14,$M247,AN$13))))</f>
        <v>1000000000000</v>
      </c>
      <c r="AO247" s="181">
        <f ca="1">IF($D247&lt;&gt;"Serviço",0,IF(AND(AUTOEVENTO="Manual",$M247=1),0,IF(OFFSET(CRONOPLE!$F$14,$M247,AO$13)="",10^12,OFFSET(CRONOPLE!$F$14,$M247,AO$13))))</f>
        <v>1000000000000</v>
      </c>
      <c r="AP247" s="181">
        <f ca="1">IF($D247&lt;&gt;"Serviço",0,IF(AND(AUTOEVENTO="Manual",$M247=1),0,IF(OFFSET(CRONOPLE!$F$14,$M247,AP$13)="",10^12,OFFSET(CRONOPLE!$F$14,$M247,AP$13))))</f>
        <v>1000000000000</v>
      </c>
      <c r="AQ247" s="181">
        <f ca="1">IF($D247&lt;&gt;"Serviço",0,IF(AND(AUTOEVENTO="Manual",$M247=1),0,IF(OFFSET(CRONOPLE!$F$14,$M247,AQ$13)="",10^12,OFFSET(CRONOPLE!$F$14,$M247,AQ$13))))</f>
        <v>1000000000000</v>
      </c>
      <c r="AR247" s="181">
        <f ca="1">IF($D247&lt;&gt;"Serviço",0,IF(AND(AUTOEVENTO="Manual",$M247=1),0,IF(OFFSET(CRONOPLE!$F$14,$M247,AR$13)="",10^12,OFFSET(CRONOPLE!$F$14,$M247,AR$13))))</f>
        <v>1000000000000</v>
      </c>
      <c r="AS247" s="181">
        <f ca="1">IF($D247&lt;&gt;"Serviço",0,IF(AND(AUTOEVENTO="Manual",$M247=1),0,IF(OFFSET(CRONOPLE!$F$14,$M247,AS$13)="",10^12,OFFSET(CRONOPLE!$F$14,$M247,AS$13))))</f>
        <v>1000000000000</v>
      </c>
      <c r="AT247" s="181">
        <f ca="1">IF($D247&lt;&gt;"Serviço",0,IF(AND(AUTOEVENTO="Manual",$M247=1),0,IF(OFFSET(CRONOPLE!$F$14,$M247,AT$13)="",10^12,OFFSET(CRONOPLE!$F$14,$M247,AT$13))))</f>
        <v>1000000000000</v>
      </c>
      <c r="AU247" s="181">
        <f ca="1">IF($D247&lt;&gt;"Serviço",0,IF(AND(AUTOEVENTO="Manual",$M247=1),0,IF(OFFSET(CRONOPLE!$F$14,$M247,AU$13)="",10^12,OFFSET(CRONOPLE!$F$14,$M247,AU$13))))</f>
        <v>1000000000000</v>
      </c>
      <c r="AV247" s="181">
        <f ca="1">IF($D247&lt;&gt;"Serviço",0,IF(AND(AUTOEVENTO="Manual",$M247=1),0,IF(OFFSET(CRONOPLE!$F$14,$M247,AV$13)="",10^12,OFFSET(CRONOPLE!$F$14,$M247,AV$13))))</f>
        <v>1000000000000</v>
      </c>
      <c r="AX247" s="182">
        <f ca="1">IF($D247&lt;&gt;"Serviço",0,IF(OR(AND(AUTOEVENTO="Manual",$M247=1),$M247&gt;(ROW(PLE.lastrow)-ROW(PLE.firstrow))),0,IF(OFFSET(PLE!$G$14,$M247,AX$13)="",10^12,OFFSET(PLE!$G$14,$M247,AX$13))))</f>
        <v>1000000000000</v>
      </c>
      <c r="AY247" s="182">
        <f ca="1">IF($D247&lt;&gt;"Serviço",0,IF(OR(AND(AUTOEVENTO="Manual",$M247=1),$M247&gt;(ROW(PLE.lastrow)-ROW(PLE.firstrow))),0,IF(OFFSET(PLE!$G$14,$M247,AY$13)="",10^12,OFFSET(PLE!$G$14,$M247,AY$13))))</f>
        <v>1000000000000</v>
      </c>
      <c r="AZ247" s="182">
        <f ca="1">IF($D247&lt;&gt;"Serviço",0,IF(OR(AND(AUTOEVENTO="Manual",$M247=1),$M247&gt;(ROW(PLE.lastrow)-ROW(PLE.firstrow))),0,IF(OFFSET(PLE!$G$14,$M247,AZ$13)="",10^12,OFFSET(PLE!$G$14,$M247,AZ$13))))</f>
        <v>1000000000000</v>
      </c>
      <c r="BA247" s="182">
        <f ca="1">IF($D247&lt;&gt;"Serviço",0,IF(OR(AND(AUTOEVENTO="Manual",$M247=1),$M247&gt;(ROW(PLE.lastrow)-ROW(PLE.firstrow))),0,IF(OFFSET(PLE!$G$14,$M247,BA$13)="",10^12,OFFSET(PLE!$G$14,$M247,BA$13))))</f>
        <v>1000000000000</v>
      </c>
      <c r="BB247" s="182">
        <f ca="1">IF($D247&lt;&gt;"Serviço",0,IF(OR(AND(AUTOEVENTO="Manual",$M247=1),$M247&gt;(ROW(PLE.lastrow)-ROW(PLE.firstrow))),0,IF(OFFSET(PLE!$G$14,$M247,BB$13)="",10^12,OFFSET(PLE!$G$14,$M247,BB$13))))</f>
        <v>1000000000000</v>
      </c>
      <c r="BC247" s="182">
        <f ca="1">IF($D247&lt;&gt;"Serviço",0,IF(OR(AND(AUTOEVENTO="Manual",$M247=1),$M247&gt;(ROW(PLE.lastrow)-ROW(PLE.firstrow))),0,IF(OFFSET(PLE!$G$14,$M247,BC$13)="",10^12,OFFSET(PLE!$G$14,$M247,BC$13))))</f>
        <v>1000000000000</v>
      </c>
      <c r="BD247" s="182">
        <f ca="1">IF($D247&lt;&gt;"Serviço",0,IF(OR(AND(AUTOEVENTO="Manual",$M247=1),$M247&gt;(ROW(PLE.lastrow)-ROW(PLE.firstrow))),0,IF(OFFSET(PLE!$G$14,$M247,BD$13)="",10^12,OFFSET(PLE!$G$14,$M247,BD$13))))</f>
        <v>1000000000000</v>
      </c>
      <c r="BE247" s="182">
        <f ca="1">IF($D247&lt;&gt;"Serviço",0,IF(OR(AND(AUTOEVENTO="Manual",$M247=1),$M247&gt;(ROW(PLE.lastrow)-ROW(PLE.firstrow))),0,IF(OFFSET(PLE!$G$14,$M247,BE$13)="",10^12,OFFSET(PLE!$G$14,$M247,BE$13))))</f>
        <v>1000000000000</v>
      </c>
      <c r="BF247" s="182">
        <f ca="1">IF($D247&lt;&gt;"Serviço",0,IF(OR(AND(AUTOEVENTO="Manual",$M247=1),$M247&gt;(ROW(PLE.lastrow)-ROW(PLE.firstrow))),0,IF(OFFSET(PLE!$G$14,$M247,BF$13)="",10^12,OFFSET(PLE!$G$14,$M247,BF$13))))</f>
        <v>1000000000000</v>
      </c>
      <c r="BG247" s="182">
        <f ca="1">IF($D247&lt;&gt;"Serviço",0,IF(OR(AND(AUTOEVENTO="Manual",$M247=1),$M247&gt;(ROW(PLE.lastrow)-ROW(PLE.firstrow))),0,IF(OFFSET(PLE!$G$14,$M247,BG$13)="",10^12,OFFSET(PLE!$G$14,$M247,BG$13))))</f>
        <v>1000000000000</v>
      </c>
    </row>
    <row r="248" spans="1:59" ht="12.75" x14ac:dyDescent="0.2">
      <c r="A248" s="7" t="str">
        <f t="shared" ca="1" si="11"/>
        <v>233.</v>
      </c>
      <c r="B248" s="7">
        <f ca="1">OFFSET(ORÇAMENTO!C$15,ROW(B248)-ROW(B$15),0)</f>
        <v>2</v>
      </c>
      <c r="C248" s="7" t="str">
        <f ca="1">OFFSET(ORÇAMENTO!L$15,ROW(C248)-ROW(C$15),0)</f>
        <v>F</v>
      </c>
      <c r="D248" s="118" t="str">
        <f ca="1">OFFSET(ORÇAMENTO!N$15,ROW(D248)-ROW(D$15),0)</f>
        <v>Nível 2</v>
      </c>
      <c r="E248" s="119" t="str">
        <f ca="1">OFFSET(ORÇAMENTO!O$15,ROW(E248)-ROW(E$15),0)</f>
        <v>1.13.</v>
      </c>
      <c r="F248" s="172" t="str">
        <f ca="1">OFFSET(ORÇAMENTO!R$15,ROW(F248)-ROW(F$15),0)</f>
        <v>SERVIÇOS FINAIS</v>
      </c>
      <c r="G248" s="173" t="str">
        <f ca="1">IF($D248&lt;&gt;"Serviço","",OFFSET(ORÇAMENTO!S$15,ROW(G248)-ROW(G$15),0))</f>
        <v/>
      </c>
      <c r="H248" s="124">
        <f ca="1">IF($D248&lt;&gt;"Serviço",0,IF(ACOMPANHAMENTO="BM",ROUND(OFFSET(ORÇAMENTO!AJ$15,ROW(H248)-ROW(H$15),0),15-13*ORÇAMENTO!$AF$7),SUMPRODUCT(($Q$12:$AA$12&lt;&gt;"")*ROUND($Q248:$AA248,15-13*ORÇAMENTO!$AF$7))))</f>
        <v>0</v>
      </c>
      <c r="I248" s="561"/>
      <c r="K248" s="174"/>
      <c r="L248" s="175" t="s">
        <v>255</v>
      </c>
      <c r="M248" s="176" t="str">
        <f ca="1">IF($D248&lt;&gt;"Serviço","",IF(AUTOEVENTO="manual",$A248,IF(ISERROR(MATCH($A248,$A$15:OFFSET($A248,-1,0),0)),MAX($M$15:OFFSET(M248,-1,0))+1,INDEX($M$15:OFFSET(M248,-1,0),MATCH($A248,$A$15:OFFSET($A248,-1,0),0)))))</f>
        <v/>
      </c>
      <c r="N248" s="177" t="str">
        <f ca="1">IF($D248&lt;&gt;"Serviço","",IF(AUTOEVENTO="Manual",IF($A248=0,"&lt;-- defina o número do agrupador",OFFSET(EVENTOS!$D$14,$A248,0)),OFFSET($F$15,$A248,0)))</f>
        <v/>
      </c>
      <c r="O248" s="178"/>
      <c r="Q248" s="178"/>
      <c r="R248" s="179"/>
      <c r="S248" s="179"/>
      <c r="T248" s="179"/>
      <c r="U248" s="179"/>
      <c r="V248" s="179"/>
      <c r="W248" s="179"/>
      <c r="X248" s="179"/>
      <c r="Y248" s="179"/>
      <c r="Z248" s="180"/>
      <c r="AB248" s="544">
        <f ca="1">IF(AND($D248="Serviço",AB$12&lt;&gt;0,$H248&gt;0,OR(AUTOEVENTO&lt;&gt;"manual",$M248&lt;&gt;1)),
IF(Import.TipoArredondamento&lt;&gt;"TransfereGOV",
ROUND(OFFSET($P248,0,AB$13),15-13*ORÇAMENTO!$AF$7)/$H248*OFFSET(ORÇAMENTO!$X$15,ROW(AB248)-ROW(AB$15),0),
ROUND(ROUND(OFFSET($P248,0,AB$13),15-13*ORÇAMENTO!$AF$7)*OFFSET(ORÇAMENTO!$W$15,ROW(AB248)-ROW(AB$15),0),15-13*ORÇAMENTO!$AF$11)),0)</f>
        <v>0</v>
      </c>
      <c r="AC248" s="545">
        <f ca="1">IF(AND($D248="Serviço",AC$12&lt;&gt;0,$H248&gt;0,OR(AUTOEVENTO&lt;&gt;"manual",$M248&lt;&gt;1)),
IF(Import.TipoArredondamento&lt;&gt;"TransfereGOV",
ROUND(OFFSET($P248,0,AC$13),15-13*ORÇAMENTO!$AF$7)/$H248*OFFSET(ORÇAMENTO!$X$15,ROW(AC248)-ROW(AC$15),0),
ROUND(ROUND(OFFSET($P248,0,AC$13),15-13*ORÇAMENTO!$AF$7)*OFFSET(ORÇAMENTO!$W$15,ROW(AC248)-ROW(AC$15),0),15-13*ORÇAMENTO!$AF$11)),0)</f>
        <v>0</v>
      </c>
      <c r="AD248" s="545">
        <f ca="1">IF(AND($D248="Serviço",AD$12&lt;&gt;0,$H248&gt;0,OR(AUTOEVENTO&lt;&gt;"manual",$M248&lt;&gt;1)),
IF(Import.TipoArredondamento&lt;&gt;"TransfereGOV",
ROUND(OFFSET($P248,0,AD$13),15-13*ORÇAMENTO!$AF$7)/$H248*OFFSET(ORÇAMENTO!$X$15,ROW(AD248)-ROW(AD$15),0),
ROUND(ROUND(OFFSET($P248,0,AD$13),15-13*ORÇAMENTO!$AF$7)*OFFSET(ORÇAMENTO!$W$15,ROW(AD248)-ROW(AD$15),0),15-13*ORÇAMENTO!$AF$11)),0)</f>
        <v>0</v>
      </c>
      <c r="AE248" s="545">
        <f ca="1">IF(AND($D248="Serviço",AE$12&lt;&gt;0,$H248&gt;0,OR(AUTOEVENTO&lt;&gt;"manual",$M248&lt;&gt;1)),
IF(Import.TipoArredondamento&lt;&gt;"TransfereGOV",
ROUND(OFFSET($P248,0,AE$13),15-13*ORÇAMENTO!$AF$7)/$H248*OFFSET(ORÇAMENTO!$X$15,ROW(AE248)-ROW(AE$15),0),
ROUND(ROUND(OFFSET($P248,0,AE$13),15-13*ORÇAMENTO!$AF$7)*OFFSET(ORÇAMENTO!$W$15,ROW(AE248)-ROW(AE$15),0),15-13*ORÇAMENTO!$AF$11)),0)</f>
        <v>0</v>
      </c>
      <c r="AF248" s="545">
        <f ca="1">IF(AND($D248="Serviço",AF$12&lt;&gt;0,$H248&gt;0,OR(AUTOEVENTO&lt;&gt;"manual",$M248&lt;&gt;1)),
IF(Import.TipoArredondamento&lt;&gt;"TransfereGOV",
ROUND(OFFSET($P248,0,AF$13),15-13*ORÇAMENTO!$AF$7)/$H248*OFFSET(ORÇAMENTO!$X$15,ROW(AF248)-ROW(AF$15),0),
ROUND(ROUND(OFFSET($P248,0,AF$13),15-13*ORÇAMENTO!$AF$7)*OFFSET(ORÇAMENTO!$W$15,ROW(AF248)-ROW(AF$15),0),15-13*ORÇAMENTO!$AF$11)),0)</f>
        <v>0</v>
      </c>
      <c r="AG248" s="545">
        <f ca="1">IF(AND($D248="Serviço",AG$12&lt;&gt;0,$H248&gt;0,OR(AUTOEVENTO&lt;&gt;"manual",$M248&lt;&gt;1)),
IF(Import.TipoArredondamento&lt;&gt;"TransfereGOV",
ROUND(OFFSET($P248,0,AG$13),15-13*ORÇAMENTO!$AF$7)/$H248*OFFSET(ORÇAMENTO!$X$15,ROW(AG248)-ROW(AG$15),0),
ROUND(ROUND(OFFSET($P248,0,AG$13),15-13*ORÇAMENTO!$AF$7)*OFFSET(ORÇAMENTO!$W$15,ROW(AG248)-ROW(AG$15),0),15-13*ORÇAMENTO!$AF$11)),0)</f>
        <v>0</v>
      </c>
      <c r="AH248" s="545">
        <f ca="1">IF(AND($D248="Serviço",AH$12&lt;&gt;0,$H248&gt;0,OR(AUTOEVENTO&lt;&gt;"manual",$M248&lt;&gt;1)),
IF(Import.TipoArredondamento&lt;&gt;"TransfereGOV",
ROUND(OFFSET($P248,0,AH$13),15-13*ORÇAMENTO!$AF$7)/$H248*OFFSET(ORÇAMENTO!$X$15,ROW(AH248)-ROW(AH$15),0),
ROUND(ROUND(OFFSET($P248,0,AH$13),15-13*ORÇAMENTO!$AF$7)*OFFSET(ORÇAMENTO!$W$15,ROW(AH248)-ROW(AH$15),0),15-13*ORÇAMENTO!$AF$11)),0)</f>
        <v>0</v>
      </c>
      <c r="AI248" s="545">
        <f ca="1">IF(AND($D248="Serviço",AI$12&lt;&gt;0,$H248&gt;0,OR(AUTOEVENTO&lt;&gt;"manual",$M248&lt;&gt;1)),
IF(Import.TipoArredondamento&lt;&gt;"TransfereGOV",
ROUND(OFFSET($P248,0,AI$13),15-13*ORÇAMENTO!$AF$7)/$H248*OFFSET(ORÇAMENTO!$X$15,ROW(AI248)-ROW(AI$15),0),
ROUND(ROUND(OFFSET($P248,0,AI$13),15-13*ORÇAMENTO!$AF$7)*OFFSET(ORÇAMENTO!$W$15,ROW(AI248)-ROW(AI$15),0),15-13*ORÇAMENTO!$AF$11)),0)</f>
        <v>0</v>
      </c>
      <c r="AJ248" s="545">
        <f ca="1">IF(AND($D248="Serviço",AJ$12&lt;&gt;0,$H248&gt;0,OR(AUTOEVENTO&lt;&gt;"manual",$M248&lt;&gt;1)),
IF(Import.TipoArredondamento&lt;&gt;"TransfereGOV",
ROUND(OFFSET($P248,0,AJ$13),15-13*ORÇAMENTO!$AF$7)/$H248*OFFSET(ORÇAMENTO!$X$15,ROW(AJ248)-ROW(AJ$15),0),
ROUND(ROUND(OFFSET($P248,0,AJ$13),15-13*ORÇAMENTO!$AF$7)*OFFSET(ORÇAMENTO!$W$15,ROW(AJ248)-ROW(AJ$15),0),15-13*ORÇAMENTO!$AF$11)),0)</f>
        <v>0</v>
      </c>
      <c r="AK248" s="546">
        <f ca="1">IF(AND($D248="Serviço",AK$12&lt;&gt;0,$H248&gt;0,OR(AUTOEVENTO&lt;&gt;"manual",$M248&lt;&gt;1)),
IF(Import.TipoArredondamento&lt;&gt;"TransfereGOV",
ROUND(OFFSET($P248,0,AK$13),15-13*ORÇAMENTO!$AF$7)/$H248*OFFSET(ORÇAMENTO!$X$15,ROW(AK248)-ROW(AK$15),0),
ROUND(ROUND(OFFSET($P248,0,AK$13),15-13*ORÇAMENTO!$AF$7)*OFFSET(ORÇAMENTO!$W$15,ROW(AK248)-ROW(AK$15),0),15-13*ORÇAMENTO!$AF$11)),0)</f>
        <v>0</v>
      </c>
      <c r="AM248" s="181">
        <f ca="1">IF($D248&lt;&gt;"Serviço",0,IF(AND(AUTOEVENTO="Manual",$M248=1),0,IF(OFFSET(CRONOPLE!$F$14,$M248,AM$13)="",10^12,OFFSET(CRONOPLE!$F$14,$M248,AM$13))))</f>
        <v>0</v>
      </c>
      <c r="AN248" s="181">
        <f ca="1">IF($D248&lt;&gt;"Serviço",0,IF(AND(AUTOEVENTO="Manual",$M248=1),0,IF(OFFSET(CRONOPLE!$F$14,$M248,AN$13)="",10^12,OFFSET(CRONOPLE!$F$14,$M248,AN$13))))</f>
        <v>0</v>
      </c>
      <c r="AO248" s="181">
        <f ca="1">IF($D248&lt;&gt;"Serviço",0,IF(AND(AUTOEVENTO="Manual",$M248=1),0,IF(OFFSET(CRONOPLE!$F$14,$M248,AO$13)="",10^12,OFFSET(CRONOPLE!$F$14,$M248,AO$13))))</f>
        <v>0</v>
      </c>
      <c r="AP248" s="181">
        <f ca="1">IF($D248&lt;&gt;"Serviço",0,IF(AND(AUTOEVENTO="Manual",$M248=1),0,IF(OFFSET(CRONOPLE!$F$14,$M248,AP$13)="",10^12,OFFSET(CRONOPLE!$F$14,$M248,AP$13))))</f>
        <v>0</v>
      </c>
      <c r="AQ248" s="181">
        <f ca="1">IF($D248&lt;&gt;"Serviço",0,IF(AND(AUTOEVENTO="Manual",$M248=1),0,IF(OFFSET(CRONOPLE!$F$14,$M248,AQ$13)="",10^12,OFFSET(CRONOPLE!$F$14,$M248,AQ$13))))</f>
        <v>0</v>
      </c>
      <c r="AR248" s="181">
        <f ca="1">IF($D248&lt;&gt;"Serviço",0,IF(AND(AUTOEVENTO="Manual",$M248=1),0,IF(OFFSET(CRONOPLE!$F$14,$M248,AR$13)="",10^12,OFFSET(CRONOPLE!$F$14,$M248,AR$13))))</f>
        <v>0</v>
      </c>
      <c r="AS248" s="181">
        <f ca="1">IF($D248&lt;&gt;"Serviço",0,IF(AND(AUTOEVENTO="Manual",$M248=1),0,IF(OFFSET(CRONOPLE!$F$14,$M248,AS$13)="",10^12,OFFSET(CRONOPLE!$F$14,$M248,AS$13))))</f>
        <v>0</v>
      </c>
      <c r="AT248" s="181">
        <f ca="1">IF($D248&lt;&gt;"Serviço",0,IF(AND(AUTOEVENTO="Manual",$M248=1),0,IF(OFFSET(CRONOPLE!$F$14,$M248,AT$13)="",10^12,OFFSET(CRONOPLE!$F$14,$M248,AT$13))))</f>
        <v>0</v>
      </c>
      <c r="AU248" s="181">
        <f ca="1">IF($D248&lt;&gt;"Serviço",0,IF(AND(AUTOEVENTO="Manual",$M248=1),0,IF(OFFSET(CRONOPLE!$F$14,$M248,AU$13)="",10^12,OFFSET(CRONOPLE!$F$14,$M248,AU$13))))</f>
        <v>0</v>
      </c>
      <c r="AV248" s="181">
        <f ca="1">IF($D248&lt;&gt;"Serviço",0,IF(AND(AUTOEVENTO="Manual",$M248=1),0,IF(OFFSET(CRONOPLE!$F$14,$M248,AV$13)="",10^12,OFFSET(CRONOPLE!$F$14,$M248,AV$13))))</f>
        <v>0</v>
      </c>
      <c r="AX248" s="182">
        <f ca="1">IF($D248&lt;&gt;"Serviço",0,IF(OR(AND(AUTOEVENTO="Manual",$M248=1),$M248&gt;(ROW(PLE.lastrow)-ROW(PLE.firstrow))),0,IF(OFFSET(PLE!$G$14,$M248,AX$13)="",10^12,OFFSET(PLE!$G$14,$M248,AX$13))))</f>
        <v>0</v>
      </c>
      <c r="AY248" s="182">
        <f ca="1">IF($D248&lt;&gt;"Serviço",0,IF(OR(AND(AUTOEVENTO="Manual",$M248=1),$M248&gt;(ROW(PLE.lastrow)-ROW(PLE.firstrow))),0,IF(OFFSET(PLE!$G$14,$M248,AY$13)="",10^12,OFFSET(PLE!$G$14,$M248,AY$13))))</f>
        <v>0</v>
      </c>
      <c r="AZ248" s="182">
        <f ca="1">IF($D248&lt;&gt;"Serviço",0,IF(OR(AND(AUTOEVENTO="Manual",$M248=1),$M248&gt;(ROW(PLE.lastrow)-ROW(PLE.firstrow))),0,IF(OFFSET(PLE!$G$14,$M248,AZ$13)="",10^12,OFFSET(PLE!$G$14,$M248,AZ$13))))</f>
        <v>0</v>
      </c>
      <c r="BA248" s="182">
        <f ca="1">IF($D248&lt;&gt;"Serviço",0,IF(OR(AND(AUTOEVENTO="Manual",$M248=1),$M248&gt;(ROW(PLE.lastrow)-ROW(PLE.firstrow))),0,IF(OFFSET(PLE!$G$14,$M248,BA$13)="",10^12,OFFSET(PLE!$G$14,$M248,BA$13))))</f>
        <v>0</v>
      </c>
      <c r="BB248" s="182">
        <f ca="1">IF($D248&lt;&gt;"Serviço",0,IF(OR(AND(AUTOEVENTO="Manual",$M248=1),$M248&gt;(ROW(PLE.lastrow)-ROW(PLE.firstrow))),0,IF(OFFSET(PLE!$G$14,$M248,BB$13)="",10^12,OFFSET(PLE!$G$14,$M248,BB$13))))</f>
        <v>0</v>
      </c>
      <c r="BC248" s="182">
        <f ca="1">IF($D248&lt;&gt;"Serviço",0,IF(OR(AND(AUTOEVENTO="Manual",$M248=1),$M248&gt;(ROW(PLE.lastrow)-ROW(PLE.firstrow))),0,IF(OFFSET(PLE!$G$14,$M248,BC$13)="",10^12,OFFSET(PLE!$G$14,$M248,BC$13))))</f>
        <v>0</v>
      </c>
      <c r="BD248" s="182">
        <f ca="1">IF($D248&lt;&gt;"Serviço",0,IF(OR(AND(AUTOEVENTO="Manual",$M248=1),$M248&gt;(ROW(PLE.lastrow)-ROW(PLE.firstrow))),0,IF(OFFSET(PLE!$G$14,$M248,BD$13)="",10^12,OFFSET(PLE!$G$14,$M248,BD$13))))</f>
        <v>0</v>
      </c>
      <c r="BE248" s="182">
        <f ca="1">IF($D248&lt;&gt;"Serviço",0,IF(OR(AND(AUTOEVENTO="Manual",$M248=1),$M248&gt;(ROW(PLE.lastrow)-ROW(PLE.firstrow))),0,IF(OFFSET(PLE!$G$14,$M248,BE$13)="",10^12,OFFSET(PLE!$G$14,$M248,BE$13))))</f>
        <v>0</v>
      </c>
      <c r="BF248" s="182">
        <f ca="1">IF($D248&lt;&gt;"Serviço",0,IF(OR(AND(AUTOEVENTO="Manual",$M248=1),$M248&gt;(ROW(PLE.lastrow)-ROW(PLE.firstrow))),0,IF(OFFSET(PLE!$G$14,$M248,BF$13)="",10^12,OFFSET(PLE!$G$14,$M248,BF$13))))</f>
        <v>0</v>
      </c>
      <c r="BG248" s="182">
        <f ca="1">IF($D248&lt;&gt;"Serviço",0,IF(OR(AND(AUTOEVENTO="Manual",$M248=1),$M248&gt;(ROW(PLE.lastrow)-ROW(PLE.firstrow))),0,IF(OFFSET(PLE!$G$14,$M248,BG$13)="",10^12,OFFSET(PLE!$G$14,$M248,BG$13))))</f>
        <v>0</v>
      </c>
    </row>
    <row r="249" spans="1:59" ht="12.75" x14ac:dyDescent="0.2">
      <c r="A249" s="7" t="str">
        <f t="shared" ca="1" si="11"/>
        <v>233</v>
      </c>
      <c r="B249" s="7" t="str">
        <f ca="1">OFFSET(ORÇAMENTO!C$15,ROW(B249)-ROW(B$15),0)</f>
        <v>S</v>
      </c>
      <c r="C249" s="7" t="str">
        <f ca="1">OFFSET(ORÇAMENTO!L$15,ROW(C249)-ROW(C$15),0)</f>
        <v>F</v>
      </c>
      <c r="D249" s="118" t="str">
        <f ca="1">OFFSET(ORÇAMENTO!N$15,ROW(D249)-ROW(D$15),0)</f>
        <v>Serviço</v>
      </c>
      <c r="E249" s="119" t="str">
        <f ca="1">OFFSET(ORÇAMENTO!O$15,ROW(E249)-ROW(E$15),0)</f>
        <v>1.13.0.1.</v>
      </c>
      <c r="F249" s="172" t="str">
        <f ca="1">OFFSET(ORÇAMENTO!R$15,ROW(F249)-ROW(F$15),0)</f>
        <v>(abra o arquivo 'Referência 03-2024.xlsm)</v>
      </c>
      <c r="G249" s="173" t="str">
        <f ca="1">IF($D249&lt;&gt;"Serviço","",OFFSET(ORÇAMENTO!S$15,ROW(G249)-ROW(G$15),0))</f>
        <v>-</v>
      </c>
      <c r="H249" s="124">
        <f ca="1">IF($D249&lt;&gt;"Serviço",0,IF(ACOMPANHAMENTO="BM",ROUND(OFFSET(ORÇAMENTO!AJ$15,ROW(H249)-ROW(H$15),0),15-13*ORÇAMENTO!$AF$7),SUMPRODUCT(($Q$12:$AA$12&lt;&gt;"")*ROUND($Q249:$AA249,15-13*ORÇAMENTO!$AF$7))))</f>
        <v>1</v>
      </c>
      <c r="I249" s="561"/>
      <c r="K249" s="174"/>
      <c r="L249" s="175" t="s">
        <v>255</v>
      </c>
      <c r="M249" s="176">
        <f ca="1">IF($D249&lt;&gt;"Serviço","",IF(AUTOEVENTO="manual",$A249,IF(ISERROR(MATCH($A249,$A$15:OFFSET($A249,-1,0),0)),MAX($M$15:OFFSET(M249,-1,0))+1,INDEX($M$15:OFFSET(M249,-1,0),MATCH($A249,$A$15:OFFSET($A249,-1,0),0)))))</f>
        <v>14</v>
      </c>
      <c r="N249" s="177" t="str">
        <f ca="1">IF($D249&lt;&gt;"Serviço","",IF(AUTOEVENTO="Manual",IF($A249=0,"&lt;-- defina o número do agrupador",OFFSET(EVENTOS!$D$14,$A249,0)),OFFSET($F$15,$A249,0)))</f>
        <v>SERVIÇOS FINAIS</v>
      </c>
      <c r="O249" s="178"/>
      <c r="Q249" s="178"/>
      <c r="R249" s="179"/>
      <c r="S249" s="179"/>
      <c r="T249" s="179"/>
      <c r="U249" s="179"/>
      <c r="V249" s="179"/>
      <c r="W249" s="179"/>
      <c r="X249" s="179"/>
      <c r="Y249" s="179"/>
      <c r="Z249" s="180"/>
      <c r="AB249" s="544">
        <f ca="1">IF(AND($D249="Serviço",AB$12&lt;&gt;0,$H249&gt;0,OR(AUTOEVENTO&lt;&gt;"manual",$M249&lt;&gt;1)),
IF(Import.TipoArredondamento&lt;&gt;"TransfereGOV",
ROUND(OFFSET($P249,0,AB$13),15-13*ORÇAMENTO!$AF$7)/$H249*OFFSET(ORÇAMENTO!$X$15,ROW(AB249)-ROW(AB$15),0),
ROUND(ROUND(OFFSET($P249,0,AB$13),15-13*ORÇAMENTO!$AF$7)*OFFSET(ORÇAMENTO!$W$15,ROW(AB249)-ROW(AB$15),0),15-13*ORÇAMENTO!$AF$11)),0)</f>
        <v>0</v>
      </c>
      <c r="AC249" s="545">
        <f ca="1">IF(AND($D249="Serviço",AC$12&lt;&gt;0,$H249&gt;0,OR(AUTOEVENTO&lt;&gt;"manual",$M249&lt;&gt;1)),
IF(Import.TipoArredondamento&lt;&gt;"TransfereGOV",
ROUND(OFFSET($P249,0,AC$13),15-13*ORÇAMENTO!$AF$7)/$H249*OFFSET(ORÇAMENTO!$X$15,ROW(AC249)-ROW(AC$15),0),
ROUND(ROUND(OFFSET($P249,0,AC$13),15-13*ORÇAMENTO!$AF$7)*OFFSET(ORÇAMENTO!$W$15,ROW(AC249)-ROW(AC$15),0),15-13*ORÇAMENTO!$AF$11)),0)</f>
        <v>0</v>
      </c>
      <c r="AD249" s="545">
        <f ca="1">IF(AND($D249="Serviço",AD$12&lt;&gt;0,$H249&gt;0,OR(AUTOEVENTO&lt;&gt;"manual",$M249&lt;&gt;1)),
IF(Import.TipoArredondamento&lt;&gt;"TransfereGOV",
ROUND(OFFSET($P249,0,AD$13),15-13*ORÇAMENTO!$AF$7)/$H249*OFFSET(ORÇAMENTO!$X$15,ROW(AD249)-ROW(AD$15),0),
ROUND(ROUND(OFFSET($P249,0,AD$13),15-13*ORÇAMENTO!$AF$7)*OFFSET(ORÇAMENTO!$W$15,ROW(AD249)-ROW(AD$15),0),15-13*ORÇAMENTO!$AF$11)),0)</f>
        <v>0</v>
      </c>
      <c r="AE249" s="545">
        <f ca="1">IF(AND($D249="Serviço",AE$12&lt;&gt;0,$H249&gt;0,OR(AUTOEVENTO&lt;&gt;"manual",$M249&lt;&gt;1)),
IF(Import.TipoArredondamento&lt;&gt;"TransfereGOV",
ROUND(OFFSET($P249,0,AE$13),15-13*ORÇAMENTO!$AF$7)/$H249*OFFSET(ORÇAMENTO!$X$15,ROW(AE249)-ROW(AE$15),0),
ROUND(ROUND(OFFSET($P249,0,AE$13),15-13*ORÇAMENTO!$AF$7)*OFFSET(ORÇAMENTO!$W$15,ROW(AE249)-ROW(AE$15),0),15-13*ORÇAMENTO!$AF$11)),0)</f>
        <v>0</v>
      </c>
      <c r="AF249" s="545">
        <f ca="1">IF(AND($D249="Serviço",AF$12&lt;&gt;0,$H249&gt;0,OR(AUTOEVENTO&lt;&gt;"manual",$M249&lt;&gt;1)),
IF(Import.TipoArredondamento&lt;&gt;"TransfereGOV",
ROUND(OFFSET($P249,0,AF$13),15-13*ORÇAMENTO!$AF$7)/$H249*OFFSET(ORÇAMENTO!$X$15,ROW(AF249)-ROW(AF$15),0),
ROUND(ROUND(OFFSET($P249,0,AF$13),15-13*ORÇAMENTO!$AF$7)*OFFSET(ORÇAMENTO!$W$15,ROW(AF249)-ROW(AF$15),0),15-13*ORÇAMENTO!$AF$11)),0)</f>
        <v>0</v>
      </c>
      <c r="AG249" s="545">
        <f ca="1">IF(AND($D249="Serviço",AG$12&lt;&gt;0,$H249&gt;0,OR(AUTOEVENTO&lt;&gt;"manual",$M249&lt;&gt;1)),
IF(Import.TipoArredondamento&lt;&gt;"TransfereGOV",
ROUND(OFFSET($P249,0,AG$13),15-13*ORÇAMENTO!$AF$7)/$H249*OFFSET(ORÇAMENTO!$X$15,ROW(AG249)-ROW(AG$15),0),
ROUND(ROUND(OFFSET($P249,0,AG$13),15-13*ORÇAMENTO!$AF$7)*OFFSET(ORÇAMENTO!$W$15,ROW(AG249)-ROW(AG$15),0),15-13*ORÇAMENTO!$AF$11)),0)</f>
        <v>0</v>
      </c>
      <c r="AH249" s="545">
        <f ca="1">IF(AND($D249="Serviço",AH$12&lt;&gt;0,$H249&gt;0,OR(AUTOEVENTO&lt;&gt;"manual",$M249&lt;&gt;1)),
IF(Import.TipoArredondamento&lt;&gt;"TransfereGOV",
ROUND(OFFSET($P249,0,AH$13),15-13*ORÇAMENTO!$AF$7)/$H249*OFFSET(ORÇAMENTO!$X$15,ROW(AH249)-ROW(AH$15),0),
ROUND(ROUND(OFFSET($P249,0,AH$13),15-13*ORÇAMENTO!$AF$7)*OFFSET(ORÇAMENTO!$W$15,ROW(AH249)-ROW(AH$15),0),15-13*ORÇAMENTO!$AF$11)),0)</f>
        <v>0</v>
      </c>
      <c r="AI249" s="545">
        <f ca="1">IF(AND($D249="Serviço",AI$12&lt;&gt;0,$H249&gt;0,OR(AUTOEVENTO&lt;&gt;"manual",$M249&lt;&gt;1)),
IF(Import.TipoArredondamento&lt;&gt;"TransfereGOV",
ROUND(OFFSET($P249,0,AI$13),15-13*ORÇAMENTO!$AF$7)/$H249*OFFSET(ORÇAMENTO!$X$15,ROW(AI249)-ROW(AI$15),0),
ROUND(ROUND(OFFSET($P249,0,AI$13),15-13*ORÇAMENTO!$AF$7)*OFFSET(ORÇAMENTO!$W$15,ROW(AI249)-ROW(AI$15),0),15-13*ORÇAMENTO!$AF$11)),0)</f>
        <v>0</v>
      </c>
      <c r="AJ249" s="545">
        <f ca="1">IF(AND($D249="Serviço",AJ$12&lt;&gt;0,$H249&gt;0,OR(AUTOEVENTO&lt;&gt;"manual",$M249&lt;&gt;1)),
IF(Import.TipoArredondamento&lt;&gt;"TransfereGOV",
ROUND(OFFSET($P249,0,AJ$13),15-13*ORÇAMENTO!$AF$7)/$H249*OFFSET(ORÇAMENTO!$X$15,ROW(AJ249)-ROW(AJ$15),0),
ROUND(ROUND(OFFSET($P249,0,AJ$13),15-13*ORÇAMENTO!$AF$7)*OFFSET(ORÇAMENTO!$W$15,ROW(AJ249)-ROW(AJ$15),0),15-13*ORÇAMENTO!$AF$11)),0)</f>
        <v>0</v>
      </c>
      <c r="AK249" s="546">
        <f ca="1">IF(AND($D249="Serviço",AK$12&lt;&gt;0,$H249&gt;0,OR(AUTOEVENTO&lt;&gt;"manual",$M249&lt;&gt;1)),
IF(Import.TipoArredondamento&lt;&gt;"TransfereGOV",
ROUND(OFFSET($P249,0,AK$13),15-13*ORÇAMENTO!$AF$7)/$H249*OFFSET(ORÇAMENTO!$X$15,ROW(AK249)-ROW(AK$15),0),
ROUND(ROUND(OFFSET($P249,0,AK$13),15-13*ORÇAMENTO!$AF$7)*OFFSET(ORÇAMENTO!$W$15,ROW(AK249)-ROW(AK$15),0),15-13*ORÇAMENTO!$AF$11)),0)</f>
        <v>0</v>
      </c>
      <c r="AM249" s="181">
        <f ca="1">IF($D249&lt;&gt;"Serviço",0,IF(AND(AUTOEVENTO="Manual",$M249=1),0,IF(OFFSET(CRONOPLE!$F$14,$M249,AM$13)="",10^12,OFFSET(CRONOPLE!$F$14,$M249,AM$13))))</f>
        <v>1000000000000</v>
      </c>
      <c r="AN249" s="181">
        <f ca="1">IF($D249&lt;&gt;"Serviço",0,IF(AND(AUTOEVENTO="Manual",$M249=1),0,IF(OFFSET(CRONOPLE!$F$14,$M249,AN$13)="",10^12,OFFSET(CRONOPLE!$F$14,$M249,AN$13))))</f>
        <v>1000000000000</v>
      </c>
      <c r="AO249" s="181">
        <f ca="1">IF($D249&lt;&gt;"Serviço",0,IF(AND(AUTOEVENTO="Manual",$M249=1),0,IF(OFFSET(CRONOPLE!$F$14,$M249,AO$13)="",10^12,OFFSET(CRONOPLE!$F$14,$M249,AO$13))))</f>
        <v>1000000000000</v>
      </c>
      <c r="AP249" s="181">
        <f ca="1">IF($D249&lt;&gt;"Serviço",0,IF(AND(AUTOEVENTO="Manual",$M249=1),0,IF(OFFSET(CRONOPLE!$F$14,$M249,AP$13)="",10^12,OFFSET(CRONOPLE!$F$14,$M249,AP$13))))</f>
        <v>1000000000000</v>
      </c>
      <c r="AQ249" s="181">
        <f ca="1">IF($D249&lt;&gt;"Serviço",0,IF(AND(AUTOEVENTO="Manual",$M249=1),0,IF(OFFSET(CRONOPLE!$F$14,$M249,AQ$13)="",10^12,OFFSET(CRONOPLE!$F$14,$M249,AQ$13))))</f>
        <v>1000000000000</v>
      </c>
      <c r="AR249" s="181">
        <f ca="1">IF($D249&lt;&gt;"Serviço",0,IF(AND(AUTOEVENTO="Manual",$M249=1),0,IF(OFFSET(CRONOPLE!$F$14,$M249,AR$13)="",10^12,OFFSET(CRONOPLE!$F$14,$M249,AR$13))))</f>
        <v>1000000000000</v>
      </c>
      <c r="AS249" s="181">
        <f ca="1">IF($D249&lt;&gt;"Serviço",0,IF(AND(AUTOEVENTO="Manual",$M249=1),0,IF(OFFSET(CRONOPLE!$F$14,$M249,AS$13)="",10^12,OFFSET(CRONOPLE!$F$14,$M249,AS$13))))</f>
        <v>1000000000000</v>
      </c>
      <c r="AT249" s="181">
        <f ca="1">IF($D249&lt;&gt;"Serviço",0,IF(AND(AUTOEVENTO="Manual",$M249=1),0,IF(OFFSET(CRONOPLE!$F$14,$M249,AT$13)="",10^12,OFFSET(CRONOPLE!$F$14,$M249,AT$13))))</f>
        <v>1000000000000</v>
      </c>
      <c r="AU249" s="181">
        <f ca="1">IF($D249&lt;&gt;"Serviço",0,IF(AND(AUTOEVENTO="Manual",$M249=1),0,IF(OFFSET(CRONOPLE!$F$14,$M249,AU$13)="",10^12,OFFSET(CRONOPLE!$F$14,$M249,AU$13))))</f>
        <v>1000000000000</v>
      </c>
      <c r="AV249" s="181">
        <f ca="1">IF($D249&lt;&gt;"Serviço",0,IF(AND(AUTOEVENTO="Manual",$M249=1),0,IF(OFFSET(CRONOPLE!$F$14,$M249,AV$13)="",10^12,OFFSET(CRONOPLE!$F$14,$M249,AV$13))))</f>
        <v>1000000000000</v>
      </c>
      <c r="AX249" s="182">
        <f ca="1">IF($D249&lt;&gt;"Serviço",0,IF(OR(AND(AUTOEVENTO="Manual",$M249=1),$M249&gt;(ROW(PLE.lastrow)-ROW(PLE.firstrow))),0,IF(OFFSET(PLE!$G$14,$M249,AX$13)="",10^12,OFFSET(PLE!$G$14,$M249,AX$13))))</f>
        <v>1000000000000</v>
      </c>
      <c r="AY249" s="182">
        <f ca="1">IF($D249&lt;&gt;"Serviço",0,IF(OR(AND(AUTOEVENTO="Manual",$M249=1),$M249&gt;(ROW(PLE.lastrow)-ROW(PLE.firstrow))),0,IF(OFFSET(PLE!$G$14,$M249,AY$13)="",10^12,OFFSET(PLE!$G$14,$M249,AY$13))))</f>
        <v>1000000000000</v>
      </c>
      <c r="AZ249" s="182">
        <f ca="1">IF($D249&lt;&gt;"Serviço",0,IF(OR(AND(AUTOEVENTO="Manual",$M249=1),$M249&gt;(ROW(PLE.lastrow)-ROW(PLE.firstrow))),0,IF(OFFSET(PLE!$G$14,$M249,AZ$13)="",10^12,OFFSET(PLE!$G$14,$M249,AZ$13))))</f>
        <v>1000000000000</v>
      </c>
      <c r="BA249" s="182">
        <f ca="1">IF($D249&lt;&gt;"Serviço",0,IF(OR(AND(AUTOEVENTO="Manual",$M249=1),$M249&gt;(ROW(PLE.lastrow)-ROW(PLE.firstrow))),0,IF(OFFSET(PLE!$G$14,$M249,BA$13)="",10^12,OFFSET(PLE!$G$14,$M249,BA$13))))</f>
        <v>1000000000000</v>
      </c>
      <c r="BB249" s="182">
        <f ca="1">IF($D249&lt;&gt;"Serviço",0,IF(OR(AND(AUTOEVENTO="Manual",$M249=1),$M249&gt;(ROW(PLE.lastrow)-ROW(PLE.firstrow))),0,IF(OFFSET(PLE!$G$14,$M249,BB$13)="",10^12,OFFSET(PLE!$G$14,$M249,BB$13))))</f>
        <v>1000000000000</v>
      </c>
      <c r="BC249" s="182">
        <f ca="1">IF($D249&lt;&gt;"Serviço",0,IF(OR(AND(AUTOEVENTO="Manual",$M249=1),$M249&gt;(ROW(PLE.lastrow)-ROW(PLE.firstrow))),0,IF(OFFSET(PLE!$G$14,$M249,BC$13)="",10^12,OFFSET(PLE!$G$14,$M249,BC$13))))</f>
        <v>1000000000000</v>
      </c>
      <c r="BD249" s="182">
        <f ca="1">IF($D249&lt;&gt;"Serviço",0,IF(OR(AND(AUTOEVENTO="Manual",$M249=1),$M249&gt;(ROW(PLE.lastrow)-ROW(PLE.firstrow))),0,IF(OFFSET(PLE!$G$14,$M249,BD$13)="",10^12,OFFSET(PLE!$G$14,$M249,BD$13))))</f>
        <v>1000000000000</v>
      </c>
      <c r="BE249" s="182">
        <f ca="1">IF($D249&lt;&gt;"Serviço",0,IF(OR(AND(AUTOEVENTO="Manual",$M249=1),$M249&gt;(ROW(PLE.lastrow)-ROW(PLE.firstrow))),0,IF(OFFSET(PLE!$G$14,$M249,BE$13)="",10^12,OFFSET(PLE!$G$14,$M249,BE$13))))</f>
        <v>1000000000000</v>
      </c>
      <c r="BF249" s="182">
        <f ca="1">IF($D249&lt;&gt;"Serviço",0,IF(OR(AND(AUTOEVENTO="Manual",$M249=1),$M249&gt;(ROW(PLE.lastrow)-ROW(PLE.firstrow))),0,IF(OFFSET(PLE!$G$14,$M249,BF$13)="",10^12,OFFSET(PLE!$G$14,$M249,BF$13))))</f>
        <v>1000000000000</v>
      </c>
      <c r="BG249" s="182">
        <f ca="1">IF($D249&lt;&gt;"Serviço",0,IF(OR(AND(AUTOEVENTO="Manual",$M249=1),$M249&gt;(ROW(PLE.lastrow)-ROW(PLE.firstrow))),0,IF(OFFSET(PLE!$G$14,$M249,BG$13)="",10^12,OFFSET(PLE!$G$14,$M249,BG$13))))</f>
        <v>1000000000000</v>
      </c>
    </row>
    <row r="250" spans="1:59" ht="12.75" x14ac:dyDescent="0.2">
      <c r="A250" s="7" t="str">
        <f t="shared" ca="1" si="11"/>
        <v>233</v>
      </c>
      <c r="B250" s="7" t="str">
        <f ca="1">OFFSET(ORÇAMENTO!C$15,ROW(B250)-ROW(B$15),0)</f>
        <v>S</v>
      </c>
      <c r="C250" s="7" t="str">
        <f ca="1">OFFSET(ORÇAMENTO!L$15,ROW(C250)-ROW(C$15),0)</f>
        <v/>
      </c>
      <c r="D250" s="118" t="str">
        <f ca="1">OFFSET(ORÇAMENTO!N$15,ROW(D250)-ROW(D$15),0)</f>
        <v>Serviço</v>
      </c>
      <c r="E250" s="119" t="str">
        <f ca="1">OFFSET(ORÇAMENTO!O$15,ROW(E250)-ROW(E$15),0)</f>
        <v>-</v>
      </c>
      <c r="F250" s="172" t="str">
        <f ca="1">OFFSET(ORÇAMENTO!R$15,ROW(F250)-ROW(F$15),0)</f>
        <v>(abra o arquivo 'Referência 03-2024.xlsm)</v>
      </c>
      <c r="G250" s="173" t="str">
        <f ca="1">IF($D250&lt;&gt;"Serviço","",OFFSET(ORÇAMENTO!S$15,ROW(G250)-ROW(G$15),0))</f>
        <v>-</v>
      </c>
      <c r="H250" s="124">
        <f ca="1">IF($D250&lt;&gt;"Serviço",0,IF(ACOMPANHAMENTO="BM",ROUND(OFFSET(ORÇAMENTO!AJ$15,ROW(H250)-ROW(H$15),0),15-13*ORÇAMENTO!$AF$7),SUMPRODUCT(($Q$12:$AA$12&lt;&gt;"")*ROUND($Q250:$AA250,15-13*ORÇAMENTO!$AF$7))))</f>
        <v>0</v>
      </c>
      <c r="I250" s="561"/>
      <c r="K250" s="174"/>
      <c r="L250" s="175" t="s">
        <v>255</v>
      </c>
      <c r="M250" s="176">
        <f ca="1">IF($D250&lt;&gt;"Serviço","",IF(AUTOEVENTO="manual",$A250,IF(ISERROR(MATCH($A250,$A$15:OFFSET($A250,-1,0),0)),MAX($M$15:OFFSET(M250,-1,0))+1,INDEX($M$15:OFFSET(M250,-1,0),MATCH($A250,$A$15:OFFSET($A250,-1,0),0)))))</f>
        <v>14</v>
      </c>
      <c r="N250" s="177" t="str">
        <f ca="1">IF($D250&lt;&gt;"Serviço","",IF(AUTOEVENTO="Manual",IF($A250=0,"&lt;-- defina o número do agrupador",OFFSET(EVENTOS!$D$14,$A250,0)),OFFSET($F$15,$A250,0)))</f>
        <v>SERVIÇOS FINAIS</v>
      </c>
      <c r="O250" s="178"/>
      <c r="Q250" s="178"/>
      <c r="R250" s="179"/>
      <c r="S250" s="179"/>
      <c r="T250" s="179"/>
      <c r="U250" s="179"/>
      <c r="V250" s="179"/>
      <c r="W250" s="179"/>
      <c r="X250" s="179"/>
      <c r="Y250" s="179"/>
      <c r="Z250" s="180"/>
      <c r="AB250" s="544">
        <f ca="1">IF(AND($D250="Serviço",AB$12&lt;&gt;0,$H250&gt;0,OR(AUTOEVENTO&lt;&gt;"manual",$M250&lt;&gt;1)),
IF(Import.TipoArredondamento&lt;&gt;"TransfereGOV",
ROUND(OFFSET($P250,0,AB$13),15-13*ORÇAMENTO!$AF$7)/$H250*OFFSET(ORÇAMENTO!$X$15,ROW(AB250)-ROW(AB$15),0),
ROUND(ROUND(OFFSET($P250,0,AB$13),15-13*ORÇAMENTO!$AF$7)*OFFSET(ORÇAMENTO!$W$15,ROW(AB250)-ROW(AB$15),0),15-13*ORÇAMENTO!$AF$11)),0)</f>
        <v>0</v>
      </c>
      <c r="AC250" s="545">
        <f ca="1">IF(AND($D250="Serviço",AC$12&lt;&gt;0,$H250&gt;0,OR(AUTOEVENTO&lt;&gt;"manual",$M250&lt;&gt;1)),
IF(Import.TipoArredondamento&lt;&gt;"TransfereGOV",
ROUND(OFFSET($P250,0,AC$13),15-13*ORÇAMENTO!$AF$7)/$H250*OFFSET(ORÇAMENTO!$X$15,ROW(AC250)-ROW(AC$15),0),
ROUND(ROUND(OFFSET($P250,0,AC$13),15-13*ORÇAMENTO!$AF$7)*OFFSET(ORÇAMENTO!$W$15,ROW(AC250)-ROW(AC$15),0),15-13*ORÇAMENTO!$AF$11)),0)</f>
        <v>0</v>
      </c>
      <c r="AD250" s="545">
        <f ca="1">IF(AND($D250="Serviço",AD$12&lt;&gt;0,$H250&gt;0,OR(AUTOEVENTO&lt;&gt;"manual",$M250&lt;&gt;1)),
IF(Import.TipoArredondamento&lt;&gt;"TransfereGOV",
ROUND(OFFSET($P250,0,AD$13),15-13*ORÇAMENTO!$AF$7)/$H250*OFFSET(ORÇAMENTO!$X$15,ROW(AD250)-ROW(AD$15),0),
ROUND(ROUND(OFFSET($P250,0,AD$13),15-13*ORÇAMENTO!$AF$7)*OFFSET(ORÇAMENTO!$W$15,ROW(AD250)-ROW(AD$15),0),15-13*ORÇAMENTO!$AF$11)),0)</f>
        <v>0</v>
      </c>
      <c r="AE250" s="545">
        <f ca="1">IF(AND($D250="Serviço",AE$12&lt;&gt;0,$H250&gt;0,OR(AUTOEVENTO&lt;&gt;"manual",$M250&lt;&gt;1)),
IF(Import.TipoArredondamento&lt;&gt;"TransfereGOV",
ROUND(OFFSET($P250,0,AE$13),15-13*ORÇAMENTO!$AF$7)/$H250*OFFSET(ORÇAMENTO!$X$15,ROW(AE250)-ROW(AE$15),0),
ROUND(ROUND(OFFSET($P250,0,AE$13),15-13*ORÇAMENTO!$AF$7)*OFFSET(ORÇAMENTO!$W$15,ROW(AE250)-ROW(AE$15),0),15-13*ORÇAMENTO!$AF$11)),0)</f>
        <v>0</v>
      </c>
      <c r="AF250" s="545">
        <f ca="1">IF(AND($D250="Serviço",AF$12&lt;&gt;0,$H250&gt;0,OR(AUTOEVENTO&lt;&gt;"manual",$M250&lt;&gt;1)),
IF(Import.TipoArredondamento&lt;&gt;"TransfereGOV",
ROUND(OFFSET($P250,0,AF$13),15-13*ORÇAMENTO!$AF$7)/$H250*OFFSET(ORÇAMENTO!$X$15,ROW(AF250)-ROW(AF$15),0),
ROUND(ROUND(OFFSET($P250,0,AF$13),15-13*ORÇAMENTO!$AF$7)*OFFSET(ORÇAMENTO!$W$15,ROW(AF250)-ROW(AF$15),0),15-13*ORÇAMENTO!$AF$11)),0)</f>
        <v>0</v>
      </c>
      <c r="AG250" s="545">
        <f ca="1">IF(AND($D250="Serviço",AG$12&lt;&gt;0,$H250&gt;0,OR(AUTOEVENTO&lt;&gt;"manual",$M250&lt;&gt;1)),
IF(Import.TipoArredondamento&lt;&gt;"TransfereGOV",
ROUND(OFFSET($P250,0,AG$13),15-13*ORÇAMENTO!$AF$7)/$H250*OFFSET(ORÇAMENTO!$X$15,ROW(AG250)-ROW(AG$15),0),
ROUND(ROUND(OFFSET($P250,0,AG$13),15-13*ORÇAMENTO!$AF$7)*OFFSET(ORÇAMENTO!$W$15,ROW(AG250)-ROW(AG$15),0),15-13*ORÇAMENTO!$AF$11)),0)</f>
        <v>0</v>
      </c>
      <c r="AH250" s="545">
        <f ca="1">IF(AND($D250="Serviço",AH$12&lt;&gt;0,$H250&gt;0,OR(AUTOEVENTO&lt;&gt;"manual",$M250&lt;&gt;1)),
IF(Import.TipoArredondamento&lt;&gt;"TransfereGOV",
ROUND(OFFSET($P250,0,AH$13),15-13*ORÇAMENTO!$AF$7)/$H250*OFFSET(ORÇAMENTO!$X$15,ROW(AH250)-ROW(AH$15),0),
ROUND(ROUND(OFFSET($P250,0,AH$13),15-13*ORÇAMENTO!$AF$7)*OFFSET(ORÇAMENTO!$W$15,ROW(AH250)-ROW(AH$15),0),15-13*ORÇAMENTO!$AF$11)),0)</f>
        <v>0</v>
      </c>
      <c r="AI250" s="545">
        <f ca="1">IF(AND($D250="Serviço",AI$12&lt;&gt;0,$H250&gt;0,OR(AUTOEVENTO&lt;&gt;"manual",$M250&lt;&gt;1)),
IF(Import.TipoArredondamento&lt;&gt;"TransfereGOV",
ROUND(OFFSET($P250,0,AI$13),15-13*ORÇAMENTO!$AF$7)/$H250*OFFSET(ORÇAMENTO!$X$15,ROW(AI250)-ROW(AI$15),0),
ROUND(ROUND(OFFSET($P250,0,AI$13),15-13*ORÇAMENTO!$AF$7)*OFFSET(ORÇAMENTO!$W$15,ROW(AI250)-ROW(AI$15),0),15-13*ORÇAMENTO!$AF$11)),0)</f>
        <v>0</v>
      </c>
      <c r="AJ250" s="545">
        <f ca="1">IF(AND($D250="Serviço",AJ$12&lt;&gt;0,$H250&gt;0,OR(AUTOEVENTO&lt;&gt;"manual",$M250&lt;&gt;1)),
IF(Import.TipoArredondamento&lt;&gt;"TransfereGOV",
ROUND(OFFSET($P250,0,AJ$13),15-13*ORÇAMENTO!$AF$7)/$H250*OFFSET(ORÇAMENTO!$X$15,ROW(AJ250)-ROW(AJ$15),0),
ROUND(ROUND(OFFSET($P250,0,AJ$13),15-13*ORÇAMENTO!$AF$7)*OFFSET(ORÇAMENTO!$W$15,ROW(AJ250)-ROW(AJ$15),0),15-13*ORÇAMENTO!$AF$11)),0)</f>
        <v>0</v>
      </c>
      <c r="AK250" s="546">
        <f ca="1">IF(AND($D250="Serviço",AK$12&lt;&gt;0,$H250&gt;0,OR(AUTOEVENTO&lt;&gt;"manual",$M250&lt;&gt;1)),
IF(Import.TipoArredondamento&lt;&gt;"TransfereGOV",
ROUND(OFFSET($P250,0,AK$13),15-13*ORÇAMENTO!$AF$7)/$H250*OFFSET(ORÇAMENTO!$X$15,ROW(AK250)-ROW(AK$15),0),
ROUND(ROUND(OFFSET($P250,0,AK$13),15-13*ORÇAMENTO!$AF$7)*OFFSET(ORÇAMENTO!$W$15,ROW(AK250)-ROW(AK$15),0),15-13*ORÇAMENTO!$AF$11)),0)</f>
        <v>0</v>
      </c>
      <c r="AM250" s="181">
        <f ca="1">IF($D250&lt;&gt;"Serviço",0,IF(AND(AUTOEVENTO="Manual",$M250=1),0,IF(OFFSET(CRONOPLE!$F$14,$M250,AM$13)="",10^12,OFFSET(CRONOPLE!$F$14,$M250,AM$13))))</f>
        <v>1000000000000</v>
      </c>
      <c r="AN250" s="181">
        <f ca="1">IF($D250&lt;&gt;"Serviço",0,IF(AND(AUTOEVENTO="Manual",$M250=1),0,IF(OFFSET(CRONOPLE!$F$14,$M250,AN$13)="",10^12,OFFSET(CRONOPLE!$F$14,$M250,AN$13))))</f>
        <v>1000000000000</v>
      </c>
      <c r="AO250" s="181">
        <f ca="1">IF($D250&lt;&gt;"Serviço",0,IF(AND(AUTOEVENTO="Manual",$M250=1),0,IF(OFFSET(CRONOPLE!$F$14,$M250,AO$13)="",10^12,OFFSET(CRONOPLE!$F$14,$M250,AO$13))))</f>
        <v>1000000000000</v>
      </c>
      <c r="AP250" s="181">
        <f ca="1">IF($D250&lt;&gt;"Serviço",0,IF(AND(AUTOEVENTO="Manual",$M250=1),0,IF(OFFSET(CRONOPLE!$F$14,$M250,AP$13)="",10^12,OFFSET(CRONOPLE!$F$14,$M250,AP$13))))</f>
        <v>1000000000000</v>
      </c>
      <c r="AQ250" s="181">
        <f ca="1">IF($D250&lt;&gt;"Serviço",0,IF(AND(AUTOEVENTO="Manual",$M250=1),0,IF(OFFSET(CRONOPLE!$F$14,$M250,AQ$13)="",10^12,OFFSET(CRONOPLE!$F$14,$M250,AQ$13))))</f>
        <v>1000000000000</v>
      </c>
      <c r="AR250" s="181">
        <f ca="1">IF($D250&lt;&gt;"Serviço",0,IF(AND(AUTOEVENTO="Manual",$M250=1),0,IF(OFFSET(CRONOPLE!$F$14,$M250,AR$13)="",10^12,OFFSET(CRONOPLE!$F$14,$M250,AR$13))))</f>
        <v>1000000000000</v>
      </c>
      <c r="AS250" s="181">
        <f ca="1">IF($D250&lt;&gt;"Serviço",0,IF(AND(AUTOEVENTO="Manual",$M250=1),0,IF(OFFSET(CRONOPLE!$F$14,$M250,AS$13)="",10^12,OFFSET(CRONOPLE!$F$14,$M250,AS$13))))</f>
        <v>1000000000000</v>
      </c>
      <c r="AT250" s="181">
        <f ca="1">IF($D250&lt;&gt;"Serviço",0,IF(AND(AUTOEVENTO="Manual",$M250=1),0,IF(OFFSET(CRONOPLE!$F$14,$M250,AT$13)="",10^12,OFFSET(CRONOPLE!$F$14,$M250,AT$13))))</f>
        <v>1000000000000</v>
      </c>
      <c r="AU250" s="181">
        <f ca="1">IF($D250&lt;&gt;"Serviço",0,IF(AND(AUTOEVENTO="Manual",$M250=1),0,IF(OFFSET(CRONOPLE!$F$14,$M250,AU$13)="",10^12,OFFSET(CRONOPLE!$F$14,$M250,AU$13))))</f>
        <v>1000000000000</v>
      </c>
      <c r="AV250" s="181">
        <f ca="1">IF($D250&lt;&gt;"Serviço",0,IF(AND(AUTOEVENTO="Manual",$M250=1),0,IF(OFFSET(CRONOPLE!$F$14,$M250,AV$13)="",10^12,OFFSET(CRONOPLE!$F$14,$M250,AV$13))))</f>
        <v>1000000000000</v>
      </c>
      <c r="AX250" s="182">
        <f ca="1">IF($D250&lt;&gt;"Serviço",0,IF(OR(AND(AUTOEVENTO="Manual",$M250=1),$M250&gt;(ROW(PLE.lastrow)-ROW(PLE.firstrow))),0,IF(OFFSET(PLE!$G$14,$M250,AX$13)="",10^12,OFFSET(PLE!$G$14,$M250,AX$13))))</f>
        <v>1000000000000</v>
      </c>
      <c r="AY250" s="182">
        <f ca="1">IF($D250&lt;&gt;"Serviço",0,IF(OR(AND(AUTOEVENTO="Manual",$M250=1),$M250&gt;(ROW(PLE.lastrow)-ROW(PLE.firstrow))),0,IF(OFFSET(PLE!$G$14,$M250,AY$13)="",10^12,OFFSET(PLE!$G$14,$M250,AY$13))))</f>
        <v>1000000000000</v>
      </c>
      <c r="AZ250" s="182">
        <f ca="1">IF($D250&lt;&gt;"Serviço",0,IF(OR(AND(AUTOEVENTO="Manual",$M250=1),$M250&gt;(ROW(PLE.lastrow)-ROW(PLE.firstrow))),0,IF(OFFSET(PLE!$G$14,$M250,AZ$13)="",10^12,OFFSET(PLE!$G$14,$M250,AZ$13))))</f>
        <v>1000000000000</v>
      </c>
      <c r="BA250" s="182">
        <f ca="1">IF($D250&lt;&gt;"Serviço",0,IF(OR(AND(AUTOEVENTO="Manual",$M250=1),$M250&gt;(ROW(PLE.lastrow)-ROW(PLE.firstrow))),0,IF(OFFSET(PLE!$G$14,$M250,BA$13)="",10^12,OFFSET(PLE!$G$14,$M250,BA$13))))</f>
        <v>1000000000000</v>
      </c>
      <c r="BB250" s="182">
        <f ca="1">IF($D250&lt;&gt;"Serviço",0,IF(OR(AND(AUTOEVENTO="Manual",$M250=1),$M250&gt;(ROW(PLE.lastrow)-ROW(PLE.firstrow))),0,IF(OFFSET(PLE!$G$14,$M250,BB$13)="",10^12,OFFSET(PLE!$G$14,$M250,BB$13))))</f>
        <v>1000000000000</v>
      </c>
      <c r="BC250" s="182">
        <f ca="1">IF($D250&lt;&gt;"Serviço",0,IF(OR(AND(AUTOEVENTO="Manual",$M250=1),$M250&gt;(ROW(PLE.lastrow)-ROW(PLE.firstrow))),0,IF(OFFSET(PLE!$G$14,$M250,BC$13)="",10^12,OFFSET(PLE!$G$14,$M250,BC$13))))</f>
        <v>1000000000000</v>
      </c>
      <c r="BD250" s="182">
        <f ca="1">IF($D250&lt;&gt;"Serviço",0,IF(OR(AND(AUTOEVENTO="Manual",$M250=1),$M250&gt;(ROW(PLE.lastrow)-ROW(PLE.firstrow))),0,IF(OFFSET(PLE!$G$14,$M250,BD$13)="",10^12,OFFSET(PLE!$G$14,$M250,BD$13))))</f>
        <v>1000000000000</v>
      </c>
      <c r="BE250" s="182">
        <f ca="1">IF($D250&lt;&gt;"Serviço",0,IF(OR(AND(AUTOEVENTO="Manual",$M250=1),$M250&gt;(ROW(PLE.lastrow)-ROW(PLE.firstrow))),0,IF(OFFSET(PLE!$G$14,$M250,BE$13)="",10^12,OFFSET(PLE!$G$14,$M250,BE$13))))</f>
        <v>1000000000000</v>
      </c>
      <c r="BF250" s="182">
        <f ca="1">IF($D250&lt;&gt;"Serviço",0,IF(OR(AND(AUTOEVENTO="Manual",$M250=1),$M250&gt;(ROW(PLE.lastrow)-ROW(PLE.firstrow))),0,IF(OFFSET(PLE!$G$14,$M250,BF$13)="",10^12,OFFSET(PLE!$G$14,$M250,BF$13))))</f>
        <v>1000000000000</v>
      </c>
      <c r="BG250" s="182">
        <f ca="1">IF($D250&lt;&gt;"Serviço",0,IF(OR(AND(AUTOEVENTO="Manual",$M250=1),$M250&gt;(ROW(PLE.lastrow)-ROW(PLE.firstrow))),0,IF(OFFSET(PLE!$G$14,$M250,BG$13)="",10^12,OFFSET(PLE!$G$14,$M250,BG$13))))</f>
        <v>1000000000000</v>
      </c>
    </row>
    <row r="251" spans="1:59" ht="12.75" x14ac:dyDescent="0.2">
      <c r="A251" s="7" t="str">
        <f t="shared" ca="1" si="11"/>
        <v>233</v>
      </c>
      <c r="B251" s="7" t="str">
        <f ca="1">OFFSET(ORÇAMENTO!C$15,ROW(B251)-ROW(B$15),0)</f>
        <v>S</v>
      </c>
      <c r="C251" s="7" t="str">
        <f ca="1">OFFSET(ORÇAMENTO!L$15,ROW(C251)-ROW(C$15),0)</f>
        <v/>
      </c>
      <c r="D251" s="118" t="str">
        <f ca="1">OFFSET(ORÇAMENTO!N$15,ROW(D251)-ROW(D$15),0)</f>
        <v>Serviço</v>
      </c>
      <c r="E251" s="119" t="str">
        <f ca="1">OFFSET(ORÇAMENTO!O$15,ROW(E251)-ROW(E$15),0)</f>
        <v>-</v>
      </c>
      <c r="F251" s="172" t="str">
        <f ca="1">OFFSET(ORÇAMENTO!R$15,ROW(F251)-ROW(F$15),0)</f>
        <v>(abra o arquivo 'Referência 03-2024.xlsm)</v>
      </c>
      <c r="G251" s="173" t="str">
        <f ca="1">IF($D251&lt;&gt;"Serviço","",OFFSET(ORÇAMENTO!S$15,ROW(G251)-ROW(G$15),0))</f>
        <v>-</v>
      </c>
      <c r="H251" s="124">
        <f ca="1">IF($D251&lt;&gt;"Serviço",0,IF(ACOMPANHAMENTO="BM",ROUND(OFFSET(ORÇAMENTO!AJ$15,ROW(H251)-ROW(H$15),0),15-13*ORÇAMENTO!$AF$7),SUMPRODUCT(($Q$12:$AA$12&lt;&gt;"")*ROUND($Q251:$AA251,15-13*ORÇAMENTO!$AF$7))))</f>
        <v>0</v>
      </c>
      <c r="I251" s="561"/>
      <c r="K251" s="174"/>
      <c r="L251" s="175" t="s">
        <v>255</v>
      </c>
      <c r="M251" s="176">
        <f ca="1">IF($D251&lt;&gt;"Serviço","",IF(AUTOEVENTO="manual",$A251,IF(ISERROR(MATCH($A251,$A$15:OFFSET($A251,-1,0),0)),MAX($M$15:OFFSET(M251,-1,0))+1,INDEX($M$15:OFFSET(M251,-1,0),MATCH($A251,$A$15:OFFSET($A251,-1,0),0)))))</f>
        <v>14</v>
      </c>
      <c r="N251" s="177" t="str">
        <f ca="1">IF($D251&lt;&gt;"Serviço","",IF(AUTOEVENTO="Manual",IF($A251=0,"&lt;-- defina o número do agrupador",OFFSET(EVENTOS!$D$14,$A251,0)),OFFSET($F$15,$A251,0)))</f>
        <v>SERVIÇOS FINAIS</v>
      </c>
      <c r="O251" s="178"/>
      <c r="Q251" s="178"/>
      <c r="R251" s="179"/>
      <c r="S251" s="179"/>
      <c r="T251" s="179"/>
      <c r="U251" s="179"/>
      <c r="V251" s="179"/>
      <c r="W251" s="179"/>
      <c r="X251" s="179"/>
      <c r="Y251" s="179"/>
      <c r="Z251" s="180"/>
      <c r="AB251" s="544">
        <f ca="1">IF(AND($D251="Serviço",AB$12&lt;&gt;0,$H251&gt;0,OR(AUTOEVENTO&lt;&gt;"manual",$M251&lt;&gt;1)),
IF(Import.TipoArredondamento&lt;&gt;"TransfereGOV",
ROUND(OFFSET($P251,0,AB$13),15-13*ORÇAMENTO!$AF$7)/$H251*OFFSET(ORÇAMENTO!$X$15,ROW(AB251)-ROW(AB$15),0),
ROUND(ROUND(OFFSET($P251,0,AB$13),15-13*ORÇAMENTO!$AF$7)*OFFSET(ORÇAMENTO!$W$15,ROW(AB251)-ROW(AB$15),0),15-13*ORÇAMENTO!$AF$11)),0)</f>
        <v>0</v>
      </c>
      <c r="AC251" s="545">
        <f ca="1">IF(AND($D251="Serviço",AC$12&lt;&gt;0,$H251&gt;0,OR(AUTOEVENTO&lt;&gt;"manual",$M251&lt;&gt;1)),
IF(Import.TipoArredondamento&lt;&gt;"TransfereGOV",
ROUND(OFFSET($P251,0,AC$13),15-13*ORÇAMENTO!$AF$7)/$H251*OFFSET(ORÇAMENTO!$X$15,ROW(AC251)-ROW(AC$15),0),
ROUND(ROUND(OFFSET($P251,0,AC$13),15-13*ORÇAMENTO!$AF$7)*OFFSET(ORÇAMENTO!$W$15,ROW(AC251)-ROW(AC$15),0),15-13*ORÇAMENTO!$AF$11)),0)</f>
        <v>0</v>
      </c>
      <c r="AD251" s="545">
        <f ca="1">IF(AND($D251="Serviço",AD$12&lt;&gt;0,$H251&gt;0,OR(AUTOEVENTO&lt;&gt;"manual",$M251&lt;&gt;1)),
IF(Import.TipoArredondamento&lt;&gt;"TransfereGOV",
ROUND(OFFSET($P251,0,AD$13),15-13*ORÇAMENTO!$AF$7)/$H251*OFFSET(ORÇAMENTO!$X$15,ROW(AD251)-ROW(AD$15),0),
ROUND(ROUND(OFFSET($P251,0,AD$13),15-13*ORÇAMENTO!$AF$7)*OFFSET(ORÇAMENTO!$W$15,ROW(AD251)-ROW(AD$15),0),15-13*ORÇAMENTO!$AF$11)),0)</f>
        <v>0</v>
      </c>
      <c r="AE251" s="545">
        <f ca="1">IF(AND($D251="Serviço",AE$12&lt;&gt;0,$H251&gt;0,OR(AUTOEVENTO&lt;&gt;"manual",$M251&lt;&gt;1)),
IF(Import.TipoArredondamento&lt;&gt;"TransfereGOV",
ROUND(OFFSET($P251,0,AE$13),15-13*ORÇAMENTO!$AF$7)/$H251*OFFSET(ORÇAMENTO!$X$15,ROW(AE251)-ROW(AE$15),0),
ROUND(ROUND(OFFSET($P251,0,AE$13),15-13*ORÇAMENTO!$AF$7)*OFFSET(ORÇAMENTO!$W$15,ROW(AE251)-ROW(AE$15),0),15-13*ORÇAMENTO!$AF$11)),0)</f>
        <v>0</v>
      </c>
      <c r="AF251" s="545">
        <f ca="1">IF(AND($D251="Serviço",AF$12&lt;&gt;0,$H251&gt;0,OR(AUTOEVENTO&lt;&gt;"manual",$M251&lt;&gt;1)),
IF(Import.TipoArredondamento&lt;&gt;"TransfereGOV",
ROUND(OFFSET($P251,0,AF$13),15-13*ORÇAMENTO!$AF$7)/$H251*OFFSET(ORÇAMENTO!$X$15,ROW(AF251)-ROW(AF$15),0),
ROUND(ROUND(OFFSET($P251,0,AF$13),15-13*ORÇAMENTO!$AF$7)*OFFSET(ORÇAMENTO!$W$15,ROW(AF251)-ROW(AF$15),0),15-13*ORÇAMENTO!$AF$11)),0)</f>
        <v>0</v>
      </c>
      <c r="AG251" s="545">
        <f ca="1">IF(AND($D251="Serviço",AG$12&lt;&gt;0,$H251&gt;0,OR(AUTOEVENTO&lt;&gt;"manual",$M251&lt;&gt;1)),
IF(Import.TipoArredondamento&lt;&gt;"TransfereGOV",
ROUND(OFFSET($P251,0,AG$13),15-13*ORÇAMENTO!$AF$7)/$H251*OFFSET(ORÇAMENTO!$X$15,ROW(AG251)-ROW(AG$15),0),
ROUND(ROUND(OFFSET($P251,0,AG$13),15-13*ORÇAMENTO!$AF$7)*OFFSET(ORÇAMENTO!$W$15,ROW(AG251)-ROW(AG$15),0),15-13*ORÇAMENTO!$AF$11)),0)</f>
        <v>0</v>
      </c>
      <c r="AH251" s="545">
        <f ca="1">IF(AND($D251="Serviço",AH$12&lt;&gt;0,$H251&gt;0,OR(AUTOEVENTO&lt;&gt;"manual",$M251&lt;&gt;1)),
IF(Import.TipoArredondamento&lt;&gt;"TransfereGOV",
ROUND(OFFSET($P251,0,AH$13),15-13*ORÇAMENTO!$AF$7)/$H251*OFFSET(ORÇAMENTO!$X$15,ROW(AH251)-ROW(AH$15),0),
ROUND(ROUND(OFFSET($P251,0,AH$13),15-13*ORÇAMENTO!$AF$7)*OFFSET(ORÇAMENTO!$W$15,ROW(AH251)-ROW(AH$15),0),15-13*ORÇAMENTO!$AF$11)),0)</f>
        <v>0</v>
      </c>
      <c r="AI251" s="545">
        <f ca="1">IF(AND($D251="Serviço",AI$12&lt;&gt;0,$H251&gt;0,OR(AUTOEVENTO&lt;&gt;"manual",$M251&lt;&gt;1)),
IF(Import.TipoArredondamento&lt;&gt;"TransfereGOV",
ROUND(OFFSET($P251,0,AI$13),15-13*ORÇAMENTO!$AF$7)/$H251*OFFSET(ORÇAMENTO!$X$15,ROW(AI251)-ROW(AI$15),0),
ROUND(ROUND(OFFSET($P251,0,AI$13),15-13*ORÇAMENTO!$AF$7)*OFFSET(ORÇAMENTO!$W$15,ROW(AI251)-ROW(AI$15),0),15-13*ORÇAMENTO!$AF$11)),0)</f>
        <v>0</v>
      </c>
      <c r="AJ251" s="545">
        <f ca="1">IF(AND($D251="Serviço",AJ$12&lt;&gt;0,$H251&gt;0,OR(AUTOEVENTO&lt;&gt;"manual",$M251&lt;&gt;1)),
IF(Import.TipoArredondamento&lt;&gt;"TransfereGOV",
ROUND(OFFSET($P251,0,AJ$13),15-13*ORÇAMENTO!$AF$7)/$H251*OFFSET(ORÇAMENTO!$X$15,ROW(AJ251)-ROW(AJ$15),0),
ROUND(ROUND(OFFSET($P251,0,AJ$13),15-13*ORÇAMENTO!$AF$7)*OFFSET(ORÇAMENTO!$W$15,ROW(AJ251)-ROW(AJ$15),0),15-13*ORÇAMENTO!$AF$11)),0)</f>
        <v>0</v>
      </c>
      <c r="AK251" s="546">
        <f ca="1">IF(AND($D251="Serviço",AK$12&lt;&gt;0,$H251&gt;0,OR(AUTOEVENTO&lt;&gt;"manual",$M251&lt;&gt;1)),
IF(Import.TipoArredondamento&lt;&gt;"TransfereGOV",
ROUND(OFFSET($P251,0,AK$13),15-13*ORÇAMENTO!$AF$7)/$H251*OFFSET(ORÇAMENTO!$X$15,ROW(AK251)-ROW(AK$15),0),
ROUND(ROUND(OFFSET($P251,0,AK$13),15-13*ORÇAMENTO!$AF$7)*OFFSET(ORÇAMENTO!$W$15,ROW(AK251)-ROW(AK$15),0),15-13*ORÇAMENTO!$AF$11)),0)</f>
        <v>0</v>
      </c>
      <c r="AM251" s="181">
        <f ca="1">IF($D251&lt;&gt;"Serviço",0,IF(AND(AUTOEVENTO="Manual",$M251=1),0,IF(OFFSET(CRONOPLE!$F$14,$M251,AM$13)="",10^12,OFFSET(CRONOPLE!$F$14,$M251,AM$13))))</f>
        <v>1000000000000</v>
      </c>
      <c r="AN251" s="181">
        <f ca="1">IF($D251&lt;&gt;"Serviço",0,IF(AND(AUTOEVENTO="Manual",$M251=1),0,IF(OFFSET(CRONOPLE!$F$14,$M251,AN$13)="",10^12,OFFSET(CRONOPLE!$F$14,$M251,AN$13))))</f>
        <v>1000000000000</v>
      </c>
      <c r="AO251" s="181">
        <f ca="1">IF($D251&lt;&gt;"Serviço",0,IF(AND(AUTOEVENTO="Manual",$M251=1),0,IF(OFFSET(CRONOPLE!$F$14,$M251,AO$13)="",10^12,OFFSET(CRONOPLE!$F$14,$M251,AO$13))))</f>
        <v>1000000000000</v>
      </c>
      <c r="AP251" s="181">
        <f ca="1">IF($D251&lt;&gt;"Serviço",0,IF(AND(AUTOEVENTO="Manual",$M251=1),0,IF(OFFSET(CRONOPLE!$F$14,$M251,AP$13)="",10^12,OFFSET(CRONOPLE!$F$14,$M251,AP$13))))</f>
        <v>1000000000000</v>
      </c>
      <c r="AQ251" s="181">
        <f ca="1">IF($D251&lt;&gt;"Serviço",0,IF(AND(AUTOEVENTO="Manual",$M251=1),0,IF(OFFSET(CRONOPLE!$F$14,$M251,AQ$13)="",10^12,OFFSET(CRONOPLE!$F$14,$M251,AQ$13))))</f>
        <v>1000000000000</v>
      </c>
      <c r="AR251" s="181">
        <f ca="1">IF($D251&lt;&gt;"Serviço",0,IF(AND(AUTOEVENTO="Manual",$M251=1),0,IF(OFFSET(CRONOPLE!$F$14,$M251,AR$13)="",10^12,OFFSET(CRONOPLE!$F$14,$M251,AR$13))))</f>
        <v>1000000000000</v>
      </c>
      <c r="AS251" s="181">
        <f ca="1">IF($D251&lt;&gt;"Serviço",0,IF(AND(AUTOEVENTO="Manual",$M251=1),0,IF(OFFSET(CRONOPLE!$F$14,$M251,AS$13)="",10^12,OFFSET(CRONOPLE!$F$14,$M251,AS$13))))</f>
        <v>1000000000000</v>
      </c>
      <c r="AT251" s="181">
        <f ca="1">IF($D251&lt;&gt;"Serviço",0,IF(AND(AUTOEVENTO="Manual",$M251=1),0,IF(OFFSET(CRONOPLE!$F$14,$M251,AT$13)="",10^12,OFFSET(CRONOPLE!$F$14,$M251,AT$13))))</f>
        <v>1000000000000</v>
      </c>
      <c r="AU251" s="181">
        <f ca="1">IF($D251&lt;&gt;"Serviço",0,IF(AND(AUTOEVENTO="Manual",$M251=1),0,IF(OFFSET(CRONOPLE!$F$14,$M251,AU$13)="",10^12,OFFSET(CRONOPLE!$F$14,$M251,AU$13))))</f>
        <v>1000000000000</v>
      </c>
      <c r="AV251" s="181">
        <f ca="1">IF($D251&lt;&gt;"Serviço",0,IF(AND(AUTOEVENTO="Manual",$M251=1),0,IF(OFFSET(CRONOPLE!$F$14,$M251,AV$13)="",10^12,OFFSET(CRONOPLE!$F$14,$M251,AV$13))))</f>
        <v>1000000000000</v>
      </c>
      <c r="AX251" s="182">
        <f ca="1">IF($D251&lt;&gt;"Serviço",0,IF(OR(AND(AUTOEVENTO="Manual",$M251=1),$M251&gt;(ROW(PLE.lastrow)-ROW(PLE.firstrow))),0,IF(OFFSET(PLE!$G$14,$M251,AX$13)="",10^12,OFFSET(PLE!$G$14,$M251,AX$13))))</f>
        <v>1000000000000</v>
      </c>
      <c r="AY251" s="182">
        <f ca="1">IF($D251&lt;&gt;"Serviço",0,IF(OR(AND(AUTOEVENTO="Manual",$M251=1),$M251&gt;(ROW(PLE.lastrow)-ROW(PLE.firstrow))),0,IF(OFFSET(PLE!$G$14,$M251,AY$13)="",10^12,OFFSET(PLE!$G$14,$M251,AY$13))))</f>
        <v>1000000000000</v>
      </c>
      <c r="AZ251" s="182">
        <f ca="1">IF($D251&lt;&gt;"Serviço",0,IF(OR(AND(AUTOEVENTO="Manual",$M251=1),$M251&gt;(ROW(PLE.lastrow)-ROW(PLE.firstrow))),0,IF(OFFSET(PLE!$G$14,$M251,AZ$13)="",10^12,OFFSET(PLE!$G$14,$M251,AZ$13))))</f>
        <v>1000000000000</v>
      </c>
      <c r="BA251" s="182">
        <f ca="1">IF($D251&lt;&gt;"Serviço",0,IF(OR(AND(AUTOEVENTO="Manual",$M251=1),$M251&gt;(ROW(PLE.lastrow)-ROW(PLE.firstrow))),0,IF(OFFSET(PLE!$G$14,$M251,BA$13)="",10^12,OFFSET(PLE!$G$14,$M251,BA$13))))</f>
        <v>1000000000000</v>
      </c>
      <c r="BB251" s="182">
        <f ca="1">IF($D251&lt;&gt;"Serviço",0,IF(OR(AND(AUTOEVENTO="Manual",$M251=1),$M251&gt;(ROW(PLE.lastrow)-ROW(PLE.firstrow))),0,IF(OFFSET(PLE!$G$14,$M251,BB$13)="",10^12,OFFSET(PLE!$G$14,$M251,BB$13))))</f>
        <v>1000000000000</v>
      </c>
      <c r="BC251" s="182">
        <f ca="1">IF($D251&lt;&gt;"Serviço",0,IF(OR(AND(AUTOEVENTO="Manual",$M251=1),$M251&gt;(ROW(PLE.lastrow)-ROW(PLE.firstrow))),0,IF(OFFSET(PLE!$G$14,$M251,BC$13)="",10^12,OFFSET(PLE!$G$14,$M251,BC$13))))</f>
        <v>1000000000000</v>
      </c>
      <c r="BD251" s="182">
        <f ca="1">IF($D251&lt;&gt;"Serviço",0,IF(OR(AND(AUTOEVENTO="Manual",$M251=1),$M251&gt;(ROW(PLE.lastrow)-ROW(PLE.firstrow))),0,IF(OFFSET(PLE!$G$14,$M251,BD$13)="",10^12,OFFSET(PLE!$G$14,$M251,BD$13))))</f>
        <v>1000000000000</v>
      </c>
      <c r="BE251" s="182">
        <f ca="1">IF($D251&lt;&gt;"Serviço",0,IF(OR(AND(AUTOEVENTO="Manual",$M251=1),$M251&gt;(ROW(PLE.lastrow)-ROW(PLE.firstrow))),0,IF(OFFSET(PLE!$G$14,$M251,BE$13)="",10^12,OFFSET(PLE!$G$14,$M251,BE$13))))</f>
        <v>1000000000000</v>
      </c>
      <c r="BF251" s="182">
        <f ca="1">IF($D251&lt;&gt;"Serviço",0,IF(OR(AND(AUTOEVENTO="Manual",$M251=1),$M251&gt;(ROW(PLE.lastrow)-ROW(PLE.firstrow))),0,IF(OFFSET(PLE!$G$14,$M251,BF$13)="",10^12,OFFSET(PLE!$G$14,$M251,BF$13))))</f>
        <v>1000000000000</v>
      </c>
      <c r="BG251" s="182">
        <f ca="1">IF($D251&lt;&gt;"Serviço",0,IF(OR(AND(AUTOEVENTO="Manual",$M251=1),$M251&gt;(ROW(PLE.lastrow)-ROW(PLE.firstrow))),0,IF(OFFSET(PLE!$G$14,$M251,BG$13)="",10^12,OFFSET(PLE!$G$14,$M251,BG$13))))</f>
        <v>1000000000000</v>
      </c>
    </row>
    <row r="252" spans="1:59" ht="12.75" x14ac:dyDescent="0.2">
      <c r="A252" s="7" t="str">
        <f t="shared" ca="1" si="11"/>
        <v>233</v>
      </c>
      <c r="B252" s="7" t="str">
        <f ca="1">OFFSET(ORÇAMENTO!C$15,ROW(B252)-ROW(B$15),0)</f>
        <v>S</v>
      </c>
      <c r="C252" s="7" t="str">
        <f ca="1">OFFSET(ORÇAMENTO!L$15,ROW(C252)-ROW(C$15),0)</f>
        <v/>
      </c>
      <c r="D252" s="118" t="str">
        <f ca="1">OFFSET(ORÇAMENTO!N$15,ROW(D252)-ROW(D$15),0)</f>
        <v>Serviço</v>
      </c>
      <c r="E252" s="119" t="str">
        <f ca="1">OFFSET(ORÇAMENTO!O$15,ROW(E252)-ROW(E$15),0)</f>
        <v>-</v>
      </c>
      <c r="F252" s="172" t="str">
        <f ca="1">OFFSET(ORÇAMENTO!R$15,ROW(F252)-ROW(F$15),0)</f>
        <v>(abra o arquivo 'Referência 03-2024.xlsm)</v>
      </c>
      <c r="G252" s="173" t="str">
        <f ca="1">IF($D252&lt;&gt;"Serviço","",OFFSET(ORÇAMENTO!S$15,ROW(G252)-ROW(G$15),0))</f>
        <v>-</v>
      </c>
      <c r="H252" s="124">
        <f ca="1">IF($D252&lt;&gt;"Serviço",0,IF(ACOMPANHAMENTO="BM",ROUND(OFFSET(ORÇAMENTO!AJ$15,ROW(H252)-ROW(H$15),0),15-13*ORÇAMENTO!$AF$7),SUMPRODUCT(($Q$12:$AA$12&lt;&gt;"")*ROUND($Q252:$AA252,15-13*ORÇAMENTO!$AF$7))))</f>
        <v>0</v>
      </c>
      <c r="I252" s="561"/>
      <c r="K252" s="174"/>
      <c r="L252" s="175" t="s">
        <v>255</v>
      </c>
      <c r="M252" s="176">
        <f ca="1">IF($D252&lt;&gt;"Serviço","",IF(AUTOEVENTO="manual",$A252,IF(ISERROR(MATCH($A252,$A$15:OFFSET($A252,-1,0),0)),MAX($M$15:OFFSET(M252,-1,0))+1,INDEX($M$15:OFFSET(M252,-1,0),MATCH($A252,$A$15:OFFSET($A252,-1,0),0)))))</f>
        <v>14</v>
      </c>
      <c r="N252" s="177" t="str">
        <f ca="1">IF($D252&lt;&gt;"Serviço","",IF(AUTOEVENTO="Manual",IF($A252=0,"&lt;-- defina o número do agrupador",OFFSET(EVENTOS!$D$14,$A252,0)),OFFSET($F$15,$A252,0)))</f>
        <v>SERVIÇOS FINAIS</v>
      </c>
      <c r="O252" s="178"/>
      <c r="Q252" s="178"/>
      <c r="R252" s="179"/>
      <c r="S252" s="179"/>
      <c r="T252" s="179"/>
      <c r="U252" s="179"/>
      <c r="V252" s="179"/>
      <c r="W252" s="179"/>
      <c r="X252" s="179"/>
      <c r="Y252" s="179"/>
      <c r="Z252" s="180"/>
      <c r="AB252" s="544">
        <f ca="1">IF(AND($D252="Serviço",AB$12&lt;&gt;0,$H252&gt;0,OR(AUTOEVENTO&lt;&gt;"manual",$M252&lt;&gt;1)),
IF(Import.TipoArredondamento&lt;&gt;"TransfereGOV",
ROUND(OFFSET($P252,0,AB$13),15-13*ORÇAMENTO!$AF$7)/$H252*OFFSET(ORÇAMENTO!$X$15,ROW(AB252)-ROW(AB$15),0),
ROUND(ROUND(OFFSET($P252,0,AB$13),15-13*ORÇAMENTO!$AF$7)*OFFSET(ORÇAMENTO!$W$15,ROW(AB252)-ROW(AB$15),0),15-13*ORÇAMENTO!$AF$11)),0)</f>
        <v>0</v>
      </c>
      <c r="AC252" s="545">
        <f ca="1">IF(AND($D252="Serviço",AC$12&lt;&gt;0,$H252&gt;0,OR(AUTOEVENTO&lt;&gt;"manual",$M252&lt;&gt;1)),
IF(Import.TipoArredondamento&lt;&gt;"TransfereGOV",
ROUND(OFFSET($P252,0,AC$13),15-13*ORÇAMENTO!$AF$7)/$H252*OFFSET(ORÇAMENTO!$X$15,ROW(AC252)-ROW(AC$15),0),
ROUND(ROUND(OFFSET($P252,0,AC$13),15-13*ORÇAMENTO!$AF$7)*OFFSET(ORÇAMENTO!$W$15,ROW(AC252)-ROW(AC$15),0),15-13*ORÇAMENTO!$AF$11)),0)</f>
        <v>0</v>
      </c>
      <c r="AD252" s="545">
        <f ca="1">IF(AND($D252="Serviço",AD$12&lt;&gt;0,$H252&gt;0,OR(AUTOEVENTO&lt;&gt;"manual",$M252&lt;&gt;1)),
IF(Import.TipoArredondamento&lt;&gt;"TransfereGOV",
ROUND(OFFSET($P252,0,AD$13),15-13*ORÇAMENTO!$AF$7)/$H252*OFFSET(ORÇAMENTO!$X$15,ROW(AD252)-ROW(AD$15),0),
ROUND(ROUND(OFFSET($P252,0,AD$13),15-13*ORÇAMENTO!$AF$7)*OFFSET(ORÇAMENTO!$W$15,ROW(AD252)-ROW(AD$15),0),15-13*ORÇAMENTO!$AF$11)),0)</f>
        <v>0</v>
      </c>
      <c r="AE252" s="545">
        <f ca="1">IF(AND($D252="Serviço",AE$12&lt;&gt;0,$H252&gt;0,OR(AUTOEVENTO&lt;&gt;"manual",$M252&lt;&gt;1)),
IF(Import.TipoArredondamento&lt;&gt;"TransfereGOV",
ROUND(OFFSET($P252,0,AE$13),15-13*ORÇAMENTO!$AF$7)/$H252*OFFSET(ORÇAMENTO!$X$15,ROW(AE252)-ROW(AE$15),0),
ROUND(ROUND(OFFSET($P252,0,AE$13),15-13*ORÇAMENTO!$AF$7)*OFFSET(ORÇAMENTO!$W$15,ROW(AE252)-ROW(AE$15),0),15-13*ORÇAMENTO!$AF$11)),0)</f>
        <v>0</v>
      </c>
      <c r="AF252" s="545">
        <f ca="1">IF(AND($D252="Serviço",AF$12&lt;&gt;0,$H252&gt;0,OR(AUTOEVENTO&lt;&gt;"manual",$M252&lt;&gt;1)),
IF(Import.TipoArredondamento&lt;&gt;"TransfereGOV",
ROUND(OFFSET($P252,0,AF$13),15-13*ORÇAMENTO!$AF$7)/$H252*OFFSET(ORÇAMENTO!$X$15,ROW(AF252)-ROW(AF$15),0),
ROUND(ROUND(OFFSET($P252,0,AF$13),15-13*ORÇAMENTO!$AF$7)*OFFSET(ORÇAMENTO!$W$15,ROW(AF252)-ROW(AF$15),0),15-13*ORÇAMENTO!$AF$11)),0)</f>
        <v>0</v>
      </c>
      <c r="AG252" s="545">
        <f ca="1">IF(AND($D252="Serviço",AG$12&lt;&gt;0,$H252&gt;0,OR(AUTOEVENTO&lt;&gt;"manual",$M252&lt;&gt;1)),
IF(Import.TipoArredondamento&lt;&gt;"TransfereGOV",
ROUND(OFFSET($P252,0,AG$13),15-13*ORÇAMENTO!$AF$7)/$H252*OFFSET(ORÇAMENTO!$X$15,ROW(AG252)-ROW(AG$15),0),
ROUND(ROUND(OFFSET($P252,0,AG$13),15-13*ORÇAMENTO!$AF$7)*OFFSET(ORÇAMENTO!$W$15,ROW(AG252)-ROW(AG$15),0),15-13*ORÇAMENTO!$AF$11)),0)</f>
        <v>0</v>
      </c>
      <c r="AH252" s="545">
        <f ca="1">IF(AND($D252="Serviço",AH$12&lt;&gt;0,$H252&gt;0,OR(AUTOEVENTO&lt;&gt;"manual",$M252&lt;&gt;1)),
IF(Import.TipoArredondamento&lt;&gt;"TransfereGOV",
ROUND(OFFSET($P252,0,AH$13),15-13*ORÇAMENTO!$AF$7)/$H252*OFFSET(ORÇAMENTO!$X$15,ROW(AH252)-ROW(AH$15),0),
ROUND(ROUND(OFFSET($P252,0,AH$13),15-13*ORÇAMENTO!$AF$7)*OFFSET(ORÇAMENTO!$W$15,ROW(AH252)-ROW(AH$15),0),15-13*ORÇAMENTO!$AF$11)),0)</f>
        <v>0</v>
      </c>
      <c r="AI252" s="545">
        <f ca="1">IF(AND($D252="Serviço",AI$12&lt;&gt;0,$H252&gt;0,OR(AUTOEVENTO&lt;&gt;"manual",$M252&lt;&gt;1)),
IF(Import.TipoArredondamento&lt;&gt;"TransfereGOV",
ROUND(OFFSET($P252,0,AI$13),15-13*ORÇAMENTO!$AF$7)/$H252*OFFSET(ORÇAMENTO!$X$15,ROW(AI252)-ROW(AI$15),0),
ROUND(ROUND(OFFSET($P252,0,AI$13),15-13*ORÇAMENTO!$AF$7)*OFFSET(ORÇAMENTO!$W$15,ROW(AI252)-ROW(AI$15),0),15-13*ORÇAMENTO!$AF$11)),0)</f>
        <v>0</v>
      </c>
      <c r="AJ252" s="545">
        <f ca="1">IF(AND($D252="Serviço",AJ$12&lt;&gt;0,$H252&gt;0,OR(AUTOEVENTO&lt;&gt;"manual",$M252&lt;&gt;1)),
IF(Import.TipoArredondamento&lt;&gt;"TransfereGOV",
ROUND(OFFSET($P252,0,AJ$13),15-13*ORÇAMENTO!$AF$7)/$H252*OFFSET(ORÇAMENTO!$X$15,ROW(AJ252)-ROW(AJ$15),0),
ROUND(ROUND(OFFSET($P252,0,AJ$13),15-13*ORÇAMENTO!$AF$7)*OFFSET(ORÇAMENTO!$W$15,ROW(AJ252)-ROW(AJ$15),0),15-13*ORÇAMENTO!$AF$11)),0)</f>
        <v>0</v>
      </c>
      <c r="AK252" s="546">
        <f ca="1">IF(AND($D252="Serviço",AK$12&lt;&gt;0,$H252&gt;0,OR(AUTOEVENTO&lt;&gt;"manual",$M252&lt;&gt;1)),
IF(Import.TipoArredondamento&lt;&gt;"TransfereGOV",
ROUND(OFFSET($P252,0,AK$13),15-13*ORÇAMENTO!$AF$7)/$H252*OFFSET(ORÇAMENTO!$X$15,ROW(AK252)-ROW(AK$15),0),
ROUND(ROUND(OFFSET($P252,0,AK$13),15-13*ORÇAMENTO!$AF$7)*OFFSET(ORÇAMENTO!$W$15,ROW(AK252)-ROW(AK$15),0),15-13*ORÇAMENTO!$AF$11)),0)</f>
        <v>0</v>
      </c>
      <c r="AM252" s="181">
        <f ca="1">IF($D252&lt;&gt;"Serviço",0,IF(AND(AUTOEVENTO="Manual",$M252=1),0,IF(OFFSET(CRONOPLE!$F$14,$M252,AM$13)="",10^12,OFFSET(CRONOPLE!$F$14,$M252,AM$13))))</f>
        <v>1000000000000</v>
      </c>
      <c r="AN252" s="181">
        <f ca="1">IF($D252&lt;&gt;"Serviço",0,IF(AND(AUTOEVENTO="Manual",$M252=1),0,IF(OFFSET(CRONOPLE!$F$14,$M252,AN$13)="",10^12,OFFSET(CRONOPLE!$F$14,$M252,AN$13))))</f>
        <v>1000000000000</v>
      </c>
      <c r="AO252" s="181">
        <f ca="1">IF($D252&lt;&gt;"Serviço",0,IF(AND(AUTOEVENTO="Manual",$M252=1),0,IF(OFFSET(CRONOPLE!$F$14,$M252,AO$13)="",10^12,OFFSET(CRONOPLE!$F$14,$M252,AO$13))))</f>
        <v>1000000000000</v>
      </c>
      <c r="AP252" s="181">
        <f ca="1">IF($D252&lt;&gt;"Serviço",0,IF(AND(AUTOEVENTO="Manual",$M252=1),0,IF(OFFSET(CRONOPLE!$F$14,$M252,AP$13)="",10^12,OFFSET(CRONOPLE!$F$14,$M252,AP$13))))</f>
        <v>1000000000000</v>
      </c>
      <c r="AQ252" s="181">
        <f ca="1">IF($D252&lt;&gt;"Serviço",0,IF(AND(AUTOEVENTO="Manual",$M252=1),0,IF(OFFSET(CRONOPLE!$F$14,$M252,AQ$13)="",10^12,OFFSET(CRONOPLE!$F$14,$M252,AQ$13))))</f>
        <v>1000000000000</v>
      </c>
      <c r="AR252" s="181">
        <f ca="1">IF($D252&lt;&gt;"Serviço",0,IF(AND(AUTOEVENTO="Manual",$M252=1),0,IF(OFFSET(CRONOPLE!$F$14,$M252,AR$13)="",10^12,OFFSET(CRONOPLE!$F$14,$M252,AR$13))))</f>
        <v>1000000000000</v>
      </c>
      <c r="AS252" s="181">
        <f ca="1">IF($D252&lt;&gt;"Serviço",0,IF(AND(AUTOEVENTO="Manual",$M252=1),0,IF(OFFSET(CRONOPLE!$F$14,$M252,AS$13)="",10^12,OFFSET(CRONOPLE!$F$14,$M252,AS$13))))</f>
        <v>1000000000000</v>
      </c>
      <c r="AT252" s="181">
        <f ca="1">IF($D252&lt;&gt;"Serviço",0,IF(AND(AUTOEVENTO="Manual",$M252=1),0,IF(OFFSET(CRONOPLE!$F$14,$M252,AT$13)="",10^12,OFFSET(CRONOPLE!$F$14,$M252,AT$13))))</f>
        <v>1000000000000</v>
      </c>
      <c r="AU252" s="181">
        <f ca="1">IF($D252&lt;&gt;"Serviço",0,IF(AND(AUTOEVENTO="Manual",$M252=1),0,IF(OFFSET(CRONOPLE!$F$14,$M252,AU$13)="",10^12,OFFSET(CRONOPLE!$F$14,$M252,AU$13))))</f>
        <v>1000000000000</v>
      </c>
      <c r="AV252" s="181">
        <f ca="1">IF($D252&lt;&gt;"Serviço",0,IF(AND(AUTOEVENTO="Manual",$M252=1),0,IF(OFFSET(CRONOPLE!$F$14,$M252,AV$13)="",10^12,OFFSET(CRONOPLE!$F$14,$M252,AV$13))))</f>
        <v>1000000000000</v>
      </c>
      <c r="AX252" s="182">
        <f ca="1">IF($D252&lt;&gt;"Serviço",0,IF(OR(AND(AUTOEVENTO="Manual",$M252=1),$M252&gt;(ROW(PLE.lastrow)-ROW(PLE.firstrow))),0,IF(OFFSET(PLE!$G$14,$M252,AX$13)="",10^12,OFFSET(PLE!$G$14,$M252,AX$13))))</f>
        <v>1000000000000</v>
      </c>
      <c r="AY252" s="182">
        <f ca="1">IF($D252&lt;&gt;"Serviço",0,IF(OR(AND(AUTOEVENTO="Manual",$M252=1),$M252&gt;(ROW(PLE.lastrow)-ROW(PLE.firstrow))),0,IF(OFFSET(PLE!$G$14,$M252,AY$13)="",10^12,OFFSET(PLE!$G$14,$M252,AY$13))))</f>
        <v>1000000000000</v>
      </c>
      <c r="AZ252" s="182">
        <f ca="1">IF($D252&lt;&gt;"Serviço",0,IF(OR(AND(AUTOEVENTO="Manual",$M252=1),$M252&gt;(ROW(PLE.lastrow)-ROW(PLE.firstrow))),0,IF(OFFSET(PLE!$G$14,$M252,AZ$13)="",10^12,OFFSET(PLE!$G$14,$M252,AZ$13))))</f>
        <v>1000000000000</v>
      </c>
      <c r="BA252" s="182">
        <f ca="1">IF($D252&lt;&gt;"Serviço",0,IF(OR(AND(AUTOEVENTO="Manual",$M252=1),$M252&gt;(ROW(PLE.lastrow)-ROW(PLE.firstrow))),0,IF(OFFSET(PLE!$G$14,$M252,BA$13)="",10^12,OFFSET(PLE!$G$14,$M252,BA$13))))</f>
        <v>1000000000000</v>
      </c>
      <c r="BB252" s="182">
        <f ca="1">IF($D252&lt;&gt;"Serviço",0,IF(OR(AND(AUTOEVENTO="Manual",$M252=1),$M252&gt;(ROW(PLE.lastrow)-ROW(PLE.firstrow))),0,IF(OFFSET(PLE!$G$14,$M252,BB$13)="",10^12,OFFSET(PLE!$G$14,$M252,BB$13))))</f>
        <v>1000000000000</v>
      </c>
      <c r="BC252" s="182">
        <f ca="1">IF($D252&lt;&gt;"Serviço",0,IF(OR(AND(AUTOEVENTO="Manual",$M252=1),$M252&gt;(ROW(PLE.lastrow)-ROW(PLE.firstrow))),0,IF(OFFSET(PLE!$G$14,$M252,BC$13)="",10^12,OFFSET(PLE!$G$14,$M252,BC$13))))</f>
        <v>1000000000000</v>
      </c>
      <c r="BD252" s="182">
        <f ca="1">IF($D252&lt;&gt;"Serviço",0,IF(OR(AND(AUTOEVENTO="Manual",$M252=1),$M252&gt;(ROW(PLE.lastrow)-ROW(PLE.firstrow))),0,IF(OFFSET(PLE!$G$14,$M252,BD$13)="",10^12,OFFSET(PLE!$G$14,$M252,BD$13))))</f>
        <v>1000000000000</v>
      </c>
      <c r="BE252" s="182">
        <f ca="1">IF($D252&lt;&gt;"Serviço",0,IF(OR(AND(AUTOEVENTO="Manual",$M252=1),$M252&gt;(ROW(PLE.lastrow)-ROW(PLE.firstrow))),0,IF(OFFSET(PLE!$G$14,$M252,BE$13)="",10^12,OFFSET(PLE!$G$14,$M252,BE$13))))</f>
        <v>1000000000000</v>
      </c>
      <c r="BF252" s="182">
        <f ca="1">IF($D252&lt;&gt;"Serviço",0,IF(OR(AND(AUTOEVENTO="Manual",$M252=1),$M252&gt;(ROW(PLE.lastrow)-ROW(PLE.firstrow))),0,IF(OFFSET(PLE!$G$14,$M252,BF$13)="",10^12,OFFSET(PLE!$G$14,$M252,BF$13))))</f>
        <v>1000000000000</v>
      </c>
      <c r="BG252" s="182">
        <f ca="1">IF($D252&lt;&gt;"Serviço",0,IF(OR(AND(AUTOEVENTO="Manual",$M252=1),$M252&gt;(ROW(PLE.lastrow)-ROW(PLE.firstrow))),0,IF(OFFSET(PLE!$G$14,$M252,BG$13)="",10^12,OFFSET(PLE!$G$14,$M252,BG$13))))</f>
        <v>1000000000000</v>
      </c>
    </row>
    <row r="253" spans="1:59" ht="12.75" x14ac:dyDescent="0.2">
      <c r="A253" s="7" t="str">
        <f t="shared" ca="1" si="11"/>
        <v>233</v>
      </c>
      <c r="B253" s="7" t="str">
        <f ca="1">OFFSET(ORÇAMENTO!C$15,ROW(B253)-ROW(B$15),0)</f>
        <v>S</v>
      </c>
      <c r="C253" s="7" t="str">
        <f ca="1">OFFSET(ORÇAMENTO!L$15,ROW(C253)-ROW(C$15),0)</f>
        <v/>
      </c>
      <c r="D253" s="118" t="str">
        <f ca="1">OFFSET(ORÇAMENTO!N$15,ROW(D253)-ROW(D$15),0)</f>
        <v>Serviço</v>
      </c>
      <c r="E253" s="119" t="str">
        <f ca="1">OFFSET(ORÇAMENTO!O$15,ROW(E253)-ROW(E$15),0)</f>
        <v>-</v>
      </c>
      <c r="F253" s="172" t="str">
        <f ca="1">OFFSET(ORÇAMENTO!R$15,ROW(F253)-ROW(F$15),0)</f>
        <v>(abra o arquivo 'Referência 03-2024.xlsm)</v>
      </c>
      <c r="G253" s="173" t="str">
        <f ca="1">IF($D253&lt;&gt;"Serviço","",OFFSET(ORÇAMENTO!S$15,ROW(G253)-ROW(G$15),0))</f>
        <v>-</v>
      </c>
      <c r="H253" s="124">
        <f ca="1">IF($D253&lt;&gt;"Serviço",0,IF(ACOMPANHAMENTO="BM",ROUND(OFFSET(ORÇAMENTO!AJ$15,ROW(H253)-ROW(H$15),0),15-13*ORÇAMENTO!$AF$7),SUMPRODUCT(($Q$12:$AA$12&lt;&gt;"")*ROUND($Q253:$AA253,15-13*ORÇAMENTO!$AF$7))))</f>
        <v>0</v>
      </c>
      <c r="I253" s="561"/>
      <c r="K253" s="174"/>
      <c r="L253" s="175" t="s">
        <v>255</v>
      </c>
      <c r="M253" s="176">
        <f ca="1">IF($D253&lt;&gt;"Serviço","",IF(AUTOEVENTO="manual",$A253,IF(ISERROR(MATCH($A253,$A$15:OFFSET($A253,-1,0),0)),MAX($M$15:OFFSET(M253,-1,0))+1,INDEX($M$15:OFFSET(M253,-1,0),MATCH($A253,$A$15:OFFSET($A253,-1,0),0)))))</f>
        <v>14</v>
      </c>
      <c r="N253" s="177" t="str">
        <f ca="1">IF($D253&lt;&gt;"Serviço","",IF(AUTOEVENTO="Manual",IF($A253=0,"&lt;-- defina o número do agrupador",OFFSET(EVENTOS!$D$14,$A253,0)),OFFSET($F$15,$A253,0)))</f>
        <v>SERVIÇOS FINAIS</v>
      </c>
      <c r="O253" s="178"/>
      <c r="Q253" s="178"/>
      <c r="R253" s="179"/>
      <c r="S253" s="179"/>
      <c r="T253" s="179"/>
      <c r="U253" s="179"/>
      <c r="V253" s="179"/>
      <c r="W253" s="179"/>
      <c r="X253" s="179"/>
      <c r="Y253" s="179"/>
      <c r="Z253" s="180"/>
      <c r="AB253" s="544">
        <f ca="1">IF(AND($D253="Serviço",AB$12&lt;&gt;0,$H253&gt;0,OR(AUTOEVENTO&lt;&gt;"manual",$M253&lt;&gt;1)),
IF(Import.TipoArredondamento&lt;&gt;"TransfereGOV",
ROUND(OFFSET($P253,0,AB$13),15-13*ORÇAMENTO!$AF$7)/$H253*OFFSET(ORÇAMENTO!$X$15,ROW(AB253)-ROW(AB$15),0),
ROUND(ROUND(OFFSET($P253,0,AB$13),15-13*ORÇAMENTO!$AF$7)*OFFSET(ORÇAMENTO!$W$15,ROW(AB253)-ROW(AB$15),0),15-13*ORÇAMENTO!$AF$11)),0)</f>
        <v>0</v>
      </c>
      <c r="AC253" s="545">
        <f ca="1">IF(AND($D253="Serviço",AC$12&lt;&gt;0,$H253&gt;0,OR(AUTOEVENTO&lt;&gt;"manual",$M253&lt;&gt;1)),
IF(Import.TipoArredondamento&lt;&gt;"TransfereGOV",
ROUND(OFFSET($P253,0,AC$13),15-13*ORÇAMENTO!$AF$7)/$H253*OFFSET(ORÇAMENTO!$X$15,ROW(AC253)-ROW(AC$15),0),
ROUND(ROUND(OFFSET($P253,0,AC$13),15-13*ORÇAMENTO!$AF$7)*OFFSET(ORÇAMENTO!$W$15,ROW(AC253)-ROW(AC$15),0),15-13*ORÇAMENTO!$AF$11)),0)</f>
        <v>0</v>
      </c>
      <c r="AD253" s="545">
        <f ca="1">IF(AND($D253="Serviço",AD$12&lt;&gt;0,$H253&gt;0,OR(AUTOEVENTO&lt;&gt;"manual",$M253&lt;&gt;1)),
IF(Import.TipoArredondamento&lt;&gt;"TransfereGOV",
ROUND(OFFSET($P253,0,AD$13),15-13*ORÇAMENTO!$AF$7)/$H253*OFFSET(ORÇAMENTO!$X$15,ROW(AD253)-ROW(AD$15),0),
ROUND(ROUND(OFFSET($P253,0,AD$13),15-13*ORÇAMENTO!$AF$7)*OFFSET(ORÇAMENTO!$W$15,ROW(AD253)-ROW(AD$15),0),15-13*ORÇAMENTO!$AF$11)),0)</f>
        <v>0</v>
      </c>
      <c r="AE253" s="545">
        <f ca="1">IF(AND($D253="Serviço",AE$12&lt;&gt;0,$H253&gt;0,OR(AUTOEVENTO&lt;&gt;"manual",$M253&lt;&gt;1)),
IF(Import.TipoArredondamento&lt;&gt;"TransfereGOV",
ROUND(OFFSET($P253,0,AE$13),15-13*ORÇAMENTO!$AF$7)/$H253*OFFSET(ORÇAMENTO!$X$15,ROW(AE253)-ROW(AE$15),0),
ROUND(ROUND(OFFSET($P253,0,AE$13),15-13*ORÇAMENTO!$AF$7)*OFFSET(ORÇAMENTO!$W$15,ROW(AE253)-ROW(AE$15),0),15-13*ORÇAMENTO!$AF$11)),0)</f>
        <v>0</v>
      </c>
      <c r="AF253" s="545">
        <f ca="1">IF(AND($D253="Serviço",AF$12&lt;&gt;0,$H253&gt;0,OR(AUTOEVENTO&lt;&gt;"manual",$M253&lt;&gt;1)),
IF(Import.TipoArredondamento&lt;&gt;"TransfereGOV",
ROUND(OFFSET($P253,0,AF$13),15-13*ORÇAMENTO!$AF$7)/$H253*OFFSET(ORÇAMENTO!$X$15,ROW(AF253)-ROW(AF$15),0),
ROUND(ROUND(OFFSET($P253,0,AF$13),15-13*ORÇAMENTO!$AF$7)*OFFSET(ORÇAMENTO!$W$15,ROW(AF253)-ROW(AF$15),0),15-13*ORÇAMENTO!$AF$11)),0)</f>
        <v>0</v>
      </c>
      <c r="AG253" s="545">
        <f ca="1">IF(AND($D253="Serviço",AG$12&lt;&gt;0,$H253&gt;0,OR(AUTOEVENTO&lt;&gt;"manual",$M253&lt;&gt;1)),
IF(Import.TipoArredondamento&lt;&gt;"TransfereGOV",
ROUND(OFFSET($P253,0,AG$13),15-13*ORÇAMENTO!$AF$7)/$H253*OFFSET(ORÇAMENTO!$X$15,ROW(AG253)-ROW(AG$15),0),
ROUND(ROUND(OFFSET($P253,0,AG$13),15-13*ORÇAMENTO!$AF$7)*OFFSET(ORÇAMENTO!$W$15,ROW(AG253)-ROW(AG$15),0),15-13*ORÇAMENTO!$AF$11)),0)</f>
        <v>0</v>
      </c>
      <c r="AH253" s="545">
        <f ca="1">IF(AND($D253="Serviço",AH$12&lt;&gt;0,$H253&gt;0,OR(AUTOEVENTO&lt;&gt;"manual",$M253&lt;&gt;1)),
IF(Import.TipoArredondamento&lt;&gt;"TransfereGOV",
ROUND(OFFSET($P253,0,AH$13),15-13*ORÇAMENTO!$AF$7)/$H253*OFFSET(ORÇAMENTO!$X$15,ROW(AH253)-ROW(AH$15),0),
ROUND(ROUND(OFFSET($P253,0,AH$13),15-13*ORÇAMENTO!$AF$7)*OFFSET(ORÇAMENTO!$W$15,ROW(AH253)-ROW(AH$15),0),15-13*ORÇAMENTO!$AF$11)),0)</f>
        <v>0</v>
      </c>
      <c r="AI253" s="545">
        <f ca="1">IF(AND($D253="Serviço",AI$12&lt;&gt;0,$H253&gt;0,OR(AUTOEVENTO&lt;&gt;"manual",$M253&lt;&gt;1)),
IF(Import.TipoArredondamento&lt;&gt;"TransfereGOV",
ROUND(OFFSET($P253,0,AI$13),15-13*ORÇAMENTO!$AF$7)/$H253*OFFSET(ORÇAMENTO!$X$15,ROW(AI253)-ROW(AI$15),0),
ROUND(ROUND(OFFSET($P253,0,AI$13),15-13*ORÇAMENTO!$AF$7)*OFFSET(ORÇAMENTO!$W$15,ROW(AI253)-ROW(AI$15),0),15-13*ORÇAMENTO!$AF$11)),0)</f>
        <v>0</v>
      </c>
      <c r="AJ253" s="545">
        <f ca="1">IF(AND($D253="Serviço",AJ$12&lt;&gt;0,$H253&gt;0,OR(AUTOEVENTO&lt;&gt;"manual",$M253&lt;&gt;1)),
IF(Import.TipoArredondamento&lt;&gt;"TransfereGOV",
ROUND(OFFSET($P253,0,AJ$13),15-13*ORÇAMENTO!$AF$7)/$H253*OFFSET(ORÇAMENTO!$X$15,ROW(AJ253)-ROW(AJ$15),0),
ROUND(ROUND(OFFSET($P253,0,AJ$13),15-13*ORÇAMENTO!$AF$7)*OFFSET(ORÇAMENTO!$W$15,ROW(AJ253)-ROW(AJ$15),0),15-13*ORÇAMENTO!$AF$11)),0)</f>
        <v>0</v>
      </c>
      <c r="AK253" s="546">
        <f ca="1">IF(AND($D253="Serviço",AK$12&lt;&gt;0,$H253&gt;0,OR(AUTOEVENTO&lt;&gt;"manual",$M253&lt;&gt;1)),
IF(Import.TipoArredondamento&lt;&gt;"TransfereGOV",
ROUND(OFFSET($P253,0,AK$13),15-13*ORÇAMENTO!$AF$7)/$H253*OFFSET(ORÇAMENTO!$X$15,ROW(AK253)-ROW(AK$15),0),
ROUND(ROUND(OFFSET($P253,0,AK$13),15-13*ORÇAMENTO!$AF$7)*OFFSET(ORÇAMENTO!$W$15,ROW(AK253)-ROW(AK$15),0),15-13*ORÇAMENTO!$AF$11)),0)</f>
        <v>0</v>
      </c>
      <c r="AM253" s="181">
        <f ca="1">IF($D253&lt;&gt;"Serviço",0,IF(AND(AUTOEVENTO="Manual",$M253=1),0,IF(OFFSET(CRONOPLE!$F$14,$M253,AM$13)="",10^12,OFFSET(CRONOPLE!$F$14,$M253,AM$13))))</f>
        <v>1000000000000</v>
      </c>
      <c r="AN253" s="181">
        <f ca="1">IF($D253&lt;&gt;"Serviço",0,IF(AND(AUTOEVENTO="Manual",$M253=1),0,IF(OFFSET(CRONOPLE!$F$14,$M253,AN$13)="",10^12,OFFSET(CRONOPLE!$F$14,$M253,AN$13))))</f>
        <v>1000000000000</v>
      </c>
      <c r="AO253" s="181">
        <f ca="1">IF($D253&lt;&gt;"Serviço",0,IF(AND(AUTOEVENTO="Manual",$M253=1),0,IF(OFFSET(CRONOPLE!$F$14,$M253,AO$13)="",10^12,OFFSET(CRONOPLE!$F$14,$M253,AO$13))))</f>
        <v>1000000000000</v>
      </c>
      <c r="AP253" s="181">
        <f ca="1">IF($D253&lt;&gt;"Serviço",0,IF(AND(AUTOEVENTO="Manual",$M253=1),0,IF(OFFSET(CRONOPLE!$F$14,$M253,AP$13)="",10^12,OFFSET(CRONOPLE!$F$14,$M253,AP$13))))</f>
        <v>1000000000000</v>
      </c>
      <c r="AQ253" s="181">
        <f ca="1">IF($D253&lt;&gt;"Serviço",0,IF(AND(AUTOEVENTO="Manual",$M253=1),0,IF(OFFSET(CRONOPLE!$F$14,$M253,AQ$13)="",10^12,OFFSET(CRONOPLE!$F$14,$M253,AQ$13))))</f>
        <v>1000000000000</v>
      </c>
      <c r="AR253" s="181">
        <f ca="1">IF($D253&lt;&gt;"Serviço",0,IF(AND(AUTOEVENTO="Manual",$M253=1),0,IF(OFFSET(CRONOPLE!$F$14,$M253,AR$13)="",10^12,OFFSET(CRONOPLE!$F$14,$M253,AR$13))))</f>
        <v>1000000000000</v>
      </c>
      <c r="AS253" s="181">
        <f ca="1">IF($D253&lt;&gt;"Serviço",0,IF(AND(AUTOEVENTO="Manual",$M253=1),0,IF(OFFSET(CRONOPLE!$F$14,$M253,AS$13)="",10^12,OFFSET(CRONOPLE!$F$14,$M253,AS$13))))</f>
        <v>1000000000000</v>
      </c>
      <c r="AT253" s="181">
        <f ca="1">IF($D253&lt;&gt;"Serviço",0,IF(AND(AUTOEVENTO="Manual",$M253=1),0,IF(OFFSET(CRONOPLE!$F$14,$M253,AT$13)="",10^12,OFFSET(CRONOPLE!$F$14,$M253,AT$13))))</f>
        <v>1000000000000</v>
      </c>
      <c r="AU253" s="181">
        <f ca="1">IF($D253&lt;&gt;"Serviço",0,IF(AND(AUTOEVENTO="Manual",$M253=1),0,IF(OFFSET(CRONOPLE!$F$14,$M253,AU$13)="",10^12,OFFSET(CRONOPLE!$F$14,$M253,AU$13))))</f>
        <v>1000000000000</v>
      </c>
      <c r="AV253" s="181">
        <f ca="1">IF($D253&lt;&gt;"Serviço",0,IF(AND(AUTOEVENTO="Manual",$M253=1),0,IF(OFFSET(CRONOPLE!$F$14,$M253,AV$13)="",10^12,OFFSET(CRONOPLE!$F$14,$M253,AV$13))))</f>
        <v>1000000000000</v>
      </c>
      <c r="AX253" s="182">
        <f ca="1">IF($D253&lt;&gt;"Serviço",0,IF(OR(AND(AUTOEVENTO="Manual",$M253=1),$M253&gt;(ROW(PLE.lastrow)-ROW(PLE.firstrow))),0,IF(OFFSET(PLE!$G$14,$M253,AX$13)="",10^12,OFFSET(PLE!$G$14,$M253,AX$13))))</f>
        <v>1000000000000</v>
      </c>
      <c r="AY253" s="182">
        <f ca="1">IF($D253&lt;&gt;"Serviço",0,IF(OR(AND(AUTOEVENTO="Manual",$M253=1),$M253&gt;(ROW(PLE.lastrow)-ROW(PLE.firstrow))),0,IF(OFFSET(PLE!$G$14,$M253,AY$13)="",10^12,OFFSET(PLE!$G$14,$M253,AY$13))))</f>
        <v>1000000000000</v>
      </c>
      <c r="AZ253" s="182">
        <f ca="1">IF($D253&lt;&gt;"Serviço",0,IF(OR(AND(AUTOEVENTO="Manual",$M253=1),$M253&gt;(ROW(PLE.lastrow)-ROW(PLE.firstrow))),0,IF(OFFSET(PLE!$G$14,$M253,AZ$13)="",10^12,OFFSET(PLE!$G$14,$M253,AZ$13))))</f>
        <v>1000000000000</v>
      </c>
      <c r="BA253" s="182">
        <f ca="1">IF($D253&lt;&gt;"Serviço",0,IF(OR(AND(AUTOEVENTO="Manual",$M253=1),$M253&gt;(ROW(PLE.lastrow)-ROW(PLE.firstrow))),0,IF(OFFSET(PLE!$G$14,$M253,BA$13)="",10^12,OFFSET(PLE!$G$14,$M253,BA$13))))</f>
        <v>1000000000000</v>
      </c>
      <c r="BB253" s="182">
        <f ca="1">IF($D253&lt;&gt;"Serviço",0,IF(OR(AND(AUTOEVENTO="Manual",$M253=1),$M253&gt;(ROW(PLE.lastrow)-ROW(PLE.firstrow))),0,IF(OFFSET(PLE!$G$14,$M253,BB$13)="",10^12,OFFSET(PLE!$G$14,$M253,BB$13))))</f>
        <v>1000000000000</v>
      </c>
      <c r="BC253" s="182">
        <f ca="1">IF($D253&lt;&gt;"Serviço",0,IF(OR(AND(AUTOEVENTO="Manual",$M253=1),$M253&gt;(ROW(PLE.lastrow)-ROW(PLE.firstrow))),0,IF(OFFSET(PLE!$G$14,$M253,BC$13)="",10^12,OFFSET(PLE!$G$14,$M253,BC$13))))</f>
        <v>1000000000000</v>
      </c>
      <c r="BD253" s="182">
        <f ca="1">IF($D253&lt;&gt;"Serviço",0,IF(OR(AND(AUTOEVENTO="Manual",$M253=1),$M253&gt;(ROW(PLE.lastrow)-ROW(PLE.firstrow))),0,IF(OFFSET(PLE!$G$14,$M253,BD$13)="",10^12,OFFSET(PLE!$G$14,$M253,BD$13))))</f>
        <v>1000000000000</v>
      </c>
      <c r="BE253" s="182">
        <f ca="1">IF($D253&lt;&gt;"Serviço",0,IF(OR(AND(AUTOEVENTO="Manual",$M253=1),$M253&gt;(ROW(PLE.lastrow)-ROW(PLE.firstrow))),0,IF(OFFSET(PLE!$G$14,$M253,BE$13)="",10^12,OFFSET(PLE!$G$14,$M253,BE$13))))</f>
        <v>1000000000000</v>
      </c>
      <c r="BF253" s="182">
        <f ca="1">IF($D253&lt;&gt;"Serviço",0,IF(OR(AND(AUTOEVENTO="Manual",$M253=1),$M253&gt;(ROW(PLE.lastrow)-ROW(PLE.firstrow))),0,IF(OFFSET(PLE!$G$14,$M253,BF$13)="",10^12,OFFSET(PLE!$G$14,$M253,BF$13))))</f>
        <v>1000000000000</v>
      </c>
      <c r="BG253" s="182">
        <f ca="1">IF($D253&lt;&gt;"Serviço",0,IF(OR(AND(AUTOEVENTO="Manual",$M253=1),$M253&gt;(ROW(PLE.lastrow)-ROW(PLE.firstrow))),0,IF(OFFSET(PLE!$G$14,$M253,BG$13)="",10^12,OFFSET(PLE!$G$14,$M253,BG$13))))</f>
        <v>1000000000000</v>
      </c>
    </row>
    <row r="254" spans="1:59" ht="12.75" x14ac:dyDescent="0.2">
      <c r="A254" s="7" t="str">
        <f t="shared" ca="1" si="11"/>
        <v>233</v>
      </c>
      <c r="B254" s="7" t="str">
        <f ca="1">OFFSET(ORÇAMENTO!C$15,ROW(B254)-ROW(B$15),0)</f>
        <v>S</v>
      </c>
      <c r="C254" s="7" t="str">
        <f ca="1">OFFSET(ORÇAMENTO!L$15,ROW(C254)-ROW(C$15),0)</f>
        <v/>
      </c>
      <c r="D254" s="118" t="str">
        <f ca="1">OFFSET(ORÇAMENTO!N$15,ROW(D254)-ROW(D$15),0)</f>
        <v>Serviço</v>
      </c>
      <c r="E254" s="119" t="str">
        <f ca="1">OFFSET(ORÇAMENTO!O$15,ROW(E254)-ROW(E$15),0)</f>
        <v>-</v>
      </c>
      <c r="F254" s="172" t="str">
        <f ca="1">OFFSET(ORÇAMENTO!R$15,ROW(F254)-ROW(F$15),0)</f>
        <v>(abra o arquivo 'Referência 03-2024.xlsm)</v>
      </c>
      <c r="G254" s="173" t="str">
        <f ca="1">IF($D254&lt;&gt;"Serviço","",OFFSET(ORÇAMENTO!S$15,ROW(G254)-ROW(G$15),0))</f>
        <v>-</v>
      </c>
      <c r="H254" s="124">
        <f ca="1">IF($D254&lt;&gt;"Serviço",0,IF(ACOMPANHAMENTO="BM",ROUND(OFFSET(ORÇAMENTO!AJ$15,ROW(H254)-ROW(H$15),0),15-13*ORÇAMENTO!$AF$7),SUMPRODUCT(($Q$12:$AA$12&lt;&gt;"")*ROUND($Q254:$AA254,15-13*ORÇAMENTO!$AF$7))))</f>
        <v>0</v>
      </c>
      <c r="I254" s="561"/>
      <c r="K254" s="174"/>
      <c r="L254" s="175" t="s">
        <v>255</v>
      </c>
      <c r="M254" s="176">
        <f ca="1">IF($D254&lt;&gt;"Serviço","",IF(AUTOEVENTO="manual",$A254,IF(ISERROR(MATCH($A254,$A$15:OFFSET($A254,-1,0),0)),MAX($M$15:OFFSET(M254,-1,0))+1,INDEX($M$15:OFFSET(M254,-1,0),MATCH($A254,$A$15:OFFSET($A254,-1,0),0)))))</f>
        <v>14</v>
      </c>
      <c r="N254" s="177" t="str">
        <f ca="1">IF($D254&lt;&gt;"Serviço","",IF(AUTOEVENTO="Manual",IF($A254=0,"&lt;-- defina o número do agrupador",OFFSET(EVENTOS!$D$14,$A254,0)),OFFSET($F$15,$A254,0)))</f>
        <v>SERVIÇOS FINAIS</v>
      </c>
      <c r="O254" s="178"/>
      <c r="Q254" s="178"/>
      <c r="R254" s="179"/>
      <c r="S254" s="179"/>
      <c r="T254" s="179"/>
      <c r="U254" s="179"/>
      <c r="V254" s="179"/>
      <c r="W254" s="179"/>
      <c r="X254" s="179"/>
      <c r="Y254" s="179"/>
      <c r="Z254" s="180"/>
      <c r="AB254" s="544">
        <f ca="1">IF(AND($D254="Serviço",AB$12&lt;&gt;0,$H254&gt;0,OR(AUTOEVENTO&lt;&gt;"manual",$M254&lt;&gt;1)),
IF(Import.TipoArredondamento&lt;&gt;"TransfereGOV",
ROUND(OFFSET($P254,0,AB$13),15-13*ORÇAMENTO!$AF$7)/$H254*OFFSET(ORÇAMENTO!$X$15,ROW(AB254)-ROW(AB$15),0),
ROUND(ROUND(OFFSET($P254,0,AB$13),15-13*ORÇAMENTO!$AF$7)*OFFSET(ORÇAMENTO!$W$15,ROW(AB254)-ROW(AB$15),0),15-13*ORÇAMENTO!$AF$11)),0)</f>
        <v>0</v>
      </c>
      <c r="AC254" s="545">
        <f ca="1">IF(AND($D254="Serviço",AC$12&lt;&gt;0,$H254&gt;0,OR(AUTOEVENTO&lt;&gt;"manual",$M254&lt;&gt;1)),
IF(Import.TipoArredondamento&lt;&gt;"TransfereGOV",
ROUND(OFFSET($P254,0,AC$13),15-13*ORÇAMENTO!$AF$7)/$H254*OFFSET(ORÇAMENTO!$X$15,ROW(AC254)-ROW(AC$15),0),
ROUND(ROUND(OFFSET($P254,0,AC$13),15-13*ORÇAMENTO!$AF$7)*OFFSET(ORÇAMENTO!$W$15,ROW(AC254)-ROW(AC$15),0),15-13*ORÇAMENTO!$AF$11)),0)</f>
        <v>0</v>
      </c>
      <c r="AD254" s="545">
        <f ca="1">IF(AND($D254="Serviço",AD$12&lt;&gt;0,$H254&gt;0,OR(AUTOEVENTO&lt;&gt;"manual",$M254&lt;&gt;1)),
IF(Import.TipoArredondamento&lt;&gt;"TransfereGOV",
ROUND(OFFSET($P254,0,AD$13),15-13*ORÇAMENTO!$AF$7)/$H254*OFFSET(ORÇAMENTO!$X$15,ROW(AD254)-ROW(AD$15),0),
ROUND(ROUND(OFFSET($P254,0,AD$13),15-13*ORÇAMENTO!$AF$7)*OFFSET(ORÇAMENTO!$W$15,ROW(AD254)-ROW(AD$15),0),15-13*ORÇAMENTO!$AF$11)),0)</f>
        <v>0</v>
      </c>
      <c r="AE254" s="545">
        <f ca="1">IF(AND($D254="Serviço",AE$12&lt;&gt;0,$H254&gt;0,OR(AUTOEVENTO&lt;&gt;"manual",$M254&lt;&gt;1)),
IF(Import.TipoArredondamento&lt;&gt;"TransfereGOV",
ROUND(OFFSET($P254,0,AE$13),15-13*ORÇAMENTO!$AF$7)/$H254*OFFSET(ORÇAMENTO!$X$15,ROW(AE254)-ROW(AE$15),0),
ROUND(ROUND(OFFSET($P254,0,AE$13),15-13*ORÇAMENTO!$AF$7)*OFFSET(ORÇAMENTO!$W$15,ROW(AE254)-ROW(AE$15),0),15-13*ORÇAMENTO!$AF$11)),0)</f>
        <v>0</v>
      </c>
      <c r="AF254" s="545">
        <f ca="1">IF(AND($D254="Serviço",AF$12&lt;&gt;0,$H254&gt;0,OR(AUTOEVENTO&lt;&gt;"manual",$M254&lt;&gt;1)),
IF(Import.TipoArredondamento&lt;&gt;"TransfereGOV",
ROUND(OFFSET($P254,0,AF$13),15-13*ORÇAMENTO!$AF$7)/$H254*OFFSET(ORÇAMENTO!$X$15,ROW(AF254)-ROW(AF$15),0),
ROUND(ROUND(OFFSET($P254,0,AF$13),15-13*ORÇAMENTO!$AF$7)*OFFSET(ORÇAMENTO!$W$15,ROW(AF254)-ROW(AF$15),0),15-13*ORÇAMENTO!$AF$11)),0)</f>
        <v>0</v>
      </c>
      <c r="AG254" s="545">
        <f ca="1">IF(AND($D254="Serviço",AG$12&lt;&gt;0,$H254&gt;0,OR(AUTOEVENTO&lt;&gt;"manual",$M254&lt;&gt;1)),
IF(Import.TipoArredondamento&lt;&gt;"TransfereGOV",
ROUND(OFFSET($P254,0,AG$13),15-13*ORÇAMENTO!$AF$7)/$H254*OFFSET(ORÇAMENTO!$X$15,ROW(AG254)-ROW(AG$15),0),
ROUND(ROUND(OFFSET($P254,0,AG$13),15-13*ORÇAMENTO!$AF$7)*OFFSET(ORÇAMENTO!$W$15,ROW(AG254)-ROW(AG$15),0),15-13*ORÇAMENTO!$AF$11)),0)</f>
        <v>0</v>
      </c>
      <c r="AH254" s="545">
        <f ca="1">IF(AND($D254="Serviço",AH$12&lt;&gt;0,$H254&gt;0,OR(AUTOEVENTO&lt;&gt;"manual",$M254&lt;&gt;1)),
IF(Import.TipoArredondamento&lt;&gt;"TransfereGOV",
ROUND(OFFSET($P254,0,AH$13),15-13*ORÇAMENTO!$AF$7)/$H254*OFFSET(ORÇAMENTO!$X$15,ROW(AH254)-ROW(AH$15),0),
ROUND(ROUND(OFFSET($P254,0,AH$13),15-13*ORÇAMENTO!$AF$7)*OFFSET(ORÇAMENTO!$W$15,ROW(AH254)-ROW(AH$15),0),15-13*ORÇAMENTO!$AF$11)),0)</f>
        <v>0</v>
      </c>
      <c r="AI254" s="545">
        <f ca="1">IF(AND($D254="Serviço",AI$12&lt;&gt;0,$H254&gt;0,OR(AUTOEVENTO&lt;&gt;"manual",$M254&lt;&gt;1)),
IF(Import.TipoArredondamento&lt;&gt;"TransfereGOV",
ROUND(OFFSET($P254,0,AI$13),15-13*ORÇAMENTO!$AF$7)/$H254*OFFSET(ORÇAMENTO!$X$15,ROW(AI254)-ROW(AI$15),0),
ROUND(ROUND(OFFSET($P254,0,AI$13),15-13*ORÇAMENTO!$AF$7)*OFFSET(ORÇAMENTO!$W$15,ROW(AI254)-ROW(AI$15),0),15-13*ORÇAMENTO!$AF$11)),0)</f>
        <v>0</v>
      </c>
      <c r="AJ254" s="545">
        <f ca="1">IF(AND($D254="Serviço",AJ$12&lt;&gt;0,$H254&gt;0,OR(AUTOEVENTO&lt;&gt;"manual",$M254&lt;&gt;1)),
IF(Import.TipoArredondamento&lt;&gt;"TransfereGOV",
ROUND(OFFSET($P254,0,AJ$13),15-13*ORÇAMENTO!$AF$7)/$H254*OFFSET(ORÇAMENTO!$X$15,ROW(AJ254)-ROW(AJ$15),0),
ROUND(ROUND(OFFSET($P254,0,AJ$13),15-13*ORÇAMENTO!$AF$7)*OFFSET(ORÇAMENTO!$W$15,ROW(AJ254)-ROW(AJ$15),0),15-13*ORÇAMENTO!$AF$11)),0)</f>
        <v>0</v>
      </c>
      <c r="AK254" s="546">
        <f ca="1">IF(AND($D254="Serviço",AK$12&lt;&gt;0,$H254&gt;0,OR(AUTOEVENTO&lt;&gt;"manual",$M254&lt;&gt;1)),
IF(Import.TipoArredondamento&lt;&gt;"TransfereGOV",
ROUND(OFFSET($P254,0,AK$13),15-13*ORÇAMENTO!$AF$7)/$H254*OFFSET(ORÇAMENTO!$X$15,ROW(AK254)-ROW(AK$15),0),
ROUND(ROUND(OFFSET($P254,0,AK$13),15-13*ORÇAMENTO!$AF$7)*OFFSET(ORÇAMENTO!$W$15,ROW(AK254)-ROW(AK$15),0),15-13*ORÇAMENTO!$AF$11)),0)</f>
        <v>0</v>
      </c>
      <c r="AM254" s="181">
        <f ca="1">IF($D254&lt;&gt;"Serviço",0,IF(AND(AUTOEVENTO="Manual",$M254=1),0,IF(OFFSET(CRONOPLE!$F$14,$M254,AM$13)="",10^12,OFFSET(CRONOPLE!$F$14,$M254,AM$13))))</f>
        <v>1000000000000</v>
      </c>
      <c r="AN254" s="181">
        <f ca="1">IF($D254&lt;&gt;"Serviço",0,IF(AND(AUTOEVENTO="Manual",$M254=1),0,IF(OFFSET(CRONOPLE!$F$14,$M254,AN$13)="",10^12,OFFSET(CRONOPLE!$F$14,$M254,AN$13))))</f>
        <v>1000000000000</v>
      </c>
      <c r="AO254" s="181">
        <f ca="1">IF($D254&lt;&gt;"Serviço",0,IF(AND(AUTOEVENTO="Manual",$M254=1),0,IF(OFFSET(CRONOPLE!$F$14,$M254,AO$13)="",10^12,OFFSET(CRONOPLE!$F$14,$M254,AO$13))))</f>
        <v>1000000000000</v>
      </c>
      <c r="AP254" s="181">
        <f ca="1">IF($D254&lt;&gt;"Serviço",0,IF(AND(AUTOEVENTO="Manual",$M254=1),0,IF(OFFSET(CRONOPLE!$F$14,$M254,AP$13)="",10^12,OFFSET(CRONOPLE!$F$14,$M254,AP$13))))</f>
        <v>1000000000000</v>
      </c>
      <c r="AQ254" s="181">
        <f ca="1">IF($D254&lt;&gt;"Serviço",0,IF(AND(AUTOEVENTO="Manual",$M254=1),0,IF(OFFSET(CRONOPLE!$F$14,$M254,AQ$13)="",10^12,OFFSET(CRONOPLE!$F$14,$M254,AQ$13))))</f>
        <v>1000000000000</v>
      </c>
      <c r="AR254" s="181">
        <f ca="1">IF($D254&lt;&gt;"Serviço",0,IF(AND(AUTOEVENTO="Manual",$M254=1),0,IF(OFFSET(CRONOPLE!$F$14,$M254,AR$13)="",10^12,OFFSET(CRONOPLE!$F$14,$M254,AR$13))))</f>
        <v>1000000000000</v>
      </c>
      <c r="AS254" s="181">
        <f ca="1">IF($D254&lt;&gt;"Serviço",0,IF(AND(AUTOEVENTO="Manual",$M254=1),0,IF(OFFSET(CRONOPLE!$F$14,$M254,AS$13)="",10^12,OFFSET(CRONOPLE!$F$14,$M254,AS$13))))</f>
        <v>1000000000000</v>
      </c>
      <c r="AT254" s="181">
        <f ca="1">IF($D254&lt;&gt;"Serviço",0,IF(AND(AUTOEVENTO="Manual",$M254=1),0,IF(OFFSET(CRONOPLE!$F$14,$M254,AT$13)="",10^12,OFFSET(CRONOPLE!$F$14,$M254,AT$13))))</f>
        <v>1000000000000</v>
      </c>
      <c r="AU254" s="181">
        <f ca="1">IF($D254&lt;&gt;"Serviço",0,IF(AND(AUTOEVENTO="Manual",$M254=1),0,IF(OFFSET(CRONOPLE!$F$14,$M254,AU$13)="",10^12,OFFSET(CRONOPLE!$F$14,$M254,AU$13))))</f>
        <v>1000000000000</v>
      </c>
      <c r="AV254" s="181">
        <f ca="1">IF($D254&lt;&gt;"Serviço",0,IF(AND(AUTOEVENTO="Manual",$M254=1),0,IF(OFFSET(CRONOPLE!$F$14,$M254,AV$13)="",10^12,OFFSET(CRONOPLE!$F$14,$M254,AV$13))))</f>
        <v>1000000000000</v>
      </c>
      <c r="AX254" s="182">
        <f ca="1">IF($D254&lt;&gt;"Serviço",0,IF(OR(AND(AUTOEVENTO="Manual",$M254=1),$M254&gt;(ROW(PLE.lastrow)-ROW(PLE.firstrow))),0,IF(OFFSET(PLE!$G$14,$M254,AX$13)="",10^12,OFFSET(PLE!$G$14,$M254,AX$13))))</f>
        <v>1000000000000</v>
      </c>
      <c r="AY254" s="182">
        <f ca="1">IF($D254&lt;&gt;"Serviço",0,IF(OR(AND(AUTOEVENTO="Manual",$M254=1),$M254&gt;(ROW(PLE.lastrow)-ROW(PLE.firstrow))),0,IF(OFFSET(PLE!$G$14,$M254,AY$13)="",10^12,OFFSET(PLE!$G$14,$M254,AY$13))))</f>
        <v>1000000000000</v>
      </c>
      <c r="AZ254" s="182">
        <f ca="1">IF($D254&lt;&gt;"Serviço",0,IF(OR(AND(AUTOEVENTO="Manual",$M254=1),$M254&gt;(ROW(PLE.lastrow)-ROW(PLE.firstrow))),0,IF(OFFSET(PLE!$G$14,$M254,AZ$13)="",10^12,OFFSET(PLE!$G$14,$M254,AZ$13))))</f>
        <v>1000000000000</v>
      </c>
      <c r="BA254" s="182">
        <f ca="1">IF($D254&lt;&gt;"Serviço",0,IF(OR(AND(AUTOEVENTO="Manual",$M254=1),$M254&gt;(ROW(PLE.lastrow)-ROW(PLE.firstrow))),0,IF(OFFSET(PLE!$G$14,$M254,BA$13)="",10^12,OFFSET(PLE!$G$14,$M254,BA$13))))</f>
        <v>1000000000000</v>
      </c>
      <c r="BB254" s="182">
        <f ca="1">IF($D254&lt;&gt;"Serviço",0,IF(OR(AND(AUTOEVENTO="Manual",$M254=1),$M254&gt;(ROW(PLE.lastrow)-ROW(PLE.firstrow))),0,IF(OFFSET(PLE!$G$14,$M254,BB$13)="",10^12,OFFSET(PLE!$G$14,$M254,BB$13))))</f>
        <v>1000000000000</v>
      </c>
      <c r="BC254" s="182">
        <f ca="1">IF($D254&lt;&gt;"Serviço",0,IF(OR(AND(AUTOEVENTO="Manual",$M254=1),$M254&gt;(ROW(PLE.lastrow)-ROW(PLE.firstrow))),0,IF(OFFSET(PLE!$G$14,$M254,BC$13)="",10^12,OFFSET(PLE!$G$14,$M254,BC$13))))</f>
        <v>1000000000000</v>
      </c>
      <c r="BD254" s="182">
        <f ca="1">IF($D254&lt;&gt;"Serviço",0,IF(OR(AND(AUTOEVENTO="Manual",$M254=1),$M254&gt;(ROW(PLE.lastrow)-ROW(PLE.firstrow))),0,IF(OFFSET(PLE!$G$14,$M254,BD$13)="",10^12,OFFSET(PLE!$G$14,$M254,BD$13))))</f>
        <v>1000000000000</v>
      </c>
      <c r="BE254" s="182">
        <f ca="1">IF($D254&lt;&gt;"Serviço",0,IF(OR(AND(AUTOEVENTO="Manual",$M254=1),$M254&gt;(ROW(PLE.lastrow)-ROW(PLE.firstrow))),0,IF(OFFSET(PLE!$G$14,$M254,BE$13)="",10^12,OFFSET(PLE!$G$14,$M254,BE$13))))</f>
        <v>1000000000000</v>
      </c>
      <c r="BF254" s="182">
        <f ca="1">IF($D254&lt;&gt;"Serviço",0,IF(OR(AND(AUTOEVENTO="Manual",$M254=1),$M254&gt;(ROW(PLE.lastrow)-ROW(PLE.firstrow))),0,IF(OFFSET(PLE!$G$14,$M254,BF$13)="",10^12,OFFSET(PLE!$G$14,$M254,BF$13))))</f>
        <v>1000000000000</v>
      </c>
      <c r="BG254" s="182">
        <f ca="1">IF($D254&lt;&gt;"Serviço",0,IF(OR(AND(AUTOEVENTO="Manual",$M254=1),$M254&gt;(ROW(PLE.lastrow)-ROW(PLE.firstrow))),0,IF(OFFSET(PLE!$G$14,$M254,BG$13)="",10^12,OFFSET(PLE!$G$14,$M254,BG$13))))</f>
        <v>1000000000000</v>
      </c>
    </row>
    <row r="255" spans="1:59" ht="12.75" x14ac:dyDescent="0.2">
      <c r="A255" s="7" t="str">
        <f t="shared" ca="1" si="11"/>
        <v>233</v>
      </c>
      <c r="B255" s="7" t="str">
        <f ca="1">OFFSET(ORÇAMENTO!C$15,ROW(B255)-ROW(B$15),0)</f>
        <v>S</v>
      </c>
      <c r="C255" s="7" t="str">
        <f ca="1">OFFSET(ORÇAMENTO!L$15,ROW(C255)-ROW(C$15),0)</f>
        <v/>
      </c>
      <c r="D255" s="118" t="str">
        <f ca="1">OFFSET(ORÇAMENTO!N$15,ROW(D255)-ROW(D$15),0)</f>
        <v>Serviço</v>
      </c>
      <c r="E255" s="119" t="str">
        <f ca="1">OFFSET(ORÇAMENTO!O$15,ROW(E255)-ROW(E$15),0)</f>
        <v>-</v>
      </c>
      <c r="F255" s="172" t="str">
        <f ca="1">OFFSET(ORÇAMENTO!R$15,ROW(F255)-ROW(F$15),0)</f>
        <v>(abra o arquivo 'Referência 03-2024.xlsm)</v>
      </c>
      <c r="G255" s="173" t="str">
        <f ca="1">IF($D255&lt;&gt;"Serviço","",OFFSET(ORÇAMENTO!S$15,ROW(G255)-ROW(G$15),0))</f>
        <v>-</v>
      </c>
      <c r="H255" s="124">
        <f ca="1">IF($D255&lt;&gt;"Serviço",0,IF(ACOMPANHAMENTO="BM",ROUND(OFFSET(ORÇAMENTO!AJ$15,ROW(H255)-ROW(H$15),0),15-13*ORÇAMENTO!$AF$7),SUMPRODUCT(($Q$12:$AA$12&lt;&gt;"")*ROUND($Q255:$AA255,15-13*ORÇAMENTO!$AF$7))))</f>
        <v>0</v>
      </c>
      <c r="I255" s="561"/>
      <c r="K255" s="174"/>
      <c r="L255" s="175" t="s">
        <v>255</v>
      </c>
      <c r="M255" s="176">
        <f ca="1">IF($D255&lt;&gt;"Serviço","",IF(AUTOEVENTO="manual",$A255,IF(ISERROR(MATCH($A255,$A$15:OFFSET($A255,-1,0),0)),MAX($M$15:OFFSET(M255,-1,0))+1,INDEX($M$15:OFFSET(M255,-1,0),MATCH($A255,$A$15:OFFSET($A255,-1,0),0)))))</f>
        <v>14</v>
      </c>
      <c r="N255" s="177" t="str">
        <f ca="1">IF($D255&lt;&gt;"Serviço","",IF(AUTOEVENTO="Manual",IF($A255=0,"&lt;-- defina o número do agrupador",OFFSET(EVENTOS!$D$14,$A255,0)),OFFSET($F$15,$A255,0)))</f>
        <v>SERVIÇOS FINAIS</v>
      </c>
      <c r="O255" s="178"/>
      <c r="Q255" s="178"/>
      <c r="R255" s="179"/>
      <c r="S255" s="179"/>
      <c r="T255" s="179"/>
      <c r="U255" s="179"/>
      <c r="V255" s="179"/>
      <c r="W255" s="179"/>
      <c r="X255" s="179"/>
      <c r="Y255" s="179"/>
      <c r="Z255" s="180"/>
      <c r="AB255" s="544">
        <f ca="1">IF(AND($D255="Serviço",AB$12&lt;&gt;0,$H255&gt;0,OR(AUTOEVENTO&lt;&gt;"manual",$M255&lt;&gt;1)),
IF(Import.TipoArredondamento&lt;&gt;"TransfereGOV",
ROUND(OFFSET($P255,0,AB$13),15-13*ORÇAMENTO!$AF$7)/$H255*OFFSET(ORÇAMENTO!$X$15,ROW(AB255)-ROW(AB$15),0),
ROUND(ROUND(OFFSET($P255,0,AB$13),15-13*ORÇAMENTO!$AF$7)*OFFSET(ORÇAMENTO!$W$15,ROW(AB255)-ROW(AB$15),0),15-13*ORÇAMENTO!$AF$11)),0)</f>
        <v>0</v>
      </c>
      <c r="AC255" s="545">
        <f ca="1">IF(AND($D255="Serviço",AC$12&lt;&gt;0,$H255&gt;0,OR(AUTOEVENTO&lt;&gt;"manual",$M255&lt;&gt;1)),
IF(Import.TipoArredondamento&lt;&gt;"TransfereGOV",
ROUND(OFFSET($P255,0,AC$13),15-13*ORÇAMENTO!$AF$7)/$H255*OFFSET(ORÇAMENTO!$X$15,ROW(AC255)-ROW(AC$15),0),
ROUND(ROUND(OFFSET($P255,0,AC$13),15-13*ORÇAMENTO!$AF$7)*OFFSET(ORÇAMENTO!$W$15,ROW(AC255)-ROW(AC$15),0),15-13*ORÇAMENTO!$AF$11)),0)</f>
        <v>0</v>
      </c>
      <c r="AD255" s="545">
        <f ca="1">IF(AND($D255="Serviço",AD$12&lt;&gt;0,$H255&gt;0,OR(AUTOEVENTO&lt;&gt;"manual",$M255&lt;&gt;1)),
IF(Import.TipoArredondamento&lt;&gt;"TransfereGOV",
ROUND(OFFSET($P255,0,AD$13),15-13*ORÇAMENTO!$AF$7)/$H255*OFFSET(ORÇAMENTO!$X$15,ROW(AD255)-ROW(AD$15),0),
ROUND(ROUND(OFFSET($P255,0,AD$13),15-13*ORÇAMENTO!$AF$7)*OFFSET(ORÇAMENTO!$W$15,ROW(AD255)-ROW(AD$15),0),15-13*ORÇAMENTO!$AF$11)),0)</f>
        <v>0</v>
      </c>
      <c r="AE255" s="545">
        <f ca="1">IF(AND($D255="Serviço",AE$12&lt;&gt;0,$H255&gt;0,OR(AUTOEVENTO&lt;&gt;"manual",$M255&lt;&gt;1)),
IF(Import.TipoArredondamento&lt;&gt;"TransfereGOV",
ROUND(OFFSET($P255,0,AE$13),15-13*ORÇAMENTO!$AF$7)/$H255*OFFSET(ORÇAMENTO!$X$15,ROW(AE255)-ROW(AE$15),0),
ROUND(ROUND(OFFSET($P255,0,AE$13),15-13*ORÇAMENTO!$AF$7)*OFFSET(ORÇAMENTO!$W$15,ROW(AE255)-ROW(AE$15),0),15-13*ORÇAMENTO!$AF$11)),0)</f>
        <v>0</v>
      </c>
      <c r="AF255" s="545">
        <f ca="1">IF(AND($D255="Serviço",AF$12&lt;&gt;0,$H255&gt;0,OR(AUTOEVENTO&lt;&gt;"manual",$M255&lt;&gt;1)),
IF(Import.TipoArredondamento&lt;&gt;"TransfereGOV",
ROUND(OFFSET($P255,0,AF$13),15-13*ORÇAMENTO!$AF$7)/$H255*OFFSET(ORÇAMENTO!$X$15,ROW(AF255)-ROW(AF$15),0),
ROUND(ROUND(OFFSET($P255,0,AF$13),15-13*ORÇAMENTO!$AF$7)*OFFSET(ORÇAMENTO!$W$15,ROW(AF255)-ROW(AF$15),0),15-13*ORÇAMENTO!$AF$11)),0)</f>
        <v>0</v>
      </c>
      <c r="AG255" s="545">
        <f ca="1">IF(AND($D255="Serviço",AG$12&lt;&gt;0,$H255&gt;0,OR(AUTOEVENTO&lt;&gt;"manual",$M255&lt;&gt;1)),
IF(Import.TipoArredondamento&lt;&gt;"TransfereGOV",
ROUND(OFFSET($P255,0,AG$13),15-13*ORÇAMENTO!$AF$7)/$H255*OFFSET(ORÇAMENTO!$X$15,ROW(AG255)-ROW(AG$15),0),
ROUND(ROUND(OFFSET($P255,0,AG$13),15-13*ORÇAMENTO!$AF$7)*OFFSET(ORÇAMENTO!$W$15,ROW(AG255)-ROW(AG$15),0),15-13*ORÇAMENTO!$AF$11)),0)</f>
        <v>0</v>
      </c>
      <c r="AH255" s="545">
        <f ca="1">IF(AND($D255="Serviço",AH$12&lt;&gt;0,$H255&gt;0,OR(AUTOEVENTO&lt;&gt;"manual",$M255&lt;&gt;1)),
IF(Import.TipoArredondamento&lt;&gt;"TransfereGOV",
ROUND(OFFSET($P255,0,AH$13),15-13*ORÇAMENTO!$AF$7)/$H255*OFFSET(ORÇAMENTO!$X$15,ROW(AH255)-ROW(AH$15),0),
ROUND(ROUND(OFFSET($P255,0,AH$13),15-13*ORÇAMENTO!$AF$7)*OFFSET(ORÇAMENTO!$W$15,ROW(AH255)-ROW(AH$15),0),15-13*ORÇAMENTO!$AF$11)),0)</f>
        <v>0</v>
      </c>
      <c r="AI255" s="545">
        <f ca="1">IF(AND($D255="Serviço",AI$12&lt;&gt;0,$H255&gt;0,OR(AUTOEVENTO&lt;&gt;"manual",$M255&lt;&gt;1)),
IF(Import.TipoArredondamento&lt;&gt;"TransfereGOV",
ROUND(OFFSET($P255,0,AI$13),15-13*ORÇAMENTO!$AF$7)/$H255*OFFSET(ORÇAMENTO!$X$15,ROW(AI255)-ROW(AI$15),0),
ROUND(ROUND(OFFSET($P255,0,AI$13),15-13*ORÇAMENTO!$AF$7)*OFFSET(ORÇAMENTO!$W$15,ROW(AI255)-ROW(AI$15),0),15-13*ORÇAMENTO!$AF$11)),0)</f>
        <v>0</v>
      </c>
      <c r="AJ255" s="545">
        <f ca="1">IF(AND($D255="Serviço",AJ$12&lt;&gt;0,$H255&gt;0,OR(AUTOEVENTO&lt;&gt;"manual",$M255&lt;&gt;1)),
IF(Import.TipoArredondamento&lt;&gt;"TransfereGOV",
ROUND(OFFSET($P255,0,AJ$13),15-13*ORÇAMENTO!$AF$7)/$H255*OFFSET(ORÇAMENTO!$X$15,ROW(AJ255)-ROW(AJ$15),0),
ROUND(ROUND(OFFSET($P255,0,AJ$13),15-13*ORÇAMENTO!$AF$7)*OFFSET(ORÇAMENTO!$W$15,ROW(AJ255)-ROW(AJ$15),0),15-13*ORÇAMENTO!$AF$11)),0)</f>
        <v>0</v>
      </c>
      <c r="AK255" s="546">
        <f ca="1">IF(AND($D255="Serviço",AK$12&lt;&gt;0,$H255&gt;0,OR(AUTOEVENTO&lt;&gt;"manual",$M255&lt;&gt;1)),
IF(Import.TipoArredondamento&lt;&gt;"TransfereGOV",
ROUND(OFFSET($P255,0,AK$13),15-13*ORÇAMENTO!$AF$7)/$H255*OFFSET(ORÇAMENTO!$X$15,ROW(AK255)-ROW(AK$15),0),
ROUND(ROUND(OFFSET($P255,0,AK$13),15-13*ORÇAMENTO!$AF$7)*OFFSET(ORÇAMENTO!$W$15,ROW(AK255)-ROW(AK$15),0),15-13*ORÇAMENTO!$AF$11)),0)</f>
        <v>0</v>
      </c>
      <c r="AM255" s="181">
        <f ca="1">IF($D255&lt;&gt;"Serviço",0,IF(AND(AUTOEVENTO="Manual",$M255=1),0,IF(OFFSET(CRONOPLE!$F$14,$M255,AM$13)="",10^12,OFFSET(CRONOPLE!$F$14,$M255,AM$13))))</f>
        <v>1000000000000</v>
      </c>
      <c r="AN255" s="181">
        <f ca="1">IF($D255&lt;&gt;"Serviço",0,IF(AND(AUTOEVENTO="Manual",$M255=1),0,IF(OFFSET(CRONOPLE!$F$14,$M255,AN$13)="",10^12,OFFSET(CRONOPLE!$F$14,$M255,AN$13))))</f>
        <v>1000000000000</v>
      </c>
      <c r="AO255" s="181">
        <f ca="1">IF($D255&lt;&gt;"Serviço",0,IF(AND(AUTOEVENTO="Manual",$M255=1),0,IF(OFFSET(CRONOPLE!$F$14,$M255,AO$13)="",10^12,OFFSET(CRONOPLE!$F$14,$M255,AO$13))))</f>
        <v>1000000000000</v>
      </c>
      <c r="AP255" s="181">
        <f ca="1">IF($D255&lt;&gt;"Serviço",0,IF(AND(AUTOEVENTO="Manual",$M255=1),0,IF(OFFSET(CRONOPLE!$F$14,$M255,AP$13)="",10^12,OFFSET(CRONOPLE!$F$14,$M255,AP$13))))</f>
        <v>1000000000000</v>
      </c>
      <c r="AQ255" s="181">
        <f ca="1">IF($D255&lt;&gt;"Serviço",0,IF(AND(AUTOEVENTO="Manual",$M255=1),0,IF(OFFSET(CRONOPLE!$F$14,$M255,AQ$13)="",10^12,OFFSET(CRONOPLE!$F$14,$M255,AQ$13))))</f>
        <v>1000000000000</v>
      </c>
      <c r="AR255" s="181">
        <f ca="1">IF($D255&lt;&gt;"Serviço",0,IF(AND(AUTOEVENTO="Manual",$M255=1),0,IF(OFFSET(CRONOPLE!$F$14,$M255,AR$13)="",10^12,OFFSET(CRONOPLE!$F$14,$M255,AR$13))))</f>
        <v>1000000000000</v>
      </c>
      <c r="AS255" s="181">
        <f ca="1">IF($D255&lt;&gt;"Serviço",0,IF(AND(AUTOEVENTO="Manual",$M255=1),0,IF(OFFSET(CRONOPLE!$F$14,$M255,AS$13)="",10^12,OFFSET(CRONOPLE!$F$14,$M255,AS$13))))</f>
        <v>1000000000000</v>
      </c>
      <c r="AT255" s="181">
        <f ca="1">IF($D255&lt;&gt;"Serviço",0,IF(AND(AUTOEVENTO="Manual",$M255=1),0,IF(OFFSET(CRONOPLE!$F$14,$M255,AT$13)="",10^12,OFFSET(CRONOPLE!$F$14,$M255,AT$13))))</f>
        <v>1000000000000</v>
      </c>
      <c r="AU255" s="181">
        <f ca="1">IF($D255&lt;&gt;"Serviço",0,IF(AND(AUTOEVENTO="Manual",$M255=1),0,IF(OFFSET(CRONOPLE!$F$14,$M255,AU$13)="",10^12,OFFSET(CRONOPLE!$F$14,$M255,AU$13))))</f>
        <v>1000000000000</v>
      </c>
      <c r="AV255" s="181">
        <f ca="1">IF($D255&lt;&gt;"Serviço",0,IF(AND(AUTOEVENTO="Manual",$M255=1),0,IF(OFFSET(CRONOPLE!$F$14,$M255,AV$13)="",10^12,OFFSET(CRONOPLE!$F$14,$M255,AV$13))))</f>
        <v>1000000000000</v>
      </c>
      <c r="AX255" s="182">
        <f ca="1">IF($D255&lt;&gt;"Serviço",0,IF(OR(AND(AUTOEVENTO="Manual",$M255=1),$M255&gt;(ROW(PLE.lastrow)-ROW(PLE.firstrow))),0,IF(OFFSET(PLE!$G$14,$M255,AX$13)="",10^12,OFFSET(PLE!$G$14,$M255,AX$13))))</f>
        <v>1000000000000</v>
      </c>
      <c r="AY255" s="182">
        <f ca="1">IF($D255&lt;&gt;"Serviço",0,IF(OR(AND(AUTOEVENTO="Manual",$M255=1),$M255&gt;(ROW(PLE.lastrow)-ROW(PLE.firstrow))),0,IF(OFFSET(PLE!$G$14,$M255,AY$13)="",10^12,OFFSET(PLE!$G$14,$M255,AY$13))))</f>
        <v>1000000000000</v>
      </c>
      <c r="AZ255" s="182">
        <f ca="1">IF($D255&lt;&gt;"Serviço",0,IF(OR(AND(AUTOEVENTO="Manual",$M255=1),$M255&gt;(ROW(PLE.lastrow)-ROW(PLE.firstrow))),0,IF(OFFSET(PLE!$G$14,$M255,AZ$13)="",10^12,OFFSET(PLE!$G$14,$M255,AZ$13))))</f>
        <v>1000000000000</v>
      </c>
      <c r="BA255" s="182">
        <f ca="1">IF($D255&lt;&gt;"Serviço",0,IF(OR(AND(AUTOEVENTO="Manual",$M255=1),$M255&gt;(ROW(PLE.lastrow)-ROW(PLE.firstrow))),0,IF(OFFSET(PLE!$G$14,$M255,BA$13)="",10^12,OFFSET(PLE!$G$14,$M255,BA$13))))</f>
        <v>1000000000000</v>
      </c>
      <c r="BB255" s="182">
        <f ca="1">IF($D255&lt;&gt;"Serviço",0,IF(OR(AND(AUTOEVENTO="Manual",$M255=1),$M255&gt;(ROW(PLE.lastrow)-ROW(PLE.firstrow))),0,IF(OFFSET(PLE!$G$14,$M255,BB$13)="",10^12,OFFSET(PLE!$G$14,$M255,BB$13))))</f>
        <v>1000000000000</v>
      </c>
      <c r="BC255" s="182">
        <f ca="1">IF($D255&lt;&gt;"Serviço",0,IF(OR(AND(AUTOEVENTO="Manual",$M255=1),$M255&gt;(ROW(PLE.lastrow)-ROW(PLE.firstrow))),0,IF(OFFSET(PLE!$G$14,$M255,BC$13)="",10^12,OFFSET(PLE!$G$14,$M255,BC$13))))</f>
        <v>1000000000000</v>
      </c>
      <c r="BD255" s="182">
        <f ca="1">IF($D255&lt;&gt;"Serviço",0,IF(OR(AND(AUTOEVENTO="Manual",$M255=1),$M255&gt;(ROW(PLE.lastrow)-ROW(PLE.firstrow))),0,IF(OFFSET(PLE!$G$14,$M255,BD$13)="",10^12,OFFSET(PLE!$G$14,$M255,BD$13))))</f>
        <v>1000000000000</v>
      </c>
      <c r="BE255" s="182">
        <f ca="1">IF($D255&lt;&gt;"Serviço",0,IF(OR(AND(AUTOEVENTO="Manual",$M255=1),$M255&gt;(ROW(PLE.lastrow)-ROW(PLE.firstrow))),0,IF(OFFSET(PLE!$G$14,$M255,BE$13)="",10^12,OFFSET(PLE!$G$14,$M255,BE$13))))</f>
        <v>1000000000000</v>
      </c>
      <c r="BF255" s="182">
        <f ca="1">IF($D255&lt;&gt;"Serviço",0,IF(OR(AND(AUTOEVENTO="Manual",$M255=1),$M255&gt;(ROW(PLE.lastrow)-ROW(PLE.firstrow))),0,IF(OFFSET(PLE!$G$14,$M255,BF$13)="",10^12,OFFSET(PLE!$G$14,$M255,BF$13))))</f>
        <v>1000000000000</v>
      </c>
      <c r="BG255" s="182">
        <f ca="1">IF($D255&lt;&gt;"Serviço",0,IF(OR(AND(AUTOEVENTO="Manual",$M255=1),$M255&gt;(ROW(PLE.lastrow)-ROW(PLE.firstrow))),0,IF(OFFSET(PLE!$G$14,$M255,BG$13)="",10^12,OFFSET(PLE!$G$14,$M255,BG$13))))</f>
        <v>1000000000000</v>
      </c>
    </row>
    <row r="256" spans="1:59" ht="12.75" x14ac:dyDescent="0.2">
      <c r="A256" s="7" t="str">
        <f t="shared" ca="1" si="11"/>
        <v>233</v>
      </c>
      <c r="B256" s="7" t="str">
        <f ca="1">OFFSET(ORÇAMENTO!C$15,ROW(B256)-ROW(B$15),0)</f>
        <v>S</v>
      </c>
      <c r="C256" s="7" t="str">
        <f ca="1">OFFSET(ORÇAMENTO!L$15,ROW(C256)-ROW(C$15),0)</f>
        <v/>
      </c>
      <c r="D256" s="118" t="str">
        <f ca="1">OFFSET(ORÇAMENTO!N$15,ROW(D256)-ROW(D$15),0)</f>
        <v>Serviço</v>
      </c>
      <c r="E256" s="119" t="str">
        <f ca="1">OFFSET(ORÇAMENTO!O$15,ROW(E256)-ROW(E$15),0)</f>
        <v>-</v>
      </c>
      <c r="F256" s="172" t="str">
        <f ca="1">OFFSET(ORÇAMENTO!R$15,ROW(F256)-ROW(F$15),0)</f>
        <v>(abra o arquivo 'Referência 03-2024.xlsm)</v>
      </c>
      <c r="G256" s="173" t="str">
        <f ca="1">IF($D256&lt;&gt;"Serviço","",OFFSET(ORÇAMENTO!S$15,ROW(G256)-ROW(G$15),0))</f>
        <v>-</v>
      </c>
      <c r="H256" s="124">
        <f ca="1">IF($D256&lt;&gt;"Serviço",0,IF(ACOMPANHAMENTO="BM",ROUND(OFFSET(ORÇAMENTO!AJ$15,ROW(H256)-ROW(H$15),0),15-13*ORÇAMENTO!$AF$7),SUMPRODUCT(($Q$12:$AA$12&lt;&gt;"")*ROUND($Q256:$AA256,15-13*ORÇAMENTO!$AF$7))))</f>
        <v>0</v>
      </c>
      <c r="I256" s="561"/>
      <c r="K256" s="174"/>
      <c r="L256" s="175" t="s">
        <v>255</v>
      </c>
      <c r="M256" s="176">
        <f ca="1">IF($D256&lt;&gt;"Serviço","",IF(AUTOEVENTO="manual",$A256,IF(ISERROR(MATCH($A256,$A$15:OFFSET($A256,-1,0),0)),MAX($M$15:OFFSET(M256,-1,0))+1,INDEX($M$15:OFFSET(M256,-1,0),MATCH($A256,$A$15:OFFSET($A256,-1,0),0)))))</f>
        <v>14</v>
      </c>
      <c r="N256" s="177" t="str">
        <f ca="1">IF($D256&lt;&gt;"Serviço","",IF(AUTOEVENTO="Manual",IF($A256=0,"&lt;-- defina o número do agrupador",OFFSET(EVENTOS!$D$14,$A256,0)),OFFSET($F$15,$A256,0)))</f>
        <v>SERVIÇOS FINAIS</v>
      </c>
      <c r="O256" s="178"/>
      <c r="Q256" s="178"/>
      <c r="R256" s="179"/>
      <c r="S256" s="179"/>
      <c r="T256" s="179"/>
      <c r="U256" s="179"/>
      <c r="V256" s="179"/>
      <c r="W256" s="179"/>
      <c r="X256" s="179"/>
      <c r="Y256" s="179"/>
      <c r="Z256" s="180"/>
      <c r="AB256" s="544">
        <f ca="1">IF(AND($D256="Serviço",AB$12&lt;&gt;0,$H256&gt;0,OR(AUTOEVENTO&lt;&gt;"manual",$M256&lt;&gt;1)),
IF(Import.TipoArredondamento&lt;&gt;"TransfereGOV",
ROUND(OFFSET($P256,0,AB$13),15-13*ORÇAMENTO!$AF$7)/$H256*OFFSET(ORÇAMENTO!$X$15,ROW(AB256)-ROW(AB$15),0),
ROUND(ROUND(OFFSET($P256,0,AB$13),15-13*ORÇAMENTO!$AF$7)*OFFSET(ORÇAMENTO!$W$15,ROW(AB256)-ROW(AB$15),0),15-13*ORÇAMENTO!$AF$11)),0)</f>
        <v>0</v>
      </c>
      <c r="AC256" s="545">
        <f ca="1">IF(AND($D256="Serviço",AC$12&lt;&gt;0,$H256&gt;0,OR(AUTOEVENTO&lt;&gt;"manual",$M256&lt;&gt;1)),
IF(Import.TipoArredondamento&lt;&gt;"TransfereGOV",
ROUND(OFFSET($P256,0,AC$13),15-13*ORÇAMENTO!$AF$7)/$H256*OFFSET(ORÇAMENTO!$X$15,ROW(AC256)-ROW(AC$15),0),
ROUND(ROUND(OFFSET($P256,0,AC$13),15-13*ORÇAMENTO!$AF$7)*OFFSET(ORÇAMENTO!$W$15,ROW(AC256)-ROW(AC$15),0),15-13*ORÇAMENTO!$AF$11)),0)</f>
        <v>0</v>
      </c>
      <c r="AD256" s="545">
        <f ca="1">IF(AND($D256="Serviço",AD$12&lt;&gt;0,$H256&gt;0,OR(AUTOEVENTO&lt;&gt;"manual",$M256&lt;&gt;1)),
IF(Import.TipoArredondamento&lt;&gt;"TransfereGOV",
ROUND(OFFSET($P256,0,AD$13),15-13*ORÇAMENTO!$AF$7)/$H256*OFFSET(ORÇAMENTO!$X$15,ROW(AD256)-ROW(AD$15),0),
ROUND(ROUND(OFFSET($P256,0,AD$13),15-13*ORÇAMENTO!$AF$7)*OFFSET(ORÇAMENTO!$W$15,ROW(AD256)-ROW(AD$15),0),15-13*ORÇAMENTO!$AF$11)),0)</f>
        <v>0</v>
      </c>
      <c r="AE256" s="545">
        <f ca="1">IF(AND($D256="Serviço",AE$12&lt;&gt;0,$H256&gt;0,OR(AUTOEVENTO&lt;&gt;"manual",$M256&lt;&gt;1)),
IF(Import.TipoArredondamento&lt;&gt;"TransfereGOV",
ROUND(OFFSET($P256,0,AE$13),15-13*ORÇAMENTO!$AF$7)/$H256*OFFSET(ORÇAMENTO!$X$15,ROW(AE256)-ROW(AE$15),0),
ROUND(ROUND(OFFSET($P256,0,AE$13),15-13*ORÇAMENTO!$AF$7)*OFFSET(ORÇAMENTO!$W$15,ROW(AE256)-ROW(AE$15),0),15-13*ORÇAMENTO!$AF$11)),0)</f>
        <v>0</v>
      </c>
      <c r="AF256" s="545">
        <f ca="1">IF(AND($D256="Serviço",AF$12&lt;&gt;0,$H256&gt;0,OR(AUTOEVENTO&lt;&gt;"manual",$M256&lt;&gt;1)),
IF(Import.TipoArredondamento&lt;&gt;"TransfereGOV",
ROUND(OFFSET($P256,0,AF$13),15-13*ORÇAMENTO!$AF$7)/$H256*OFFSET(ORÇAMENTO!$X$15,ROW(AF256)-ROW(AF$15),0),
ROUND(ROUND(OFFSET($P256,0,AF$13),15-13*ORÇAMENTO!$AF$7)*OFFSET(ORÇAMENTO!$W$15,ROW(AF256)-ROW(AF$15),0),15-13*ORÇAMENTO!$AF$11)),0)</f>
        <v>0</v>
      </c>
      <c r="AG256" s="545">
        <f ca="1">IF(AND($D256="Serviço",AG$12&lt;&gt;0,$H256&gt;0,OR(AUTOEVENTO&lt;&gt;"manual",$M256&lt;&gt;1)),
IF(Import.TipoArredondamento&lt;&gt;"TransfereGOV",
ROUND(OFFSET($P256,0,AG$13),15-13*ORÇAMENTO!$AF$7)/$H256*OFFSET(ORÇAMENTO!$X$15,ROW(AG256)-ROW(AG$15),0),
ROUND(ROUND(OFFSET($P256,0,AG$13),15-13*ORÇAMENTO!$AF$7)*OFFSET(ORÇAMENTO!$W$15,ROW(AG256)-ROW(AG$15),0),15-13*ORÇAMENTO!$AF$11)),0)</f>
        <v>0</v>
      </c>
      <c r="AH256" s="545">
        <f ca="1">IF(AND($D256="Serviço",AH$12&lt;&gt;0,$H256&gt;0,OR(AUTOEVENTO&lt;&gt;"manual",$M256&lt;&gt;1)),
IF(Import.TipoArredondamento&lt;&gt;"TransfereGOV",
ROUND(OFFSET($P256,0,AH$13),15-13*ORÇAMENTO!$AF$7)/$H256*OFFSET(ORÇAMENTO!$X$15,ROW(AH256)-ROW(AH$15),0),
ROUND(ROUND(OFFSET($P256,0,AH$13),15-13*ORÇAMENTO!$AF$7)*OFFSET(ORÇAMENTO!$W$15,ROW(AH256)-ROW(AH$15),0),15-13*ORÇAMENTO!$AF$11)),0)</f>
        <v>0</v>
      </c>
      <c r="AI256" s="545">
        <f ca="1">IF(AND($D256="Serviço",AI$12&lt;&gt;0,$H256&gt;0,OR(AUTOEVENTO&lt;&gt;"manual",$M256&lt;&gt;1)),
IF(Import.TipoArredondamento&lt;&gt;"TransfereGOV",
ROUND(OFFSET($P256,0,AI$13),15-13*ORÇAMENTO!$AF$7)/$H256*OFFSET(ORÇAMENTO!$X$15,ROW(AI256)-ROW(AI$15),0),
ROUND(ROUND(OFFSET($P256,0,AI$13),15-13*ORÇAMENTO!$AF$7)*OFFSET(ORÇAMENTO!$W$15,ROW(AI256)-ROW(AI$15),0),15-13*ORÇAMENTO!$AF$11)),0)</f>
        <v>0</v>
      </c>
      <c r="AJ256" s="545">
        <f ca="1">IF(AND($D256="Serviço",AJ$12&lt;&gt;0,$H256&gt;0,OR(AUTOEVENTO&lt;&gt;"manual",$M256&lt;&gt;1)),
IF(Import.TipoArredondamento&lt;&gt;"TransfereGOV",
ROUND(OFFSET($P256,0,AJ$13),15-13*ORÇAMENTO!$AF$7)/$H256*OFFSET(ORÇAMENTO!$X$15,ROW(AJ256)-ROW(AJ$15),0),
ROUND(ROUND(OFFSET($P256,0,AJ$13),15-13*ORÇAMENTO!$AF$7)*OFFSET(ORÇAMENTO!$W$15,ROW(AJ256)-ROW(AJ$15),0),15-13*ORÇAMENTO!$AF$11)),0)</f>
        <v>0</v>
      </c>
      <c r="AK256" s="546">
        <f ca="1">IF(AND($D256="Serviço",AK$12&lt;&gt;0,$H256&gt;0,OR(AUTOEVENTO&lt;&gt;"manual",$M256&lt;&gt;1)),
IF(Import.TipoArredondamento&lt;&gt;"TransfereGOV",
ROUND(OFFSET($P256,0,AK$13),15-13*ORÇAMENTO!$AF$7)/$H256*OFFSET(ORÇAMENTO!$X$15,ROW(AK256)-ROW(AK$15),0),
ROUND(ROUND(OFFSET($P256,0,AK$13),15-13*ORÇAMENTO!$AF$7)*OFFSET(ORÇAMENTO!$W$15,ROW(AK256)-ROW(AK$15),0),15-13*ORÇAMENTO!$AF$11)),0)</f>
        <v>0</v>
      </c>
      <c r="AM256" s="181">
        <f ca="1">IF($D256&lt;&gt;"Serviço",0,IF(AND(AUTOEVENTO="Manual",$M256=1),0,IF(OFFSET(CRONOPLE!$F$14,$M256,AM$13)="",10^12,OFFSET(CRONOPLE!$F$14,$M256,AM$13))))</f>
        <v>1000000000000</v>
      </c>
      <c r="AN256" s="181">
        <f ca="1">IF($D256&lt;&gt;"Serviço",0,IF(AND(AUTOEVENTO="Manual",$M256=1),0,IF(OFFSET(CRONOPLE!$F$14,$M256,AN$13)="",10^12,OFFSET(CRONOPLE!$F$14,$M256,AN$13))))</f>
        <v>1000000000000</v>
      </c>
      <c r="AO256" s="181">
        <f ca="1">IF($D256&lt;&gt;"Serviço",0,IF(AND(AUTOEVENTO="Manual",$M256=1),0,IF(OFFSET(CRONOPLE!$F$14,$M256,AO$13)="",10^12,OFFSET(CRONOPLE!$F$14,$M256,AO$13))))</f>
        <v>1000000000000</v>
      </c>
      <c r="AP256" s="181">
        <f ca="1">IF($D256&lt;&gt;"Serviço",0,IF(AND(AUTOEVENTO="Manual",$M256=1),0,IF(OFFSET(CRONOPLE!$F$14,$M256,AP$13)="",10^12,OFFSET(CRONOPLE!$F$14,$M256,AP$13))))</f>
        <v>1000000000000</v>
      </c>
      <c r="AQ256" s="181">
        <f ca="1">IF($D256&lt;&gt;"Serviço",0,IF(AND(AUTOEVENTO="Manual",$M256=1),0,IF(OFFSET(CRONOPLE!$F$14,$M256,AQ$13)="",10^12,OFFSET(CRONOPLE!$F$14,$M256,AQ$13))))</f>
        <v>1000000000000</v>
      </c>
      <c r="AR256" s="181">
        <f ca="1">IF($D256&lt;&gt;"Serviço",0,IF(AND(AUTOEVENTO="Manual",$M256=1),0,IF(OFFSET(CRONOPLE!$F$14,$M256,AR$13)="",10^12,OFFSET(CRONOPLE!$F$14,$M256,AR$13))))</f>
        <v>1000000000000</v>
      </c>
      <c r="AS256" s="181">
        <f ca="1">IF($D256&lt;&gt;"Serviço",0,IF(AND(AUTOEVENTO="Manual",$M256=1),0,IF(OFFSET(CRONOPLE!$F$14,$M256,AS$13)="",10^12,OFFSET(CRONOPLE!$F$14,$M256,AS$13))))</f>
        <v>1000000000000</v>
      </c>
      <c r="AT256" s="181">
        <f ca="1">IF($D256&lt;&gt;"Serviço",0,IF(AND(AUTOEVENTO="Manual",$M256=1),0,IF(OFFSET(CRONOPLE!$F$14,$M256,AT$13)="",10^12,OFFSET(CRONOPLE!$F$14,$M256,AT$13))))</f>
        <v>1000000000000</v>
      </c>
      <c r="AU256" s="181">
        <f ca="1">IF($D256&lt;&gt;"Serviço",0,IF(AND(AUTOEVENTO="Manual",$M256=1),0,IF(OFFSET(CRONOPLE!$F$14,$M256,AU$13)="",10^12,OFFSET(CRONOPLE!$F$14,$M256,AU$13))))</f>
        <v>1000000000000</v>
      </c>
      <c r="AV256" s="181">
        <f ca="1">IF($D256&lt;&gt;"Serviço",0,IF(AND(AUTOEVENTO="Manual",$M256=1),0,IF(OFFSET(CRONOPLE!$F$14,$M256,AV$13)="",10^12,OFFSET(CRONOPLE!$F$14,$M256,AV$13))))</f>
        <v>1000000000000</v>
      </c>
      <c r="AX256" s="182">
        <f ca="1">IF($D256&lt;&gt;"Serviço",0,IF(OR(AND(AUTOEVENTO="Manual",$M256=1),$M256&gt;(ROW(PLE.lastrow)-ROW(PLE.firstrow))),0,IF(OFFSET(PLE!$G$14,$M256,AX$13)="",10^12,OFFSET(PLE!$G$14,$M256,AX$13))))</f>
        <v>1000000000000</v>
      </c>
      <c r="AY256" s="182">
        <f ca="1">IF($D256&lt;&gt;"Serviço",0,IF(OR(AND(AUTOEVENTO="Manual",$M256=1),$M256&gt;(ROW(PLE.lastrow)-ROW(PLE.firstrow))),0,IF(OFFSET(PLE!$G$14,$M256,AY$13)="",10^12,OFFSET(PLE!$G$14,$M256,AY$13))))</f>
        <v>1000000000000</v>
      </c>
      <c r="AZ256" s="182">
        <f ca="1">IF($D256&lt;&gt;"Serviço",0,IF(OR(AND(AUTOEVENTO="Manual",$M256=1),$M256&gt;(ROW(PLE.lastrow)-ROW(PLE.firstrow))),0,IF(OFFSET(PLE!$G$14,$M256,AZ$13)="",10^12,OFFSET(PLE!$G$14,$M256,AZ$13))))</f>
        <v>1000000000000</v>
      </c>
      <c r="BA256" s="182">
        <f ca="1">IF($D256&lt;&gt;"Serviço",0,IF(OR(AND(AUTOEVENTO="Manual",$M256=1),$M256&gt;(ROW(PLE.lastrow)-ROW(PLE.firstrow))),0,IF(OFFSET(PLE!$G$14,$M256,BA$13)="",10^12,OFFSET(PLE!$G$14,$M256,BA$13))))</f>
        <v>1000000000000</v>
      </c>
      <c r="BB256" s="182">
        <f ca="1">IF($D256&lt;&gt;"Serviço",0,IF(OR(AND(AUTOEVENTO="Manual",$M256=1),$M256&gt;(ROW(PLE.lastrow)-ROW(PLE.firstrow))),0,IF(OFFSET(PLE!$G$14,$M256,BB$13)="",10^12,OFFSET(PLE!$G$14,$M256,BB$13))))</f>
        <v>1000000000000</v>
      </c>
      <c r="BC256" s="182">
        <f ca="1">IF($D256&lt;&gt;"Serviço",0,IF(OR(AND(AUTOEVENTO="Manual",$M256=1),$M256&gt;(ROW(PLE.lastrow)-ROW(PLE.firstrow))),0,IF(OFFSET(PLE!$G$14,$M256,BC$13)="",10^12,OFFSET(PLE!$G$14,$M256,BC$13))))</f>
        <v>1000000000000</v>
      </c>
      <c r="BD256" s="182">
        <f ca="1">IF($D256&lt;&gt;"Serviço",0,IF(OR(AND(AUTOEVENTO="Manual",$M256=1),$M256&gt;(ROW(PLE.lastrow)-ROW(PLE.firstrow))),0,IF(OFFSET(PLE!$G$14,$M256,BD$13)="",10^12,OFFSET(PLE!$G$14,$M256,BD$13))))</f>
        <v>1000000000000</v>
      </c>
      <c r="BE256" s="182">
        <f ca="1">IF($D256&lt;&gt;"Serviço",0,IF(OR(AND(AUTOEVENTO="Manual",$M256=1),$M256&gt;(ROW(PLE.lastrow)-ROW(PLE.firstrow))),0,IF(OFFSET(PLE!$G$14,$M256,BE$13)="",10^12,OFFSET(PLE!$G$14,$M256,BE$13))))</f>
        <v>1000000000000</v>
      </c>
      <c r="BF256" s="182">
        <f ca="1">IF($D256&lt;&gt;"Serviço",0,IF(OR(AND(AUTOEVENTO="Manual",$M256=1),$M256&gt;(ROW(PLE.lastrow)-ROW(PLE.firstrow))),0,IF(OFFSET(PLE!$G$14,$M256,BF$13)="",10^12,OFFSET(PLE!$G$14,$M256,BF$13))))</f>
        <v>1000000000000</v>
      </c>
      <c r="BG256" s="182">
        <f ca="1">IF($D256&lt;&gt;"Serviço",0,IF(OR(AND(AUTOEVENTO="Manual",$M256=1),$M256&gt;(ROW(PLE.lastrow)-ROW(PLE.firstrow))),0,IF(OFFSET(PLE!$G$14,$M256,BG$13)="",10^12,OFFSET(PLE!$G$14,$M256,BG$13))))</f>
        <v>1000000000000</v>
      </c>
    </row>
    <row r="257" spans="1:59" ht="12.75" x14ac:dyDescent="0.2">
      <c r="A257" s="7" t="str">
        <f t="shared" ca="1" si="11"/>
        <v>233</v>
      </c>
      <c r="B257" s="7" t="str">
        <f ca="1">OFFSET(ORÇAMENTO!C$15,ROW(B257)-ROW(B$15),0)</f>
        <v>S</v>
      </c>
      <c r="C257" s="7" t="str">
        <f ca="1">OFFSET(ORÇAMENTO!L$15,ROW(C257)-ROW(C$15),0)</f>
        <v/>
      </c>
      <c r="D257" s="118" t="str">
        <f ca="1">OFFSET(ORÇAMENTO!N$15,ROW(D257)-ROW(D$15),0)</f>
        <v>Serviço</v>
      </c>
      <c r="E257" s="119" t="str">
        <f ca="1">OFFSET(ORÇAMENTO!O$15,ROW(E257)-ROW(E$15),0)</f>
        <v>-</v>
      </c>
      <c r="F257" s="172" t="str">
        <f ca="1">OFFSET(ORÇAMENTO!R$15,ROW(F257)-ROW(F$15),0)</f>
        <v>(abra o arquivo 'Referência 03-2024.xlsm)</v>
      </c>
      <c r="G257" s="173" t="str">
        <f ca="1">IF($D257&lt;&gt;"Serviço","",OFFSET(ORÇAMENTO!S$15,ROW(G257)-ROW(G$15),0))</f>
        <v>-</v>
      </c>
      <c r="H257" s="124">
        <f ca="1">IF($D257&lt;&gt;"Serviço",0,IF(ACOMPANHAMENTO="BM",ROUND(OFFSET(ORÇAMENTO!AJ$15,ROW(H257)-ROW(H$15),0),15-13*ORÇAMENTO!$AF$7),SUMPRODUCT(($Q$12:$AA$12&lt;&gt;"")*ROUND($Q257:$AA257,15-13*ORÇAMENTO!$AF$7))))</f>
        <v>0</v>
      </c>
      <c r="I257" s="561"/>
      <c r="K257" s="174"/>
      <c r="L257" s="175" t="s">
        <v>255</v>
      </c>
      <c r="M257" s="176">
        <f ca="1">IF($D257&lt;&gt;"Serviço","",IF(AUTOEVENTO="manual",$A257,IF(ISERROR(MATCH($A257,$A$15:OFFSET($A257,-1,0),0)),MAX($M$15:OFFSET(M257,-1,0))+1,INDEX($M$15:OFFSET(M257,-1,0),MATCH($A257,$A$15:OFFSET($A257,-1,0),0)))))</f>
        <v>14</v>
      </c>
      <c r="N257" s="177" t="str">
        <f ca="1">IF($D257&lt;&gt;"Serviço","",IF(AUTOEVENTO="Manual",IF($A257=0,"&lt;-- defina o número do agrupador",OFFSET(EVENTOS!$D$14,$A257,0)),OFFSET($F$15,$A257,0)))</f>
        <v>SERVIÇOS FINAIS</v>
      </c>
      <c r="O257" s="178"/>
      <c r="Q257" s="178"/>
      <c r="R257" s="179"/>
      <c r="S257" s="179"/>
      <c r="T257" s="179"/>
      <c r="U257" s="179"/>
      <c r="V257" s="179"/>
      <c r="W257" s="179"/>
      <c r="X257" s="179"/>
      <c r="Y257" s="179"/>
      <c r="Z257" s="180"/>
      <c r="AB257" s="544">
        <f ca="1">IF(AND($D257="Serviço",AB$12&lt;&gt;0,$H257&gt;0,OR(AUTOEVENTO&lt;&gt;"manual",$M257&lt;&gt;1)),
IF(Import.TipoArredondamento&lt;&gt;"TransfereGOV",
ROUND(OFFSET($P257,0,AB$13),15-13*ORÇAMENTO!$AF$7)/$H257*OFFSET(ORÇAMENTO!$X$15,ROW(AB257)-ROW(AB$15),0),
ROUND(ROUND(OFFSET($P257,0,AB$13),15-13*ORÇAMENTO!$AF$7)*OFFSET(ORÇAMENTO!$W$15,ROW(AB257)-ROW(AB$15),0),15-13*ORÇAMENTO!$AF$11)),0)</f>
        <v>0</v>
      </c>
      <c r="AC257" s="545">
        <f ca="1">IF(AND($D257="Serviço",AC$12&lt;&gt;0,$H257&gt;0,OR(AUTOEVENTO&lt;&gt;"manual",$M257&lt;&gt;1)),
IF(Import.TipoArredondamento&lt;&gt;"TransfereGOV",
ROUND(OFFSET($P257,0,AC$13),15-13*ORÇAMENTO!$AF$7)/$H257*OFFSET(ORÇAMENTO!$X$15,ROW(AC257)-ROW(AC$15),0),
ROUND(ROUND(OFFSET($P257,0,AC$13),15-13*ORÇAMENTO!$AF$7)*OFFSET(ORÇAMENTO!$W$15,ROW(AC257)-ROW(AC$15),0),15-13*ORÇAMENTO!$AF$11)),0)</f>
        <v>0</v>
      </c>
      <c r="AD257" s="545">
        <f ca="1">IF(AND($D257="Serviço",AD$12&lt;&gt;0,$H257&gt;0,OR(AUTOEVENTO&lt;&gt;"manual",$M257&lt;&gt;1)),
IF(Import.TipoArredondamento&lt;&gt;"TransfereGOV",
ROUND(OFFSET($P257,0,AD$13),15-13*ORÇAMENTO!$AF$7)/$H257*OFFSET(ORÇAMENTO!$X$15,ROW(AD257)-ROW(AD$15),0),
ROUND(ROUND(OFFSET($P257,0,AD$13),15-13*ORÇAMENTO!$AF$7)*OFFSET(ORÇAMENTO!$W$15,ROW(AD257)-ROW(AD$15),0),15-13*ORÇAMENTO!$AF$11)),0)</f>
        <v>0</v>
      </c>
      <c r="AE257" s="545">
        <f ca="1">IF(AND($D257="Serviço",AE$12&lt;&gt;0,$H257&gt;0,OR(AUTOEVENTO&lt;&gt;"manual",$M257&lt;&gt;1)),
IF(Import.TipoArredondamento&lt;&gt;"TransfereGOV",
ROUND(OFFSET($P257,0,AE$13),15-13*ORÇAMENTO!$AF$7)/$H257*OFFSET(ORÇAMENTO!$X$15,ROW(AE257)-ROW(AE$15),0),
ROUND(ROUND(OFFSET($P257,0,AE$13),15-13*ORÇAMENTO!$AF$7)*OFFSET(ORÇAMENTO!$W$15,ROW(AE257)-ROW(AE$15),0),15-13*ORÇAMENTO!$AF$11)),0)</f>
        <v>0</v>
      </c>
      <c r="AF257" s="545">
        <f ca="1">IF(AND($D257="Serviço",AF$12&lt;&gt;0,$H257&gt;0,OR(AUTOEVENTO&lt;&gt;"manual",$M257&lt;&gt;1)),
IF(Import.TipoArredondamento&lt;&gt;"TransfereGOV",
ROUND(OFFSET($P257,0,AF$13),15-13*ORÇAMENTO!$AF$7)/$H257*OFFSET(ORÇAMENTO!$X$15,ROW(AF257)-ROW(AF$15),0),
ROUND(ROUND(OFFSET($P257,0,AF$13),15-13*ORÇAMENTO!$AF$7)*OFFSET(ORÇAMENTO!$W$15,ROW(AF257)-ROW(AF$15),0),15-13*ORÇAMENTO!$AF$11)),0)</f>
        <v>0</v>
      </c>
      <c r="AG257" s="545">
        <f ca="1">IF(AND($D257="Serviço",AG$12&lt;&gt;0,$H257&gt;0,OR(AUTOEVENTO&lt;&gt;"manual",$M257&lt;&gt;1)),
IF(Import.TipoArredondamento&lt;&gt;"TransfereGOV",
ROUND(OFFSET($P257,0,AG$13),15-13*ORÇAMENTO!$AF$7)/$H257*OFFSET(ORÇAMENTO!$X$15,ROW(AG257)-ROW(AG$15),0),
ROUND(ROUND(OFFSET($P257,0,AG$13),15-13*ORÇAMENTO!$AF$7)*OFFSET(ORÇAMENTO!$W$15,ROW(AG257)-ROW(AG$15),0),15-13*ORÇAMENTO!$AF$11)),0)</f>
        <v>0</v>
      </c>
      <c r="AH257" s="545">
        <f ca="1">IF(AND($D257="Serviço",AH$12&lt;&gt;0,$H257&gt;0,OR(AUTOEVENTO&lt;&gt;"manual",$M257&lt;&gt;1)),
IF(Import.TipoArredondamento&lt;&gt;"TransfereGOV",
ROUND(OFFSET($P257,0,AH$13),15-13*ORÇAMENTO!$AF$7)/$H257*OFFSET(ORÇAMENTO!$X$15,ROW(AH257)-ROW(AH$15),0),
ROUND(ROUND(OFFSET($P257,0,AH$13),15-13*ORÇAMENTO!$AF$7)*OFFSET(ORÇAMENTO!$W$15,ROW(AH257)-ROW(AH$15),0),15-13*ORÇAMENTO!$AF$11)),0)</f>
        <v>0</v>
      </c>
      <c r="AI257" s="545">
        <f ca="1">IF(AND($D257="Serviço",AI$12&lt;&gt;0,$H257&gt;0,OR(AUTOEVENTO&lt;&gt;"manual",$M257&lt;&gt;1)),
IF(Import.TipoArredondamento&lt;&gt;"TransfereGOV",
ROUND(OFFSET($P257,0,AI$13),15-13*ORÇAMENTO!$AF$7)/$H257*OFFSET(ORÇAMENTO!$X$15,ROW(AI257)-ROW(AI$15),0),
ROUND(ROUND(OFFSET($P257,0,AI$13),15-13*ORÇAMENTO!$AF$7)*OFFSET(ORÇAMENTO!$W$15,ROW(AI257)-ROW(AI$15),0),15-13*ORÇAMENTO!$AF$11)),0)</f>
        <v>0</v>
      </c>
      <c r="AJ257" s="545">
        <f ca="1">IF(AND($D257="Serviço",AJ$12&lt;&gt;0,$H257&gt;0,OR(AUTOEVENTO&lt;&gt;"manual",$M257&lt;&gt;1)),
IF(Import.TipoArredondamento&lt;&gt;"TransfereGOV",
ROUND(OFFSET($P257,0,AJ$13),15-13*ORÇAMENTO!$AF$7)/$H257*OFFSET(ORÇAMENTO!$X$15,ROW(AJ257)-ROW(AJ$15),0),
ROUND(ROUND(OFFSET($P257,0,AJ$13),15-13*ORÇAMENTO!$AF$7)*OFFSET(ORÇAMENTO!$W$15,ROW(AJ257)-ROW(AJ$15),0),15-13*ORÇAMENTO!$AF$11)),0)</f>
        <v>0</v>
      </c>
      <c r="AK257" s="546">
        <f ca="1">IF(AND($D257="Serviço",AK$12&lt;&gt;0,$H257&gt;0,OR(AUTOEVENTO&lt;&gt;"manual",$M257&lt;&gt;1)),
IF(Import.TipoArredondamento&lt;&gt;"TransfereGOV",
ROUND(OFFSET($P257,0,AK$13),15-13*ORÇAMENTO!$AF$7)/$H257*OFFSET(ORÇAMENTO!$X$15,ROW(AK257)-ROW(AK$15),0),
ROUND(ROUND(OFFSET($P257,0,AK$13),15-13*ORÇAMENTO!$AF$7)*OFFSET(ORÇAMENTO!$W$15,ROW(AK257)-ROW(AK$15),0),15-13*ORÇAMENTO!$AF$11)),0)</f>
        <v>0</v>
      </c>
      <c r="AM257" s="181">
        <f ca="1">IF($D257&lt;&gt;"Serviço",0,IF(AND(AUTOEVENTO="Manual",$M257=1),0,IF(OFFSET(CRONOPLE!$F$14,$M257,AM$13)="",10^12,OFFSET(CRONOPLE!$F$14,$M257,AM$13))))</f>
        <v>1000000000000</v>
      </c>
      <c r="AN257" s="181">
        <f ca="1">IF($D257&lt;&gt;"Serviço",0,IF(AND(AUTOEVENTO="Manual",$M257=1),0,IF(OFFSET(CRONOPLE!$F$14,$M257,AN$13)="",10^12,OFFSET(CRONOPLE!$F$14,$M257,AN$13))))</f>
        <v>1000000000000</v>
      </c>
      <c r="AO257" s="181">
        <f ca="1">IF($D257&lt;&gt;"Serviço",0,IF(AND(AUTOEVENTO="Manual",$M257=1),0,IF(OFFSET(CRONOPLE!$F$14,$M257,AO$13)="",10^12,OFFSET(CRONOPLE!$F$14,$M257,AO$13))))</f>
        <v>1000000000000</v>
      </c>
      <c r="AP257" s="181">
        <f ca="1">IF($D257&lt;&gt;"Serviço",0,IF(AND(AUTOEVENTO="Manual",$M257=1),0,IF(OFFSET(CRONOPLE!$F$14,$M257,AP$13)="",10^12,OFFSET(CRONOPLE!$F$14,$M257,AP$13))))</f>
        <v>1000000000000</v>
      </c>
      <c r="AQ257" s="181">
        <f ca="1">IF($D257&lt;&gt;"Serviço",0,IF(AND(AUTOEVENTO="Manual",$M257=1),0,IF(OFFSET(CRONOPLE!$F$14,$M257,AQ$13)="",10^12,OFFSET(CRONOPLE!$F$14,$M257,AQ$13))))</f>
        <v>1000000000000</v>
      </c>
      <c r="AR257" s="181">
        <f ca="1">IF($D257&lt;&gt;"Serviço",0,IF(AND(AUTOEVENTO="Manual",$M257=1),0,IF(OFFSET(CRONOPLE!$F$14,$M257,AR$13)="",10^12,OFFSET(CRONOPLE!$F$14,$M257,AR$13))))</f>
        <v>1000000000000</v>
      </c>
      <c r="AS257" s="181">
        <f ca="1">IF($D257&lt;&gt;"Serviço",0,IF(AND(AUTOEVENTO="Manual",$M257=1),0,IF(OFFSET(CRONOPLE!$F$14,$M257,AS$13)="",10^12,OFFSET(CRONOPLE!$F$14,$M257,AS$13))))</f>
        <v>1000000000000</v>
      </c>
      <c r="AT257" s="181">
        <f ca="1">IF($D257&lt;&gt;"Serviço",0,IF(AND(AUTOEVENTO="Manual",$M257=1),0,IF(OFFSET(CRONOPLE!$F$14,$M257,AT$13)="",10^12,OFFSET(CRONOPLE!$F$14,$M257,AT$13))))</f>
        <v>1000000000000</v>
      </c>
      <c r="AU257" s="181">
        <f ca="1">IF($D257&lt;&gt;"Serviço",0,IF(AND(AUTOEVENTO="Manual",$M257=1),0,IF(OFFSET(CRONOPLE!$F$14,$M257,AU$13)="",10^12,OFFSET(CRONOPLE!$F$14,$M257,AU$13))))</f>
        <v>1000000000000</v>
      </c>
      <c r="AV257" s="181">
        <f ca="1">IF($D257&lt;&gt;"Serviço",0,IF(AND(AUTOEVENTO="Manual",$M257=1),0,IF(OFFSET(CRONOPLE!$F$14,$M257,AV$13)="",10^12,OFFSET(CRONOPLE!$F$14,$M257,AV$13))))</f>
        <v>1000000000000</v>
      </c>
      <c r="AX257" s="182">
        <f ca="1">IF($D257&lt;&gt;"Serviço",0,IF(OR(AND(AUTOEVENTO="Manual",$M257=1),$M257&gt;(ROW(PLE.lastrow)-ROW(PLE.firstrow))),0,IF(OFFSET(PLE!$G$14,$M257,AX$13)="",10^12,OFFSET(PLE!$G$14,$M257,AX$13))))</f>
        <v>1000000000000</v>
      </c>
      <c r="AY257" s="182">
        <f ca="1">IF($D257&lt;&gt;"Serviço",0,IF(OR(AND(AUTOEVENTO="Manual",$M257=1),$M257&gt;(ROW(PLE.lastrow)-ROW(PLE.firstrow))),0,IF(OFFSET(PLE!$G$14,$M257,AY$13)="",10^12,OFFSET(PLE!$G$14,$M257,AY$13))))</f>
        <v>1000000000000</v>
      </c>
      <c r="AZ257" s="182">
        <f ca="1">IF($D257&lt;&gt;"Serviço",0,IF(OR(AND(AUTOEVENTO="Manual",$M257=1),$M257&gt;(ROW(PLE.lastrow)-ROW(PLE.firstrow))),0,IF(OFFSET(PLE!$G$14,$M257,AZ$13)="",10^12,OFFSET(PLE!$G$14,$M257,AZ$13))))</f>
        <v>1000000000000</v>
      </c>
      <c r="BA257" s="182">
        <f ca="1">IF($D257&lt;&gt;"Serviço",0,IF(OR(AND(AUTOEVENTO="Manual",$M257=1),$M257&gt;(ROW(PLE.lastrow)-ROW(PLE.firstrow))),0,IF(OFFSET(PLE!$G$14,$M257,BA$13)="",10^12,OFFSET(PLE!$G$14,$M257,BA$13))))</f>
        <v>1000000000000</v>
      </c>
      <c r="BB257" s="182">
        <f ca="1">IF($D257&lt;&gt;"Serviço",0,IF(OR(AND(AUTOEVENTO="Manual",$M257=1),$M257&gt;(ROW(PLE.lastrow)-ROW(PLE.firstrow))),0,IF(OFFSET(PLE!$G$14,$M257,BB$13)="",10^12,OFFSET(PLE!$G$14,$M257,BB$13))))</f>
        <v>1000000000000</v>
      </c>
      <c r="BC257" s="182">
        <f ca="1">IF($D257&lt;&gt;"Serviço",0,IF(OR(AND(AUTOEVENTO="Manual",$M257=1),$M257&gt;(ROW(PLE.lastrow)-ROW(PLE.firstrow))),0,IF(OFFSET(PLE!$G$14,$M257,BC$13)="",10^12,OFFSET(PLE!$G$14,$M257,BC$13))))</f>
        <v>1000000000000</v>
      </c>
      <c r="BD257" s="182">
        <f ca="1">IF($D257&lt;&gt;"Serviço",0,IF(OR(AND(AUTOEVENTO="Manual",$M257=1),$M257&gt;(ROW(PLE.lastrow)-ROW(PLE.firstrow))),0,IF(OFFSET(PLE!$G$14,$M257,BD$13)="",10^12,OFFSET(PLE!$G$14,$M257,BD$13))))</f>
        <v>1000000000000</v>
      </c>
      <c r="BE257" s="182">
        <f ca="1">IF($D257&lt;&gt;"Serviço",0,IF(OR(AND(AUTOEVENTO="Manual",$M257=1),$M257&gt;(ROW(PLE.lastrow)-ROW(PLE.firstrow))),0,IF(OFFSET(PLE!$G$14,$M257,BE$13)="",10^12,OFFSET(PLE!$G$14,$M257,BE$13))))</f>
        <v>1000000000000</v>
      </c>
      <c r="BF257" s="182">
        <f ca="1">IF($D257&lt;&gt;"Serviço",0,IF(OR(AND(AUTOEVENTO="Manual",$M257=1),$M257&gt;(ROW(PLE.lastrow)-ROW(PLE.firstrow))),0,IF(OFFSET(PLE!$G$14,$M257,BF$13)="",10^12,OFFSET(PLE!$G$14,$M257,BF$13))))</f>
        <v>1000000000000</v>
      </c>
      <c r="BG257" s="182">
        <f ca="1">IF($D257&lt;&gt;"Serviço",0,IF(OR(AND(AUTOEVENTO="Manual",$M257=1),$M257&gt;(ROW(PLE.lastrow)-ROW(PLE.firstrow))),0,IF(OFFSET(PLE!$G$14,$M257,BG$13)="",10^12,OFFSET(PLE!$G$14,$M257,BG$13))))</f>
        <v>1000000000000</v>
      </c>
    </row>
    <row r="258" spans="1:59" ht="12.75" x14ac:dyDescent="0.2">
      <c r="A258" s="7" t="str">
        <f t="shared" ca="1" si="11"/>
        <v>233</v>
      </c>
      <c r="B258" s="7" t="str">
        <f ca="1">OFFSET(ORÇAMENTO!C$15,ROW(B258)-ROW(B$15),0)</f>
        <v>S</v>
      </c>
      <c r="C258" s="7" t="str">
        <f ca="1">OFFSET(ORÇAMENTO!L$15,ROW(C258)-ROW(C$15),0)</f>
        <v/>
      </c>
      <c r="D258" s="118" t="str">
        <f ca="1">OFFSET(ORÇAMENTO!N$15,ROW(D258)-ROW(D$15),0)</f>
        <v>Serviço</v>
      </c>
      <c r="E258" s="119" t="str">
        <f ca="1">OFFSET(ORÇAMENTO!O$15,ROW(E258)-ROW(E$15),0)</f>
        <v>-</v>
      </c>
      <c r="F258" s="172" t="str">
        <f ca="1">OFFSET(ORÇAMENTO!R$15,ROW(F258)-ROW(F$15),0)</f>
        <v>(abra o arquivo 'Referência 03-2024.xlsm)</v>
      </c>
      <c r="G258" s="173" t="str">
        <f ca="1">IF($D258&lt;&gt;"Serviço","",OFFSET(ORÇAMENTO!S$15,ROW(G258)-ROW(G$15),0))</f>
        <v>-</v>
      </c>
      <c r="H258" s="124">
        <f ca="1">IF($D258&lt;&gt;"Serviço",0,IF(ACOMPANHAMENTO="BM",ROUND(OFFSET(ORÇAMENTO!AJ$15,ROW(H258)-ROW(H$15),0),15-13*ORÇAMENTO!$AF$7),SUMPRODUCT(($Q$12:$AA$12&lt;&gt;"")*ROUND($Q258:$AA258,15-13*ORÇAMENTO!$AF$7))))</f>
        <v>0</v>
      </c>
      <c r="I258" s="561"/>
      <c r="K258" s="174"/>
      <c r="L258" s="175" t="s">
        <v>255</v>
      </c>
      <c r="M258" s="176">
        <f ca="1">IF($D258&lt;&gt;"Serviço","",IF(AUTOEVENTO="manual",$A258,IF(ISERROR(MATCH($A258,$A$15:OFFSET($A258,-1,0),0)),MAX($M$15:OFFSET(M258,-1,0))+1,INDEX($M$15:OFFSET(M258,-1,0),MATCH($A258,$A$15:OFFSET($A258,-1,0),0)))))</f>
        <v>14</v>
      </c>
      <c r="N258" s="177" t="str">
        <f ca="1">IF($D258&lt;&gt;"Serviço","",IF(AUTOEVENTO="Manual",IF($A258=0,"&lt;-- defina o número do agrupador",OFFSET(EVENTOS!$D$14,$A258,0)),OFFSET($F$15,$A258,0)))</f>
        <v>SERVIÇOS FINAIS</v>
      </c>
      <c r="O258" s="178"/>
      <c r="Q258" s="178"/>
      <c r="R258" s="179"/>
      <c r="S258" s="179"/>
      <c r="T258" s="179"/>
      <c r="U258" s="179"/>
      <c r="V258" s="179"/>
      <c r="W258" s="179"/>
      <c r="X258" s="179"/>
      <c r="Y258" s="179"/>
      <c r="Z258" s="180"/>
      <c r="AB258" s="544">
        <f ca="1">IF(AND($D258="Serviço",AB$12&lt;&gt;0,$H258&gt;0,OR(AUTOEVENTO&lt;&gt;"manual",$M258&lt;&gt;1)),
IF(Import.TipoArredondamento&lt;&gt;"TransfereGOV",
ROUND(OFFSET($P258,0,AB$13),15-13*ORÇAMENTO!$AF$7)/$H258*OFFSET(ORÇAMENTO!$X$15,ROW(AB258)-ROW(AB$15),0),
ROUND(ROUND(OFFSET($P258,0,AB$13),15-13*ORÇAMENTO!$AF$7)*OFFSET(ORÇAMENTO!$W$15,ROW(AB258)-ROW(AB$15),0),15-13*ORÇAMENTO!$AF$11)),0)</f>
        <v>0</v>
      </c>
      <c r="AC258" s="545">
        <f ca="1">IF(AND($D258="Serviço",AC$12&lt;&gt;0,$H258&gt;0,OR(AUTOEVENTO&lt;&gt;"manual",$M258&lt;&gt;1)),
IF(Import.TipoArredondamento&lt;&gt;"TransfereGOV",
ROUND(OFFSET($P258,0,AC$13),15-13*ORÇAMENTO!$AF$7)/$H258*OFFSET(ORÇAMENTO!$X$15,ROW(AC258)-ROW(AC$15),0),
ROUND(ROUND(OFFSET($P258,0,AC$13),15-13*ORÇAMENTO!$AF$7)*OFFSET(ORÇAMENTO!$W$15,ROW(AC258)-ROW(AC$15),0),15-13*ORÇAMENTO!$AF$11)),0)</f>
        <v>0</v>
      </c>
      <c r="AD258" s="545">
        <f ca="1">IF(AND($D258="Serviço",AD$12&lt;&gt;0,$H258&gt;0,OR(AUTOEVENTO&lt;&gt;"manual",$M258&lt;&gt;1)),
IF(Import.TipoArredondamento&lt;&gt;"TransfereGOV",
ROUND(OFFSET($P258,0,AD$13),15-13*ORÇAMENTO!$AF$7)/$H258*OFFSET(ORÇAMENTO!$X$15,ROW(AD258)-ROW(AD$15),0),
ROUND(ROUND(OFFSET($P258,0,AD$13),15-13*ORÇAMENTO!$AF$7)*OFFSET(ORÇAMENTO!$W$15,ROW(AD258)-ROW(AD$15),0),15-13*ORÇAMENTO!$AF$11)),0)</f>
        <v>0</v>
      </c>
      <c r="AE258" s="545">
        <f ca="1">IF(AND($D258="Serviço",AE$12&lt;&gt;0,$H258&gt;0,OR(AUTOEVENTO&lt;&gt;"manual",$M258&lt;&gt;1)),
IF(Import.TipoArredondamento&lt;&gt;"TransfereGOV",
ROUND(OFFSET($P258,0,AE$13),15-13*ORÇAMENTO!$AF$7)/$H258*OFFSET(ORÇAMENTO!$X$15,ROW(AE258)-ROW(AE$15),0),
ROUND(ROUND(OFFSET($P258,0,AE$13),15-13*ORÇAMENTO!$AF$7)*OFFSET(ORÇAMENTO!$W$15,ROW(AE258)-ROW(AE$15),0),15-13*ORÇAMENTO!$AF$11)),0)</f>
        <v>0</v>
      </c>
      <c r="AF258" s="545">
        <f ca="1">IF(AND($D258="Serviço",AF$12&lt;&gt;0,$H258&gt;0,OR(AUTOEVENTO&lt;&gt;"manual",$M258&lt;&gt;1)),
IF(Import.TipoArredondamento&lt;&gt;"TransfereGOV",
ROUND(OFFSET($P258,0,AF$13),15-13*ORÇAMENTO!$AF$7)/$H258*OFFSET(ORÇAMENTO!$X$15,ROW(AF258)-ROW(AF$15),0),
ROUND(ROUND(OFFSET($P258,0,AF$13),15-13*ORÇAMENTO!$AF$7)*OFFSET(ORÇAMENTO!$W$15,ROW(AF258)-ROW(AF$15),0),15-13*ORÇAMENTO!$AF$11)),0)</f>
        <v>0</v>
      </c>
      <c r="AG258" s="545">
        <f ca="1">IF(AND($D258="Serviço",AG$12&lt;&gt;0,$H258&gt;0,OR(AUTOEVENTO&lt;&gt;"manual",$M258&lt;&gt;1)),
IF(Import.TipoArredondamento&lt;&gt;"TransfereGOV",
ROUND(OFFSET($P258,0,AG$13),15-13*ORÇAMENTO!$AF$7)/$H258*OFFSET(ORÇAMENTO!$X$15,ROW(AG258)-ROW(AG$15),0),
ROUND(ROUND(OFFSET($P258,0,AG$13),15-13*ORÇAMENTO!$AF$7)*OFFSET(ORÇAMENTO!$W$15,ROW(AG258)-ROW(AG$15),0),15-13*ORÇAMENTO!$AF$11)),0)</f>
        <v>0</v>
      </c>
      <c r="AH258" s="545">
        <f ca="1">IF(AND($D258="Serviço",AH$12&lt;&gt;0,$H258&gt;0,OR(AUTOEVENTO&lt;&gt;"manual",$M258&lt;&gt;1)),
IF(Import.TipoArredondamento&lt;&gt;"TransfereGOV",
ROUND(OFFSET($P258,0,AH$13),15-13*ORÇAMENTO!$AF$7)/$H258*OFFSET(ORÇAMENTO!$X$15,ROW(AH258)-ROW(AH$15),0),
ROUND(ROUND(OFFSET($P258,0,AH$13),15-13*ORÇAMENTO!$AF$7)*OFFSET(ORÇAMENTO!$W$15,ROW(AH258)-ROW(AH$15),0),15-13*ORÇAMENTO!$AF$11)),0)</f>
        <v>0</v>
      </c>
      <c r="AI258" s="545">
        <f ca="1">IF(AND($D258="Serviço",AI$12&lt;&gt;0,$H258&gt;0,OR(AUTOEVENTO&lt;&gt;"manual",$M258&lt;&gt;1)),
IF(Import.TipoArredondamento&lt;&gt;"TransfereGOV",
ROUND(OFFSET($P258,0,AI$13),15-13*ORÇAMENTO!$AF$7)/$H258*OFFSET(ORÇAMENTO!$X$15,ROW(AI258)-ROW(AI$15),0),
ROUND(ROUND(OFFSET($P258,0,AI$13),15-13*ORÇAMENTO!$AF$7)*OFFSET(ORÇAMENTO!$W$15,ROW(AI258)-ROW(AI$15),0),15-13*ORÇAMENTO!$AF$11)),0)</f>
        <v>0</v>
      </c>
      <c r="AJ258" s="545">
        <f ca="1">IF(AND($D258="Serviço",AJ$12&lt;&gt;0,$H258&gt;0,OR(AUTOEVENTO&lt;&gt;"manual",$M258&lt;&gt;1)),
IF(Import.TipoArredondamento&lt;&gt;"TransfereGOV",
ROUND(OFFSET($P258,0,AJ$13),15-13*ORÇAMENTO!$AF$7)/$H258*OFFSET(ORÇAMENTO!$X$15,ROW(AJ258)-ROW(AJ$15),0),
ROUND(ROUND(OFFSET($P258,0,AJ$13),15-13*ORÇAMENTO!$AF$7)*OFFSET(ORÇAMENTO!$W$15,ROW(AJ258)-ROW(AJ$15),0),15-13*ORÇAMENTO!$AF$11)),0)</f>
        <v>0</v>
      </c>
      <c r="AK258" s="546">
        <f ca="1">IF(AND($D258="Serviço",AK$12&lt;&gt;0,$H258&gt;0,OR(AUTOEVENTO&lt;&gt;"manual",$M258&lt;&gt;1)),
IF(Import.TipoArredondamento&lt;&gt;"TransfereGOV",
ROUND(OFFSET($P258,0,AK$13),15-13*ORÇAMENTO!$AF$7)/$H258*OFFSET(ORÇAMENTO!$X$15,ROW(AK258)-ROW(AK$15),0),
ROUND(ROUND(OFFSET($P258,0,AK$13),15-13*ORÇAMENTO!$AF$7)*OFFSET(ORÇAMENTO!$W$15,ROW(AK258)-ROW(AK$15),0),15-13*ORÇAMENTO!$AF$11)),0)</f>
        <v>0</v>
      </c>
      <c r="AM258" s="181">
        <f ca="1">IF($D258&lt;&gt;"Serviço",0,IF(AND(AUTOEVENTO="Manual",$M258=1),0,IF(OFFSET(CRONOPLE!$F$14,$M258,AM$13)="",10^12,OFFSET(CRONOPLE!$F$14,$M258,AM$13))))</f>
        <v>1000000000000</v>
      </c>
      <c r="AN258" s="181">
        <f ca="1">IF($D258&lt;&gt;"Serviço",0,IF(AND(AUTOEVENTO="Manual",$M258=1),0,IF(OFFSET(CRONOPLE!$F$14,$M258,AN$13)="",10^12,OFFSET(CRONOPLE!$F$14,$M258,AN$13))))</f>
        <v>1000000000000</v>
      </c>
      <c r="AO258" s="181">
        <f ca="1">IF($D258&lt;&gt;"Serviço",0,IF(AND(AUTOEVENTO="Manual",$M258=1),0,IF(OFFSET(CRONOPLE!$F$14,$M258,AO$13)="",10^12,OFFSET(CRONOPLE!$F$14,$M258,AO$13))))</f>
        <v>1000000000000</v>
      </c>
      <c r="AP258" s="181">
        <f ca="1">IF($D258&lt;&gt;"Serviço",0,IF(AND(AUTOEVENTO="Manual",$M258=1),0,IF(OFFSET(CRONOPLE!$F$14,$M258,AP$13)="",10^12,OFFSET(CRONOPLE!$F$14,$M258,AP$13))))</f>
        <v>1000000000000</v>
      </c>
      <c r="AQ258" s="181">
        <f ca="1">IF($D258&lt;&gt;"Serviço",0,IF(AND(AUTOEVENTO="Manual",$M258=1),0,IF(OFFSET(CRONOPLE!$F$14,$M258,AQ$13)="",10^12,OFFSET(CRONOPLE!$F$14,$M258,AQ$13))))</f>
        <v>1000000000000</v>
      </c>
      <c r="AR258" s="181">
        <f ca="1">IF($D258&lt;&gt;"Serviço",0,IF(AND(AUTOEVENTO="Manual",$M258=1),0,IF(OFFSET(CRONOPLE!$F$14,$M258,AR$13)="",10^12,OFFSET(CRONOPLE!$F$14,$M258,AR$13))))</f>
        <v>1000000000000</v>
      </c>
      <c r="AS258" s="181">
        <f ca="1">IF($D258&lt;&gt;"Serviço",0,IF(AND(AUTOEVENTO="Manual",$M258=1),0,IF(OFFSET(CRONOPLE!$F$14,$M258,AS$13)="",10^12,OFFSET(CRONOPLE!$F$14,$M258,AS$13))))</f>
        <v>1000000000000</v>
      </c>
      <c r="AT258" s="181">
        <f ca="1">IF($D258&lt;&gt;"Serviço",0,IF(AND(AUTOEVENTO="Manual",$M258=1),0,IF(OFFSET(CRONOPLE!$F$14,$M258,AT$13)="",10^12,OFFSET(CRONOPLE!$F$14,$M258,AT$13))))</f>
        <v>1000000000000</v>
      </c>
      <c r="AU258" s="181">
        <f ca="1">IF($D258&lt;&gt;"Serviço",0,IF(AND(AUTOEVENTO="Manual",$M258=1),0,IF(OFFSET(CRONOPLE!$F$14,$M258,AU$13)="",10^12,OFFSET(CRONOPLE!$F$14,$M258,AU$13))))</f>
        <v>1000000000000</v>
      </c>
      <c r="AV258" s="181">
        <f ca="1">IF($D258&lt;&gt;"Serviço",0,IF(AND(AUTOEVENTO="Manual",$M258=1),0,IF(OFFSET(CRONOPLE!$F$14,$M258,AV$13)="",10^12,OFFSET(CRONOPLE!$F$14,$M258,AV$13))))</f>
        <v>1000000000000</v>
      </c>
      <c r="AX258" s="182">
        <f ca="1">IF($D258&lt;&gt;"Serviço",0,IF(OR(AND(AUTOEVENTO="Manual",$M258=1),$M258&gt;(ROW(PLE.lastrow)-ROW(PLE.firstrow))),0,IF(OFFSET(PLE!$G$14,$M258,AX$13)="",10^12,OFFSET(PLE!$G$14,$M258,AX$13))))</f>
        <v>1000000000000</v>
      </c>
      <c r="AY258" s="182">
        <f ca="1">IF($D258&lt;&gt;"Serviço",0,IF(OR(AND(AUTOEVENTO="Manual",$M258=1),$M258&gt;(ROW(PLE.lastrow)-ROW(PLE.firstrow))),0,IF(OFFSET(PLE!$G$14,$M258,AY$13)="",10^12,OFFSET(PLE!$G$14,$M258,AY$13))))</f>
        <v>1000000000000</v>
      </c>
      <c r="AZ258" s="182">
        <f ca="1">IF($D258&lt;&gt;"Serviço",0,IF(OR(AND(AUTOEVENTO="Manual",$M258=1),$M258&gt;(ROW(PLE.lastrow)-ROW(PLE.firstrow))),0,IF(OFFSET(PLE!$G$14,$M258,AZ$13)="",10^12,OFFSET(PLE!$G$14,$M258,AZ$13))))</f>
        <v>1000000000000</v>
      </c>
      <c r="BA258" s="182">
        <f ca="1">IF($D258&lt;&gt;"Serviço",0,IF(OR(AND(AUTOEVENTO="Manual",$M258=1),$M258&gt;(ROW(PLE.lastrow)-ROW(PLE.firstrow))),0,IF(OFFSET(PLE!$G$14,$M258,BA$13)="",10^12,OFFSET(PLE!$G$14,$M258,BA$13))))</f>
        <v>1000000000000</v>
      </c>
      <c r="BB258" s="182">
        <f ca="1">IF($D258&lt;&gt;"Serviço",0,IF(OR(AND(AUTOEVENTO="Manual",$M258=1),$M258&gt;(ROW(PLE.lastrow)-ROW(PLE.firstrow))),0,IF(OFFSET(PLE!$G$14,$M258,BB$13)="",10^12,OFFSET(PLE!$G$14,$M258,BB$13))))</f>
        <v>1000000000000</v>
      </c>
      <c r="BC258" s="182">
        <f ca="1">IF($D258&lt;&gt;"Serviço",0,IF(OR(AND(AUTOEVENTO="Manual",$M258=1),$M258&gt;(ROW(PLE.lastrow)-ROW(PLE.firstrow))),0,IF(OFFSET(PLE!$G$14,$M258,BC$13)="",10^12,OFFSET(PLE!$G$14,$M258,BC$13))))</f>
        <v>1000000000000</v>
      </c>
      <c r="BD258" s="182">
        <f ca="1">IF($D258&lt;&gt;"Serviço",0,IF(OR(AND(AUTOEVENTO="Manual",$M258=1),$M258&gt;(ROW(PLE.lastrow)-ROW(PLE.firstrow))),0,IF(OFFSET(PLE!$G$14,$M258,BD$13)="",10^12,OFFSET(PLE!$G$14,$M258,BD$13))))</f>
        <v>1000000000000</v>
      </c>
      <c r="BE258" s="182">
        <f ca="1">IF($D258&lt;&gt;"Serviço",0,IF(OR(AND(AUTOEVENTO="Manual",$M258=1),$M258&gt;(ROW(PLE.lastrow)-ROW(PLE.firstrow))),0,IF(OFFSET(PLE!$G$14,$M258,BE$13)="",10^12,OFFSET(PLE!$G$14,$M258,BE$13))))</f>
        <v>1000000000000</v>
      </c>
      <c r="BF258" s="182">
        <f ca="1">IF($D258&lt;&gt;"Serviço",0,IF(OR(AND(AUTOEVENTO="Manual",$M258=1),$M258&gt;(ROW(PLE.lastrow)-ROW(PLE.firstrow))),0,IF(OFFSET(PLE!$G$14,$M258,BF$13)="",10^12,OFFSET(PLE!$G$14,$M258,BF$13))))</f>
        <v>1000000000000</v>
      </c>
      <c r="BG258" s="182">
        <f ca="1">IF($D258&lt;&gt;"Serviço",0,IF(OR(AND(AUTOEVENTO="Manual",$M258=1),$M258&gt;(ROW(PLE.lastrow)-ROW(PLE.firstrow))),0,IF(OFFSET(PLE!$G$14,$M258,BG$13)="",10^12,OFFSET(PLE!$G$14,$M258,BG$13))))</f>
        <v>1000000000000</v>
      </c>
    </row>
    <row r="259" spans="1:59" ht="12.75" x14ac:dyDescent="0.2">
      <c r="A259" s="7" t="str">
        <f t="shared" ca="1" si="11"/>
        <v>233</v>
      </c>
      <c r="B259" s="7" t="str">
        <f ca="1">OFFSET(ORÇAMENTO!C$15,ROW(B259)-ROW(B$15),0)</f>
        <v>S</v>
      </c>
      <c r="C259" s="7" t="str">
        <f ca="1">OFFSET(ORÇAMENTO!L$15,ROW(C259)-ROW(C$15),0)</f>
        <v/>
      </c>
      <c r="D259" s="118" t="str">
        <f ca="1">OFFSET(ORÇAMENTO!N$15,ROW(D259)-ROW(D$15),0)</f>
        <v>Serviço</v>
      </c>
      <c r="E259" s="119" t="str">
        <f ca="1">OFFSET(ORÇAMENTO!O$15,ROW(E259)-ROW(E$15),0)</f>
        <v>-</v>
      </c>
      <c r="F259" s="172" t="str">
        <f ca="1">OFFSET(ORÇAMENTO!R$15,ROW(F259)-ROW(F$15),0)</f>
        <v>(abra o arquivo 'Referência 03-2024.xlsm)</v>
      </c>
      <c r="G259" s="173" t="str">
        <f ca="1">IF($D259&lt;&gt;"Serviço","",OFFSET(ORÇAMENTO!S$15,ROW(G259)-ROW(G$15),0))</f>
        <v>-</v>
      </c>
      <c r="H259" s="124">
        <f ca="1">IF($D259&lt;&gt;"Serviço",0,IF(ACOMPANHAMENTO="BM",ROUND(OFFSET(ORÇAMENTO!AJ$15,ROW(H259)-ROW(H$15),0),15-13*ORÇAMENTO!$AF$7),SUMPRODUCT(($Q$12:$AA$12&lt;&gt;"")*ROUND($Q259:$AA259,15-13*ORÇAMENTO!$AF$7))))</f>
        <v>0</v>
      </c>
      <c r="I259" s="561"/>
      <c r="K259" s="174"/>
      <c r="L259" s="175" t="s">
        <v>255</v>
      </c>
      <c r="M259" s="176">
        <f ca="1">IF($D259&lt;&gt;"Serviço","",IF(AUTOEVENTO="manual",$A259,IF(ISERROR(MATCH($A259,$A$15:OFFSET($A259,-1,0),0)),MAX($M$15:OFFSET(M259,-1,0))+1,INDEX($M$15:OFFSET(M259,-1,0),MATCH($A259,$A$15:OFFSET($A259,-1,0),0)))))</f>
        <v>14</v>
      </c>
      <c r="N259" s="177" t="str">
        <f ca="1">IF($D259&lt;&gt;"Serviço","",IF(AUTOEVENTO="Manual",IF($A259=0,"&lt;-- defina o número do agrupador",OFFSET(EVENTOS!$D$14,$A259,0)),OFFSET($F$15,$A259,0)))</f>
        <v>SERVIÇOS FINAIS</v>
      </c>
      <c r="O259" s="178"/>
      <c r="Q259" s="178"/>
      <c r="R259" s="179"/>
      <c r="S259" s="179"/>
      <c r="T259" s="179"/>
      <c r="U259" s="179"/>
      <c r="V259" s="179"/>
      <c r="W259" s="179"/>
      <c r="X259" s="179"/>
      <c r="Y259" s="179"/>
      <c r="Z259" s="180"/>
      <c r="AB259" s="544">
        <f ca="1">IF(AND($D259="Serviço",AB$12&lt;&gt;0,$H259&gt;0,OR(AUTOEVENTO&lt;&gt;"manual",$M259&lt;&gt;1)),
IF(Import.TipoArredondamento&lt;&gt;"TransfereGOV",
ROUND(OFFSET($P259,0,AB$13),15-13*ORÇAMENTO!$AF$7)/$H259*OFFSET(ORÇAMENTO!$X$15,ROW(AB259)-ROW(AB$15),0),
ROUND(ROUND(OFFSET($P259,0,AB$13),15-13*ORÇAMENTO!$AF$7)*OFFSET(ORÇAMENTO!$W$15,ROW(AB259)-ROW(AB$15),0),15-13*ORÇAMENTO!$AF$11)),0)</f>
        <v>0</v>
      </c>
      <c r="AC259" s="545">
        <f ca="1">IF(AND($D259="Serviço",AC$12&lt;&gt;0,$H259&gt;0,OR(AUTOEVENTO&lt;&gt;"manual",$M259&lt;&gt;1)),
IF(Import.TipoArredondamento&lt;&gt;"TransfereGOV",
ROUND(OFFSET($P259,0,AC$13),15-13*ORÇAMENTO!$AF$7)/$H259*OFFSET(ORÇAMENTO!$X$15,ROW(AC259)-ROW(AC$15),0),
ROUND(ROUND(OFFSET($P259,0,AC$13),15-13*ORÇAMENTO!$AF$7)*OFFSET(ORÇAMENTO!$W$15,ROW(AC259)-ROW(AC$15),0),15-13*ORÇAMENTO!$AF$11)),0)</f>
        <v>0</v>
      </c>
      <c r="AD259" s="545">
        <f ca="1">IF(AND($D259="Serviço",AD$12&lt;&gt;0,$H259&gt;0,OR(AUTOEVENTO&lt;&gt;"manual",$M259&lt;&gt;1)),
IF(Import.TipoArredondamento&lt;&gt;"TransfereGOV",
ROUND(OFFSET($P259,0,AD$13),15-13*ORÇAMENTO!$AF$7)/$H259*OFFSET(ORÇAMENTO!$X$15,ROW(AD259)-ROW(AD$15),0),
ROUND(ROUND(OFFSET($P259,0,AD$13),15-13*ORÇAMENTO!$AF$7)*OFFSET(ORÇAMENTO!$W$15,ROW(AD259)-ROW(AD$15),0),15-13*ORÇAMENTO!$AF$11)),0)</f>
        <v>0</v>
      </c>
      <c r="AE259" s="545">
        <f ca="1">IF(AND($D259="Serviço",AE$12&lt;&gt;0,$H259&gt;0,OR(AUTOEVENTO&lt;&gt;"manual",$M259&lt;&gt;1)),
IF(Import.TipoArredondamento&lt;&gt;"TransfereGOV",
ROUND(OFFSET($P259,0,AE$13),15-13*ORÇAMENTO!$AF$7)/$H259*OFFSET(ORÇAMENTO!$X$15,ROW(AE259)-ROW(AE$15),0),
ROUND(ROUND(OFFSET($P259,0,AE$13),15-13*ORÇAMENTO!$AF$7)*OFFSET(ORÇAMENTO!$W$15,ROW(AE259)-ROW(AE$15),0),15-13*ORÇAMENTO!$AF$11)),0)</f>
        <v>0</v>
      </c>
      <c r="AF259" s="545">
        <f ca="1">IF(AND($D259="Serviço",AF$12&lt;&gt;0,$H259&gt;0,OR(AUTOEVENTO&lt;&gt;"manual",$M259&lt;&gt;1)),
IF(Import.TipoArredondamento&lt;&gt;"TransfereGOV",
ROUND(OFFSET($P259,0,AF$13),15-13*ORÇAMENTO!$AF$7)/$H259*OFFSET(ORÇAMENTO!$X$15,ROW(AF259)-ROW(AF$15),0),
ROUND(ROUND(OFFSET($P259,0,AF$13),15-13*ORÇAMENTO!$AF$7)*OFFSET(ORÇAMENTO!$W$15,ROW(AF259)-ROW(AF$15),0),15-13*ORÇAMENTO!$AF$11)),0)</f>
        <v>0</v>
      </c>
      <c r="AG259" s="545">
        <f ca="1">IF(AND($D259="Serviço",AG$12&lt;&gt;0,$H259&gt;0,OR(AUTOEVENTO&lt;&gt;"manual",$M259&lt;&gt;1)),
IF(Import.TipoArredondamento&lt;&gt;"TransfereGOV",
ROUND(OFFSET($P259,0,AG$13),15-13*ORÇAMENTO!$AF$7)/$H259*OFFSET(ORÇAMENTO!$X$15,ROW(AG259)-ROW(AG$15),0),
ROUND(ROUND(OFFSET($P259,0,AG$13),15-13*ORÇAMENTO!$AF$7)*OFFSET(ORÇAMENTO!$W$15,ROW(AG259)-ROW(AG$15),0),15-13*ORÇAMENTO!$AF$11)),0)</f>
        <v>0</v>
      </c>
      <c r="AH259" s="545">
        <f ca="1">IF(AND($D259="Serviço",AH$12&lt;&gt;0,$H259&gt;0,OR(AUTOEVENTO&lt;&gt;"manual",$M259&lt;&gt;1)),
IF(Import.TipoArredondamento&lt;&gt;"TransfereGOV",
ROUND(OFFSET($P259,0,AH$13),15-13*ORÇAMENTO!$AF$7)/$H259*OFFSET(ORÇAMENTO!$X$15,ROW(AH259)-ROW(AH$15),0),
ROUND(ROUND(OFFSET($P259,0,AH$13),15-13*ORÇAMENTO!$AF$7)*OFFSET(ORÇAMENTO!$W$15,ROW(AH259)-ROW(AH$15),0),15-13*ORÇAMENTO!$AF$11)),0)</f>
        <v>0</v>
      </c>
      <c r="AI259" s="545">
        <f ca="1">IF(AND($D259="Serviço",AI$12&lt;&gt;0,$H259&gt;0,OR(AUTOEVENTO&lt;&gt;"manual",$M259&lt;&gt;1)),
IF(Import.TipoArredondamento&lt;&gt;"TransfereGOV",
ROUND(OFFSET($P259,0,AI$13),15-13*ORÇAMENTO!$AF$7)/$H259*OFFSET(ORÇAMENTO!$X$15,ROW(AI259)-ROW(AI$15),0),
ROUND(ROUND(OFFSET($P259,0,AI$13),15-13*ORÇAMENTO!$AF$7)*OFFSET(ORÇAMENTO!$W$15,ROW(AI259)-ROW(AI$15),0),15-13*ORÇAMENTO!$AF$11)),0)</f>
        <v>0</v>
      </c>
      <c r="AJ259" s="545">
        <f ca="1">IF(AND($D259="Serviço",AJ$12&lt;&gt;0,$H259&gt;0,OR(AUTOEVENTO&lt;&gt;"manual",$M259&lt;&gt;1)),
IF(Import.TipoArredondamento&lt;&gt;"TransfereGOV",
ROUND(OFFSET($P259,0,AJ$13),15-13*ORÇAMENTO!$AF$7)/$H259*OFFSET(ORÇAMENTO!$X$15,ROW(AJ259)-ROW(AJ$15),0),
ROUND(ROUND(OFFSET($P259,0,AJ$13),15-13*ORÇAMENTO!$AF$7)*OFFSET(ORÇAMENTO!$W$15,ROW(AJ259)-ROW(AJ$15),0),15-13*ORÇAMENTO!$AF$11)),0)</f>
        <v>0</v>
      </c>
      <c r="AK259" s="546">
        <f ca="1">IF(AND($D259="Serviço",AK$12&lt;&gt;0,$H259&gt;0,OR(AUTOEVENTO&lt;&gt;"manual",$M259&lt;&gt;1)),
IF(Import.TipoArredondamento&lt;&gt;"TransfereGOV",
ROUND(OFFSET($P259,0,AK$13),15-13*ORÇAMENTO!$AF$7)/$H259*OFFSET(ORÇAMENTO!$X$15,ROW(AK259)-ROW(AK$15),0),
ROUND(ROUND(OFFSET($P259,0,AK$13),15-13*ORÇAMENTO!$AF$7)*OFFSET(ORÇAMENTO!$W$15,ROW(AK259)-ROW(AK$15),0),15-13*ORÇAMENTO!$AF$11)),0)</f>
        <v>0</v>
      </c>
      <c r="AM259" s="181">
        <f ca="1">IF($D259&lt;&gt;"Serviço",0,IF(AND(AUTOEVENTO="Manual",$M259=1),0,IF(OFFSET(CRONOPLE!$F$14,$M259,AM$13)="",10^12,OFFSET(CRONOPLE!$F$14,$M259,AM$13))))</f>
        <v>1000000000000</v>
      </c>
      <c r="AN259" s="181">
        <f ca="1">IF($D259&lt;&gt;"Serviço",0,IF(AND(AUTOEVENTO="Manual",$M259=1),0,IF(OFFSET(CRONOPLE!$F$14,$M259,AN$13)="",10^12,OFFSET(CRONOPLE!$F$14,$M259,AN$13))))</f>
        <v>1000000000000</v>
      </c>
      <c r="AO259" s="181">
        <f ca="1">IF($D259&lt;&gt;"Serviço",0,IF(AND(AUTOEVENTO="Manual",$M259=1),0,IF(OFFSET(CRONOPLE!$F$14,$M259,AO$13)="",10^12,OFFSET(CRONOPLE!$F$14,$M259,AO$13))))</f>
        <v>1000000000000</v>
      </c>
      <c r="AP259" s="181">
        <f ca="1">IF($D259&lt;&gt;"Serviço",0,IF(AND(AUTOEVENTO="Manual",$M259=1),0,IF(OFFSET(CRONOPLE!$F$14,$M259,AP$13)="",10^12,OFFSET(CRONOPLE!$F$14,$M259,AP$13))))</f>
        <v>1000000000000</v>
      </c>
      <c r="AQ259" s="181">
        <f ca="1">IF($D259&lt;&gt;"Serviço",0,IF(AND(AUTOEVENTO="Manual",$M259=1),0,IF(OFFSET(CRONOPLE!$F$14,$M259,AQ$13)="",10^12,OFFSET(CRONOPLE!$F$14,$M259,AQ$13))))</f>
        <v>1000000000000</v>
      </c>
      <c r="AR259" s="181">
        <f ca="1">IF($D259&lt;&gt;"Serviço",0,IF(AND(AUTOEVENTO="Manual",$M259=1),0,IF(OFFSET(CRONOPLE!$F$14,$M259,AR$13)="",10^12,OFFSET(CRONOPLE!$F$14,$M259,AR$13))))</f>
        <v>1000000000000</v>
      </c>
      <c r="AS259" s="181">
        <f ca="1">IF($D259&lt;&gt;"Serviço",0,IF(AND(AUTOEVENTO="Manual",$M259=1),0,IF(OFFSET(CRONOPLE!$F$14,$M259,AS$13)="",10^12,OFFSET(CRONOPLE!$F$14,$M259,AS$13))))</f>
        <v>1000000000000</v>
      </c>
      <c r="AT259" s="181">
        <f ca="1">IF($D259&lt;&gt;"Serviço",0,IF(AND(AUTOEVENTO="Manual",$M259=1),0,IF(OFFSET(CRONOPLE!$F$14,$M259,AT$13)="",10^12,OFFSET(CRONOPLE!$F$14,$M259,AT$13))))</f>
        <v>1000000000000</v>
      </c>
      <c r="AU259" s="181">
        <f ca="1">IF($D259&lt;&gt;"Serviço",0,IF(AND(AUTOEVENTO="Manual",$M259=1),0,IF(OFFSET(CRONOPLE!$F$14,$M259,AU$13)="",10^12,OFFSET(CRONOPLE!$F$14,$M259,AU$13))))</f>
        <v>1000000000000</v>
      </c>
      <c r="AV259" s="181">
        <f ca="1">IF($D259&lt;&gt;"Serviço",0,IF(AND(AUTOEVENTO="Manual",$M259=1),0,IF(OFFSET(CRONOPLE!$F$14,$M259,AV$13)="",10^12,OFFSET(CRONOPLE!$F$14,$M259,AV$13))))</f>
        <v>1000000000000</v>
      </c>
      <c r="AX259" s="182">
        <f ca="1">IF($D259&lt;&gt;"Serviço",0,IF(OR(AND(AUTOEVENTO="Manual",$M259=1),$M259&gt;(ROW(PLE.lastrow)-ROW(PLE.firstrow))),0,IF(OFFSET(PLE!$G$14,$M259,AX$13)="",10^12,OFFSET(PLE!$G$14,$M259,AX$13))))</f>
        <v>1000000000000</v>
      </c>
      <c r="AY259" s="182">
        <f ca="1">IF($D259&lt;&gt;"Serviço",0,IF(OR(AND(AUTOEVENTO="Manual",$M259=1),$M259&gt;(ROW(PLE.lastrow)-ROW(PLE.firstrow))),0,IF(OFFSET(PLE!$G$14,$M259,AY$13)="",10^12,OFFSET(PLE!$G$14,$M259,AY$13))))</f>
        <v>1000000000000</v>
      </c>
      <c r="AZ259" s="182">
        <f ca="1">IF($D259&lt;&gt;"Serviço",0,IF(OR(AND(AUTOEVENTO="Manual",$M259=1),$M259&gt;(ROW(PLE.lastrow)-ROW(PLE.firstrow))),0,IF(OFFSET(PLE!$G$14,$M259,AZ$13)="",10^12,OFFSET(PLE!$G$14,$M259,AZ$13))))</f>
        <v>1000000000000</v>
      </c>
      <c r="BA259" s="182">
        <f ca="1">IF($D259&lt;&gt;"Serviço",0,IF(OR(AND(AUTOEVENTO="Manual",$M259=1),$M259&gt;(ROW(PLE.lastrow)-ROW(PLE.firstrow))),0,IF(OFFSET(PLE!$G$14,$M259,BA$13)="",10^12,OFFSET(PLE!$G$14,$M259,BA$13))))</f>
        <v>1000000000000</v>
      </c>
      <c r="BB259" s="182">
        <f ca="1">IF($D259&lt;&gt;"Serviço",0,IF(OR(AND(AUTOEVENTO="Manual",$M259=1),$M259&gt;(ROW(PLE.lastrow)-ROW(PLE.firstrow))),0,IF(OFFSET(PLE!$G$14,$M259,BB$13)="",10^12,OFFSET(PLE!$G$14,$M259,BB$13))))</f>
        <v>1000000000000</v>
      </c>
      <c r="BC259" s="182">
        <f ca="1">IF($D259&lt;&gt;"Serviço",0,IF(OR(AND(AUTOEVENTO="Manual",$M259=1),$M259&gt;(ROW(PLE.lastrow)-ROW(PLE.firstrow))),0,IF(OFFSET(PLE!$G$14,$M259,BC$13)="",10^12,OFFSET(PLE!$G$14,$M259,BC$13))))</f>
        <v>1000000000000</v>
      </c>
      <c r="BD259" s="182">
        <f ca="1">IF($D259&lt;&gt;"Serviço",0,IF(OR(AND(AUTOEVENTO="Manual",$M259=1),$M259&gt;(ROW(PLE.lastrow)-ROW(PLE.firstrow))),0,IF(OFFSET(PLE!$G$14,$M259,BD$13)="",10^12,OFFSET(PLE!$G$14,$M259,BD$13))))</f>
        <v>1000000000000</v>
      </c>
      <c r="BE259" s="182">
        <f ca="1">IF($D259&lt;&gt;"Serviço",0,IF(OR(AND(AUTOEVENTO="Manual",$M259=1),$M259&gt;(ROW(PLE.lastrow)-ROW(PLE.firstrow))),0,IF(OFFSET(PLE!$G$14,$M259,BE$13)="",10^12,OFFSET(PLE!$G$14,$M259,BE$13))))</f>
        <v>1000000000000</v>
      </c>
      <c r="BF259" s="182">
        <f ca="1">IF($D259&lt;&gt;"Serviço",0,IF(OR(AND(AUTOEVENTO="Manual",$M259=1),$M259&gt;(ROW(PLE.lastrow)-ROW(PLE.firstrow))),0,IF(OFFSET(PLE!$G$14,$M259,BF$13)="",10^12,OFFSET(PLE!$G$14,$M259,BF$13))))</f>
        <v>1000000000000</v>
      </c>
      <c r="BG259" s="182">
        <f ca="1">IF($D259&lt;&gt;"Serviço",0,IF(OR(AND(AUTOEVENTO="Manual",$M259=1),$M259&gt;(ROW(PLE.lastrow)-ROW(PLE.firstrow))),0,IF(OFFSET(PLE!$G$14,$M259,BG$13)="",10^12,OFFSET(PLE!$G$14,$M259,BG$13))))</f>
        <v>1000000000000</v>
      </c>
    </row>
    <row r="260" spans="1:59" ht="12.75" x14ac:dyDescent="0.2">
      <c r="A260" s="7" t="str">
        <f t="shared" ca="1" si="11"/>
        <v>233</v>
      </c>
      <c r="B260" s="7" t="str">
        <f ca="1">OFFSET(ORÇAMENTO!C$15,ROW(B260)-ROW(B$15),0)</f>
        <v>S</v>
      </c>
      <c r="C260" s="7" t="str">
        <f ca="1">OFFSET(ORÇAMENTO!L$15,ROW(C260)-ROW(C$15),0)</f>
        <v/>
      </c>
      <c r="D260" s="118" t="str">
        <f ca="1">OFFSET(ORÇAMENTO!N$15,ROW(D260)-ROW(D$15),0)</f>
        <v>Serviço</v>
      </c>
      <c r="E260" s="119" t="str">
        <f ca="1">OFFSET(ORÇAMENTO!O$15,ROW(E260)-ROW(E$15),0)</f>
        <v>-</v>
      </c>
      <c r="F260" s="172" t="str">
        <f ca="1">OFFSET(ORÇAMENTO!R$15,ROW(F260)-ROW(F$15),0)</f>
        <v>(abra o arquivo 'Referência 03-2024.xlsm)</v>
      </c>
      <c r="G260" s="173" t="str">
        <f ca="1">IF($D260&lt;&gt;"Serviço","",OFFSET(ORÇAMENTO!S$15,ROW(G260)-ROW(G$15),0))</f>
        <v>-</v>
      </c>
      <c r="H260" s="124">
        <f ca="1">IF($D260&lt;&gt;"Serviço",0,IF(ACOMPANHAMENTO="BM",ROUND(OFFSET(ORÇAMENTO!AJ$15,ROW(H260)-ROW(H$15),0),15-13*ORÇAMENTO!$AF$7),SUMPRODUCT(($Q$12:$AA$12&lt;&gt;"")*ROUND($Q260:$AA260,15-13*ORÇAMENTO!$AF$7))))</f>
        <v>0</v>
      </c>
      <c r="I260" s="561"/>
      <c r="K260" s="174"/>
      <c r="L260" s="175" t="s">
        <v>255</v>
      </c>
      <c r="M260" s="176">
        <f ca="1">IF($D260&lt;&gt;"Serviço","",IF(AUTOEVENTO="manual",$A260,IF(ISERROR(MATCH($A260,$A$15:OFFSET($A260,-1,0),0)),MAX($M$15:OFFSET(M260,-1,0))+1,INDEX($M$15:OFFSET(M260,-1,0),MATCH($A260,$A$15:OFFSET($A260,-1,0),0)))))</f>
        <v>14</v>
      </c>
      <c r="N260" s="177" t="str">
        <f ca="1">IF($D260&lt;&gt;"Serviço","",IF(AUTOEVENTO="Manual",IF($A260=0,"&lt;-- defina o número do agrupador",OFFSET(EVENTOS!$D$14,$A260,0)),OFFSET($F$15,$A260,0)))</f>
        <v>SERVIÇOS FINAIS</v>
      </c>
      <c r="O260" s="178"/>
      <c r="Q260" s="178"/>
      <c r="R260" s="179"/>
      <c r="S260" s="179"/>
      <c r="T260" s="179"/>
      <c r="U260" s="179"/>
      <c r="V260" s="179"/>
      <c r="W260" s="179"/>
      <c r="X260" s="179"/>
      <c r="Y260" s="179"/>
      <c r="Z260" s="180"/>
      <c r="AB260" s="544">
        <f ca="1">IF(AND($D260="Serviço",AB$12&lt;&gt;0,$H260&gt;0,OR(AUTOEVENTO&lt;&gt;"manual",$M260&lt;&gt;1)),
IF(Import.TipoArredondamento&lt;&gt;"TransfereGOV",
ROUND(OFFSET($P260,0,AB$13),15-13*ORÇAMENTO!$AF$7)/$H260*OFFSET(ORÇAMENTO!$X$15,ROW(AB260)-ROW(AB$15),0),
ROUND(ROUND(OFFSET($P260,0,AB$13),15-13*ORÇAMENTO!$AF$7)*OFFSET(ORÇAMENTO!$W$15,ROW(AB260)-ROW(AB$15),0),15-13*ORÇAMENTO!$AF$11)),0)</f>
        <v>0</v>
      </c>
      <c r="AC260" s="545">
        <f ca="1">IF(AND($D260="Serviço",AC$12&lt;&gt;0,$H260&gt;0,OR(AUTOEVENTO&lt;&gt;"manual",$M260&lt;&gt;1)),
IF(Import.TipoArredondamento&lt;&gt;"TransfereGOV",
ROUND(OFFSET($P260,0,AC$13),15-13*ORÇAMENTO!$AF$7)/$H260*OFFSET(ORÇAMENTO!$X$15,ROW(AC260)-ROW(AC$15),0),
ROUND(ROUND(OFFSET($P260,0,AC$13),15-13*ORÇAMENTO!$AF$7)*OFFSET(ORÇAMENTO!$W$15,ROW(AC260)-ROW(AC$15),0),15-13*ORÇAMENTO!$AF$11)),0)</f>
        <v>0</v>
      </c>
      <c r="AD260" s="545">
        <f ca="1">IF(AND($D260="Serviço",AD$12&lt;&gt;0,$H260&gt;0,OR(AUTOEVENTO&lt;&gt;"manual",$M260&lt;&gt;1)),
IF(Import.TipoArredondamento&lt;&gt;"TransfereGOV",
ROUND(OFFSET($P260,0,AD$13),15-13*ORÇAMENTO!$AF$7)/$H260*OFFSET(ORÇAMENTO!$X$15,ROW(AD260)-ROW(AD$15),0),
ROUND(ROUND(OFFSET($P260,0,AD$13),15-13*ORÇAMENTO!$AF$7)*OFFSET(ORÇAMENTO!$W$15,ROW(AD260)-ROW(AD$15),0),15-13*ORÇAMENTO!$AF$11)),0)</f>
        <v>0</v>
      </c>
      <c r="AE260" s="545">
        <f ca="1">IF(AND($D260="Serviço",AE$12&lt;&gt;0,$H260&gt;0,OR(AUTOEVENTO&lt;&gt;"manual",$M260&lt;&gt;1)),
IF(Import.TipoArredondamento&lt;&gt;"TransfereGOV",
ROUND(OFFSET($P260,0,AE$13),15-13*ORÇAMENTO!$AF$7)/$H260*OFFSET(ORÇAMENTO!$X$15,ROW(AE260)-ROW(AE$15),0),
ROUND(ROUND(OFFSET($P260,0,AE$13),15-13*ORÇAMENTO!$AF$7)*OFFSET(ORÇAMENTO!$W$15,ROW(AE260)-ROW(AE$15),0),15-13*ORÇAMENTO!$AF$11)),0)</f>
        <v>0</v>
      </c>
      <c r="AF260" s="545">
        <f ca="1">IF(AND($D260="Serviço",AF$12&lt;&gt;0,$H260&gt;0,OR(AUTOEVENTO&lt;&gt;"manual",$M260&lt;&gt;1)),
IF(Import.TipoArredondamento&lt;&gt;"TransfereGOV",
ROUND(OFFSET($P260,0,AF$13),15-13*ORÇAMENTO!$AF$7)/$H260*OFFSET(ORÇAMENTO!$X$15,ROW(AF260)-ROW(AF$15),0),
ROUND(ROUND(OFFSET($P260,0,AF$13),15-13*ORÇAMENTO!$AF$7)*OFFSET(ORÇAMENTO!$W$15,ROW(AF260)-ROW(AF$15),0),15-13*ORÇAMENTO!$AF$11)),0)</f>
        <v>0</v>
      </c>
      <c r="AG260" s="545">
        <f ca="1">IF(AND($D260="Serviço",AG$12&lt;&gt;0,$H260&gt;0,OR(AUTOEVENTO&lt;&gt;"manual",$M260&lt;&gt;1)),
IF(Import.TipoArredondamento&lt;&gt;"TransfereGOV",
ROUND(OFFSET($P260,0,AG$13),15-13*ORÇAMENTO!$AF$7)/$H260*OFFSET(ORÇAMENTO!$X$15,ROW(AG260)-ROW(AG$15),0),
ROUND(ROUND(OFFSET($P260,0,AG$13),15-13*ORÇAMENTO!$AF$7)*OFFSET(ORÇAMENTO!$W$15,ROW(AG260)-ROW(AG$15),0),15-13*ORÇAMENTO!$AF$11)),0)</f>
        <v>0</v>
      </c>
      <c r="AH260" s="545">
        <f ca="1">IF(AND($D260="Serviço",AH$12&lt;&gt;0,$H260&gt;0,OR(AUTOEVENTO&lt;&gt;"manual",$M260&lt;&gt;1)),
IF(Import.TipoArredondamento&lt;&gt;"TransfereGOV",
ROUND(OFFSET($P260,0,AH$13),15-13*ORÇAMENTO!$AF$7)/$H260*OFFSET(ORÇAMENTO!$X$15,ROW(AH260)-ROW(AH$15),0),
ROUND(ROUND(OFFSET($P260,0,AH$13),15-13*ORÇAMENTO!$AF$7)*OFFSET(ORÇAMENTO!$W$15,ROW(AH260)-ROW(AH$15),0),15-13*ORÇAMENTO!$AF$11)),0)</f>
        <v>0</v>
      </c>
      <c r="AI260" s="545">
        <f ca="1">IF(AND($D260="Serviço",AI$12&lt;&gt;0,$H260&gt;0,OR(AUTOEVENTO&lt;&gt;"manual",$M260&lt;&gt;1)),
IF(Import.TipoArredondamento&lt;&gt;"TransfereGOV",
ROUND(OFFSET($P260,0,AI$13),15-13*ORÇAMENTO!$AF$7)/$H260*OFFSET(ORÇAMENTO!$X$15,ROW(AI260)-ROW(AI$15),0),
ROUND(ROUND(OFFSET($P260,0,AI$13),15-13*ORÇAMENTO!$AF$7)*OFFSET(ORÇAMENTO!$W$15,ROW(AI260)-ROW(AI$15),0),15-13*ORÇAMENTO!$AF$11)),0)</f>
        <v>0</v>
      </c>
      <c r="AJ260" s="545">
        <f ca="1">IF(AND($D260="Serviço",AJ$12&lt;&gt;0,$H260&gt;0,OR(AUTOEVENTO&lt;&gt;"manual",$M260&lt;&gt;1)),
IF(Import.TipoArredondamento&lt;&gt;"TransfereGOV",
ROUND(OFFSET($P260,0,AJ$13),15-13*ORÇAMENTO!$AF$7)/$H260*OFFSET(ORÇAMENTO!$X$15,ROW(AJ260)-ROW(AJ$15),0),
ROUND(ROUND(OFFSET($P260,0,AJ$13),15-13*ORÇAMENTO!$AF$7)*OFFSET(ORÇAMENTO!$W$15,ROW(AJ260)-ROW(AJ$15),0),15-13*ORÇAMENTO!$AF$11)),0)</f>
        <v>0</v>
      </c>
      <c r="AK260" s="546">
        <f ca="1">IF(AND($D260="Serviço",AK$12&lt;&gt;0,$H260&gt;0,OR(AUTOEVENTO&lt;&gt;"manual",$M260&lt;&gt;1)),
IF(Import.TipoArredondamento&lt;&gt;"TransfereGOV",
ROUND(OFFSET($P260,0,AK$13),15-13*ORÇAMENTO!$AF$7)/$H260*OFFSET(ORÇAMENTO!$X$15,ROW(AK260)-ROW(AK$15),0),
ROUND(ROUND(OFFSET($P260,0,AK$13),15-13*ORÇAMENTO!$AF$7)*OFFSET(ORÇAMENTO!$W$15,ROW(AK260)-ROW(AK$15),0),15-13*ORÇAMENTO!$AF$11)),0)</f>
        <v>0</v>
      </c>
      <c r="AM260" s="181">
        <f ca="1">IF($D260&lt;&gt;"Serviço",0,IF(AND(AUTOEVENTO="Manual",$M260=1),0,IF(OFFSET(CRONOPLE!$F$14,$M260,AM$13)="",10^12,OFFSET(CRONOPLE!$F$14,$M260,AM$13))))</f>
        <v>1000000000000</v>
      </c>
      <c r="AN260" s="181">
        <f ca="1">IF($D260&lt;&gt;"Serviço",0,IF(AND(AUTOEVENTO="Manual",$M260=1),0,IF(OFFSET(CRONOPLE!$F$14,$M260,AN$13)="",10^12,OFFSET(CRONOPLE!$F$14,$M260,AN$13))))</f>
        <v>1000000000000</v>
      </c>
      <c r="AO260" s="181">
        <f ca="1">IF($D260&lt;&gt;"Serviço",0,IF(AND(AUTOEVENTO="Manual",$M260=1),0,IF(OFFSET(CRONOPLE!$F$14,$M260,AO$13)="",10^12,OFFSET(CRONOPLE!$F$14,$M260,AO$13))))</f>
        <v>1000000000000</v>
      </c>
      <c r="AP260" s="181">
        <f ca="1">IF($D260&lt;&gt;"Serviço",0,IF(AND(AUTOEVENTO="Manual",$M260=1),0,IF(OFFSET(CRONOPLE!$F$14,$M260,AP$13)="",10^12,OFFSET(CRONOPLE!$F$14,$M260,AP$13))))</f>
        <v>1000000000000</v>
      </c>
      <c r="AQ260" s="181">
        <f ca="1">IF($D260&lt;&gt;"Serviço",0,IF(AND(AUTOEVENTO="Manual",$M260=1),0,IF(OFFSET(CRONOPLE!$F$14,$M260,AQ$13)="",10^12,OFFSET(CRONOPLE!$F$14,$M260,AQ$13))))</f>
        <v>1000000000000</v>
      </c>
      <c r="AR260" s="181">
        <f ca="1">IF($D260&lt;&gt;"Serviço",0,IF(AND(AUTOEVENTO="Manual",$M260=1),0,IF(OFFSET(CRONOPLE!$F$14,$M260,AR$13)="",10^12,OFFSET(CRONOPLE!$F$14,$M260,AR$13))))</f>
        <v>1000000000000</v>
      </c>
      <c r="AS260" s="181">
        <f ca="1">IF($D260&lt;&gt;"Serviço",0,IF(AND(AUTOEVENTO="Manual",$M260=1),0,IF(OFFSET(CRONOPLE!$F$14,$M260,AS$13)="",10^12,OFFSET(CRONOPLE!$F$14,$M260,AS$13))))</f>
        <v>1000000000000</v>
      </c>
      <c r="AT260" s="181">
        <f ca="1">IF($D260&lt;&gt;"Serviço",0,IF(AND(AUTOEVENTO="Manual",$M260=1),0,IF(OFFSET(CRONOPLE!$F$14,$M260,AT$13)="",10^12,OFFSET(CRONOPLE!$F$14,$M260,AT$13))))</f>
        <v>1000000000000</v>
      </c>
      <c r="AU260" s="181">
        <f ca="1">IF($D260&lt;&gt;"Serviço",0,IF(AND(AUTOEVENTO="Manual",$M260=1),0,IF(OFFSET(CRONOPLE!$F$14,$M260,AU$13)="",10^12,OFFSET(CRONOPLE!$F$14,$M260,AU$13))))</f>
        <v>1000000000000</v>
      </c>
      <c r="AV260" s="181">
        <f ca="1">IF($D260&lt;&gt;"Serviço",0,IF(AND(AUTOEVENTO="Manual",$M260=1),0,IF(OFFSET(CRONOPLE!$F$14,$M260,AV$13)="",10^12,OFFSET(CRONOPLE!$F$14,$M260,AV$13))))</f>
        <v>1000000000000</v>
      </c>
      <c r="AX260" s="182">
        <f ca="1">IF($D260&lt;&gt;"Serviço",0,IF(OR(AND(AUTOEVENTO="Manual",$M260=1),$M260&gt;(ROW(PLE.lastrow)-ROW(PLE.firstrow))),0,IF(OFFSET(PLE!$G$14,$M260,AX$13)="",10^12,OFFSET(PLE!$G$14,$M260,AX$13))))</f>
        <v>1000000000000</v>
      </c>
      <c r="AY260" s="182">
        <f ca="1">IF($D260&lt;&gt;"Serviço",0,IF(OR(AND(AUTOEVENTO="Manual",$M260=1),$M260&gt;(ROW(PLE.lastrow)-ROW(PLE.firstrow))),0,IF(OFFSET(PLE!$G$14,$M260,AY$13)="",10^12,OFFSET(PLE!$G$14,$M260,AY$13))))</f>
        <v>1000000000000</v>
      </c>
      <c r="AZ260" s="182">
        <f ca="1">IF($D260&lt;&gt;"Serviço",0,IF(OR(AND(AUTOEVENTO="Manual",$M260=1),$M260&gt;(ROW(PLE.lastrow)-ROW(PLE.firstrow))),0,IF(OFFSET(PLE!$G$14,$M260,AZ$13)="",10^12,OFFSET(PLE!$G$14,$M260,AZ$13))))</f>
        <v>1000000000000</v>
      </c>
      <c r="BA260" s="182">
        <f ca="1">IF($D260&lt;&gt;"Serviço",0,IF(OR(AND(AUTOEVENTO="Manual",$M260=1),$M260&gt;(ROW(PLE.lastrow)-ROW(PLE.firstrow))),0,IF(OFFSET(PLE!$G$14,$M260,BA$13)="",10^12,OFFSET(PLE!$G$14,$M260,BA$13))))</f>
        <v>1000000000000</v>
      </c>
      <c r="BB260" s="182">
        <f ca="1">IF($D260&lt;&gt;"Serviço",0,IF(OR(AND(AUTOEVENTO="Manual",$M260=1),$M260&gt;(ROW(PLE.lastrow)-ROW(PLE.firstrow))),0,IF(OFFSET(PLE!$G$14,$M260,BB$13)="",10^12,OFFSET(PLE!$G$14,$M260,BB$13))))</f>
        <v>1000000000000</v>
      </c>
      <c r="BC260" s="182">
        <f ca="1">IF($D260&lt;&gt;"Serviço",0,IF(OR(AND(AUTOEVENTO="Manual",$M260=1),$M260&gt;(ROW(PLE.lastrow)-ROW(PLE.firstrow))),0,IF(OFFSET(PLE!$G$14,$M260,BC$13)="",10^12,OFFSET(PLE!$G$14,$M260,BC$13))))</f>
        <v>1000000000000</v>
      </c>
      <c r="BD260" s="182">
        <f ca="1">IF($D260&lt;&gt;"Serviço",0,IF(OR(AND(AUTOEVENTO="Manual",$M260=1),$M260&gt;(ROW(PLE.lastrow)-ROW(PLE.firstrow))),0,IF(OFFSET(PLE!$G$14,$M260,BD$13)="",10^12,OFFSET(PLE!$G$14,$M260,BD$13))))</f>
        <v>1000000000000</v>
      </c>
      <c r="BE260" s="182">
        <f ca="1">IF($D260&lt;&gt;"Serviço",0,IF(OR(AND(AUTOEVENTO="Manual",$M260=1),$M260&gt;(ROW(PLE.lastrow)-ROW(PLE.firstrow))),0,IF(OFFSET(PLE!$G$14,$M260,BE$13)="",10^12,OFFSET(PLE!$G$14,$M260,BE$13))))</f>
        <v>1000000000000</v>
      </c>
      <c r="BF260" s="182">
        <f ca="1">IF($D260&lt;&gt;"Serviço",0,IF(OR(AND(AUTOEVENTO="Manual",$M260=1),$M260&gt;(ROW(PLE.lastrow)-ROW(PLE.firstrow))),0,IF(OFFSET(PLE!$G$14,$M260,BF$13)="",10^12,OFFSET(PLE!$G$14,$M260,BF$13))))</f>
        <v>1000000000000</v>
      </c>
      <c r="BG260" s="182">
        <f ca="1">IF($D260&lt;&gt;"Serviço",0,IF(OR(AND(AUTOEVENTO="Manual",$M260=1),$M260&gt;(ROW(PLE.lastrow)-ROW(PLE.firstrow))),0,IF(OFFSET(PLE!$G$14,$M260,BG$13)="",10^12,OFFSET(PLE!$G$14,$M260,BG$13))))</f>
        <v>1000000000000</v>
      </c>
    </row>
    <row r="261" spans="1:59" ht="12.75" x14ac:dyDescent="0.2">
      <c r="A261" s="7" t="str">
        <f t="shared" ca="1" si="11"/>
        <v>233</v>
      </c>
      <c r="B261" s="7" t="str">
        <f ca="1">OFFSET(ORÇAMENTO!C$15,ROW(B261)-ROW(B$15),0)</f>
        <v>S</v>
      </c>
      <c r="C261" s="7" t="str">
        <f ca="1">OFFSET(ORÇAMENTO!L$15,ROW(C261)-ROW(C$15),0)</f>
        <v/>
      </c>
      <c r="D261" s="118" t="str">
        <f ca="1">OFFSET(ORÇAMENTO!N$15,ROW(D261)-ROW(D$15),0)</f>
        <v>Serviço</v>
      </c>
      <c r="E261" s="119" t="str">
        <f ca="1">OFFSET(ORÇAMENTO!O$15,ROW(E261)-ROW(E$15),0)</f>
        <v>-</v>
      </c>
      <c r="F261" s="172" t="str">
        <f ca="1">OFFSET(ORÇAMENTO!R$15,ROW(F261)-ROW(F$15),0)</f>
        <v>(abra o arquivo 'Referência 03-2024.xlsm)</v>
      </c>
      <c r="G261" s="173" t="str">
        <f ca="1">IF($D261&lt;&gt;"Serviço","",OFFSET(ORÇAMENTO!S$15,ROW(G261)-ROW(G$15),0))</f>
        <v>-</v>
      </c>
      <c r="H261" s="124">
        <f ca="1">IF($D261&lt;&gt;"Serviço",0,IF(ACOMPANHAMENTO="BM",ROUND(OFFSET(ORÇAMENTO!AJ$15,ROW(H261)-ROW(H$15),0),15-13*ORÇAMENTO!$AF$7),SUMPRODUCT(($Q$12:$AA$12&lt;&gt;"")*ROUND($Q261:$AA261,15-13*ORÇAMENTO!$AF$7))))</f>
        <v>0</v>
      </c>
      <c r="I261" s="561"/>
      <c r="K261" s="174"/>
      <c r="L261" s="175" t="s">
        <v>255</v>
      </c>
      <c r="M261" s="176">
        <f ca="1">IF($D261&lt;&gt;"Serviço","",IF(AUTOEVENTO="manual",$A261,IF(ISERROR(MATCH($A261,$A$15:OFFSET($A261,-1,0),0)),MAX($M$15:OFFSET(M261,-1,0))+1,INDEX($M$15:OFFSET(M261,-1,0),MATCH($A261,$A$15:OFFSET($A261,-1,0),0)))))</f>
        <v>14</v>
      </c>
      <c r="N261" s="177" t="str">
        <f ca="1">IF($D261&lt;&gt;"Serviço","",IF(AUTOEVENTO="Manual",IF($A261=0,"&lt;-- defina o número do agrupador",OFFSET(EVENTOS!$D$14,$A261,0)),OFFSET($F$15,$A261,0)))</f>
        <v>SERVIÇOS FINAIS</v>
      </c>
      <c r="O261" s="178"/>
      <c r="Q261" s="178"/>
      <c r="R261" s="179"/>
      <c r="S261" s="179"/>
      <c r="T261" s="179"/>
      <c r="U261" s="179"/>
      <c r="V261" s="179"/>
      <c r="W261" s="179"/>
      <c r="X261" s="179"/>
      <c r="Y261" s="179"/>
      <c r="Z261" s="180"/>
      <c r="AB261" s="544">
        <f ca="1">IF(AND($D261="Serviço",AB$12&lt;&gt;0,$H261&gt;0,OR(AUTOEVENTO&lt;&gt;"manual",$M261&lt;&gt;1)),
IF(Import.TipoArredondamento&lt;&gt;"TransfereGOV",
ROUND(OFFSET($P261,0,AB$13),15-13*ORÇAMENTO!$AF$7)/$H261*OFFSET(ORÇAMENTO!$X$15,ROW(AB261)-ROW(AB$15),0),
ROUND(ROUND(OFFSET($P261,0,AB$13),15-13*ORÇAMENTO!$AF$7)*OFFSET(ORÇAMENTO!$W$15,ROW(AB261)-ROW(AB$15),0),15-13*ORÇAMENTO!$AF$11)),0)</f>
        <v>0</v>
      </c>
      <c r="AC261" s="545">
        <f ca="1">IF(AND($D261="Serviço",AC$12&lt;&gt;0,$H261&gt;0,OR(AUTOEVENTO&lt;&gt;"manual",$M261&lt;&gt;1)),
IF(Import.TipoArredondamento&lt;&gt;"TransfereGOV",
ROUND(OFFSET($P261,0,AC$13),15-13*ORÇAMENTO!$AF$7)/$H261*OFFSET(ORÇAMENTO!$X$15,ROW(AC261)-ROW(AC$15),0),
ROUND(ROUND(OFFSET($P261,0,AC$13),15-13*ORÇAMENTO!$AF$7)*OFFSET(ORÇAMENTO!$W$15,ROW(AC261)-ROW(AC$15),0),15-13*ORÇAMENTO!$AF$11)),0)</f>
        <v>0</v>
      </c>
      <c r="AD261" s="545">
        <f ca="1">IF(AND($D261="Serviço",AD$12&lt;&gt;0,$H261&gt;0,OR(AUTOEVENTO&lt;&gt;"manual",$M261&lt;&gt;1)),
IF(Import.TipoArredondamento&lt;&gt;"TransfereGOV",
ROUND(OFFSET($P261,0,AD$13),15-13*ORÇAMENTO!$AF$7)/$H261*OFFSET(ORÇAMENTO!$X$15,ROW(AD261)-ROW(AD$15),0),
ROUND(ROUND(OFFSET($P261,0,AD$13),15-13*ORÇAMENTO!$AF$7)*OFFSET(ORÇAMENTO!$W$15,ROW(AD261)-ROW(AD$15),0),15-13*ORÇAMENTO!$AF$11)),0)</f>
        <v>0</v>
      </c>
      <c r="AE261" s="545">
        <f ca="1">IF(AND($D261="Serviço",AE$12&lt;&gt;0,$H261&gt;0,OR(AUTOEVENTO&lt;&gt;"manual",$M261&lt;&gt;1)),
IF(Import.TipoArredondamento&lt;&gt;"TransfereGOV",
ROUND(OFFSET($P261,0,AE$13),15-13*ORÇAMENTO!$AF$7)/$H261*OFFSET(ORÇAMENTO!$X$15,ROW(AE261)-ROW(AE$15),0),
ROUND(ROUND(OFFSET($P261,0,AE$13),15-13*ORÇAMENTO!$AF$7)*OFFSET(ORÇAMENTO!$W$15,ROW(AE261)-ROW(AE$15),0),15-13*ORÇAMENTO!$AF$11)),0)</f>
        <v>0</v>
      </c>
      <c r="AF261" s="545">
        <f ca="1">IF(AND($D261="Serviço",AF$12&lt;&gt;0,$H261&gt;0,OR(AUTOEVENTO&lt;&gt;"manual",$M261&lt;&gt;1)),
IF(Import.TipoArredondamento&lt;&gt;"TransfereGOV",
ROUND(OFFSET($P261,0,AF$13),15-13*ORÇAMENTO!$AF$7)/$H261*OFFSET(ORÇAMENTO!$X$15,ROW(AF261)-ROW(AF$15),0),
ROUND(ROUND(OFFSET($P261,0,AF$13),15-13*ORÇAMENTO!$AF$7)*OFFSET(ORÇAMENTO!$W$15,ROW(AF261)-ROW(AF$15),0),15-13*ORÇAMENTO!$AF$11)),0)</f>
        <v>0</v>
      </c>
      <c r="AG261" s="545">
        <f ca="1">IF(AND($D261="Serviço",AG$12&lt;&gt;0,$H261&gt;0,OR(AUTOEVENTO&lt;&gt;"manual",$M261&lt;&gt;1)),
IF(Import.TipoArredondamento&lt;&gt;"TransfereGOV",
ROUND(OFFSET($P261,0,AG$13),15-13*ORÇAMENTO!$AF$7)/$H261*OFFSET(ORÇAMENTO!$X$15,ROW(AG261)-ROW(AG$15),0),
ROUND(ROUND(OFFSET($P261,0,AG$13),15-13*ORÇAMENTO!$AF$7)*OFFSET(ORÇAMENTO!$W$15,ROW(AG261)-ROW(AG$15),0),15-13*ORÇAMENTO!$AF$11)),0)</f>
        <v>0</v>
      </c>
      <c r="AH261" s="545">
        <f ca="1">IF(AND($D261="Serviço",AH$12&lt;&gt;0,$H261&gt;0,OR(AUTOEVENTO&lt;&gt;"manual",$M261&lt;&gt;1)),
IF(Import.TipoArredondamento&lt;&gt;"TransfereGOV",
ROUND(OFFSET($P261,0,AH$13),15-13*ORÇAMENTO!$AF$7)/$H261*OFFSET(ORÇAMENTO!$X$15,ROW(AH261)-ROW(AH$15),0),
ROUND(ROUND(OFFSET($P261,0,AH$13),15-13*ORÇAMENTO!$AF$7)*OFFSET(ORÇAMENTO!$W$15,ROW(AH261)-ROW(AH$15),0),15-13*ORÇAMENTO!$AF$11)),0)</f>
        <v>0</v>
      </c>
      <c r="AI261" s="545">
        <f ca="1">IF(AND($D261="Serviço",AI$12&lt;&gt;0,$H261&gt;0,OR(AUTOEVENTO&lt;&gt;"manual",$M261&lt;&gt;1)),
IF(Import.TipoArredondamento&lt;&gt;"TransfereGOV",
ROUND(OFFSET($P261,0,AI$13),15-13*ORÇAMENTO!$AF$7)/$H261*OFFSET(ORÇAMENTO!$X$15,ROW(AI261)-ROW(AI$15),0),
ROUND(ROUND(OFFSET($P261,0,AI$13),15-13*ORÇAMENTO!$AF$7)*OFFSET(ORÇAMENTO!$W$15,ROW(AI261)-ROW(AI$15),0),15-13*ORÇAMENTO!$AF$11)),0)</f>
        <v>0</v>
      </c>
      <c r="AJ261" s="545">
        <f ca="1">IF(AND($D261="Serviço",AJ$12&lt;&gt;0,$H261&gt;0,OR(AUTOEVENTO&lt;&gt;"manual",$M261&lt;&gt;1)),
IF(Import.TipoArredondamento&lt;&gt;"TransfereGOV",
ROUND(OFFSET($P261,0,AJ$13),15-13*ORÇAMENTO!$AF$7)/$H261*OFFSET(ORÇAMENTO!$X$15,ROW(AJ261)-ROW(AJ$15),0),
ROUND(ROUND(OFFSET($P261,0,AJ$13),15-13*ORÇAMENTO!$AF$7)*OFFSET(ORÇAMENTO!$W$15,ROW(AJ261)-ROW(AJ$15),0),15-13*ORÇAMENTO!$AF$11)),0)</f>
        <v>0</v>
      </c>
      <c r="AK261" s="546">
        <f ca="1">IF(AND($D261="Serviço",AK$12&lt;&gt;0,$H261&gt;0,OR(AUTOEVENTO&lt;&gt;"manual",$M261&lt;&gt;1)),
IF(Import.TipoArredondamento&lt;&gt;"TransfereGOV",
ROUND(OFFSET($P261,0,AK$13),15-13*ORÇAMENTO!$AF$7)/$H261*OFFSET(ORÇAMENTO!$X$15,ROW(AK261)-ROW(AK$15),0),
ROUND(ROUND(OFFSET($P261,0,AK$13),15-13*ORÇAMENTO!$AF$7)*OFFSET(ORÇAMENTO!$W$15,ROW(AK261)-ROW(AK$15),0),15-13*ORÇAMENTO!$AF$11)),0)</f>
        <v>0</v>
      </c>
      <c r="AM261" s="181">
        <f ca="1">IF($D261&lt;&gt;"Serviço",0,IF(AND(AUTOEVENTO="Manual",$M261=1),0,IF(OFFSET(CRONOPLE!$F$14,$M261,AM$13)="",10^12,OFFSET(CRONOPLE!$F$14,$M261,AM$13))))</f>
        <v>1000000000000</v>
      </c>
      <c r="AN261" s="181">
        <f ca="1">IF($D261&lt;&gt;"Serviço",0,IF(AND(AUTOEVENTO="Manual",$M261=1),0,IF(OFFSET(CRONOPLE!$F$14,$M261,AN$13)="",10^12,OFFSET(CRONOPLE!$F$14,$M261,AN$13))))</f>
        <v>1000000000000</v>
      </c>
      <c r="AO261" s="181">
        <f ca="1">IF($D261&lt;&gt;"Serviço",0,IF(AND(AUTOEVENTO="Manual",$M261=1),0,IF(OFFSET(CRONOPLE!$F$14,$M261,AO$13)="",10^12,OFFSET(CRONOPLE!$F$14,$M261,AO$13))))</f>
        <v>1000000000000</v>
      </c>
      <c r="AP261" s="181">
        <f ca="1">IF($D261&lt;&gt;"Serviço",0,IF(AND(AUTOEVENTO="Manual",$M261=1),0,IF(OFFSET(CRONOPLE!$F$14,$M261,AP$13)="",10^12,OFFSET(CRONOPLE!$F$14,$M261,AP$13))))</f>
        <v>1000000000000</v>
      </c>
      <c r="AQ261" s="181">
        <f ca="1">IF($D261&lt;&gt;"Serviço",0,IF(AND(AUTOEVENTO="Manual",$M261=1),0,IF(OFFSET(CRONOPLE!$F$14,$M261,AQ$13)="",10^12,OFFSET(CRONOPLE!$F$14,$M261,AQ$13))))</f>
        <v>1000000000000</v>
      </c>
      <c r="AR261" s="181">
        <f ca="1">IF($D261&lt;&gt;"Serviço",0,IF(AND(AUTOEVENTO="Manual",$M261=1),0,IF(OFFSET(CRONOPLE!$F$14,$M261,AR$13)="",10^12,OFFSET(CRONOPLE!$F$14,$M261,AR$13))))</f>
        <v>1000000000000</v>
      </c>
      <c r="AS261" s="181">
        <f ca="1">IF($D261&lt;&gt;"Serviço",0,IF(AND(AUTOEVENTO="Manual",$M261=1),0,IF(OFFSET(CRONOPLE!$F$14,$M261,AS$13)="",10^12,OFFSET(CRONOPLE!$F$14,$M261,AS$13))))</f>
        <v>1000000000000</v>
      </c>
      <c r="AT261" s="181">
        <f ca="1">IF($D261&lt;&gt;"Serviço",0,IF(AND(AUTOEVENTO="Manual",$M261=1),0,IF(OFFSET(CRONOPLE!$F$14,$M261,AT$13)="",10^12,OFFSET(CRONOPLE!$F$14,$M261,AT$13))))</f>
        <v>1000000000000</v>
      </c>
      <c r="AU261" s="181">
        <f ca="1">IF($D261&lt;&gt;"Serviço",0,IF(AND(AUTOEVENTO="Manual",$M261=1),0,IF(OFFSET(CRONOPLE!$F$14,$M261,AU$13)="",10^12,OFFSET(CRONOPLE!$F$14,$M261,AU$13))))</f>
        <v>1000000000000</v>
      </c>
      <c r="AV261" s="181">
        <f ca="1">IF($D261&lt;&gt;"Serviço",0,IF(AND(AUTOEVENTO="Manual",$M261=1),0,IF(OFFSET(CRONOPLE!$F$14,$M261,AV$13)="",10^12,OFFSET(CRONOPLE!$F$14,$M261,AV$13))))</f>
        <v>1000000000000</v>
      </c>
      <c r="AX261" s="182">
        <f ca="1">IF($D261&lt;&gt;"Serviço",0,IF(OR(AND(AUTOEVENTO="Manual",$M261=1),$M261&gt;(ROW(PLE.lastrow)-ROW(PLE.firstrow))),0,IF(OFFSET(PLE!$G$14,$M261,AX$13)="",10^12,OFFSET(PLE!$G$14,$M261,AX$13))))</f>
        <v>1000000000000</v>
      </c>
      <c r="AY261" s="182">
        <f ca="1">IF($D261&lt;&gt;"Serviço",0,IF(OR(AND(AUTOEVENTO="Manual",$M261=1),$M261&gt;(ROW(PLE.lastrow)-ROW(PLE.firstrow))),0,IF(OFFSET(PLE!$G$14,$M261,AY$13)="",10^12,OFFSET(PLE!$G$14,$M261,AY$13))))</f>
        <v>1000000000000</v>
      </c>
      <c r="AZ261" s="182">
        <f ca="1">IF($D261&lt;&gt;"Serviço",0,IF(OR(AND(AUTOEVENTO="Manual",$M261=1),$M261&gt;(ROW(PLE.lastrow)-ROW(PLE.firstrow))),0,IF(OFFSET(PLE!$G$14,$M261,AZ$13)="",10^12,OFFSET(PLE!$G$14,$M261,AZ$13))))</f>
        <v>1000000000000</v>
      </c>
      <c r="BA261" s="182">
        <f ca="1">IF($D261&lt;&gt;"Serviço",0,IF(OR(AND(AUTOEVENTO="Manual",$M261=1),$M261&gt;(ROW(PLE.lastrow)-ROW(PLE.firstrow))),0,IF(OFFSET(PLE!$G$14,$M261,BA$13)="",10^12,OFFSET(PLE!$G$14,$M261,BA$13))))</f>
        <v>1000000000000</v>
      </c>
      <c r="BB261" s="182">
        <f ca="1">IF($D261&lt;&gt;"Serviço",0,IF(OR(AND(AUTOEVENTO="Manual",$M261=1),$M261&gt;(ROW(PLE.lastrow)-ROW(PLE.firstrow))),0,IF(OFFSET(PLE!$G$14,$M261,BB$13)="",10^12,OFFSET(PLE!$G$14,$M261,BB$13))))</f>
        <v>1000000000000</v>
      </c>
      <c r="BC261" s="182">
        <f ca="1">IF($D261&lt;&gt;"Serviço",0,IF(OR(AND(AUTOEVENTO="Manual",$M261=1),$M261&gt;(ROW(PLE.lastrow)-ROW(PLE.firstrow))),0,IF(OFFSET(PLE!$G$14,$M261,BC$13)="",10^12,OFFSET(PLE!$G$14,$M261,BC$13))))</f>
        <v>1000000000000</v>
      </c>
      <c r="BD261" s="182">
        <f ca="1">IF($D261&lt;&gt;"Serviço",0,IF(OR(AND(AUTOEVENTO="Manual",$M261=1),$M261&gt;(ROW(PLE.lastrow)-ROW(PLE.firstrow))),0,IF(OFFSET(PLE!$G$14,$M261,BD$13)="",10^12,OFFSET(PLE!$G$14,$M261,BD$13))))</f>
        <v>1000000000000</v>
      </c>
      <c r="BE261" s="182">
        <f ca="1">IF($D261&lt;&gt;"Serviço",0,IF(OR(AND(AUTOEVENTO="Manual",$M261=1),$M261&gt;(ROW(PLE.lastrow)-ROW(PLE.firstrow))),0,IF(OFFSET(PLE!$G$14,$M261,BE$13)="",10^12,OFFSET(PLE!$G$14,$M261,BE$13))))</f>
        <v>1000000000000</v>
      </c>
      <c r="BF261" s="182">
        <f ca="1">IF($D261&lt;&gt;"Serviço",0,IF(OR(AND(AUTOEVENTO="Manual",$M261=1),$M261&gt;(ROW(PLE.lastrow)-ROW(PLE.firstrow))),0,IF(OFFSET(PLE!$G$14,$M261,BF$13)="",10^12,OFFSET(PLE!$G$14,$M261,BF$13))))</f>
        <v>1000000000000</v>
      </c>
      <c r="BG261" s="182">
        <f ca="1">IF($D261&lt;&gt;"Serviço",0,IF(OR(AND(AUTOEVENTO="Manual",$M261=1),$M261&gt;(ROW(PLE.lastrow)-ROW(PLE.firstrow))),0,IF(OFFSET(PLE!$G$14,$M261,BG$13)="",10^12,OFFSET(PLE!$G$14,$M261,BG$13))))</f>
        <v>1000000000000</v>
      </c>
    </row>
    <row r="262" spans="1:59" ht="12.75" x14ac:dyDescent="0.2">
      <c r="A262" s="7" t="str">
        <f t="shared" ca="1" si="11"/>
        <v>233</v>
      </c>
      <c r="B262" s="7" t="str">
        <f ca="1">OFFSET(ORÇAMENTO!C$15,ROW(B262)-ROW(B$15),0)</f>
        <v>S</v>
      </c>
      <c r="C262" s="7" t="str">
        <f ca="1">OFFSET(ORÇAMENTO!L$15,ROW(C262)-ROW(C$15),0)</f>
        <v/>
      </c>
      <c r="D262" s="118" t="str">
        <f ca="1">OFFSET(ORÇAMENTO!N$15,ROW(D262)-ROW(D$15),0)</f>
        <v>Serviço</v>
      </c>
      <c r="E262" s="119" t="str">
        <f ca="1">OFFSET(ORÇAMENTO!O$15,ROW(E262)-ROW(E$15),0)</f>
        <v>-</v>
      </c>
      <c r="F262" s="172" t="str">
        <f ca="1">OFFSET(ORÇAMENTO!R$15,ROW(F262)-ROW(F$15),0)</f>
        <v>(abra o arquivo 'Referência 03-2024.xlsm)</v>
      </c>
      <c r="G262" s="173" t="str">
        <f ca="1">IF($D262&lt;&gt;"Serviço","",OFFSET(ORÇAMENTO!S$15,ROW(G262)-ROW(G$15),0))</f>
        <v>-</v>
      </c>
      <c r="H262" s="124">
        <f ca="1">IF($D262&lt;&gt;"Serviço",0,IF(ACOMPANHAMENTO="BM",ROUND(OFFSET(ORÇAMENTO!AJ$15,ROW(H262)-ROW(H$15),0),15-13*ORÇAMENTO!$AF$7),SUMPRODUCT(($Q$12:$AA$12&lt;&gt;"")*ROUND($Q262:$AA262,15-13*ORÇAMENTO!$AF$7))))</f>
        <v>0</v>
      </c>
      <c r="I262" s="561"/>
      <c r="K262" s="174"/>
      <c r="L262" s="175" t="s">
        <v>255</v>
      </c>
      <c r="M262" s="176">
        <f ca="1">IF($D262&lt;&gt;"Serviço","",IF(AUTOEVENTO="manual",$A262,IF(ISERROR(MATCH($A262,$A$15:OFFSET($A262,-1,0),0)),MAX($M$15:OFFSET(M262,-1,0))+1,INDEX($M$15:OFFSET(M262,-1,0),MATCH($A262,$A$15:OFFSET($A262,-1,0),0)))))</f>
        <v>14</v>
      </c>
      <c r="N262" s="177" t="str">
        <f ca="1">IF($D262&lt;&gt;"Serviço","",IF(AUTOEVENTO="Manual",IF($A262=0,"&lt;-- defina o número do agrupador",OFFSET(EVENTOS!$D$14,$A262,0)),OFFSET($F$15,$A262,0)))</f>
        <v>SERVIÇOS FINAIS</v>
      </c>
      <c r="O262" s="178"/>
      <c r="Q262" s="178"/>
      <c r="R262" s="179"/>
      <c r="S262" s="179"/>
      <c r="T262" s="179"/>
      <c r="U262" s="179"/>
      <c r="V262" s="179"/>
      <c r="W262" s="179"/>
      <c r="X262" s="179"/>
      <c r="Y262" s="179"/>
      <c r="Z262" s="180"/>
      <c r="AB262" s="544">
        <f ca="1">IF(AND($D262="Serviço",AB$12&lt;&gt;0,$H262&gt;0,OR(AUTOEVENTO&lt;&gt;"manual",$M262&lt;&gt;1)),
IF(Import.TipoArredondamento&lt;&gt;"TransfereGOV",
ROUND(OFFSET($P262,0,AB$13),15-13*ORÇAMENTO!$AF$7)/$H262*OFFSET(ORÇAMENTO!$X$15,ROW(AB262)-ROW(AB$15),0),
ROUND(ROUND(OFFSET($P262,0,AB$13),15-13*ORÇAMENTO!$AF$7)*OFFSET(ORÇAMENTO!$W$15,ROW(AB262)-ROW(AB$15),0),15-13*ORÇAMENTO!$AF$11)),0)</f>
        <v>0</v>
      </c>
      <c r="AC262" s="545">
        <f ca="1">IF(AND($D262="Serviço",AC$12&lt;&gt;0,$H262&gt;0,OR(AUTOEVENTO&lt;&gt;"manual",$M262&lt;&gt;1)),
IF(Import.TipoArredondamento&lt;&gt;"TransfereGOV",
ROUND(OFFSET($P262,0,AC$13),15-13*ORÇAMENTO!$AF$7)/$H262*OFFSET(ORÇAMENTO!$X$15,ROW(AC262)-ROW(AC$15),0),
ROUND(ROUND(OFFSET($P262,0,AC$13),15-13*ORÇAMENTO!$AF$7)*OFFSET(ORÇAMENTO!$W$15,ROW(AC262)-ROW(AC$15),0),15-13*ORÇAMENTO!$AF$11)),0)</f>
        <v>0</v>
      </c>
      <c r="AD262" s="545">
        <f ca="1">IF(AND($D262="Serviço",AD$12&lt;&gt;0,$H262&gt;0,OR(AUTOEVENTO&lt;&gt;"manual",$M262&lt;&gt;1)),
IF(Import.TipoArredondamento&lt;&gt;"TransfereGOV",
ROUND(OFFSET($P262,0,AD$13),15-13*ORÇAMENTO!$AF$7)/$H262*OFFSET(ORÇAMENTO!$X$15,ROW(AD262)-ROW(AD$15),0),
ROUND(ROUND(OFFSET($P262,0,AD$13),15-13*ORÇAMENTO!$AF$7)*OFFSET(ORÇAMENTO!$W$15,ROW(AD262)-ROW(AD$15),0),15-13*ORÇAMENTO!$AF$11)),0)</f>
        <v>0</v>
      </c>
      <c r="AE262" s="545">
        <f ca="1">IF(AND($D262="Serviço",AE$12&lt;&gt;0,$H262&gt;0,OR(AUTOEVENTO&lt;&gt;"manual",$M262&lt;&gt;1)),
IF(Import.TipoArredondamento&lt;&gt;"TransfereGOV",
ROUND(OFFSET($P262,0,AE$13),15-13*ORÇAMENTO!$AF$7)/$H262*OFFSET(ORÇAMENTO!$X$15,ROW(AE262)-ROW(AE$15),0),
ROUND(ROUND(OFFSET($P262,0,AE$13),15-13*ORÇAMENTO!$AF$7)*OFFSET(ORÇAMENTO!$W$15,ROW(AE262)-ROW(AE$15),0),15-13*ORÇAMENTO!$AF$11)),0)</f>
        <v>0</v>
      </c>
      <c r="AF262" s="545">
        <f ca="1">IF(AND($D262="Serviço",AF$12&lt;&gt;0,$H262&gt;0,OR(AUTOEVENTO&lt;&gt;"manual",$M262&lt;&gt;1)),
IF(Import.TipoArredondamento&lt;&gt;"TransfereGOV",
ROUND(OFFSET($P262,0,AF$13),15-13*ORÇAMENTO!$AF$7)/$H262*OFFSET(ORÇAMENTO!$X$15,ROW(AF262)-ROW(AF$15),0),
ROUND(ROUND(OFFSET($P262,0,AF$13),15-13*ORÇAMENTO!$AF$7)*OFFSET(ORÇAMENTO!$W$15,ROW(AF262)-ROW(AF$15),0),15-13*ORÇAMENTO!$AF$11)),0)</f>
        <v>0</v>
      </c>
      <c r="AG262" s="545">
        <f ca="1">IF(AND($D262="Serviço",AG$12&lt;&gt;0,$H262&gt;0,OR(AUTOEVENTO&lt;&gt;"manual",$M262&lt;&gt;1)),
IF(Import.TipoArredondamento&lt;&gt;"TransfereGOV",
ROUND(OFFSET($P262,0,AG$13),15-13*ORÇAMENTO!$AF$7)/$H262*OFFSET(ORÇAMENTO!$X$15,ROW(AG262)-ROW(AG$15),0),
ROUND(ROUND(OFFSET($P262,0,AG$13),15-13*ORÇAMENTO!$AF$7)*OFFSET(ORÇAMENTO!$W$15,ROW(AG262)-ROW(AG$15),0),15-13*ORÇAMENTO!$AF$11)),0)</f>
        <v>0</v>
      </c>
      <c r="AH262" s="545">
        <f ca="1">IF(AND($D262="Serviço",AH$12&lt;&gt;0,$H262&gt;0,OR(AUTOEVENTO&lt;&gt;"manual",$M262&lt;&gt;1)),
IF(Import.TipoArredondamento&lt;&gt;"TransfereGOV",
ROUND(OFFSET($P262,0,AH$13),15-13*ORÇAMENTO!$AF$7)/$H262*OFFSET(ORÇAMENTO!$X$15,ROW(AH262)-ROW(AH$15),0),
ROUND(ROUND(OFFSET($P262,0,AH$13),15-13*ORÇAMENTO!$AF$7)*OFFSET(ORÇAMENTO!$W$15,ROW(AH262)-ROW(AH$15),0),15-13*ORÇAMENTO!$AF$11)),0)</f>
        <v>0</v>
      </c>
      <c r="AI262" s="545">
        <f ca="1">IF(AND($D262="Serviço",AI$12&lt;&gt;0,$H262&gt;0,OR(AUTOEVENTO&lt;&gt;"manual",$M262&lt;&gt;1)),
IF(Import.TipoArredondamento&lt;&gt;"TransfereGOV",
ROUND(OFFSET($P262,0,AI$13),15-13*ORÇAMENTO!$AF$7)/$H262*OFFSET(ORÇAMENTO!$X$15,ROW(AI262)-ROW(AI$15),0),
ROUND(ROUND(OFFSET($P262,0,AI$13),15-13*ORÇAMENTO!$AF$7)*OFFSET(ORÇAMENTO!$W$15,ROW(AI262)-ROW(AI$15),0),15-13*ORÇAMENTO!$AF$11)),0)</f>
        <v>0</v>
      </c>
      <c r="AJ262" s="545">
        <f ca="1">IF(AND($D262="Serviço",AJ$12&lt;&gt;0,$H262&gt;0,OR(AUTOEVENTO&lt;&gt;"manual",$M262&lt;&gt;1)),
IF(Import.TipoArredondamento&lt;&gt;"TransfereGOV",
ROUND(OFFSET($P262,0,AJ$13),15-13*ORÇAMENTO!$AF$7)/$H262*OFFSET(ORÇAMENTO!$X$15,ROW(AJ262)-ROW(AJ$15),0),
ROUND(ROUND(OFFSET($P262,0,AJ$13),15-13*ORÇAMENTO!$AF$7)*OFFSET(ORÇAMENTO!$W$15,ROW(AJ262)-ROW(AJ$15),0),15-13*ORÇAMENTO!$AF$11)),0)</f>
        <v>0</v>
      </c>
      <c r="AK262" s="546">
        <f ca="1">IF(AND($D262="Serviço",AK$12&lt;&gt;0,$H262&gt;0,OR(AUTOEVENTO&lt;&gt;"manual",$M262&lt;&gt;1)),
IF(Import.TipoArredondamento&lt;&gt;"TransfereGOV",
ROUND(OFFSET($P262,0,AK$13),15-13*ORÇAMENTO!$AF$7)/$H262*OFFSET(ORÇAMENTO!$X$15,ROW(AK262)-ROW(AK$15),0),
ROUND(ROUND(OFFSET($P262,0,AK$13),15-13*ORÇAMENTO!$AF$7)*OFFSET(ORÇAMENTO!$W$15,ROW(AK262)-ROW(AK$15),0),15-13*ORÇAMENTO!$AF$11)),0)</f>
        <v>0</v>
      </c>
      <c r="AM262" s="181">
        <f ca="1">IF($D262&lt;&gt;"Serviço",0,IF(AND(AUTOEVENTO="Manual",$M262=1),0,IF(OFFSET(CRONOPLE!$F$14,$M262,AM$13)="",10^12,OFFSET(CRONOPLE!$F$14,$M262,AM$13))))</f>
        <v>1000000000000</v>
      </c>
      <c r="AN262" s="181">
        <f ca="1">IF($D262&lt;&gt;"Serviço",0,IF(AND(AUTOEVENTO="Manual",$M262=1),0,IF(OFFSET(CRONOPLE!$F$14,$M262,AN$13)="",10^12,OFFSET(CRONOPLE!$F$14,$M262,AN$13))))</f>
        <v>1000000000000</v>
      </c>
      <c r="AO262" s="181">
        <f ca="1">IF($D262&lt;&gt;"Serviço",0,IF(AND(AUTOEVENTO="Manual",$M262=1),0,IF(OFFSET(CRONOPLE!$F$14,$M262,AO$13)="",10^12,OFFSET(CRONOPLE!$F$14,$M262,AO$13))))</f>
        <v>1000000000000</v>
      </c>
      <c r="AP262" s="181">
        <f ca="1">IF($D262&lt;&gt;"Serviço",0,IF(AND(AUTOEVENTO="Manual",$M262=1),0,IF(OFFSET(CRONOPLE!$F$14,$M262,AP$13)="",10^12,OFFSET(CRONOPLE!$F$14,$M262,AP$13))))</f>
        <v>1000000000000</v>
      </c>
      <c r="AQ262" s="181">
        <f ca="1">IF($D262&lt;&gt;"Serviço",0,IF(AND(AUTOEVENTO="Manual",$M262=1),0,IF(OFFSET(CRONOPLE!$F$14,$M262,AQ$13)="",10^12,OFFSET(CRONOPLE!$F$14,$M262,AQ$13))))</f>
        <v>1000000000000</v>
      </c>
      <c r="AR262" s="181">
        <f ca="1">IF($D262&lt;&gt;"Serviço",0,IF(AND(AUTOEVENTO="Manual",$M262=1),0,IF(OFFSET(CRONOPLE!$F$14,$M262,AR$13)="",10^12,OFFSET(CRONOPLE!$F$14,$M262,AR$13))))</f>
        <v>1000000000000</v>
      </c>
      <c r="AS262" s="181">
        <f ca="1">IF($D262&lt;&gt;"Serviço",0,IF(AND(AUTOEVENTO="Manual",$M262=1),0,IF(OFFSET(CRONOPLE!$F$14,$M262,AS$13)="",10^12,OFFSET(CRONOPLE!$F$14,$M262,AS$13))))</f>
        <v>1000000000000</v>
      </c>
      <c r="AT262" s="181">
        <f ca="1">IF($D262&lt;&gt;"Serviço",0,IF(AND(AUTOEVENTO="Manual",$M262=1),0,IF(OFFSET(CRONOPLE!$F$14,$M262,AT$13)="",10^12,OFFSET(CRONOPLE!$F$14,$M262,AT$13))))</f>
        <v>1000000000000</v>
      </c>
      <c r="AU262" s="181">
        <f ca="1">IF($D262&lt;&gt;"Serviço",0,IF(AND(AUTOEVENTO="Manual",$M262=1),0,IF(OFFSET(CRONOPLE!$F$14,$M262,AU$13)="",10^12,OFFSET(CRONOPLE!$F$14,$M262,AU$13))))</f>
        <v>1000000000000</v>
      </c>
      <c r="AV262" s="181">
        <f ca="1">IF($D262&lt;&gt;"Serviço",0,IF(AND(AUTOEVENTO="Manual",$M262=1),0,IF(OFFSET(CRONOPLE!$F$14,$M262,AV$13)="",10^12,OFFSET(CRONOPLE!$F$14,$M262,AV$13))))</f>
        <v>1000000000000</v>
      </c>
      <c r="AX262" s="182">
        <f ca="1">IF($D262&lt;&gt;"Serviço",0,IF(OR(AND(AUTOEVENTO="Manual",$M262=1),$M262&gt;(ROW(PLE.lastrow)-ROW(PLE.firstrow))),0,IF(OFFSET(PLE!$G$14,$M262,AX$13)="",10^12,OFFSET(PLE!$G$14,$M262,AX$13))))</f>
        <v>1000000000000</v>
      </c>
      <c r="AY262" s="182">
        <f ca="1">IF($D262&lt;&gt;"Serviço",0,IF(OR(AND(AUTOEVENTO="Manual",$M262=1),$M262&gt;(ROW(PLE.lastrow)-ROW(PLE.firstrow))),0,IF(OFFSET(PLE!$G$14,$M262,AY$13)="",10^12,OFFSET(PLE!$G$14,$M262,AY$13))))</f>
        <v>1000000000000</v>
      </c>
      <c r="AZ262" s="182">
        <f ca="1">IF($D262&lt;&gt;"Serviço",0,IF(OR(AND(AUTOEVENTO="Manual",$M262=1),$M262&gt;(ROW(PLE.lastrow)-ROW(PLE.firstrow))),0,IF(OFFSET(PLE!$G$14,$M262,AZ$13)="",10^12,OFFSET(PLE!$G$14,$M262,AZ$13))))</f>
        <v>1000000000000</v>
      </c>
      <c r="BA262" s="182">
        <f ca="1">IF($D262&lt;&gt;"Serviço",0,IF(OR(AND(AUTOEVENTO="Manual",$M262=1),$M262&gt;(ROW(PLE.lastrow)-ROW(PLE.firstrow))),0,IF(OFFSET(PLE!$G$14,$M262,BA$13)="",10^12,OFFSET(PLE!$G$14,$M262,BA$13))))</f>
        <v>1000000000000</v>
      </c>
      <c r="BB262" s="182">
        <f ca="1">IF($D262&lt;&gt;"Serviço",0,IF(OR(AND(AUTOEVENTO="Manual",$M262=1),$M262&gt;(ROW(PLE.lastrow)-ROW(PLE.firstrow))),0,IF(OFFSET(PLE!$G$14,$M262,BB$13)="",10^12,OFFSET(PLE!$G$14,$M262,BB$13))))</f>
        <v>1000000000000</v>
      </c>
      <c r="BC262" s="182">
        <f ca="1">IF($D262&lt;&gt;"Serviço",0,IF(OR(AND(AUTOEVENTO="Manual",$M262=1),$M262&gt;(ROW(PLE.lastrow)-ROW(PLE.firstrow))),0,IF(OFFSET(PLE!$G$14,$M262,BC$13)="",10^12,OFFSET(PLE!$G$14,$M262,BC$13))))</f>
        <v>1000000000000</v>
      </c>
      <c r="BD262" s="182">
        <f ca="1">IF($D262&lt;&gt;"Serviço",0,IF(OR(AND(AUTOEVENTO="Manual",$M262=1),$M262&gt;(ROW(PLE.lastrow)-ROW(PLE.firstrow))),0,IF(OFFSET(PLE!$G$14,$M262,BD$13)="",10^12,OFFSET(PLE!$G$14,$M262,BD$13))))</f>
        <v>1000000000000</v>
      </c>
      <c r="BE262" s="182">
        <f ca="1">IF($D262&lt;&gt;"Serviço",0,IF(OR(AND(AUTOEVENTO="Manual",$M262=1),$M262&gt;(ROW(PLE.lastrow)-ROW(PLE.firstrow))),0,IF(OFFSET(PLE!$G$14,$M262,BE$13)="",10^12,OFFSET(PLE!$G$14,$M262,BE$13))))</f>
        <v>1000000000000</v>
      </c>
      <c r="BF262" s="182">
        <f ca="1">IF($D262&lt;&gt;"Serviço",0,IF(OR(AND(AUTOEVENTO="Manual",$M262=1),$M262&gt;(ROW(PLE.lastrow)-ROW(PLE.firstrow))),0,IF(OFFSET(PLE!$G$14,$M262,BF$13)="",10^12,OFFSET(PLE!$G$14,$M262,BF$13))))</f>
        <v>1000000000000</v>
      </c>
      <c r="BG262" s="182">
        <f ca="1">IF($D262&lt;&gt;"Serviço",0,IF(OR(AND(AUTOEVENTO="Manual",$M262=1),$M262&gt;(ROW(PLE.lastrow)-ROW(PLE.firstrow))),0,IF(OFFSET(PLE!$G$14,$M262,BG$13)="",10^12,OFFSET(PLE!$G$14,$M262,BG$13))))</f>
        <v>1000000000000</v>
      </c>
    </row>
    <row r="263" spans="1:59" ht="12.75" x14ac:dyDescent="0.2">
      <c r="A263" s="7" t="str">
        <f t="shared" ca="1" si="11"/>
        <v>233</v>
      </c>
      <c r="B263" s="7" t="str">
        <f ca="1">OFFSET(ORÇAMENTO!C$15,ROW(B263)-ROW(B$15),0)</f>
        <v>S</v>
      </c>
      <c r="C263" s="7" t="str">
        <f ca="1">OFFSET(ORÇAMENTO!L$15,ROW(C263)-ROW(C$15),0)</f>
        <v/>
      </c>
      <c r="D263" s="118" t="str">
        <f ca="1">OFFSET(ORÇAMENTO!N$15,ROW(D263)-ROW(D$15),0)</f>
        <v>Serviço</v>
      </c>
      <c r="E263" s="119" t="str">
        <f ca="1">OFFSET(ORÇAMENTO!O$15,ROW(E263)-ROW(E$15),0)</f>
        <v>-</v>
      </c>
      <c r="F263" s="172" t="str">
        <f ca="1">OFFSET(ORÇAMENTO!R$15,ROW(F263)-ROW(F$15),0)</f>
        <v>(abra o arquivo 'Referência 03-2024.xlsm)</v>
      </c>
      <c r="G263" s="173" t="str">
        <f ca="1">IF($D263&lt;&gt;"Serviço","",OFFSET(ORÇAMENTO!S$15,ROW(G263)-ROW(G$15),0))</f>
        <v>-</v>
      </c>
      <c r="H263" s="124">
        <f ca="1">IF($D263&lt;&gt;"Serviço",0,IF(ACOMPANHAMENTO="BM",ROUND(OFFSET(ORÇAMENTO!AJ$15,ROW(H263)-ROW(H$15),0),15-13*ORÇAMENTO!$AF$7),SUMPRODUCT(($Q$12:$AA$12&lt;&gt;"")*ROUND($Q263:$AA263,15-13*ORÇAMENTO!$AF$7))))</f>
        <v>0</v>
      </c>
      <c r="I263" s="561"/>
      <c r="K263" s="174"/>
      <c r="L263" s="175" t="s">
        <v>255</v>
      </c>
      <c r="M263" s="176">
        <f ca="1">IF($D263&lt;&gt;"Serviço","",IF(AUTOEVENTO="manual",$A263,IF(ISERROR(MATCH($A263,$A$15:OFFSET($A263,-1,0),0)),MAX($M$15:OFFSET(M263,-1,0))+1,INDEX($M$15:OFFSET(M263,-1,0),MATCH($A263,$A$15:OFFSET($A263,-1,0),0)))))</f>
        <v>14</v>
      </c>
      <c r="N263" s="177" t="str">
        <f ca="1">IF($D263&lt;&gt;"Serviço","",IF(AUTOEVENTO="Manual",IF($A263=0,"&lt;-- defina o número do agrupador",OFFSET(EVENTOS!$D$14,$A263,0)),OFFSET($F$15,$A263,0)))</f>
        <v>SERVIÇOS FINAIS</v>
      </c>
      <c r="O263" s="178"/>
      <c r="Q263" s="178"/>
      <c r="R263" s="179"/>
      <c r="S263" s="179"/>
      <c r="T263" s="179"/>
      <c r="U263" s="179"/>
      <c r="V263" s="179"/>
      <c r="W263" s="179"/>
      <c r="X263" s="179"/>
      <c r="Y263" s="179"/>
      <c r="Z263" s="180"/>
      <c r="AB263" s="544">
        <f ca="1">IF(AND($D263="Serviço",AB$12&lt;&gt;0,$H263&gt;0,OR(AUTOEVENTO&lt;&gt;"manual",$M263&lt;&gt;1)),
IF(Import.TipoArredondamento&lt;&gt;"TransfereGOV",
ROUND(OFFSET($P263,0,AB$13),15-13*ORÇAMENTO!$AF$7)/$H263*OFFSET(ORÇAMENTO!$X$15,ROW(AB263)-ROW(AB$15),0),
ROUND(ROUND(OFFSET($P263,0,AB$13),15-13*ORÇAMENTO!$AF$7)*OFFSET(ORÇAMENTO!$W$15,ROW(AB263)-ROW(AB$15),0),15-13*ORÇAMENTO!$AF$11)),0)</f>
        <v>0</v>
      </c>
      <c r="AC263" s="545">
        <f ca="1">IF(AND($D263="Serviço",AC$12&lt;&gt;0,$H263&gt;0,OR(AUTOEVENTO&lt;&gt;"manual",$M263&lt;&gt;1)),
IF(Import.TipoArredondamento&lt;&gt;"TransfereGOV",
ROUND(OFFSET($P263,0,AC$13),15-13*ORÇAMENTO!$AF$7)/$H263*OFFSET(ORÇAMENTO!$X$15,ROW(AC263)-ROW(AC$15),0),
ROUND(ROUND(OFFSET($P263,0,AC$13),15-13*ORÇAMENTO!$AF$7)*OFFSET(ORÇAMENTO!$W$15,ROW(AC263)-ROW(AC$15),0),15-13*ORÇAMENTO!$AF$11)),0)</f>
        <v>0</v>
      </c>
      <c r="AD263" s="545">
        <f ca="1">IF(AND($D263="Serviço",AD$12&lt;&gt;0,$H263&gt;0,OR(AUTOEVENTO&lt;&gt;"manual",$M263&lt;&gt;1)),
IF(Import.TipoArredondamento&lt;&gt;"TransfereGOV",
ROUND(OFFSET($P263,0,AD$13),15-13*ORÇAMENTO!$AF$7)/$H263*OFFSET(ORÇAMENTO!$X$15,ROW(AD263)-ROW(AD$15),0),
ROUND(ROUND(OFFSET($P263,0,AD$13),15-13*ORÇAMENTO!$AF$7)*OFFSET(ORÇAMENTO!$W$15,ROW(AD263)-ROW(AD$15),0),15-13*ORÇAMENTO!$AF$11)),0)</f>
        <v>0</v>
      </c>
      <c r="AE263" s="545">
        <f ca="1">IF(AND($D263="Serviço",AE$12&lt;&gt;0,$H263&gt;0,OR(AUTOEVENTO&lt;&gt;"manual",$M263&lt;&gt;1)),
IF(Import.TipoArredondamento&lt;&gt;"TransfereGOV",
ROUND(OFFSET($P263,0,AE$13),15-13*ORÇAMENTO!$AF$7)/$H263*OFFSET(ORÇAMENTO!$X$15,ROW(AE263)-ROW(AE$15),0),
ROUND(ROUND(OFFSET($P263,0,AE$13),15-13*ORÇAMENTO!$AF$7)*OFFSET(ORÇAMENTO!$W$15,ROW(AE263)-ROW(AE$15),0),15-13*ORÇAMENTO!$AF$11)),0)</f>
        <v>0</v>
      </c>
      <c r="AF263" s="545">
        <f ca="1">IF(AND($D263="Serviço",AF$12&lt;&gt;0,$H263&gt;0,OR(AUTOEVENTO&lt;&gt;"manual",$M263&lt;&gt;1)),
IF(Import.TipoArredondamento&lt;&gt;"TransfereGOV",
ROUND(OFFSET($P263,0,AF$13),15-13*ORÇAMENTO!$AF$7)/$H263*OFFSET(ORÇAMENTO!$X$15,ROW(AF263)-ROW(AF$15),0),
ROUND(ROUND(OFFSET($P263,0,AF$13),15-13*ORÇAMENTO!$AF$7)*OFFSET(ORÇAMENTO!$W$15,ROW(AF263)-ROW(AF$15),0),15-13*ORÇAMENTO!$AF$11)),0)</f>
        <v>0</v>
      </c>
      <c r="AG263" s="545">
        <f ca="1">IF(AND($D263="Serviço",AG$12&lt;&gt;0,$H263&gt;0,OR(AUTOEVENTO&lt;&gt;"manual",$M263&lt;&gt;1)),
IF(Import.TipoArredondamento&lt;&gt;"TransfereGOV",
ROUND(OFFSET($P263,0,AG$13),15-13*ORÇAMENTO!$AF$7)/$H263*OFFSET(ORÇAMENTO!$X$15,ROW(AG263)-ROW(AG$15),0),
ROUND(ROUND(OFFSET($P263,0,AG$13),15-13*ORÇAMENTO!$AF$7)*OFFSET(ORÇAMENTO!$W$15,ROW(AG263)-ROW(AG$15),0),15-13*ORÇAMENTO!$AF$11)),0)</f>
        <v>0</v>
      </c>
      <c r="AH263" s="545">
        <f ca="1">IF(AND($D263="Serviço",AH$12&lt;&gt;0,$H263&gt;0,OR(AUTOEVENTO&lt;&gt;"manual",$M263&lt;&gt;1)),
IF(Import.TipoArredondamento&lt;&gt;"TransfereGOV",
ROUND(OFFSET($P263,0,AH$13),15-13*ORÇAMENTO!$AF$7)/$H263*OFFSET(ORÇAMENTO!$X$15,ROW(AH263)-ROW(AH$15),0),
ROUND(ROUND(OFFSET($P263,0,AH$13),15-13*ORÇAMENTO!$AF$7)*OFFSET(ORÇAMENTO!$W$15,ROW(AH263)-ROW(AH$15),0),15-13*ORÇAMENTO!$AF$11)),0)</f>
        <v>0</v>
      </c>
      <c r="AI263" s="545">
        <f ca="1">IF(AND($D263="Serviço",AI$12&lt;&gt;0,$H263&gt;0,OR(AUTOEVENTO&lt;&gt;"manual",$M263&lt;&gt;1)),
IF(Import.TipoArredondamento&lt;&gt;"TransfereGOV",
ROUND(OFFSET($P263,0,AI$13),15-13*ORÇAMENTO!$AF$7)/$H263*OFFSET(ORÇAMENTO!$X$15,ROW(AI263)-ROW(AI$15),0),
ROUND(ROUND(OFFSET($P263,0,AI$13),15-13*ORÇAMENTO!$AF$7)*OFFSET(ORÇAMENTO!$W$15,ROW(AI263)-ROW(AI$15),0),15-13*ORÇAMENTO!$AF$11)),0)</f>
        <v>0</v>
      </c>
      <c r="AJ263" s="545">
        <f ca="1">IF(AND($D263="Serviço",AJ$12&lt;&gt;0,$H263&gt;0,OR(AUTOEVENTO&lt;&gt;"manual",$M263&lt;&gt;1)),
IF(Import.TipoArredondamento&lt;&gt;"TransfereGOV",
ROUND(OFFSET($P263,0,AJ$13),15-13*ORÇAMENTO!$AF$7)/$H263*OFFSET(ORÇAMENTO!$X$15,ROW(AJ263)-ROW(AJ$15),0),
ROUND(ROUND(OFFSET($P263,0,AJ$13),15-13*ORÇAMENTO!$AF$7)*OFFSET(ORÇAMENTO!$W$15,ROW(AJ263)-ROW(AJ$15),0),15-13*ORÇAMENTO!$AF$11)),0)</f>
        <v>0</v>
      </c>
      <c r="AK263" s="546">
        <f ca="1">IF(AND($D263="Serviço",AK$12&lt;&gt;0,$H263&gt;0,OR(AUTOEVENTO&lt;&gt;"manual",$M263&lt;&gt;1)),
IF(Import.TipoArredondamento&lt;&gt;"TransfereGOV",
ROUND(OFFSET($P263,0,AK$13),15-13*ORÇAMENTO!$AF$7)/$H263*OFFSET(ORÇAMENTO!$X$15,ROW(AK263)-ROW(AK$15),0),
ROUND(ROUND(OFFSET($P263,0,AK$13),15-13*ORÇAMENTO!$AF$7)*OFFSET(ORÇAMENTO!$W$15,ROW(AK263)-ROW(AK$15),0),15-13*ORÇAMENTO!$AF$11)),0)</f>
        <v>0</v>
      </c>
      <c r="AM263" s="181">
        <f ca="1">IF($D263&lt;&gt;"Serviço",0,IF(AND(AUTOEVENTO="Manual",$M263=1),0,IF(OFFSET(CRONOPLE!$F$14,$M263,AM$13)="",10^12,OFFSET(CRONOPLE!$F$14,$M263,AM$13))))</f>
        <v>1000000000000</v>
      </c>
      <c r="AN263" s="181">
        <f ca="1">IF($D263&lt;&gt;"Serviço",0,IF(AND(AUTOEVENTO="Manual",$M263=1),0,IF(OFFSET(CRONOPLE!$F$14,$M263,AN$13)="",10^12,OFFSET(CRONOPLE!$F$14,$M263,AN$13))))</f>
        <v>1000000000000</v>
      </c>
      <c r="AO263" s="181">
        <f ca="1">IF($D263&lt;&gt;"Serviço",0,IF(AND(AUTOEVENTO="Manual",$M263=1),0,IF(OFFSET(CRONOPLE!$F$14,$M263,AO$13)="",10^12,OFFSET(CRONOPLE!$F$14,$M263,AO$13))))</f>
        <v>1000000000000</v>
      </c>
      <c r="AP263" s="181">
        <f ca="1">IF($D263&lt;&gt;"Serviço",0,IF(AND(AUTOEVENTO="Manual",$M263=1),0,IF(OFFSET(CRONOPLE!$F$14,$M263,AP$13)="",10^12,OFFSET(CRONOPLE!$F$14,$M263,AP$13))))</f>
        <v>1000000000000</v>
      </c>
      <c r="AQ263" s="181">
        <f ca="1">IF($D263&lt;&gt;"Serviço",0,IF(AND(AUTOEVENTO="Manual",$M263=1),0,IF(OFFSET(CRONOPLE!$F$14,$M263,AQ$13)="",10^12,OFFSET(CRONOPLE!$F$14,$M263,AQ$13))))</f>
        <v>1000000000000</v>
      </c>
      <c r="AR263" s="181">
        <f ca="1">IF($D263&lt;&gt;"Serviço",0,IF(AND(AUTOEVENTO="Manual",$M263=1),0,IF(OFFSET(CRONOPLE!$F$14,$M263,AR$13)="",10^12,OFFSET(CRONOPLE!$F$14,$M263,AR$13))))</f>
        <v>1000000000000</v>
      </c>
      <c r="AS263" s="181">
        <f ca="1">IF($D263&lt;&gt;"Serviço",0,IF(AND(AUTOEVENTO="Manual",$M263=1),0,IF(OFFSET(CRONOPLE!$F$14,$M263,AS$13)="",10^12,OFFSET(CRONOPLE!$F$14,$M263,AS$13))))</f>
        <v>1000000000000</v>
      </c>
      <c r="AT263" s="181">
        <f ca="1">IF($D263&lt;&gt;"Serviço",0,IF(AND(AUTOEVENTO="Manual",$M263=1),0,IF(OFFSET(CRONOPLE!$F$14,$M263,AT$13)="",10^12,OFFSET(CRONOPLE!$F$14,$M263,AT$13))))</f>
        <v>1000000000000</v>
      </c>
      <c r="AU263" s="181">
        <f ca="1">IF($D263&lt;&gt;"Serviço",0,IF(AND(AUTOEVENTO="Manual",$M263=1),0,IF(OFFSET(CRONOPLE!$F$14,$M263,AU$13)="",10^12,OFFSET(CRONOPLE!$F$14,$M263,AU$13))))</f>
        <v>1000000000000</v>
      </c>
      <c r="AV263" s="181">
        <f ca="1">IF($D263&lt;&gt;"Serviço",0,IF(AND(AUTOEVENTO="Manual",$M263=1),0,IF(OFFSET(CRONOPLE!$F$14,$M263,AV$13)="",10^12,OFFSET(CRONOPLE!$F$14,$M263,AV$13))))</f>
        <v>1000000000000</v>
      </c>
      <c r="AX263" s="182">
        <f ca="1">IF($D263&lt;&gt;"Serviço",0,IF(OR(AND(AUTOEVENTO="Manual",$M263=1),$M263&gt;(ROW(PLE.lastrow)-ROW(PLE.firstrow))),0,IF(OFFSET(PLE!$G$14,$M263,AX$13)="",10^12,OFFSET(PLE!$G$14,$M263,AX$13))))</f>
        <v>1000000000000</v>
      </c>
      <c r="AY263" s="182">
        <f ca="1">IF($D263&lt;&gt;"Serviço",0,IF(OR(AND(AUTOEVENTO="Manual",$M263=1),$M263&gt;(ROW(PLE.lastrow)-ROW(PLE.firstrow))),0,IF(OFFSET(PLE!$G$14,$M263,AY$13)="",10^12,OFFSET(PLE!$G$14,$M263,AY$13))))</f>
        <v>1000000000000</v>
      </c>
      <c r="AZ263" s="182">
        <f ca="1">IF($D263&lt;&gt;"Serviço",0,IF(OR(AND(AUTOEVENTO="Manual",$M263=1),$M263&gt;(ROW(PLE.lastrow)-ROW(PLE.firstrow))),0,IF(OFFSET(PLE!$G$14,$M263,AZ$13)="",10^12,OFFSET(PLE!$G$14,$M263,AZ$13))))</f>
        <v>1000000000000</v>
      </c>
      <c r="BA263" s="182">
        <f ca="1">IF($D263&lt;&gt;"Serviço",0,IF(OR(AND(AUTOEVENTO="Manual",$M263=1),$M263&gt;(ROW(PLE.lastrow)-ROW(PLE.firstrow))),0,IF(OFFSET(PLE!$G$14,$M263,BA$13)="",10^12,OFFSET(PLE!$G$14,$M263,BA$13))))</f>
        <v>1000000000000</v>
      </c>
      <c r="BB263" s="182">
        <f ca="1">IF($D263&lt;&gt;"Serviço",0,IF(OR(AND(AUTOEVENTO="Manual",$M263=1),$M263&gt;(ROW(PLE.lastrow)-ROW(PLE.firstrow))),0,IF(OFFSET(PLE!$G$14,$M263,BB$13)="",10^12,OFFSET(PLE!$G$14,$M263,BB$13))))</f>
        <v>1000000000000</v>
      </c>
      <c r="BC263" s="182">
        <f ca="1">IF($D263&lt;&gt;"Serviço",0,IF(OR(AND(AUTOEVENTO="Manual",$M263=1),$M263&gt;(ROW(PLE.lastrow)-ROW(PLE.firstrow))),0,IF(OFFSET(PLE!$G$14,$M263,BC$13)="",10^12,OFFSET(PLE!$G$14,$M263,BC$13))))</f>
        <v>1000000000000</v>
      </c>
      <c r="BD263" s="182">
        <f ca="1">IF($D263&lt;&gt;"Serviço",0,IF(OR(AND(AUTOEVENTO="Manual",$M263=1),$M263&gt;(ROW(PLE.lastrow)-ROW(PLE.firstrow))),0,IF(OFFSET(PLE!$G$14,$M263,BD$13)="",10^12,OFFSET(PLE!$G$14,$M263,BD$13))))</f>
        <v>1000000000000</v>
      </c>
      <c r="BE263" s="182">
        <f ca="1">IF($D263&lt;&gt;"Serviço",0,IF(OR(AND(AUTOEVENTO="Manual",$M263=1),$M263&gt;(ROW(PLE.lastrow)-ROW(PLE.firstrow))),0,IF(OFFSET(PLE!$G$14,$M263,BE$13)="",10^12,OFFSET(PLE!$G$14,$M263,BE$13))))</f>
        <v>1000000000000</v>
      </c>
      <c r="BF263" s="182">
        <f ca="1">IF($D263&lt;&gt;"Serviço",0,IF(OR(AND(AUTOEVENTO="Manual",$M263=1),$M263&gt;(ROW(PLE.lastrow)-ROW(PLE.firstrow))),0,IF(OFFSET(PLE!$G$14,$M263,BF$13)="",10^12,OFFSET(PLE!$G$14,$M263,BF$13))))</f>
        <v>1000000000000</v>
      </c>
      <c r="BG263" s="182">
        <f ca="1">IF($D263&lt;&gt;"Serviço",0,IF(OR(AND(AUTOEVENTO="Manual",$M263=1),$M263&gt;(ROW(PLE.lastrow)-ROW(PLE.firstrow))),0,IF(OFFSET(PLE!$G$14,$M263,BG$13)="",10^12,OFFSET(PLE!$G$14,$M263,BG$13))))</f>
        <v>1000000000000</v>
      </c>
    </row>
    <row r="264" spans="1:59" ht="12.75" x14ac:dyDescent="0.2">
      <c r="A264" s="7" t="str">
        <f t="shared" ca="1" si="11"/>
        <v>233</v>
      </c>
      <c r="B264" s="7" t="str">
        <f ca="1">OFFSET(ORÇAMENTO!C$15,ROW(B264)-ROW(B$15),0)</f>
        <v>S</v>
      </c>
      <c r="C264" s="7" t="str">
        <f ca="1">OFFSET(ORÇAMENTO!L$15,ROW(C264)-ROW(C$15),0)</f>
        <v/>
      </c>
      <c r="D264" s="118" t="str">
        <f ca="1">OFFSET(ORÇAMENTO!N$15,ROW(D264)-ROW(D$15),0)</f>
        <v>Serviço</v>
      </c>
      <c r="E264" s="119" t="str">
        <f ca="1">OFFSET(ORÇAMENTO!O$15,ROW(E264)-ROW(E$15),0)</f>
        <v>-</v>
      </c>
      <c r="F264" s="172" t="str">
        <f ca="1">OFFSET(ORÇAMENTO!R$15,ROW(F264)-ROW(F$15),0)</f>
        <v>(abra o arquivo 'Referência 03-2024.xlsm)</v>
      </c>
      <c r="G264" s="173" t="str">
        <f ca="1">IF($D264&lt;&gt;"Serviço","",OFFSET(ORÇAMENTO!S$15,ROW(G264)-ROW(G$15),0))</f>
        <v>-</v>
      </c>
      <c r="H264" s="124">
        <f ca="1">IF($D264&lt;&gt;"Serviço",0,IF(ACOMPANHAMENTO="BM",ROUND(OFFSET(ORÇAMENTO!AJ$15,ROW(H264)-ROW(H$15),0),15-13*ORÇAMENTO!$AF$7),SUMPRODUCT(($Q$12:$AA$12&lt;&gt;"")*ROUND($Q264:$AA264,15-13*ORÇAMENTO!$AF$7))))</f>
        <v>0</v>
      </c>
      <c r="I264" s="561"/>
      <c r="K264" s="174"/>
      <c r="L264" s="175" t="s">
        <v>255</v>
      </c>
      <c r="M264" s="176">
        <f ca="1">IF($D264&lt;&gt;"Serviço","",IF(AUTOEVENTO="manual",$A264,IF(ISERROR(MATCH($A264,$A$15:OFFSET($A264,-1,0),0)),MAX($M$15:OFFSET(M264,-1,0))+1,INDEX($M$15:OFFSET(M264,-1,0),MATCH($A264,$A$15:OFFSET($A264,-1,0),0)))))</f>
        <v>14</v>
      </c>
      <c r="N264" s="177" t="str">
        <f ca="1">IF($D264&lt;&gt;"Serviço","",IF(AUTOEVENTO="Manual",IF($A264=0,"&lt;-- defina o número do agrupador",OFFSET(EVENTOS!$D$14,$A264,0)),OFFSET($F$15,$A264,0)))</f>
        <v>SERVIÇOS FINAIS</v>
      </c>
      <c r="O264" s="178"/>
      <c r="Q264" s="178"/>
      <c r="R264" s="179"/>
      <c r="S264" s="179"/>
      <c r="T264" s="179"/>
      <c r="U264" s="179"/>
      <c r="V264" s="179"/>
      <c r="W264" s="179"/>
      <c r="X264" s="179"/>
      <c r="Y264" s="179"/>
      <c r="Z264" s="180"/>
      <c r="AB264" s="544">
        <f ca="1">IF(AND($D264="Serviço",AB$12&lt;&gt;0,$H264&gt;0,OR(AUTOEVENTO&lt;&gt;"manual",$M264&lt;&gt;1)),
IF(Import.TipoArredondamento&lt;&gt;"TransfereGOV",
ROUND(OFFSET($P264,0,AB$13),15-13*ORÇAMENTO!$AF$7)/$H264*OFFSET(ORÇAMENTO!$X$15,ROW(AB264)-ROW(AB$15),0),
ROUND(ROUND(OFFSET($P264,0,AB$13),15-13*ORÇAMENTO!$AF$7)*OFFSET(ORÇAMENTO!$W$15,ROW(AB264)-ROW(AB$15),0),15-13*ORÇAMENTO!$AF$11)),0)</f>
        <v>0</v>
      </c>
      <c r="AC264" s="545">
        <f ca="1">IF(AND($D264="Serviço",AC$12&lt;&gt;0,$H264&gt;0,OR(AUTOEVENTO&lt;&gt;"manual",$M264&lt;&gt;1)),
IF(Import.TipoArredondamento&lt;&gt;"TransfereGOV",
ROUND(OFFSET($P264,0,AC$13),15-13*ORÇAMENTO!$AF$7)/$H264*OFFSET(ORÇAMENTO!$X$15,ROW(AC264)-ROW(AC$15),0),
ROUND(ROUND(OFFSET($P264,0,AC$13),15-13*ORÇAMENTO!$AF$7)*OFFSET(ORÇAMENTO!$W$15,ROW(AC264)-ROW(AC$15),0),15-13*ORÇAMENTO!$AF$11)),0)</f>
        <v>0</v>
      </c>
      <c r="AD264" s="545">
        <f ca="1">IF(AND($D264="Serviço",AD$12&lt;&gt;0,$H264&gt;0,OR(AUTOEVENTO&lt;&gt;"manual",$M264&lt;&gt;1)),
IF(Import.TipoArredondamento&lt;&gt;"TransfereGOV",
ROUND(OFFSET($P264,0,AD$13),15-13*ORÇAMENTO!$AF$7)/$H264*OFFSET(ORÇAMENTO!$X$15,ROW(AD264)-ROW(AD$15),0),
ROUND(ROUND(OFFSET($P264,0,AD$13),15-13*ORÇAMENTO!$AF$7)*OFFSET(ORÇAMENTO!$W$15,ROW(AD264)-ROW(AD$15),0),15-13*ORÇAMENTO!$AF$11)),0)</f>
        <v>0</v>
      </c>
      <c r="AE264" s="545">
        <f ca="1">IF(AND($D264="Serviço",AE$12&lt;&gt;0,$H264&gt;0,OR(AUTOEVENTO&lt;&gt;"manual",$M264&lt;&gt;1)),
IF(Import.TipoArredondamento&lt;&gt;"TransfereGOV",
ROUND(OFFSET($P264,0,AE$13),15-13*ORÇAMENTO!$AF$7)/$H264*OFFSET(ORÇAMENTO!$X$15,ROW(AE264)-ROW(AE$15),0),
ROUND(ROUND(OFFSET($P264,0,AE$13),15-13*ORÇAMENTO!$AF$7)*OFFSET(ORÇAMENTO!$W$15,ROW(AE264)-ROW(AE$15),0),15-13*ORÇAMENTO!$AF$11)),0)</f>
        <v>0</v>
      </c>
      <c r="AF264" s="545">
        <f ca="1">IF(AND($D264="Serviço",AF$12&lt;&gt;0,$H264&gt;0,OR(AUTOEVENTO&lt;&gt;"manual",$M264&lt;&gt;1)),
IF(Import.TipoArredondamento&lt;&gt;"TransfereGOV",
ROUND(OFFSET($P264,0,AF$13),15-13*ORÇAMENTO!$AF$7)/$H264*OFFSET(ORÇAMENTO!$X$15,ROW(AF264)-ROW(AF$15),0),
ROUND(ROUND(OFFSET($P264,0,AF$13),15-13*ORÇAMENTO!$AF$7)*OFFSET(ORÇAMENTO!$W$15,ROW(AF264)-ROW(AF$15),0),15-13*ORÇAMENTO!$AF$11)),0)</f>
        <v>0</v>
      </c>
      <c r="AG264" s="545">
        <f ca="1">IF(AND($D264="Serviço",AG$12&lt;&gt;0,$H264&gt;0,OR(AUTOEVENTO&lt;&gt;"manual",$M264&lt;&gt;1)),
IF(Import.TipoArredondamento&lt;&gt;"TransfereGOV",
ROUND(OFFSET($P264,0,AG$13),15-13*ORÇAMENTO!$AF$7)/$H264*OFFSET(ORÇAMENTO!$X$15,ROW(AG264)-ROW(AG$15),0),
ROUND(ROUND(OFFSET($P264,0,AG$13),15-13*ORÇAMENTO!$AF$7)*OFFSET(ORÇAMENTO!$W$15,ROW(AG264)-ROW(AG$15),0),15-13*ORÇAMENTO!$AF$11)),0)</f>
        <v>0</v>
      </c>
      <c r="AH264" s="545">
        <f ca="1">IF(AND($D264="Serviço",AH$12&lt;&gt;0,$H264&gt;0,OR(AUTOEVENTO&lt;&gt;"manual",$M264&lt;&gt;1)),
IF(Import.TipoArredondamento&lt;&gt;"TransfereGOV",
ROUND(OFFSET($P264,0,AH$13),15-13*ORÇAMENTO!$AF$7)/$H264*OFFSET(ORÇAMENTO!$X$15,ROW(AH264)-ROW(AH$15),0),
ROUND(ROUND(OFFSET($P264,0,AH$13),15-13*ORÇAMENTO!$AF$7)*OFFSET(ORÇAMENTO!$W$15,ROW(AH264)-ROW(AH$15),0),15-13*ORÇAMENTO!$AF$11)),0)</f>
        <v>0</v>
      </c>
      <c r="AI264" s="545">
        <f ca="1">IF(AND($D264="Serviço",AI$12&lt;&gt;0,$H264&gt;0,OR(AUTOEVENTO&lt;&gt;"manual",$M264&lt;&gt;1)),
IF(Import.TipoArredondamento&lt;&gt;"TransfereGOV",
ROUND(OFFSET($P264,0,AI$13),15-13*ORÇAMENTO!$AF$7)/$H264*OFFSET(ORÇAMENTO!$X$15,ROW(AI264)-ROW(AI$15),0),
ROUND(ROUND(OFFSET($P264,0,AI$13),15-13*ORÇAMENTO!$AF$7)*OFFSET(ORÇAMENTO!$W$15,ROW(AI264)-ROW(AI$15),0),15-13*ORÇAMENTO!$AF$11)),0)</f>
        <v>0</v>
      </c>
      <c r="AJ264" s="545">
        <f ca="1">IF(AND($D264="Serviço",AJ$12&lt;&gt;0,$H264&gt;0,OR(AUTOEVENTO&lt;&gt;"manual",$M264&lt;&gt;1)),
IF(Import.TipoArredondamento&lt;&gt;"TransfereGOV",
ROUND(OFFSET($P264,0,AJ$13),15-13*ORÇAMENTO!$AF$7)/$H264*OFFSET(ORÇAMENTO!$X$15,ROW(AJ264)-ROW(AJ$15),0),
ROUND(ROUND(OFFSET($P264,0,AJ$13),15-13*ORÇAMENTO!$AF$7)*OFFSET(ORÇAMENTO!$W$15,ROW(AJ264)-ROW(AJ$15),0),15-13*ORÇAMENTO!$AF$11)),0)</f>
        <v>0</v>
      </c>
      <c r="AK264" s="546">
        <f ca="1">IF(AND($D264="Serviço",AK$12&lt;&gt;0,$H264&gt;0,OR(AUTOEVENTO&lt;&gt;"manual",$M264&lt;&gt;1)),
IF(Import.TipoArredondamento&lt;&gt;"TransfereGOV",
ROUND(OFFSET($P264,0,AK$13),15-13*ORÇAMENTO!$AF$7)/$H264*OFFSET(ORÇAMENTO!$X$15,ROW(AK264)-ROW(AK$15),0),
ROUND(ROUND(OFFSET($P264,0,AK$13),15-13*ORÇAMENTO!$AF$7)*OFFSET(ORÇAMENTO!$W$15,ROW(AK264)-ROW(AK$15),0),15-13*ORÇAMENTO!$AF$11)),0)</f>
        <v>0</v>
      </c>
      <c r="AM264" s="181">
        <f ca="1">IF($D264&lt;&gt;"Serviço",0,IF(AND(AUTOEVENTO="Manual",$M264=1),0,IF(OFFSET(CRONOPLE!$F$14,$M264,AM$13)="",10^12,OFFSET(CRONOPLE!$F$14,$M264,AM$13))))</f>
        <v>1000000000000</v>
      </c>
      <c r="AN264" s="181">
        <f ca="1">IF($D264&lt;&gt;"Serviço",0,IF(AND(AUTOEVENTO="Manual",$M264=1),0,IF(OFFSET(CRONOPLE!$F$14,$M264,AN$13)="",10^12,OFFSET(CRONOPLE!$F$14,$M264,AN$13))))</f>
        <v>1000000000000</v>
      </c>
      <c r="AO264" s="181">
        <f ca="1">IF($D264&lt;&gt;"Serviço",0,IF(AND(AUTOEVENTO="Manual",$M264=1),0,IF(OFFSET(CRONOPLE!$F$14,$M264,AO$13)="",10^12,OFFSET(CRONOPLE!$F$14,$M264,AO$13))))</f>
        <v>1000000000000</v>
      </c>
      <c r="AP264" s="181">
        <f ca="1">IF($D264&lt;&gt;"Serviço",0,IF(AND(AUTOEVENTO="Manual",$M264=1),0,IF(OFFSET(CRONOPLE!$F$14,$M264,AP$13)="",10^12,OFFSET(CRONOPLE!$F$14,$M264,AP$13))))</f>
        <v>1000000000000</v>
      </c>
      <c r="AQ264" s="181">
        <f ca="1">IF($D264&lt;&gt;"Serviço",0,IF(AND(AUTOEVENTO="Manual",$M264=1),0,IF(OFFSET(CRONOPLE!$F$14,$M264,AQ$13)="",10^12,OFFSET(CRONOPLE!$F$14,$M264,AQ$13))))</f>
        <v>1000000000000</v>
      </c>
      <c r="AR264" s="181">
        <f ca="1">IF($D264&lt;&gt;"Serviço",0,IF(AND(AUTOEVENTO="Manual",$M264=1),0,IF(OFFSET(CRONOPLE!$F$14,$M264,AR$13)="",10^12,OFFSET(CRONOPLE!$F$14,$M264,AR$13))))</f>
        <v>1000000000000</v>
      </c>
      <c r="AS264" s="181">
        <f ca="1">IF($D264&lt;&gt;"Serviço",0,IF(AND(AUTOEVENTO="Manual",$M264=1),0,IF(OFFSET(CRONOPLE!$F$14,$M264,AS$13)="",10^12,OFFSET(CRONOPLE!$F$14,$M264,AS$13))))</f>
        <v>1000000000000</v>
      </c>
      <c r="AT264" s="181">
        <f ca="1">IF($D264&lt;&gt;"Serviço",0,IF(AND(AUTOEVENTO="Manual",$M264=1),0,IF(OFFSET(CRONOPLE!$F$14,$M264,AT$13)="",10^12,OFFSET(CRONOPLE!$F$14,$M264,AT$13))))</f>
        <v>1000000000000</v>
      </c>
      <c r="AU264" s="181">
        <f ca="1">IF($D264&lt;&gt;"Serviço",0,IF(AND(AUTOEVENTO="Manual",$M264=1),0,IF(OFFSET(CRONOPLE!$F$14,$M264,AU$13)="",10^12,OFFSET(CRONOPLE!$F$14,$M264,AU$13))))</f>
        <v>1000000000000</v>
      </c>
      <c r="AV264" s="181">
        <f ca="1">IF($D264&lt;&gt;"Serviço",0,IF(AND(AUTOEVENTO="Manual",$M264=1),0,IF(OFFSET(CRONOPLE!$F$14,$M264,AV$13)="",10^12,OFFSET(CRONOPLE!$F$14,$M264,AV$13))))</f>
        <v>1000000000000</v>
      </c>
      <c r="AX264" s="182">
        <f ca="1">IF($D264&lt;&gt;"Serviço",0,IF(OR(AND(AUTOEVENTO="Manual",$M264=1),$M264&gt;(ROW(PLE.lastrow)-ROW(PLE.firstrow))),0,IF(OFFSET(PLE!$G$14,$M264,AX$13)="",10^12,OFFSET(PLE!$G$14,$M264,AX$13))))</f>
        <v>1000000000000</v>
      </c>
      <c r="AY264" s="182">
        <f ca="1">IF($D264&lt;&gt;"Serviço",0,IF(OR(AND(AUTOEVENTO="Manual",$M264=1),$M264&gt;(ROW(PLE.lastrow)-ROW(PLE.firstrow))),0,IF(OFFSET(PLE!$G$14,$M264,AY$13)="",10^12,OFFSET(PLE!$G$14,$M264,AY$13))))</f>
        <v>1000000000000</v>
      </c>
      <c r="AZ264" s="182">
        <f ca="1">IF($D264&lt;&gt;"Serviço",0,IF(OR(AND(AUTOEVENTO="Manual",$M264=1),$M264&gt;(ROW(PLE.lastrow)-ROW(PLE.firstrow))),0,IF(OFFSET(PLE!$G$14,$M264,AZ$13)="",10^12,OFFSET(PLE!$G$14,$M264,AZ$13))))</f>
        <v>1000000000000</v>
      </c>
      <c r="BA264" s="182">
        <f ca="1">IF($D264&lt;&gt;"Serviço",0,IF(OR(AND(AUTOEVENTO="Manual",$M264=1),$M264&gt;(ROW(PLE.lastrow)-ROW(PLE.firstrow))),0,IF(OFFSET(PLE!$G$14,$M264,BA$13)="",10^12,OFFSET(PLE!$G$14,$M264,BA$13))))</f>
        <v>1000000000000</v>
      </c>
      <c r="BB264" s="182">
        <f ca="1">IF($D264&lt;&gt;"Serviço",0,IF(OR(AND(AUTOEVENTO="Manual",$M264=1),$M264&gt;(ROW(PLE.lastrow)-ROW(PLE.firstrow))),0,IF(OFFSET(PLE!$G$14,$M264,BB$13)="",10^12,OFFSET(PLE!$G$14,$M264,BB$13))))</f>
        <v>1000000000000</v>
      </c>
      <c r="BC264" s="182">
        <f ca="1">IF($D264&lt;&gt;"Serviço",0,IF(OR(AND(AUTOEVENTO="Manual",$M264=1),$M264&gt;(ROW(PLE.lastrow)-ROW(PLE.firstrow))),0,IF(OFFSET(PLE!$G$14,$M264,BC$13)="",10^12,OFFSET(PLE!$G$14,$M264,BC$13))))</f>
        <v>1000000000000</v>
      </c>
      <c r="BD264" s="182">
        <f ca="1">IF($D264&lt;&gt;"Serviço",0,IF(OR(AND(AUTOEVENTO="Manual",$M264=1),$M264&gt;(ROW(PLE.lastrow)-ROW(PLE.firstrow))),0,IF(OFFSET(PLE!$G$14,$M264,BD$13)="",10^12,OFFSET(PLE!$G$14,$M264,BD$13))))</f>
        <v>1000000000000</v>
      </c>
      <c r="BE264" s="182">
        <f ca="1">IF($D264&lt;&gt;"Serviço",0,IF(OR(AND(AUTOEVENTO="Manual",$M264=1),$M264&gt;(ROW(PLE.lastrow)-ROW(PLE.firstrow))),0,IF(OFFSET(PLE!$G$14,$M264,BE$13)="",10^12,OFFSET(PLE!$G$14,$M264,BE$13))))</f>
        <v>1000000000000</v>
      </c>
      <c r="BF264" s="182">
        <f ca="1">IF($D264&lt;&gt;"Serviço",0,IF(OR(AND(AUTOEVENTO="Manual",$M264=1),$M264&gt;(ROW(PLE.lastrow)-ROW(PLE.firstrow))),0,IF(OFFSET(PLE!$G$14,$M264,BF$13)="",10^12,OFFSET(PLE!$G$14,$M264,BF$13))))</f>
        <v>1000000000000</v>
      </c>
      <c r="BG264" s="182">
        <f ca="1">IF($D264&lt;&gt;"Serviço",0,IF(OR(AND(AUTOEVENTO="Manual",$M264=1),$M264&gt;(ROW(PLE.lastrow)-ROW(PLE.firstrow))),0,IF(OFFSET(PLE!$G$14,$M264,BG$13)="",10^12,OFFSET(PLE!$G$14,$M264,BG$13))))</f>
        <v>1000000000000</v>
      </c>
    </row>
    <row r="265" spans="1:59" ht="12.75" x14ac:dyDescent="0.2">
      <c r="A265" s="7" t="str">
        <f t="shared" ca="1" si="11"/>
        <v>233</v>
      </c>
      <c r="B265" s="7" t="str">
        <f ca="1">OFFSET(ORÇAMENTO!C$15,ROW(B265)-ROW(B$15),0)</f>
        <v>S</v>
      </c>
      <c r="C265" s="7" t="str">
        <f ca="1">OFFSET(ORÇAMENTO!L$15,ROW(C265)-ROW(C$15),0)</f>
        <v/>
      </c>
      <c r="D265" s="118" t="str">
        <f ca="1">OFFSET(ORÇAMENTO!N$15,ROW(D265)-ROW(D$15),0)</f>
        <v>Serviço</v>
      </c>
      <c r="E265" s="119" t="str">
        <f ca="1">OFFSET(ORÇAMENTO!O$15,ROW(E265)-ROW(E$15),0)</f>
        <v>-</v>
      </c>
      <c r="F265" s="172" t="str">
        <f ca="1">OFFSET(ORÇAMENTO!R$15,ROW(F265)-ROW(F$15),0)</f>
        <v>(abra o arquivo 'Referência 03-2024.xlsm)</v>
      </c>
      <c r="G265" s="173" t="str">
        <f ca="1">IF($D265&lt;&gt;"Serviço","",OFFSET(ORÇAMENTO!S$15,ROW(G265)-ROW(G$15),0))</f>
        <v>-</v>
      </c>
      <c r="H265" s="124">
        <f ca="1">IF($D265&lt;&gt;"Serviço",0,IF(ACOMPANHAMENTO="BM",ROUND(OFFSET(ORÇAMENTO!AJ$15,ROW(H265)-ROW(H$15),0),15-13*ORÇAMENTO!$AF$7),SUMPRODUCT(($Q$12:$AA$12&lt;&gt;"")*ROUND($Q265:$AA265,15-13*ORÇAMENTO!$AF$7))))</f>
        <v>0</v>
      </c>
      <c r="I265" s="561"/>
      <c r="K265" s="174"/>
      <c r="L265" s="175" t="s">
        <v>255</v>
      </c>
      <c r="M265" s="176">
        <f ca="1">IF($D265&lt;&gt;"Serviço","",IF(AUTOEVENTO="manual",$A265,IF(ISERROR(MATCH($A265,$A$15:OFFSET($A265,-1,0),0)),MAX($M$15:OFFSET(M265,-1,0))+1,INDEX($M$15:OFFSET(M265,-1,0),MATCH($A265,$A$15:OFFSET($A265,-1,0),0)))))</f>
        <v>14</v>
      </c>
      <c r="N265" s="177" t="str">
        <f ca="1">IF($D265&lt;&gt;"Serviço","",IF(AUTOEVENTO="Manual",IF($A265=0,"&lt;-- defina o número do agrupador",OFFSET(EVENTOS!$D$14,$A265,0)),OFFSET($F$15,$A265,0)))</f>
        <v>SERVIÇOS FINAIS</v>
      </c>
      <c r="O265" s="178"/>
      <c r="Q265" s="178"/>
      <c r="R265" s="179"/>
      <c r="S265" s="179"/>
      <c r="T265" s="179"/>
      <c r="U265" s="179"/>
      <c r="V265" s="179"/>
      <c r="W265" s="179"/>
      <c r="X265" s="179"/>
      <c r="Y265" s="179"/>
      <c r="Z265" s="180"/>
      <c r="AB265" s="544">
        <f ca="1">IF(AND($D265="Serviço",AB$12&lt;&gt;0,$H265&gt;0,OR(AUTOEVENTO&lt;&gt;"manual",$M265&lt;&gt;1)),
IF(Import.TipoArredondamento&lt;&gt;"TransfereGOV",
ROUND(OFFSET($P265,0,AB$13),15-13*ORÇAMENTO!$AF$7)/$H265*OFFSET(ORÇAMENTO!$X$15,ROW(AB265)-ROW(AB$15),0),
ROUND(ROUND(OFFSET($P265,0,AB$13),15-13*ORÇAMENTO!$AF$7)*OFFSET(ORÇAMENTO!$W$15,ROW(AB265)-ROW(AB$15),0),15-13*ORÇAMENTO!$AF$11)),0)</f>
        <v>0</v>
      </c>
      <c r="AC265" s="545">
        <f ca="1">IF(AND($D265="Serviço",AC$12&lt;&gt;0,$H265&gt;0,OR(AUTOEVENTO&lt;&gt;"manual",$M265&lt;&gt;1)),
IF(Import.TipoArredondamento&lt;&gt;"TransfereGOV",
ROUND(OFFSET($P265,0,AC$13),15-13*ORÇAMENTO!$AF$7)/$H265*OFFSET(ORÇAMENTO!$X$15,ROW(AC265)-ROW(AC$15),0),
ROUND(ROUND(OFFSET($P265,0,AC$13),15-13*ORÇAMENTO!$AF$7)*OFFSET(ORÇAMENTO!$W$15,ROW(AC265)-ROW(AC$15),0),15-13*ORÇAMENTO!$AF$11)),0)</f>
        <v>0</v>
      </c>
      <c r="AD265" s="545">
        <f ca="1">IF(AND($D265="Serviço",AD$12&lt;&gt;0,$H265&gt;0,OR(AUTOEVENTO&lt;&gt;"manual",$M265&lt;&gt;1)),
IF(Import.TipoArredondamento&lt;&gt;"TransfereGOV",
ROUND(OFFSET($P265,0,AD$13),15-13*ORÇAMENTO!$AF$7)/$H265*OFFSET(ORÇAMENTO!$X$15,ROW(AD265)-ROW(AD$15),0),
ROUND(ROUND(OFFSET($P265,0,AD$13),15-13*ORÇAMENTO!$AF$7)*OFFSET(ORÇAMENTO!$W$15,ROW(AD265)-ROW(AD$15),0),15-13*ORÇAMENTO!$AF$11)),0)</f>
        <v>0</v>
      </c>
      <c r="AE265" s="545">
        <f ca="1">IF(AND($D265="Serviço",AE$12&lt;&gt;0,$H265&gt;0,OR(AUTOEVENTO&lt;&gt;"manual",$M265&lt;&gt;1)),
IF(Import.TipoArredondamento&lt;&gt;"TransfereGOV",
ROUND(OFFSET($P265,0,AE$13),15-13*ORÇAMENTO!$AF$7)/$H265*OFFSET(ORÇAMENTO!$X$15,ROW(AE265)-ROW(AE$15),0),
ROUND(ROUND(OFFSET($P265,0,AE$13),15-13*ORÇAMENTO!$AF$7)*OFFSET(ORÇAMENTO!$W$15,ROW(AE265)-ROW(AE$15),0),15-13*ORÇAMENTO!$AF$11)),0)</f>
        <v>0</v>
      </c>
      <c r="AF265" s="545">
        <f ca="1">IF(AND($D265="Serviço",AF$12&lt;&gt;0,$H265&gt;0,OR(AUTOEVENTO&lt;&gt;"manual",$M265&lt;&gt;1)),
IF(Import.TipoArredondamento&lt;&gt;"TransfereGOV",
ROUND(OFFSET($P265,0,AF$13),15-13*ORÇAMENTO!$AF$7)/$H265*OFFSET(ORÇAMENTO!$X$15,ROW(AF265)-ROW(AF$15),0),
ROUND(ROUND(OFFSET($P265,0,AF$13),15-13*ORÇAMENTO!$AF$7)*OFFSET(ORÇAMENTO!$W$15,ROW(AF265)-ROW(AF$15),0),15-13*ORÇAMENTO!$AF$11)),0)</f>
        <v>0</v>
      </c>
      <c r="AG265" s="545">
        <f ca="1">IF(AND($D265="Serviço",AG$12&lt;&gt;0,$H265&gt;0,OR(AUTOEVENTO&lt;&gt;"manual",$M265&lt;&gt;1)),
IF(Import.TipoArredondamento&lt;&gt;"TransfereGOV",
ROUND(OFFSET($P265,0,AG$13),15-13*ORÇAMENTO!$AF$7)/$H265*OFFSET(ORÇAMENTO!$X$15,ROW(AG265)-ROW(AG$15),0),
ROUND(ROUND(OFFSET($P265,0,AG$13),15-13*ORÇAMENTO!$AF$7)*OFFSET(ORÇAMENTO!$W$15,ROW(AG265)-ROW(AG$15),0),15-13*ORÇAMENTO!$AF$11)),0)</f>
        <v>0</v>
      </c>
      <c r="AH265" s="545">
        <f ca="1">IF(AND($D265="Serviço",AH$12&lt;&gt;0,$H265&gt;0,OR(AUTOEVENTO&lt;&gt;"manual",$M265&lt;&gt;1)),
IF(Import.TipoArredondamento&lt;&gt;"TransfereGOV",
ROUND(OFFSET($P265,0,AH$13),15-13*ORÇAMENTO!$AF$7)/$H265*OFFSET(ORÇAMENTO!$X$15,ROW(AH265)-ROW(AH$15),0),
ROUND(ROUND(OFFSET($P265,0,AH$13),15-13*ORÇAMENTO!$AF$7)*OFFSET(ORÇAMENTO!$W$15,ROW(AH265)-ROW(AH$15),0),15-13*ORÇAMENTO!$AF$11)),0)</f>
        <v>0</v>
      </c>
      <c r="AI265" s="545">
        <f ca="1">IF(AND($D265="Serviço",AI$12&lt;&gt;0,$H265&gt;0,OR(AUTOEVENTO&lt;&gt;"manual",$M265&lt;&gt;1)),
IF(Import.TipoArredondamento&lt;&gt;"TransfereGOV",
ROUND(OFFSET($P265,0,AI$13),15-13*ORÇAMENTO!$AF$7)/$H265*OFFSET(ORÇAMENTO!$X$15,ROW(AI265)-ROW(AI$15),0),
ROUND(ROUND(OFFSET($P265,0,AI$13),15-13*ORÇAMENTO!$AF$7)*OFFSET(ORÇAMENTO!$W$15,ROW(AI265)-ROW(AI$15),0),15-13*ORÇAMENTO!$AF$11)),0)</f>
        <v>0</v>
      </c>
      <c r="AJ265" s="545">
        <f ca="1">IF(AND($D265="Serviço",AJ$12&lt;&gt;0,$H265&gt;0,OR(AUTOEVENTO&lt;&gt;"manual",$M265&lt;&gt;1)),
IF(Import.TipoArredondamento&lt;&gt;"TransfereGOV",
ROUND(OFFSET($P265,0,AJ$13),15-13*ORÇAMENTO!$AF$7)/$H265*OFFSET(ORÇAMENTO!$X$15,ROW(AJ265)-ROW(AJ$15),0),
ROUND(ROUND(OFFSET($P265,0,AJ$13),15-13*ORÇAMENTO!$AF$7)*OFFSET(ORÇAMENTO!$W$15,ROW(AJ265)-ROW(AJ$15),0),15-13*ORÇAMENTO!$AF$11)),0)</f>
        <v>0</v>
      </c>
      <c r="AK265" s="546">
        <f ca="1">IF(AND($D265="Serviço",AK$12&lt;&gt;0,$H265&gt;0,OR(AUTOEVENTO&lt;&gt;"manual",$M265&lt;&gt;1)),
IF(Import.TipoArredondamento&lt;&gt;"TransfereGOV",
ROUND(OFFSET($P265,0,AK$13),15-13*ORÇAMENTO!$AF$7)/$H265*OFFSET(ORÇAMENTO!$X$15,ROW(AK265)-ROW(AK$15),0),
ROUND(ROUND(OFFSET($P265,0,AK$13),15-13*ORÇAMENTO!$AF$7)*OFFSET(ORÇAMENTO!$W$15,ROW(AK265)-ROW(AK$15),0),15-13*ORÇAMENTO!$AF$11)),0)</f>
        <v>0</v>
      </c>
      <c r="AM265" s="181">
        <f ca="1">IF($D265&lt;&gt;"Serviço",0,IF(AND(AUTOEVENTO="Manual",$M265=1),0,IF(OFFSET(CRONOPLE!$F$14,$M265,AM$13)="",10^12,OFFSET(CRONOPLE!$F$14,$M265,AM$13))))</f>
        <v>1000000000000</v>
      </c>
      <c r="AN265" s="181">
        <f ca="1">IF($D265&lt;&gt;"Serviço",0,IF(AND(AUTOEVENTO="Manual",$M265=1),0,IF(OFFSET(CRONOPLE!$F$14,$M265,AN$13)="",10^12,OFFSET(CRONOPLE!$F$14,$M265,AN$13))))</f>
        <v>1000000000000</v>
      </c>
      <c r="AO265" s="181">
        <f ca="1">IF($D265&lt;&gt;"Serviço",0,IF(AND(AUTOEVENTO="Manual",$M265=1),0,IF(OFFSET(CRONOPLE!$F$14,$M265,AO$13)="",10^12,OFFSET(CRONOPLE!$F$14,$M265,AO$13))))</f>
        <v>1000000000000</v>
      </c>
      <c r="AP265" s="181">
        <f ca="1">IF($D265&lt;&gt;"Serviço",0,IF(AND(AUTOEVENTO="Manual",$M265=1),0,IF(OFFSET(CRONOPLE!$F$14,$M265,AP$13)="",10^12,OFFSET(CRONOPLE!$F$14,$M265,AP$13))))</f>
        <v>1000000000000</v>
      </c>
      <c r="AQ265" s="181">
        <f ca="1">IF($D265&lt;&gt;"Serviço",0,IF(AND(AUTOEVENTO="Manual",$M265=1),0,IF(OFFSET(CRONOPLE!$F$14,$M265,AQ$13)="",10^12,OFFSET(CRONOPLE!$F$14,$M265,AQ$13))))</f>
        <v>1000000000000</v>
      </c>
      <c r="AR265" s="181">
        <f ca="1">IF($D265&lt;&gt;"Serviço",0,IF(AND(AUTOEVENTO="Manual",$M265=1),0,IF(OFFSET(CRONOPLE!$F$14,$M265,AR$13)="",10^12,OFFSET(CRONOPLE!$F$14,$M265,AR$13))))</f>
        <v>1000000000000</v>
      </c>
      <c r="AS265" s="181">
        <f ca="1">IF($D265&lt;&gt;"Serviço",0,IF(AND(AUTOEVENTO="Manual",$M265=1),0,IF(OFFSET(CRONOPLE!$F$14,$M265,AS$13)="",10^12,OFFSET(CRONOPLE!$F$14,$M265,AS$13))))</f>
        <v>1000000000000</v>
      </c>
      <c r="AT265" s="181">
        <f ca="1">IF($D265&lt;&gt;"Serviço",0,IF(AND(AUTOEVENTO="Manual",$M265=1),0,IF(OFFSET(CRONOPLE!$F$14,$M265,AT$13)="",10^12,OFFSET(CRONOPLE!$F$14,$M265,AT$13))))</f>
        <v>1000000000000</v>
      </c>
      <c r="AU265" s="181">
        <f ca="1">IF($D265&lt;&gt;"Serviço",0,IF(AND(AUTOEVENTO="Manual",$M265=1),0,IF(OFFSET(CRONOPLE!$F$14,$M265,AU$13)="",10^12,OFFSET(CRONOPLE!$F$14,$M265,AU$13))))</f>
        <v>1000000000000</v>
      </c>
      <c r="AV265" s="181">
        <f ca="1">IF($D265&lt;&gt;"Serviço",0,IF(AND(AUTOEVENTO="Manual",$M265=1),0,IF(OFFSET(CRONOPLE!$F$14,$M265,AV$13)="",10^12,OFFSET(CRONOPLE!$F$14,$M265,AV$13))))</f>
        <v>1000000000000</v>
      </c>
      <c r="AX265" s="182">
        <f ca="1">IF($D265&lt;&gt;"Serviço",0,IF(OR(AND(AUTOEVENTO="Manual",$M265=1),$M265&gt;(ROW(PLE.lastrow)-ROW(PLE.firstrow))),0,IF(OFFSET(PLE!$G$14,$M265,AX$13)="",10^12,OFFSET(PLE!$G$14,$M265,AX$13))))</f>
        <v>1000000000000</v>
      </c>
      <c r="AY265" s="182">
        <f ca="1">IF($D265&lt;&gt;"Serviço",0,IF(OR(AND(AUTOEVENTO="Manual",$M265=1),$M265&gt;(ROW(PLE.lastrow)-ROW(PLE.firstrow))),0,IF(OFFSET(PLE!$G$14,$M265,AY$13)="",10^12,OFFSET(PLE!$G$14,$M265,AY$13))))</f>
        <v>1000000000000</v>
      </c>
      <c r="AZ265" s="182">
        <f ca="1">IF($D265&lt;&gt;"Serviço",0,IF(OR(AND(AUTOEVENTO="Manual",$M265=1),$M265&gt;(ROW(PLE.lastrow)-ROW(PLE.firstrow))),0,IF(OFFSET(PLE!$G$14,$M265,AZ$13)="",10^12,OFFSET(PLE!$G$14,$M265,AZ$13))))</f>
        <v>1000000000000</v>
      </c>
      <c r="BA265" s="182">
        <f ca="1">IF($D265&lt;&gt;"Serviço",0,IF(OR(AND(AUTOEVENTO="Manual",$M265=1),$M265&gt;(ROW(PLE.lastrow)-ROW(PLE.firstrow))),0,IF(OFFSET(PLE!$G$14,$M265,BA$13)="",10^12,OFFSET(PLE!$G$14,$M265,BA$13))))</f>
        <v>1000000000000</v>
      </c>
      <c r="BB265" s="182">
        <f ca="1">IF($D265&lt;&gt;"Serviço",0,IF(OR(AND(AUTOEVENTO="Manual",$M265=1),$M265&gt;(ROW(PLE.lastrow)-ROW(PLE.firstrow))),0,IF(OFFSET(PLE!$G$14,$M265,BB$13)="",10^12,OFFSET(PLE!$G$14,$M265,BB$13))))</f>
        <v>1000000000000</v>
      </c>
      <c r="BC265" s="182">
        <f ca="1">IF($D265&lt;&gt;"Serviço",0,IF(OR(AND(AUTOEVENTO="Manual",$M265=1),$M265&gt;(ROW(PLE.lastrow)-ROW(PLE.firstrow))),0,IF(OFFSET(PLE!$G$14,$M265,BC$13)="",10^12,OFFSET(PLE!$G$14,$M265,BC$13))))</f>
        <v>1000000000000</v>
      </c>
      <c r="BD265" s="182">
        <f ca="1">IF($D265&lt;&gt;"Serviço",0,IF(OR(AND(AUTOEVENTO="Manual",$M265=1),$M265&gt;(ROW(PLE.lastrow)-ROW(PLE.firstrow))),0,IF(OFFSET(PLE!$G$14,$M265,BD$13)="",10^12,OFFSET(PLE!$G$14,$M265,BD$13))))</f>
        <v>1000000000000</v>
      </c>
      <c r="BE265" s="182">
        <f ca="1">IF($D265&lt;&gt;"Serviço",0,IF(OR(AND(AUTOEVENTO="Manual",$M265=1),$M265&gt;(ROW(PLE.lastrow)-ROW(PLE.firstrow))),0,IF(OFFSET(PLE!$G$14,$M265,BE$13)="",10^12,OFFSET(PLE!$G$14,$M265,BE$13))))</f>
        <v>1000000000000</v>
      </c>
      <c r="BF265" s="182">
        <f ca="1">IF($D265&lt;&gt;"Serviço",0,IF(OR(AND(AUTOEVENTO="Manual",$M265=1),$M265&gt;(ROW(PLE.lastrow)-ROW(PLE.firstrow))),0,IF(OFFSET(PLE!$G$14,$M265,BF$13)="",10^12,OFFSET(PLE!$G$14,$M265,BF$13))))</f>
        <v>1000000000000</v>
      </c>
      <c r="BG265" s="182">
        <f ca="1">IF($D265&lt;&gt;"Serviço",0,IF(OR(AND(AUTOEVENTO="Manual",$M265=1),$M265&gt;(ROW(PLE.lastrow)-ROW(PLE.firstrow))),0,IF(OFFSET(PLE!$G$14,$M265,BG$13)="",10^12,OFFSET(PLE!$G$14,$M265,BG$13))))</f>
        <v>1000000000000</v>
      </c>
    </row>
    <row r="266" spans="1:59" ht="12.75" x14ac:dyDescent="0.2">
      <c r="A266" s="7" t="str">
        <f t="shared" ca="1" si="11"/>
        <v>233</v>
      </c>
      <c r="B266" s="7" t="str">
        <f ca="1">OFFSET(ORÇAMENTO!C$15,ROW(B266)-ROW(B$15),0)</f>
        <v>S</v>
      </c>
      <c r="C266" s="7" t="str">
        <f ca="1">OFFSET(ORÇAMENTO!L$15,ROW(C266)-ROW(C$15),0)</f>
        <v/>
      </c>
      <c r="D266" s="118" t="str">
        <f ca="1">OFFSET(ORÇAMENTO!N$15,ROW(D266)-ROW(D$15),0)</f>
        <v>Serviço</v>
      </c>
      <c r="E266" s="119" t="str">
        <f ca="1">OFFSET(ORÇAMENTO!O$15,ROW(E266)-ROW(E$15),0)</f>
        <v>-</v>
      </c>
      <c r="F266" s="172" t="str">
        <f ca="1">OFFSET(ORÇAMENTO!R$15,ROW(F266)-ROW(F$15),0)</f>
        <v>(abra o arquivo 'Referência 03-2024.xlsm)</v>
      </c>
      <c r="G266" s="173" t="str">
        <f ca="1">IF($D266&lt;&gt;"Serviço","",OFFSET(ORÇAMENTO!S$15,ROW(G266)-ROW(G$15),0))</f>
        <v>-</v>
      </c>
      <c r="H266" s="124">
        <f ca="1">IF($D266&lt;&gt;"Serviço",0,IF(ACOMPANHAMENTO="BM",ROUND(OFFSET(ORÇAMENTO!AJ$15,ROW(H266)-ROW(H$15),0),15-13*ORÇAMENTO!$AF$7),SUMPRODUCT(($Q$12:$AA$12&lt;&gt;"")*ROUND($Q266:$AA266,15-13*ORÇAMENTO!$AF$7))))</f>
        <v>0</v>
      </c>
      <c r="I266" s="561"/>
      <c r="K266" s="174"/>
      <c r="L266" s="175" t="s">
        <v>255</v>
      </c>
      <c r="M266" s="176">
        <f ca="1">IF($D266&lt;&gt;"Serviço","",IF(AUTOEVENTO="manual",$A266,IF(ISERROR(MATCH($A266,$A$15:OFFSET($A266,-1,0),0)),MAX($M$15:OFFSET(M266,-1,0))+1,INDEX($M$15:OFFSET(M266,-1,0),MATCH($A266,$A$15:OFFSET($A266,-1,0),0)))))</f>
        <v>14</v>
      </c>
      <c r="N266" s="177" t="str">
        <f ca="1">IF($D266&lt;&gt;"Serviço","",IF(AUTOEVENTO="Manual",IF($A266=0,"&lt;-- defina o número do agrupador",OFFSET(EVENTOS!$D$14,$A266,0)),OFFSET($F$15,$A266,0)))</f>
        <v>SERVIÇOS FINAIS</v>
      </c>
      <c r="O266" s="178"/>
      <c r="Q266" s="178"/>
      <c r="R266" s="179"/>
      <c r="S266" s="179"/>
      <c r="T266" s="179"/>
      <c r="U266" s="179"/>
      <c r="V266" s="179"/>
      <c r="W266" s="179"/>
      <c r="X266" s="179"/>
      <c r="Y266" s="179"/>
      <c r="Z266" s="180"/>
      <c r="AB266" s="544">
        <f ca="1">IF(AND($D266="Serviço",AB$12&lt;&gt;0,$H266&gt;0,OR(AUTOEVENTO&lt;&gt;"manual",$M266&lt;&gt;1)),
IF(Import.TipoArredondamento&lt;&gt;"TransfereGOV",
ROUND(OFFSET($P266,0,AB$13),15-13*ORÇAMENTO!$AF$7)/$H266*OFFSET(ORÇAMENTO!$X$15,ROW(AB266)-ROW(AB$15),0),
ROUND(ROUND(OFFSET($P266,0,AB$13),15-13*ORÇAMENTO!$AF$7)*OFFSET(ORÇAMENTO!$W$15,ROW(AB266)-ROW(AB$15),0),15-13*ORÇAMENTO!$AF$11)),0)</f>
        <v>0</v>
      </c>
      <c r="AC266" s="545">
        <f ca="1">IF(AND($D266="Serviço",AC$12&lt;&gt;0,$H266&gt;0,OR(AUTOEVENTO&lt;&gt;"manual",$M266&lt;&gt;1)),
IF(Import.TipoArredondamento&lt;&gt;"TransfereGOV",
ROUND(OFFSET($P266,0,AC$13),15-13*ORÇAMENTO!$AF$7)/$H266*OFFSET(ORÇAMENTO!$X$15,ROW(AC266)-ROW(AC$15),0),
ROUND(ROUND(OFFSET($P266,0,AC$13),15-13*ORÇAMENTO!$AF$7)*OFFSET(ORÇAMENTO!$W$15,ROW(AC266)-ROW(AC$15),0),15-13*ORÇAMENTO!$AF$11)),0)</f>
        <v>0</v>
      </c>
      <c r="AD266" s="545">
        <f ca="1">IF(AND($D266="Serviço",AD$12&lt;&gt;0,$H266&gt;0,OR(AUTOEVENTO&lt;&gt;"manual",$M266&lt;&gt;1)),
IF(Import.TipoArredondamento&lt;&gt;"TransfereGOV",
ROUND(OFFSET($P266,0,AD$13),15-13*ORÇAMENTO!$AF$7)/$H266*OFFSET(ORÇAMENTO!$X$15,ROW(AD266)-ROW(AD$15),0),
ROUND(ROUND(OFFSET($P266,0,AD$13),15-13*ORÇAMENTO!$AF$7)*OFFSET(ORÇAMENTO!$W$15,ROW(AD266)-ROW(AD$15),0),15-13*ORÇAMENTO!$AF$11)),0)</f>
        <v>0</v>
      </c>
      <c r="AE266" s="545">
        <f ca="1">IF(AND($D266="Serviço",AE$12&lt;&gt;0,$H266&gt;0,OR(AUTOEVENTO&lt;&gt;"manual",$M266&lt;&gt;1)),
IF(Import.TipoArredondamento&lt;&gt;"TransfereGOV",
ROUND(OFFSET($P266,0,AE$13),15-13*ORÇAMENTO!$AF$7)/$H266*OFFSET(ORÇAMENTO!$X$15,ROW(AE266)-ROW(AE$15),0),
ROUND(ROUND(OFFSET($P266,0,AE$13),15-13*ORÇAMENTO!$AF$7)*OFFSET(ORÇAMENTO!$W$15,ROW(AE266)-ROW(AE$15),0),15-13*ORÇAMENTO!$AF$11)),0)</f>
        <v>0</v>
      </c>
      <c r="AF266" s="545">
        <f ca="1">IF(AND($D266="Serviço",AF$12&lt;&gt;0,$H266&gt;0,OR(AUTOEVENTO&lt;&gt;"manual",$M266&lt;&gt;1)),
IF(Import.TipoArredondamento&lt;&gt;"TransfereGOV",
ROUND(OFFSET($P266,0,AF$13),15-13*ORÇAMENTO!$AF$7)/$H266*OFFSET(ORÇAMENTO!$X$15,ROW(AF266)-ROW(AF$15),0),
ROUND(ROUND(OFFSET($P266,0,AF$13),15-13*ORÇAMENTO!$AF$7)*OFFSET(ORÇAMENTO!$W$15,ROW(AF266)-ROW(AF$15),0),15-13*ORÇAMENTO!$AF$11)),0)</f>
        <v>0</v>
      </c>
      <c r="AG266" s="545">
        <f ca="1">IF(AND($D266="Serviço",AG$12&lt;&gt;0,$H266&gt;0,OR(AUTOEVENTO&lt;&gt;"manual",$M266&lt;&gt;1)),
IF(Import.TipoArredondamento&lt;&gt;"TransfereGOV",
ROUND(OFFSET($P266,0,AG$13),15-13*ORÇAMENTO!$AF$7)/$H266*OFFSET(ORÇAMENTO!$X$15,ROW(AG266)-ROW(AG$15),0),
ROUND(ROUND(OFFSET($P266,0,AG$13),15-13*ORÇAMENTO!$AF$7)*OFFSET(ORÇAMENTO!$W$15,ROW(AG266)-ROW(AG$15),0),15-13*ORÇAMENTO!$AF$11)),0)</f>
        <v>0</v>
      </c>
      <c r="AH266" s="545">
        <f ca="1">IF(AND($D266="Serviço",AH$12&lt;&gt;0,$H266&gt;0,OR(AUTOEVENTO&lt;&gt;"manual",$M266&lt;&gt;1)),
IF(Import.TipoArredondamento&lt;&gt;"TransfereGOV",
ROUND(OFFSET($P266,0,AH$13),15-13*ORÇAMENTO!$AF$7)/$H266*OFFSET(ORÇAMENTO!$X$15,ROW(AH266)-ROW(AH$15),0),
ROUND(ROUND(OFFSET($P266,0,AH$13),15-13*ORÇAMENTO!$AF$7)*OFFSET(ORÇAMENTO!$W$15,ROW(AH266)-ROW(AH$15),0),15-13*ORÇAMENTO!$AF$11)),0)</f>
        <v>0</v>
      </c>
      <c r="AI266" s="545">
        <f ca="1">IF(AND($D266="Serviço",AI$12&lt;&gt;0,$H266&gt;0,OR(AUTOEVENTO&lt;&gt;"manual",$M266&lt;&gt;1)),
IF(Import.TipoArredondamento&lt;&gt;"TransfereGOV",
ROUND(OFFSET($P266,0,AI$13),15-13*ORÇAMENTO!$AF$7)/$H266*OFFSET(ORÇAMENTO!$X$15,ROW(AI266)-ROW(AI$15),0),
ROUND(ROUND(OFFSET($P266,0,AI$13),15-13*ORÇAMENTO!$AF$7)*OFFSET(ORÇAMENTO!$W$15,ROW(AI266)-ROW(AI$15),0),15-13*ORÇAMENTO!$AF$11)),0)</f>
        <v>0</v>
      </c>
      <c r="AJ266" s="545">
        <f ca="1">IF(AND($D266="Serviço",AJ$12&lt;&gt;0,$H266&gt;0,OR(AUTOEVENTO&lt;&gt;"manual",$M266&lt;&gt;1)),
IF(Import.TipoArredondamento&lt;&gt;"TransfereGOV",
ROUND(OFFSET($P266,0,AJ$13),15-13*ORÇAMENTO!$AF$7)/$H266*OFFSET(ORÇAMENTO!$X$15,ROW(AJ266)-ROW(AJ$15),0),
ROUND(ROUND(OFFSET($P266,0,AJ$13),15-13*ORÇAMENTO!$AF$7)*OFFSET(ORÇAMENTO!$W$15,ROW(AJ266)-ROW(AJ$15),0),15-13*ORÇAMENTO!$AF$11)),0)</f>
        <v>0</v>
      </c>
      <c r="AK266" s="546">
        <f ca="1">IF(AND($D266="Serviço",AK$12&lt;&gt;0,$H266&gt;0,OR(AUTOEVENTO&lt;&gt;"manual",$M266&lt;&gt;1)),
IF(Import.TipoArredondamento&lt;&gt;"TransfereGOV",
ROUND(OFFSET($P266,0,AK$13),15-13*ORÇAMENTO!$AF$7)/$H266*OFFSET(ORÇAMENTO!$X$15,ROW(AK266)-ROW(AK$15),0),
ROUND(ROUND(OFFSET($P266,0,AK$13),15-13*ORÇAMENTO!$AF$7)*OFFSET(ORÇAMENTO!$W$15,ROW(AK266)-ROW(AK$15),0),15-13*ORÇAMENTO!$AF$11)),0)</f>
        <v>0</v>
      </c>
      <c r="AM266" s="181">
        <f ca="1">IF($D266&lt;&gt;"Serviço",0,IF(AND(AUTOEVENTO="Manual",$M266=1),0,IF(OFFSET(CRONOPLE!$F$14,$M266,AM$13)="",10^12,OFFSET(CRONOPLE!$F$14,$M266,AM$13))))</f>
        <v>1000000000000</v>
      </c>
      <c r="AN266" s="181">
        <f ca="1">IF($D266&lt;&gt;"Serviço",0,IF(AND(AUTOEVENTO="Manual",$M266=1),0,IF(OFFSET(CRONOPLE!$F$14,$M266,AN$13)="",10^12,OFFSET(CRONOPLE!$F$14,$M266,AN$13))))</f>
        <v>1000000000000</v>
      </c>
      <c r="AO266" s="181">
        <f ca="1">IF($D266&lt;&gt;"Serviço",0,IF(AND(AUTOEVENTO="Manual",$M266=1),0,IF(OFFSET(CRONOPLE!$F$14,$M266,AO$13)="",10^12,OFFSET(CRONOPLE!$F$14,$M266,AO$13))))</f>
        <v>1000000000000</v>
      </c>
      <c r="AP266" s="181">
        <f ca="1">IF($D266&lt;&gt;"Serviço",0,IF(AND(AUTOEVENTO="Manual",$M266=1),0,IF(OFFSET(CRONOPLE!$F$14,$M266,AP$13)="",10^12,OFFSET(CRONOPLE!$F$14,$M266,AP$13))))</f>
        <v>1000000000000</v>
      </c>
      <c r="AQ266" s="181">
        <f ca="1">IF($D266&lt;&gt;"Serviço",0,IF(AND(AUTOEVENTO="Manual",$M266=1),0,IF(OFFSET(CRONOPLE!$F$14,$M266,AQ$13)="",10^12,OFFSET(CRONOPLE!$F$14,$M266,AQ$13))))</f>
        <v>1000000000000</v>
      </c>
      <c r="AR266" s="181">
        <f ca="1">IF($D266&lt;&gt;"Serviço",0,IF(AND(AUTOEVENTO="Manual",$M266=1),0,IF(OFFSET(CRONOPLE!$F$14,$M266,AR$13)="",10^12,OFFSET(CRONOPLE!$F$14,$M266,AR$13))))</f>
        <v>1000000000000</v>
      </c>
      <c r="AS266" s="181">
        <f ca="1">IF($D266&lt;&gt;"Serviço",0,IF(AND(AUTOEVENTO="Manual",$M266=1),0,IF(OFFSET(CRONOPLE!$F$14,$M266,AS$13)="",10^12,OFFSET(CRONOPLE!$F$14,$M266,AS$13))))</f>
        <v>1000000000000</v>
      </c>
      <c r="AT266" s="181">
        <f ca="1">IF($D266&lt;&gt;"Serviço",0,IF(AND(AUTOEVENTO="Manual",$M266=1),0,IF(OFFSET(CRONOPLE!$F$14,$M266,AT$13)="",10^12,OFFSET(CRONOPLE!$F$14,$M266,AT$13))))</f>
        <v>1000000000000</v>
      </c>
      <c r="AU266" s="181">
        <f ca="1">IF($D266&lt;&gt;"Serviço",0,IF(AND(AUTOEVENTO="Manual",$M266=1),0,IF(OFFSET(CRONOPLE!$F$14,$M266,AU$13)="",10^12,OFFSET(CRONOPLE!$F$14,$M266,AU$13))))</f>
        <v>1000000000000</v>
      </c>
      <c r="AV266" s="181">
        <f ca="1">IF($D266&lt;&gt;"Serviço",0,IF(AND(AUTOEVENTO="Manual",$M266=1),0,IF(OFFSET(CRONOPLE!$F$14,$M266,AV$13)="",10^12,OFFSET(CRONOPLE!$F$14,$M266,AV$13))))</f>
        <v>1000000000000</v>
      </c>
      <c r="AX266" s="182">
        <f ca="1">IF($D266&lt;&gt;"Serviço",0,IF(OR(AND(AUTOEVENTO="Manual",$M266=1),$M266&gt;(ROW(PLE.lastrow)-ROW(PLE.firstrow))),0,IF(OFFSET(PLE!$G$14,$M266,AX$13)="",10^12,OFFSET(PLE!$G$14,$M266,AX$13))))</f>
        <v>1000000000000</v>
      </c>
      <c r="AY266" s="182">
        <f ca="1">IF($D266&lt;&gt;"Serviço",0,IF(OR(AND(AUTOEVENTO="Manual",$M266=1),$M266&gt;(ROW(PLE.lastrow)-ROW(PLE.firstrow))),0,IF(OFFSET(PLE!$G$14,$M266,AY$13)="",10^12,OFFSET(PLE!$G$14,$M266,AY$13))))</f>
        <v>1000000000000</v>
      </c>
      <c r="AZ266" s="182">
        <f ca="1">IF($D266&lt;&gt;"Serviço",0,IF(OR(AND(AUTOEVENTO="Manual",$M266=1),$M266&gt;(ROW(PLE.lastrow)-ROW(PLE.firstrow))),0,IF(OFFSET(PLE!$G$14,$M266,AZ$13)="",10^12,OFFSET(PLE!$G$14,$M266,AZ$13))))</f>
        <v>1000000000000</v>
      </c>
      <c r="BA266" s="182">
        <f ca="1">IF($D266&lt;&gt;"Serviço",0,IF(OR(AND(AUTOEVENTO="Manual",$M266=1),$M266&gt;(ROW(PLE.lastrow)-ROW(PLE.firstrow))),0,IF(OFFSET(PLE!$G$14,$M266,BA$13)="",10^12,OFFSET(PLE!$G$14,$M266,BA$13))))</f>
        <v>1000000000000</v>
      </c>
      <c r="BB266" s="182">
        <f ca="1">IF($D266&lt;&gt;"Serviço",0,IF(OR(AND(AUTOEVENTO="Manual",$M266=1),$M266&gt;(ROW(PLE.lastrow)-ROW(PLE.firstrow))),0,IF(OFFSET(PLE!$G$14,$M266,BB$13)="",10^12,OFFSET(PLE!$G$14,$M266,BB$13))))</f>
        <v>1000000000000</v>
      </c>
      <c r="BC266" s="182">
        <f ca="1">IF($D266&lt;&gt;"Serviço",0,IF(OR(AND(AUTOEVENTO="Manual",$M266=1),$M266&gt;(ROW(PLE.lastrow)-ROW(PLE.firstrow))),0,IF(OFFSET(PLE!$G$14,$M266,BC$13)="",10^12,OFFSET(PLE!$G$14,$M266,BC$13))))</f>
        <v>1000000000000</v>
      </c>
      <c r="BD266" s="182">
        <f ca="1">IF($D266&lt;&gt;"Serviço",0,IF(OR(AND(AUTOEVENTO="Manual",$M266=1),$M266&gt;(ROW(PLE.lastrow)-ROW(PLE.firstrow))),0,IF(OFFSET(PLE!$G$14,$M266,BD$13)="",10^12,OFFSET(PLE!$G$14,$M266,BD$13))))</f>
        <v>1000000000000</v>
      </c>
      <c r="BE266" s="182">
        <f ca="1">IF($D266&lt;&gt;"Serviço",0,IF(OR(AND(AUTOEVENTO="Manual",$M266=1),$M266&gt;(ROW(PLE.lastrow)-ROW(PLE.firstrow))),0,IF(OFFSET(PLE!$G$14,$M266,BE$13)="",10^12,OFFSET(PLE!$G$14,$M266,BE$13))))</f>
        <v>1000000000000</v>
      </c>
      <c r="BF266" s="182">
        <f ca="1">IF($D266&lt;&gt;"Serviço",0,IF(OR(AND(AUTOEVENTO="Manual",$M266=1),$M266&gt;(ROW(PLE.lastrow)-ROW(PLE.firstrow))),0,IF(OFFSET(PLE!$G$14,$M266,BF$13)="",10^12,OFFSET(PLE!$G$14,$M266,BF$13))))</f>
        <v>1000000000000</v>
      </c>
      <c r="BG266" s="182">
        <f ca="1">IF($D266&lt;&gt;"Serviço",0,IF(OR(AND(AUTOEVENTO="Manual",$M266=1),$M266&gt;(ROW(PLE.lastrow)-ROW(PLE.firstrow))),0,IF(OFFSET(PLE!$G$14,$M266,BG$13)="",10^12,OFFSET(PLE!$G$14,$M266,BG$13))))</f>
        <v>1000000000000</v>
      </c>
    </row>
    <row r="267" spans="1:59" ht="12.75" x14ac:dyDescent="0.2">
      <c r="A267" s="7" t="str">
        <f t="shared" ca="1" si="11"/>
        <v>233</v>
      </c>
      <c r="B267" s="7" t="str">
        <f ca="1">OFFSET(ORÇAMENTO!C$15,ROW(B267)-ROW(B$15),0)</f>
        <v>S</v>
      </c>
      <c r="C267" s="7" t="str">
        <f ca="1">OFFSET(ORÇAMENTO!L$15,ROW(C267)-ROW(C$15),0)</f>
        <v/>
      </c>
      <c r="D267" s="118" t="str">
        <f ca="1">OFFSET(ORÇAMENTO!N$15,ROW(D267)-ROW(D$15),0)</f>
        <v>Serviço</v>
      </c>
      <c r="E267" s="119" t="str">
        <f ca="1">OFFSET(ORÇAMENTO!O$15,ROW(E267)-ROW(E$15),0)</f>
        <v>-</v>
      </c>
      <c r="F267" s="172" t="str">
        <f ca="1">OFFSET(ORÇAMENTO!R$15,ROW(F267)-ROW(F$15),0)</f>
        <v>(abra o arquivo 'Referência 03-2024.xlsm)</v>
      </c>
      <c r="G267" s="173" t="str">
        <f ca="1">IF($D267&lt;&gt;"Serviço","",OFFSET(ORÇAMENTO!S$15,ROW(G267)-ROW(G$15),0))</f>
        <v>-</v>
      </c>
      <c r="H267" s="124">
        <f ca="1">IF($D267&lt;&gt;"Serviço",0,IF(ACOMPANHAMENTO="BM",ROUND(OFFSET(ORÇAMENTO!AJ$15,ROW(H267)-ROW(H$15),0),15-13*ORÇAMENTO!$AF$7),SUMPRODUCT(($Q$12:$AA$12&lt;&gt;"")*ROUND($Q267:$AA267,15-13*ORÇAMENTO!$AF$7))))</f>
        <v>0</v>
      </c>
      <c r="I267" s="561"/>
      <c r="K267" s="174"/>
      <c r="L267" s="175" t="s">
        <v>255</v>
      </c>
      <c r="M267" s="176">
        <f ca="1">IF($D267&lt;&gt;"Serviço","",IF(AUTOEVENTO="manual",$A267,IF(ISERROR(MATCH($A267,$A$15:OFFSET($A267,-1,0),0)),MAX($M$15:OFFSET(M267,-1,0))+1,INDEX($M$15:OFFSET(M267,-1,0),MATCH($A267,$A$15:OFFSET($A267,-1,0),0)))))</f>
        <v>14</v>
      </c>
      <c r="N267" s="177" t="str">
        <f ca="1">IF($D267&lt;&gt;"Serviço","",IF(AUTOEVENTO="Manual",IF($A267=0,"&lt;-- defina o número do agrupador",OFFSET(EVENTOS!$D$14,$A267,0)),OFFSET($F$15,$A267,0)))</f>
        <v>SERVIÇOS FINAIS</v>
      </c>
      <c r="O267" s="178"/>
      <c r="Q267" s="178"/>
      <c r="R267" s="179"/>
      <c r="S267" s="179"/>
      <c r="T267" s="179"/>
      <c r="U267" s="179"/>
      <c r="V267" s="179"/>
      <c r="W267" s="179"/>
      <c r="X267" s="179"/>
      <c r="Y267" s="179"/>
      <c r="Z267" s="180"/>
      <c r="AB267" s="544">
        <f ca="1">IF(AND($D267="Serviço",AB$12&lt;&gt;0,$H267&gt;0,OR(AUTOEVENTO&lt;&gt;"manual",$M267&lt;&gt;1)),
IF(Import.TipoArredondamento&lt;&gt;"TransfereGOV",
ROUND(OFFSET($P267,0,AB$13),15-13*ORÇAMENTO!$AF$7)/$H267*OFFSET(ORÇAMENTO!$X$15,ROW(AB267)-ROW(AB$15),0),
ROUND(ROUND(OFFSET($P267,0,AB$13),15-13*ORÇAMENTO!$AF$7)*OFFSET(ORÇAMENTO!$W$15,ROW(AB267)-ROW(AB$15),0),15-13*ORÇAMENTO!$AF$11)),0)</f>
        <v>0</v>
      </c>
      <c r="AC267" s="545">
        <f ca="1">IF(AND($D267="Serviço",AC$12&lt;&gt;0,$H267&gt;0,OR(AUTOEVENTO&lt;&gt;"manual",$M267&lt;&gt;1)),
IF(Import.TipoArredondamento&lt;&gt;"TransfereGOV",
ROUND(OFFSET($P267,0,AC$13),15-13*ORÇAMENTO!$AF$7)/$H267*OFFSET(ORÇAMENTO!$X$15,ROW(AC267)-ROW(AC$15),0),
ROUND(ROUND(OFFSET($P267,0,AC$13),15-13*ORÇAMENTO!$AF$7)*OFFSET(ORÇAMENTO!$W$15,ROW(AC267)-ROW(AC$15),0),15-13*ORÇAMENTO!$AF$11)),0)</f>
        <v>0</v>
      </c>
      <c r="AD267" s="545">
        <f ca="1">IF(AND($D267="Serviço",AD$12&lt;&gt;0,$H267&gt;0,OR(AUTOEVENTO&lt;&gt;"manual",$M267&lt;&gt;1)),
IF(Import.TipoArredondamento&lt;&gt;"TransfereGOV",
ROUND(OFFSET($P267,0,AD$13),15-13*ORÇAMENTO!$AF$7)/$H267*OFFSET(ORÇAMENTO!$X$15,ROW(AD267)-ROW(AD$15),0),
ROUND(ROUND(OFFSET($P267,0,AD$13),15-13*ORÇAMENTO!$AF$7)*OFFSET(ORÇAMENTO!$W$15,ROW(AD267)-ROW(AD$15),0),15-13*ORÇAMENTO!$AF$11)),0)</f>
        <v>0</v>
      </c>
      <c r="AE267" s="545">
        <f ca="1">IF(AND($D267="Serviço",AE$12&lt;&gt;0,$H267&gt;0,OR(AUTOEVENTO&lt;&gt;"manual",$M267&lt;&gt;1)),
IF(Import.TipoArredondamento&lt;&gt;"TransfereGOV",
ROUND(OFFSET($P267,0,AE$13),15-13*ORÇAMENTO!$AF$7)/$H267*OFFSET(ORÇAMENTO!$X$15,ROW(AE267)-ROW(AE$15),0),
ROUND(ROUND(OFFSET($P267,0,AE$13),15-13*ORÇAMENTO!$AF$7)*OFFSET(ORÇAMENTO!$W$15,ROW(AE267)-ROW(AE$15),0),15-13*ORÇAMENTO!$AF$11)),0)</f>
        <v>0</v>
      </c>
      <c r="AF267" s="545">
        <f ca="1">IF(AND($D267="Serviço",AF$12&lt;&gt;0,$H267&gt;0,OR(AUTOEVENTO&lt;&gt;"manual",$M267&lt;&gt;1)),
IF(Import.TipoArredondamento&lt;&gt;"TransfereGOV",
ROUND(OFFSET($P267,0,AF$13),15-13*ORÇAMENTO!$AF$7)/$H267*OFFSET(ORÇAMENTO!$X$15,ROW(AF267)-ROW(AF$15),0),
ROUND(ROUND(OFFSET($P267,0,AF$13),15-13*ORÇAMENTO!$AF$7)*OFFSET(ORÇAMENTO!$W$15,ROW(AF267)-ROW(AF$15),0),15-13*ORÇAMENTO!$AF$11)),0)</f>
        <v>0</v>
      </c>
      <c r="AG267" s="545">
        <f ca="1">IF(AND($D267="Serviço",AG$12&lt;&gt;0,$H267&gt;0,OR(AUTOEVENTO&lt;&gt;"manual",$M267&lt;&gt;1)),
IF(Import.TipoArredondamento&lt;&gt;"TransfereGOV",
ROUND(OFFSET($P267,0,AG$13),15-13*ORÇAMENTO!$AF$7)/$H267*OFFSET(ORÇAMENTO!$X$15,ROW(AG267)-ROW(AG$15),0),
ROUND(ROUND(OFFSET($P267,0,AG$13),15-13*ORÇAMENTO!$AF$7)*OFFSET(ORÇAMENTO!$W$15,ROW(AG267)-ROW(AG$15),0),15-13*ORÇAMENTO!$AF$11)),0)</f>
        <v>0</v>
      </c>
      <c r="AH267" s="545">
        <f ca="1">IF(AND($D267="Serviço",AH$12&lt;&gt;0,$H267&gt;0,OR(AUTOEVENTO&lt;&gt;"manual",$M267&lt;&gt;1)),
IF(Import.TipoArredondamento&lt;&gt;"TransfereGOV",
ROUND(OFFSET($P267,0,AH$13),15-13*ORÇAMENTO!$AF$7)/$H267*OFFSET(ORÇAMENTO!$X$15,ROW(AH267)-ROW(AH$15),0),
ROUND(ROUND(OFFSET($P267,0,AH$13),15-13*ORÇAMENTO!$AF$7)*OFFSET(ORÇAMENTO!$W$15,ROW(AH267)-ROW(AH$15),0),15-13*ORÇAMENTO!$AF$11)),0)</f>
        <v>0</v>
      </c>
      <c r="AI267" s="545">
        <f ca="1">IF(AND($D267="Serviço",AI$12&lt;&gt;0,$H267&gt;0,OR(AUTOEVENTO&lt;&gt;"manual",$M267&lt;&gt;1)),
IF(Import.TipoArredondamento&lt;&gt;"TransfereGOV",
ROUND(OFFSET($P267,0,AI$13),15-13*ORÇAMENTO!$AF$7)/$H267*OFFSET(ORÇAMENTO!$X$15,ROW(AI267)-ROW(AI$15),0),
ROUND(ROUND(OFFSET($P267,0,AI$13),15-13*ORÇAMENTO!$AF$7)*OFFSET(ORÇAMENTO!$W$15,ROW(AI267)-ROW(AI$15),0),15-13*ORÇAMENTO!$AF$11)),0)</f>
        <v>0</v>
      </c>
      <c r="AJ267" s="545">
        <f ca="1">IF(AND($D267="Serviço",AJ$12&lt;&gt;0,$H267&gt;0,OR(AUTOEVENTO&lt;&gt;"manual",$M267&lt;&gt;1)),
IF(Import.TipoArredondamento&lt;&gt;"TransfereGOV",
ROUND(OFFSET($P267,0,AJ$13),15-13*ORÇAMENTO!$AF$7)/$H267*OFFSET(ORÇAMENTO!$X$15,ROW(AJ267)-ROW(AJ$15),0),
ROUND(ROUND(OFFSET($P267,0,AJ$13),15-13*ORÇAMENTO!$AF$7)*OFFSET(ORÇAMENTO!$W$15,ROW(AJ267)-ROW(AJ$15),0),15-13*ORÇAMENTO!$AF$11)),0)</f>
        <v>0</v>
      </c>
      <c r="AK267" s="546">
        <f ca="1">IF(AND($D267="Serviço",AK$12&lt;&gt;0,$H267&gt;0,OR(AUTOEVENTO&lt;&gt;"manual",$M267&lt;&gt;1)),
IF(Import.TipoArredondamento&lt;&gt;"TransfereGOV",
ROUND(OFFSET($P267,0,AK$13),15-13*ORÇAMENTO!$AF$7)/$H267*OFFSET(ORÇAMENTO!$X$15,ROW(AK267)-ROW(AK$15),0),
ROUND(ROUND(OFFSET($P267,0,AK$13),15-13*ORÇAMENTO!$AF$7)*OFFSET(ORÇAMENTO!$W$15,ROW(AK267)-ROW(AK$15),0),15-13*ORÇAMENTO!$AF$11)),0)</f>
        <v>0</v>
      </c>
      <c r="AM267" s="181">
        <f ca="1">IF($D267&lt;&gt;"Serviço",0,IF(AND(AUTOEVENTO="Manual",$M267=1),0,IF(OFFSET(CRONOPLE!$F$14,$M267,AM$13)="",10^12,OFFSET(CRONOPLE!$F$14,$M267,AM$13))))</f>
        <v>1000000000000</v>
      </c>
      <c r="AN267" s="181">
        <f ca="1">IF($D267&lt;&gt;"Serviço",0,IF(AND(AUTOEVENTO="Manual",$M267=1),0,IF(OFFSET(CRONOPLE!$F$14,$M267,AN$13)="",10^12,OFFSET(CRONOPLE!$F$14,$M267,AN$13))))</f>
        <v>1000000000000</v>
      </c>
      <c r="AO267" s="181">
        <f ca="1">IF($D267&lt;&gt;"Serviço",0,IF(AND(AUTOEVENTO="Manual",$M267=1),0,IF(OFFSET(CRONOPLE!$F$14,$M267,AO$13)="",10^12,OFFSET(CRONOPLE!$F$14,$M267,AO$13))))</f>
        <v>1000000000000</v>
      </c>
      <c r="AP267" s="181">
        <f ca="1">IF($D267&lt;&gt;"Serviço",0,IF(AND(AUTOEVENTO="Manual",$M267=1),0,IF(OFFSET(CRONOPLE!$F$14,$M267,AP$13)="",10^12,OFFSET(CRONOPLE!$F$14,$M267,AP$13))))</f>
        <v>1000000000000</v>
      </c>
      <c r="AQ267" s="181">
        <f ca="1">IF($D267&lt;&gt;"Serviço",0,IF(AND(AUTOEVENTO="Manual",$M267=1),0,IF(OFFSET(CRONOPLE!$F$14,$M267,AQ$13)="",10^12,OFFSET(CRONOPLE!$F$14,$M267,AQ$13))))</f>
        <v>1000000000000</v>
      </c>
      <c r="AR267" s="181">
        <f ca="1">IF($D267&lt;&gt;"Serviço",0,IF(AND(AUTOEVENTO="Manual",$M267=1),0,IF(OFFSET(CRONOPLE!$F$14,$M267,AR$13)="",10^12,OFFSET(CRONOPLE!$F$14,$M267,AR$13))))</f>
        <v>1000000000000</v>
      </c>
      <c r="AS267" s="181">
        <f ca="1">IF($D267&lt;&gt;"Serviço",0,IF(AND(AUTOEVENTO="Manual",$M267=1),0,IF(OFFSET(CRONOPLE!$F$14,$M267,AS$13)="",10^12,OFFSET(CRONOPLE!$F$14,$M267,AS$13))))</f>
        <v>1000000000000</v>
      </c>
      <c r="AT267" s="181">
        <f ca="1">IF($D267&lt;&gt;"Serviço",0,IF(AND(AUTOEVENTO="Manual",$M267=1),0,IF(OFFSET(CRONOPLE!$F$14,$M267,AT$13)="",10^12,OFFSET(CRONOPLE!$F$14,$M267,AT$13))))</f>
        <v>1000000000000</v>
      </c>
      <c r="AU267" s="181">
        <f ca="1">IF($D267&lt;&gt;"Serviço",0,IF(AND(AUTOEVENTO="Manual",$M267=1),0,IF(OFFSET(CRONOPLE!$F$14,$M267,AU$13)="",10^12,OFFSET(CRONOPLE!$F$14,$M267,AU$13))))</f>
        <v>1000000000000</v>
      </c>
      <c r="AV267" s="181">
        <f ca="1">IF($D267&lt;&gt;"Serviço",0,IF(AND(AUTOEVENTO="Manual",$M267=1),0,IF(OFFSET(CRONOPLE!$F$14,$M267,AV$13)="",10^12,OFFSET(CRONOPLE!$F$14,$M267,AV$13))))</f>
        <v>1000000000000</v>
      </c>
      <c r="AX267" s="182">
        <f ca="1">IF($D267&lt;&gt;"Serviço",0,IF(OR(AND(AUTOEVENTO="Manual",$M267=1),$M267&gt;(ROW(PLE.lastrow)-ROW(PLE.firstrow))),0,IF(OFFSET(PLE!$G$14,$M267,AX$13)="",10^12,OFFSET(PLE!$G$14,$M267,AX$13))))</f>
        <v>1000000000000</v>
      </c>
      <c r="AY267" s="182">
        <f ca="1">IF($D267&lt;&gt;"Serviço",0,IF(OR(AND(AUTOEVENTO="Manual",$M267=1),$M267&gt;(ROW(PLE.lastrow)-ROW(PLE.firstrow))),0,IF(OFFSET(PLE!$G$14,$M267,AY$13)="",10^12,OFFSET(PLE!$G$14,$M267,AY$13))))</f>
        <v>1000000000000</v>
      </c>
      <c r="AZ267" s="182">
        <f ca="1">IF($D267&lt;&gt;"Serviço",0,IF(OR(AND(AUTOEVENTO="Manual",$M267=1),$M267&gt;(ROW(PLE.lastrow)-ROW(PLE.firstrow))),0,IF(OFFSET(PLE!$G$14,$M267,AZ$13)="",10^12,OFFSET(PLE!$G$14,$M267,AZ$13))))</f>
        <v>1000000000000</v>
      </c>
      <c r="BA267" s="182">
        <f ca="1">IF($D267&lt;&gt;"Serviço",0,IF(OR(AND(AUTOEVENTO="Manual",$M267=1),$M267&gt;(ROW(PLE.lastrow)-ROW(PLE.firstrow))),0,IF(OFFSET(PLE!$G$14,$M267,BA$13)="",10^12,OFFSET(PLE!$G$14,$M267,BA$13))))</f>
        <v>1000000000000</v>
      </c>
      <c r="BB267" s="182">
        <f ca="1">IF($D267&lt;&gt;"Serviço",0,IF(OR(AND(AUTOEVENTO="Manual",$M267=1),$M267&gt;(ROW(PLE.lastrow)-ROW(PLE.firstrow))),0,IF(OFFSET(PLE!$G$14,$M267,BB$13)="",10^12,OFFSET(PLE!$G$14,$M267,BB$13))))</f>
        <v>1000000000000</v>
      </c>
      <c r="BC267" s="182">
        <f ca="1">IF($D267&lt;&gt;"Serviço",0,IF(OR(AND(AUTOEVENTO="Manual",$M267=1),$M267&gt;(ROW(PLE.lastrow)-ROW(PLE.firstrow))),0,IF(OFFSET(PLE!$G$14,$M267,BC$13)="",10^12,OFFSET(PLE!$G$14,$M267,BC$13))))</f>
        <v>1000000000000</v>
      </c>
      <c r="BD267" s="182">
        <f ca="1">IF($D267&lt;&gt;"Serviço",0,IF(OR(AND(AUTOEVENTO="Manual",$M267=1),$M267&gt;(ROW(PLE.lastrow)-ROW(PLE.firstrow))),0,IF(OFFSET(PLE!$G$14,$M267,BD$13)="",10^12,OFFSET(PLE!$G$14,$M267,BD$13))))</f>
        <v>1000000000000</v>
      </c>
      <c r="BE267" s="182">
        <f ca="1">IF($D267&lt;&gt;"Serviço",0,IF(OR(AND(AUTOEVENTO="Manual",$M267=1),$M267&gt;(ROW(PLE.lastrow)-ROW(PLE.firstrow))),0,IF(OFFSET(PLE!$G$14,$M267,BE$13)="",10^12,OFFSET(PLE!$G$14,$M267,BE$13))))</f>
        <v>1000000000000</v>
      </c>
      <c r="BF267" s="182">
        <f ca="1">IF($D267&lt;&gt;"Serviço",0,IF(OR(AND(AUTOEVENTO="Manual",$M267=1),$M267&gt;(ROW(PLE.lastrow)-ROW(PLE.firstrow))),0,IF(OFFSET(PLE!$G$14,$M267,BF$13)="",10^12,OFFSET(PLE!$G$14,$M267,BF$13))))</f>
        <v>1000000000000</v>
      </c>
      <c r="BG267" s="182">
        <f ca="1">IF($D267&lt;&gt;"Serviço",0,IF(OR(AND(AUTOEVENTO="Manual",$M267=1),$M267&gt;(ROW(PLE.lastrow)-ROW(PLE.firstrow))),0,IF(OFFSET(PLE!$G$14,$M267,BG$13)="",10^12,OFFSET(PLE!$G$14,$M267,BG$13))))</f>
        <v>1000000000000</v>
      </c>
    </row>
    <row r="268" spans="1:59" ht="12.75" x14ac:dyDescent="0.2">
      <c r="A268" s="7" t="str">
        <f t="shared" ca="1" si="11"/>
        <v>233</v>
      </c>
      <c r="B268" s="7" t="str">
        <f ca="1">OFFSET(ORÇAMENTO!C$15,ROW(B268)-ROW(B$15),0)</f>
        <v>S</v>
      </c>
      <c r="C268" s="7" t="str">
        <f ca="1">OFFSET(ORÇAMENTO!L$15,ROW(C268)-ROW(C$15),0)</f>
        <v/>
      </c>
      <c r="D268" s="118" t="str">
        <f ca="1">OFFSET(ORÇAMENTO!N$15,ROW(D268)-ROW(D$15),0)</f>
        <v>Serviço</v>
      </c>
      <c r="E268" s="119" t="str">
        <f ca="1">OFFSET(ORÇAMENTO!O$15,ROW(E268)-ROW(E$15),0)</f>
        <v>-</v>
      </c>
      <c r="F268" s="172" t="str">
        <f ca="1">OFFSET(ORÇAMENTO!R$15,ROW(F268)-ROW(F$15),0)</f>
        <v>(abra o arquivo 'Referência 03-2024.xlsm)</v>
      </c>
      <c r="G268" s="173" t="str">
        <f ca="1">IF($D268&lt;&gt;"Serviço","",OFFSET(ORÇAMENTO!S$15,ROW(G268)-ROW(G$15),0))</f>
        <v>-</v>
      </c>
      <c r="H268" s="124">
        <f ca="1">IF($D268&lt;&gt;"Serviço",0,IF(ACOMPANHAMENTO="BM",ROUND(OFFSET(ORÇAMENTO!AJ$15,ROW(H268)-ROW(H$15),0),15-13*ORÇAMENTO!$AF$7),SUMPRODUCT(($Q$12:$AA$12&lt;&gt;"")*ROUND($Q268:$AA268,15-13*ORÇAMENTO!$AF$7))))</f>
        <v>0</v>
      </c>
      <c r="I268" s="561"/>
      <c r="K268" s="174"/>
      <c r="L268" s="175" t="s">
        <v>255</v>
      </c>
      <c r="M268" s="176">
        <f ca="1">IF($D268&lt;&gt;"Serviço","",IF(AUTOEVENTO="manual",$A268,IF(ISERROR(MATCH($A268,$A$15:OFFSET($A268,-1,0),0)),MAX($M$15:OFFSET(M268,-1,0))+1,INDEX($M$15:OFFSET(M268,-1,0),MATCH($A268,$A$15:OFFSET($A268,-1,0),0)))))</f>
        <v>14</v>
      </c>
      <c r="N268" s="177" t="str">
        <f ca="1">IF($D268&lt;&gt;"Serviço","",IF(AUTOEVENTO="Manual",IF($A268=0,"&lt;-- defina o número do agrupador",OFFSET(EVENTOS!$D$14,$A268,0)),OFFSET($F$15,$A268,0)))</f>
        <v>SERVIÇOS FINAIS</v>
      </c>
      <c r="O268" s="178"/>
      <c r="Q268" s="178"/>
      <c r="R268" s="179"/>
      <c r="S268" s="179"/>
      <c r="T268" s="179"/>
      <c r="U268" s="179"/>
      <c r="V268" s="179"/>
      <c r="W268" s="179"/>
      <c r="X268" s="179"/>
      <c r="Y268" s="179"/>
      <c r="Z268" s="180"/>
      <c r="AB268" s="544">
        <f ca="1">IF(AND($D268="Serviço",AB$12&lt;&gt;0,$H268&gt;0,OR(AUTOEVENTO&lt;&gt;"manual",$M268&lt;&gt;1)),
IF(Import.TipoArredondamento&lt;&gt;"TransfereGOV",
ROUND(OFFSET($P268,0,AB$13),15-13*ORÇAMENTO!$AF$7)/$H268*OFFSET(ORÇAMENTO!$X$15,ROW(AB268)-ROW(AB$15),0),
ROUND(ROUND(OFFSET($P268,0,AB$13),15-13*ORÇAMENTO!$AF$7)*OFFSET(ORÇAMENTO!$W$15,ROW(AB268)-ROW(AB$15),0),15-13*ORÇAMENTO!$AF$11)),0)</f>
        <v>0</v>
      </c>
      <c r="AC268" s="545">
        <f ca="1">IF(AND($D268="Serviço",AC$12&lt;&gt;0,$H268&gt;0,OR(AUTOEVENTO&lt;&gt;"manual",$M268&lt;&gt;1)),
IF(Import.TipoArredondamento&lt;&gt;"TransfereGOV",
ROUND(OFFSET($P268,0,AC$13),15-13*ORÇAMENTO!$AF$7)/$H268*OFFSET(ORÇAMENTO!$X$15,ROW(AC268)-ROW(AC$15),0),
ROUND(ROUND(OFFSET($P268,0,AC$13),15-13*ORÇAMENTO!$AF$7)*OFFSET(ORÇAMENTO!$W$15,ROW(AC268)-ROW(AC$15),0),15-13*ORÇAMENTO!$AF$11)),0)</f>
        <v>0</v>
      </c>
      <c r="AD268" s="545">
        <f ca="1">IF(AND($D268="Serviço",AD$12&lt;&gt;0,$H268&gt;0,OR(AUTOEVENTO&lt;&gt;"manual",$M268&lt;&gt;1)),
IF(Import.TipoArredondamento&lt;&gt;"TransfereGOV",
ROUND(OFFSET($P268,0,AD$13),15-13*ORÇAMENTO!$AF$7)/$H268*OFFSET(ORÇAMENTO!$X$15,ROW(AD268)-ROW(AD$15),0),
ROUND(ROUND(OFFSET($P268,0,AD$13),15-13*ORÇAMENTO!$AF$7)*OFFSET(ORÇAMENTO!$W$15,ROW(AD268)-ROW(AD$15),0),15-13*ORÇAMENTO!$AF$11)),0)</f>
        <v>0</v>
      </c>
      <c r="AE268" s="545">
        <f ca="1">IF(AND($D268="Serviço",AE$12&lt;&gt;0,$H268&gt;0,OR(AUTOEVENTO&lt;&gt;"manual",$M268&lt;&gt;1)),
IF(Import.TipoArredondamento&lt;&gt;"TransfereGOV",
ROUND(OFFSET($P268,0,AE$13),15-13*ORÇAMENTO!$AF$7)/$H268*OFFSET(ORÇAMENTO!$X$15,ROW(AE268)-ROW(AE$15),0),
ROUND(ROUND(OFFSET($P268,0,AE$13),15-13*ORÇAMENTO!$AF$7)*OFFSET(ORÇAMENTO!$W$15,ROW(AE268)-ROW(AE$15),0),15-13*ORÇAMENTO!$AF$11)),0)</f>
        <v>0</v>
      </c>
      <c r="AF268" s="545">
        <f ca="1">IF(AND($D268="Serviço",AF$12&lt;&gt;0,$H268&gt;0,OR(AUTOEVENTO&lt;&gt;"manual",$M268&lt;&gt;1)),
IF(Import.TipoArredondamento&lt;&gt;"TransfereGOV",
ROUND(OFFSET($P268,0,AF$13),15-13*ORÇAMENTO!$AF$7)/$H268*OFFSET(ORÇAMENTO!$X$15,ROW(AF268)-ROW(AF$15),0),
ROUND(ROUND(OFFSET($P268,0,AF$13),15-13*ORÇAMENTO!$AF$7)*OFFSET(ORÇAMENTO!$W$15,ROW(AF268)-ROW(AF$15),0),15-13*ORÇAMENTO!$AF$11)),0)</f>
        <v>0</v>
      </c>
      <c r="AG268" s="545">
        <f ca="1">IF(AND($D268="Serviço",AG$12&lt;&gt;0,$H268&gt;0,OR(AUTOEVENTO&lt;&gt;"manual",$M268&lt;&gt;1)),
IF(Import.TipoArredondamento&lt;&gt;"TransfereGOV",
ROUND(OFFSET($P268,0,AG$13),15-13*ORÇAMENTO!$AF$7)/$H268*OFFSET(ORÇAMENTO!$X$15,ROW(AG268)-ROW(AG$15),0),
ROUND(ROUND(OFFSET($P268,0,AG$13),15-13*ORÇAMENTO!$AF$7)*OFFSET(ORÇAMENTO!$W$15,ROW(AG268)-ROW(AG$15),0),15-13*ORÇAMENTO!$AF$11)),0)</f>
        <v>0</v>
      </c>
      <c r="AH268" s="545">
        <f ca="1">IF(AND($D268="Serviço",AH$12&lt;&gt;0,$H268&gt;0,OR(AUTOEVENTO&lt;&gt;"manual",$M268&lt;&gt;1)),
IF(Import.TipoArredondamento&lt;&gt;"TransfereGOV",
ROUND(OFFSET($P268,0,AH$13),15-13*ORÇAMENTO!$AF$7)/$H268*OFFSET(ORÇAMENTO!$X$15,ROW(AH268)-ROW(AH$15),0),
ROUND(ROUND(OFFSET($P268,0,AH$13),15-13*ORÇAMENTO!$AF$7)*OFFSET(ORÇAMENTO!$W$15,ROW(AH268)-ROW(AH$15),0),15-13*ORÇAMENTO!$AF$11)),0)</f>
        <v>0</v>
      </c>
      <c r="AI268" s="545">
        <f ca="1">IF(AND($D268="Serviço",AI$12&lt;&gt;0,$H268&gt;0,OR(AUTOEVENTO&lt;&gt;"manual",$M268&lt;&gt;1)),
IF(Import.TipoArredondamento&lt;&gt;"TransfereGOV",
ROUND(OFFSET($P268,0,AI$13),15-13*ORÇAMENTO!$AF$7)/$H268*OFFSET(ORÇAMENTO!$X$15,ROW(AI268)-ROW(AI$15),0),
ROUND(ROUND(OFFSET($P268,0,AI$13),15-13*ORÇAMENTO!$AF$7)*OFFSET(ORÇAMENTO!$W$15,ROW(AI268)-ROW(AI$15),0),15-13*ORÇAMENTO!$AF$11)),0)</f>
        <v>0</v>
      </c>
      <c r="AJ268" s="545">
        <f ca="1">IF(AND($D268="Serviço",AJ$12&lt;&gt;0,$H268&gt;0,OR(AUTOEVENTO&lt;&gt;"manual",$M268&lt;&gt;1)),
IF(Import.TipoArredondamento&lt;&gt;"TransfereGOV",
ROUND(OFFSET($P268,0,AJ$13),15-13*ORÇAMENTO!$AF$7)/$H268*OFFSET(ORÇAMENTO!$X$15,ROW(AJ268)-ROW(AJ$15),0),
ROUND(ROUND(OFFSET($P268,0,AJ$13),15-13*ORÇAMENTO!$AF$7)*OFFSET(ORÇAMENTO!$W$15,ROW(AJ268)-ROW(AJ$15),0),15-13*ORÇAMENTO!$AF$11)),0)</f>
        <v>0</v>
      </c>
      <c r="AK268" s="546">
        <f ca="1">IF(AND($D268="Serviço",AK$12&lt;&gt;0,$H268&gt;0,OR(AUTOEVENTO&lt;&gt;"manual",$M268&lt;&gt;1)),
IF(Import.TipoArredondamento&lt;&gt;"TransfereGOV",
ROUND(OFFSET($P268,0,AK$13),15-13*ORÇAMENTO!$AF$7)/$H268*OFFSET(ORÇAMENTO!$X$15,ROW(AK268)-ROW(AK$15),0),
ROUND(ROUND(OFFSET($P268,0,AK$13),15-13*ORÇAMENTO!$AF$7)*OFFSET(ORÇAMENTO!$W$15,ROW(AK268)-ROW(AK$15),0),15-13*ORÇAMENTO!$AF$11)),0)</f>
        <v>0</v>
      </c>
      <c r="AM268" s="181">
        <f ca="1">IF($D268&lt;&gt;"Serviço",0,IF(AND(AUTOEVENTO="Manual",$M268=1),0,IF(OFFSET(CRONOPLE!$F$14,$M268,AM$13)="",10^12,OFFSET(CRONOPLE!$F$14,$M268,AM$13))))</f>
        <v>1000000000000</v>
      </c>
      <c r="AN268" s="181">
        <f ca="1">IF($D268&lt;&gt;"Serviço",0,IF(AND(AUTOEVENTO="Manual",$M268=1),0,IF(OFFSET(CRONOPLE!$F$14,$M268,AN$13)="",10^12,OFFSET(CRONOPLE!$F$14,$M268,AN$13))))</f>
        <v>1000000000000</v>
      </c>
      <c r="AO268" s="181">
        <f ca="1">IF($D268&lt;&gt;"Serviço",0,IF(AND(AUTOEVENTO="Manual",$M268=1),0,IF(OFFSET(CRONOPLE!$F$14,$M268,AO$13)="",10^12,OFFSET(CRONOPLE!$F$14,$M268,AO$13))))</f>
        <v>1000000000000</v>
      </c>
      <c r="AP268" s="181">
        <f ca="1">IF($D268&lt;&gt;"Serviço",0,IF(AND(AUTOEVENTO="Manual",$M268=1),0,IF(OFFSET(CRONOPLE!$F$14,$M268,AP$13)="",10^12,OFFSET(CRONOPLE!$F$14,$M268,AP$13))))</f>
        <v>1000000000000</v>
      </c>
      <c r="AQ268" s="181">
        <f ca="1">IF($D268&lt;&gt;"Serviço",0,IF(AND(AUTOEVENTO="Manual",$M268=1),0,IF(OFFSET(CRONOPLE!$F$14,$M268,AQ$13)="",10^12,OFFSET(CRONOPLE!$F$14,$M268,AQ$13))))</f>
        <v>1000000000000</v>
      </c>
      <c r="AR268" s="181">
        <f ca="1">IF($D268&lt;&gt;"Serviço",0,IF(AND(AUTOEVENTO="Manual",$M268=1),0,IF(OFFSET(CRONOPLE!$F$14,$M268,AR$13)="",10^12,OFFSET(CRONOPLE!$F$14,$M268,AR$13))))</f>
        <v>1000000000000</v>
      </c>
      <c r="AS268" s="181">
        <f ca="1">IF($D268&lt;&gt;"Serviço",0,IF(AND(AUTOEVENTO="Manual",$M268=1),0,IF(OFFSET(CRONOPLE!$F$14,$M268,AS$13)="",10^12,OFFSET(CRONOPLE!$F$14,$M268,AS$13))))</f>
        <v>1000000000000</v>
      </c>
      <c r="AT268" s="181">
        <f ca="1">IF($D268&lt;&gt;"Serviço",0,IF(AND(AUTOEVENTO="Manual",$M268=1),0,IF(OFFSET(CRONOPLE!$F$14,$M268,AT$13)="",10^12,OFFSET(CRONOPLE!$F$14,$M268,AT$13))))</f>
        <v>1000000000000</v>
      </c>
      <c r="AU268" s="181">
        <f ca="1">IF($D268&lt;&gt;"Serviço",0,IF(AND(AUTOEVENTO="Manual",$M268=1),0,IF(OFFSET(CRONOPLE!$F$14,$M268,AU$13)="",10^12,OFFSET(CRONOPLE!$F$14,$M268,AU$13))))</f>
        <v>1000000000000</v>
      </c>
      <c r="AV268" s="181">
        <f ca="1">IF($D268&lt;&gt;"Serviço",0,IF(AND(AUTOEVENTO="Manual",$M268=1),0,IF(OFFSET(CRONOPLE!$F$14,$M268,AV$13)="",10^12,OFFSET(CRONOPLE!$F$14,$M268,AV$13))))</f>
        <v>1000000000000</v>
      </c>
      <c r="AX268" s="182">
        <f ca="1">IF($D268&lt;&gt;"Serviço",0,IF(OR(AND(AUTOEVENTO="Manual",$M268=1),$M268&gt;(ROW(PLE.lastrow)-ROW(PLE.firstrow))),0,IF(OFFSET(PLE!$G$14,$M268,AX$13)="",10^12,OFFSET(PLE!$G$14,$M268,AX$13))))</f>
        <v>1000000000000</v>
      </c>
      <c r="AY268" s="182">
        <f ca="1">IF($D268&lt;&gt;"Serviço",0,IF(OR(AND(AUTOEVENTO="Manual",$M268=1),$M268&gt;(ROW(PLE.lastrow)-ROW(PLE.firstrow))),0,IF(OFFSET(PLE!$G$14,$M268,AY$13)="",10^12,OFFSET(PLE!$G$14,$M268,AY$13))))</f>
        <v>1000000000000</v>
      </c>
      <c r="AZ268" s="182">
        <f ca="1">IF($D268&lt;&gt;"Serviço",0,IF(OR(AND(AUTOEVENTO="Manual",$M268=1),$M268&gt;(ROW(PLE.lastrow)-ROW(PLE.firstrow))),0,IF(OFFSET(PLE!$G$14,$M268,AZ$13)="",10^12,OFFSET(PLE!$G$14,$M268,AZ$13))))</f>
        <v>1000000000000</v>
      </c>
      <c r="BA268" s="182">
        <f ca="1">IF($D268&lt;&gt;"Serviço",0,IF(OR(AND(AUTOEVENTO="Manual",$M268=1),$M268&gt;(ROW(PLE.lastrow)-ROW(PLE.firstrow))),0,IF(OFFSET(PLE!$G$14,$M268,BA$13)="",10^12,OFFSET(PLE!$G$14,$M268,BA$13))))</f>
        <v>1000000000000</v>
      </c>
      <c r="BB268" s="182">
        <f ca="1">IF($D268&lt;&gt;"Serviço",0,IF(OR(AND(AUTOEVENTO="Manual",$M268=1),$M268&gt;(ROW(PLE.lastrow)-ROW(PLE.firstrow))),0,IF(OFFSET(PLE!$G$14,$M268,BB$13)="",10^12,OFFSET(PLE!$G$14,$M268,BB$13))))</f>
        <v>1000000000000</v>
      </c>
      <c r="BC268" s="182">
        <f ca="1">IF($D268&lt;&gt;"Serviço",0,IF(OR(AND(AUTOEVENTO="Manual",$M268=1),$M268&gt;(ROW(PLE.lastrow)-ROW(PLE.firstrow))),0,IF(OFFSET(PLE!$G$14,$M268,BC$13)="",10^12,OFFSET(PLE!$G$14,$M268,BC$13))))</f>
        <v>1000000000000</v>
      </c>
      <c r="BD268" s="182">
        <f ca="1">IF($D268&lt;&gt;"Serviço",0,IF(OR(AND(AUTOEVENTO="Manual",$M268=1),$M268&gt;(ROW(PLE.lastrow)-ROW(PLE.firstrow))),0,IF(OFFSET(PLE!$G$14,$M268,BD$13)="",10^12,OFFSET(PLE!$G$14,$M268,BD$13))))</f>
        <v>1000000000000</v>
      </c>
      <c r="BE268" s="182">
        <f ca="1">IF($D268&lt;&gt;"Serviço",0,IF(OR(AND(AUTOEVENTO="Manual",$M268=1),$M268&gt;(ROW(PLE.lastrow)-ROW(PLE.firstrow))),0,IF(OFFSET(PLE!$G$14,$M268,BE$13)="",10^12,OFFSET(PLE!$G$14,$M268,BE$13))))</f>
        <v>1000000000000</v>
      </c>
      <c r="BF268" s="182">
        <f ca="1">IF($D268&lt;&gt;"Serviço",0,IF(OR(AND(AUTOEVENTO="Manual",$M268=1),$M268&gt;(ROW(PLE.lastrow)-ROW(PLE.firstrow))),0,IF(OFFSET(PLE!$G$14,$M268,BF$13)="",10^12,OFFSET(PLE!$G$14,$M268,BF$13))))</f>
        <v>1000000000000</v>
      </c>
      <c r="BG268" s="182">
        <f ca="1">IF($D268&lt;&gt;"Serviço",0,IF(OR(AND(AUTOEVENTO="Manual",$M268=1),$M268&gt;(ROW(PLE.lastrow)-ROW(PLE.firstrow))),0,IF(OFFSET(PLE!$G$14,$M268,BG$13)="",10^12,OFFSET(PLE!$G$14,$M268,BG$13))))</f>
        <v>1000000000000</v>
      </c>
    </row>
    <row r="269" spans="1:59" ht="12.75" x14ac:dyDescent="0.2">
      <c r="A269" s="7" t="str">
        <f t="shared" ca="1" si="11"/>
        <v>233</v>
      </c>
      <c r="B269" s="7" t="str">
        <f ca="1">OFFSET(ORÇAMENTO!C$15,ROW(B269)-ROW(B$15),0)</f>
        <v>S</v>
      </c>
      <c r="C269" s="7" t="str">
        <f ca="1">OFFSET(ORÇAMENTO!L$15,ROW(C269)-ROW(C$15),0)</f>
        <v/>
      </c>
      <c r="D269" s="118" t="str">
        <f ca="1">OFFSET(ORÇAMENTO!N$15,ROW(D269)-ROW(D$15),0)</f>
        <v>Serviço</v>
      </c>
      <c r="E269" s="119" t="str">
        <f ca="1">OFFSET(ORÇAMENTO!O$15,ROW(E269)-ROW(E$15),0)</f>
        <v>-</v>
      </c>
      <c r="F269" s="172" t="str">
        <f ca="1">OFFSET(ORÇAMENTO!R$15,ROW(F269)-ROW(F$15),0)</f>
        <v>(abra o arquivo 'Referência 03-2024.xlsm)</v>
      </c>
      <c r="G269" s="173" t="str">
        <f ca="1">IF($D269&lt;&gt;"Serviço","",OFFSET(ORÇAMENTO!S$15,ROW(G269)-ROW(G$15),0))</f>
        <v>-</v>
      </c>
      <c r="H269" s="124">
        <f ca="1">IF($D269&lt;&gt;"Serviço",0,IF(ACOMPANHAMENTO="BM",ROUND(OFFSET(ORÇAMENTO!AJ$15,ROW(H269)-ROW(H$15),0),15-13*ORÇAMENTO!$AF$7),SUMPRODUCT(($Q$12:$AA$12&lt;&gt;"")*ROUND($Q269:$AA269,15-13*ORÇAMENTO!$AF$7))))</f>
        <v>0</v>
      </c>
      <c r="I269" s="561"/>
      <c r="K269" s="174"/>
      <c r="L269" s="175" t="s">
        <v>255</v>
      </c>
      <c r="M269" s="176">
        <f ca="1">IF($D269&lt;&gt;"Serviço","",IF(AUTOEVENTO="manual",$A269,IF(ISERROR(MATCH($A269,$A$15:OFFSET($A269,-1,0),0)),MAX($M$15:OFFSET(M269,-1,0))+1,INDEX($M$15:OFFSET(M269,-1,0),MATCH($A269,$A$15:OFFSET($A269,-1,0),0)))))</f>
        <v>14</v>
      </c>
      <c r="N269" s="177" t="str">
        <f ca="1">IF($D269&lt;&gt;"Serviço","",IF(AUTOEVENTO="Manual",IF($A269=0,"&lt;-- defina o número do agrupador",OFFSET(EVENTOS!$D$14,$A269,0)),OFFSET($F$15,$A269,0)))</f>
        <v>SERVIÇOS FINAIS</v>
      </c>
      <c r="O269" s="178"/>
      <c r="Q269" s="178"/>
      <c r="R269" s="179"/>
      <c r="S269" s="179"/>
      <c r="T269" s="179"/>
      <c r="U269" s="179"/>
      <c r="V269" s="179"/>
      <c r="W269" s="179"/>
      <c r="X269" s="179"/>
      <c r="Y269" s="179"/>
      <c r="Z269" s="180"/>
      <c r="AB269" s="544">
        <f ca="1">IF(AND($D269="Serviço",AB$12&lt;&gt;0,$H269&gt;0,OR(AUTOEVENTO&lt;&gt;"manual",$M269&lt;&gt;1)),
IF(Import.TipoArredondamento&lt;&gt;"TransfereGOV",
ROUND(OFFSET($P269,0,AB$13),15-13*ORÇAMENTO!$AF$7)/$H269*OFFSET(ORÇAMENTO!$X$15,ROW(AB269)-ROW(AB$15),0),
ROUND(ROUND(OFFSET($P269,0,AB$13),15-13*ORÇAMENTO!$AF$7)*OFFSET(ORÇAMENTO!$W$15,ROW(AB269)-ROW(AB$15),0),15-13*ORÇAMENTO!$AF$11)),0)</f>
        <v>0</v>
      </c>
      <c r="AC269" s="545">
        <f ca="1">IF(AND($D269="Serviço",AC$12&lt;&gt;0,$H269&gt;0,OR(AUTOEVENTO&lt;&gt;"manual",$M269&lt;&gt;1)),
IF(Import.TipoArredondamento&lt;&gt;"TransfereGOV",
ROUND(OFFSET($P269,0,AC$13),15-13*ORÇAMENTO!$AF$7)/$H269*OFFSET(ORÇAMENTO!$X$15,ROW(AC269)-ROW(AC$15),0),
ROUND(ROUND(OFFSET($P269,0,AC$13),15-13*ORÇAMENTO!$AF$7)*OFFSET(ORÇAMENTO!$W$15,ROW(AC269)-ROW(AC$15),0),15-13*ORÇAMENTO!$AF$11)),0)</f>
        <v>0</v>
      </c>
      <c r="AD269" s="545">
        <f ca="1">IF(AND($D269="Serviço",AD$12&lt;&gt;0,$H269&gt;0,OR(AUTOEVENTO&lt;&gt;"manual",$M269&lt;&gt;1)),
IF(Import.TipoArredondamento&lt;&gt;"TransfereGOV",
ROUND(OFFSET($P269,0,AD$13),15-13*ORÇAMENTO!$AF$7)/$H269*OFFSET(ORÇAMENTO!$X$15,ROW(AD269)-ROW(AD$15),0),
ROUND(ROUND(OFFSET($P269,0,AD$13),15-13*ORÇAMENTO!$AF$7)*OFFSET(ORÇAMENTO!$W$15,ROW(AD269)-ROW(AD$15),0),15-13*ORÇAMENTO!$AF$11)),0)</f>
        <v>0</v>
      </c>
      <c r="AE269" s="545">
        <f ca="1">IF(AND($D269="Serviço",AE$12&lt;&gt;0,$H269&gt;0,OR(AUTOEVENTO&lt;&gt;"manual",$M269&lt;&gt;1)),
IF(Import.TipoArredondamento&lt;&gt;"TransfereGOV",
ROUND(OFFSET($P269,0,AE$13),15-13*ORÇAMENTO!$AF$7)/$H269*OFFSET(ORÇAMENTO!$X$15,ROW(AE269)-ROW(AE$15),0),
ROUND(ROUND(OFFSET($P269,0,AE$13),15-13*ORÇAMENTO!$AF$7)*OFFSET(ORÇAMENTO!$W$15,ROW(AE269)-ROW(AE$15),0),15-13*ORÇAMENTO!$AF$11)),0)</f>
        <v>0</v>
      </c>
      <c r="AF269" s="545">
        <f ca="1">IF(AND($D269="Serviço",AF$12&lt;&gt;0,$H269&gt;0,OR(AUTOEVENTO&lt;&gt;"manual",$M269&lt;&gt;1)),
IF(Import.TipoArredondamento&lt;&gt;"TransfereGOV",
ROUND(OFFSET($P269,0,AF$13),15-13*ORÇAMENTO!$AF$7)/$H269*OFFSET(ORÇAMENTO!$X$15,ROW(AF269)-ROW(AF$15),0),
ROUND(ROUND(OFFSET($P269,0,AF$13),15-13*ORÇAMENTO!$AF$7)*OFFSET(ORÇAMENTO!$W$15,ROW(AF269)-ROW(AF$15),0),15-13*ORÇAMENTO!$AF$11)),0)</f>
        <v>0</v>
      </c>
      <c r="AG269" s="545">
        <f ca="1">IF(AND($D269="Serviço",AG$12&lt;&gt;0,$H269&gt;0,OR(AUTOEVENTO&lt;&gt;"manual",$M269&lt;&gt;1)),
IF(Import.TipoArredondamento&lt;&gt;"TransfereGOV",
ROUND(OFFSET($P269,0,AG$13),15-13*ORÇAMENTO!$AF$7)/$H269*OFFSET(ORÇAMENTO!$X$15,ROW(AG269)-ROW(AG$15),0),
ROUND(ROUND(OFFSET($P269,0,AG$13),15-13*ORÇAMENTO!$AF$7)*OFFSET(ORÇAMENTO!$W$15,ROW(AG269)-ROW(AG$15),0),15-13*ORÇAMENTO!$AF$11)),0)</f>
        <v>0</v>
      </c>
      <c r="AH269" s="545">
        <f ca="1">IF(AND($D269="Serviço",AH$12&lt;&gt;0,$H269&gt;0,OR(AUTOEVENTO&lt;&gt;"manual",$M269&lt;&gt;1)),
IF(Import.TipoArredondamento&lt;&gt;"TransfereGOV",
ROUND(OFFSET($P269,0,AH$13),15-13*ORÇAMENTO!$AF$7)/$H269*OFFSET(ORÇAMENTO!$X$15,ROW(AH269)-ROW(AH$15),0),
ROUND(ROUND(OFFSET($P269,0,AH$13),15-13*ORÇAMENTO!$AF$7)*OFFSET(ORÇAMENTO!$W$15,ROW(AH269)-ROW(AH$15),0),15-13*ORÇAMENTO!$AF$11)),0)</f>
        <v>0</v>
      </c>
      <c r="AI269" s="545">
        <f ca="1">IF(AND($D269="Serviço",AI$12&lt;&gt;0,$H269&gt;0,OR(AUTOEVENTO&lt;&gt;"manual",$M269&lt;&gt;1)),
IF(Import.TipoArredondamento&lt;&gt;"TransfereGOV",
ROUND(OFFSET($P269,0,AI$13),15-13*ORÇAMENTO!$AF$7)/$H269*OFFSET(ORÇAMENTO!$X$15,ROW(AI269)-ROW(AI$15),0),
ROUND(ROUND(OFFSET($P269,0,AI$13),15-13*ORÇAMENTO!$AF$7)*OFFSET(ORÇAMENTO!$W$15,ROW(AI269)-ROW(AI$15),0),15-13*ORÇAMENTO!$AF$11)),0)</f>
        <v>0</v>
      </c>
      <c r="AJ269" s="545">
        <f ca="1">IF(AND($D269="Serviço",AJ$12&lt;&gt;0,$H269&gt;0,OR(AUTOEVENTO&lt;&gt;"manual",$M269&lt;&gt;1)),
IF(Import.TipoArredondamento&lt;&gt;"TransfereGOV",
ROUND(OFFSET($P269,0,AJ$13),15-13*ORÇAMENTO!$AF$7)/$H269*OFFSET(ORÇAMENTO!$X$15,ROW(AJ269)-ROW(AJ$15),0),
ROUND(ROUND(OFFSET($P269,0,AJ$13),15-13*ORÇAMENTO!$AF$7)*OFFSET(ORÇAMENTO!$W$15,ROW(AJ269)-ROW(AJ$15),0),15-13*ORÇAMENTO!$AF$11)),0)</f>
        <v>0</v>
      </c>
      <c r="AK269" s="546">
        <f ca="1">IF(AND($D269="Serviço",AK$12&lt;&gt;0,$H269&gt;0,OR(AUTOEVENTO&lt;&gt;"manual",$M269&lt;&gt;1)),
IF(Import.TipoArredondamento&lt;&gt;"TransfereGOV",
ROUND(OFFSET($P269,0,AK$13),15-13*ORÇAMENTO!$AF$7)/$H269*OFFSET(ORÇAMENTO!$X$15,ROW(AK269)-ROW(AK$15),0),
ROUND(ROUND(OFFSET($P269,0,AK$13),15-13*ORÇAMENTO!$AF$7)*OFFSET(ORÇAMENTO!$W$15,ROW(AK269)-ROW(AK$15),0),15-13*ORÇAMENTO!$AF$11)),0)</f>
        <v>0</v>
      </c>
      <c r="AM269" s="181">
        <f ca="1">IF($D269&lt;&gt;"Serviço",0,IF(AND(AUTOEVENTO="Manual",$M269=1),0,IF(OFFSET(CRONOPLE!$F$14,$M269,AM$13)="",10^12,OFFSET(CRONOPLE!$F$14,$M269,AM$13))))</f>
        <v>1000000000000</v>
      </c>
      <c r="AN269" s="181">
        <f ca="1">IF($D269&lt;&gt;"Serviço",0,IF(AND(AUTOEVENTO="Manual",$M269=1),0,IF(OFFSET(CRONOPLE!$F$14,$M269,AN$13)="",10^12,OFFSET(CRONOPLE!$F$14,$M269,AN$13))))</f>
        <v>1000000000000</v>
      </c>
      <c r="AO269" s="181">
        <f ca="1">IF($D269&lt;&gt;"Serviço",0,IF(AND(AUTOEVENTO="Manual",$M269=1),0,IF(OFFSET(CRONOPLE!$F$14,$M269,AO$13)="",10^12,OFFSET(CRONOPLE!$F$14,$M269,AO$13))))</f>
        <v>1000000000000</v>
      </c>
      <c r="AP269" s="181">
        <f ca="1">IF($D269&lt;&gt;"Serviço",0,IF(AND(AUTOEVENTO="Manual",$M269=1),0,IF(OFFSET(CRONOPLE!$F$14,$M269,AP$13)="",10^12,OFFSET(CRONOPLE!$F$14,$M269,AP$13))))</f>
        <v>1000000000000</v>
      </c>
      <c r="AQ269" s="181">
        <f ca="1">IF($D269&lt;&gt;"Serviço",0,IF(AND(AUTOEVENTO="Manual",$M269=1),0,IF(OFFSET(CRONOPLE!$F$14,$M269,AQ$13)="",10^12,OFFSET(CRONOPLE!$F$14,$M269,AQ$13))))</f>
        <v>1000000000000</v>
      </c>
      <c r="AR269" s="181">
        <f ca="1">IF($D269&lt;&gt;"Serviço",0,IF(AND(AUTOEVENTO="Manual",$M269=1),0,IF(OFFSET(CRONOPLE!$F$14,$M269,AR$13)="",10^12,OFFSET(CRONOPLE!$F$14,$M269,AR$13))))</f>
        <v>1000000000000</v>
      </c>
      <c r="AS269" s="181">
        <f ca="1">IF($D269&lt;&gt;"Serviço",0,IF(AND(AUTOEVENTO="Manual",$M269=1),0,IF(OFFSET(CRONOPLE!$F$14,$M269,AS$13)="",10^12,OFFSET(CRONOPLE!$F$14,$M269,AS$13))))</f>
        <v>1000000000000</v>
      </c>
      <c r="AT269" s="181">
        <f ca="1">IF($D269&lt;&gt;"Serviço",0,IF(AND(AUTOEVENTO="Manual",$M269=1),0,IF(OFFSET(CRONOPLE!$F$14,$M269,AT$13)="",10^12,OFFSET(CRONOPLE!$F$14,$M269,AT$13))))</f>
        <v>1000000000000</v>
      </c>
      <c r="AU269" s="181">
        <f ca="1">IF($D269&lt;&gt;"Serviço",0,IF(AND(AUTOEVENTO="Manual",$M269=1),0,IF(OFFSET(CRONOPLE!$F$14,$M269,AU$13)="",10^12,OFFSET(CRONOPLE!$F$14,$M269,AU$13))))</f>
        <v>1000000000000</v>
      </c>
      <c r="AV269" s="181">
        <f ca="1">IF($D269&lt;&gt;"Serviço",0,IF(AND(AUTOEVENTO="Manual",$M269=1),0,IF(OFFSET(CRONOPLE!$F$14,$M269,AV$13)="",10^12,OFFSET(CRONOPLE!$F$14,$M269,AV$13))))</f>
        <v>1000000000000</v>
      </c>
      <c r="AX269" s="182">
        <f ca="1">IF($D269&lt;&gt;"Serviço",0,IF(OR(AND(AUTOEVENTO="Manual",$M269=1),$M269&gt;(ROW(PLE.lastrow)-ROW(PLE.firstrow))),0,IF(OFFSET(PLE!$G$14,$M269,AX$13)="",10^12,OFFSET(PLE!$G$14,$M269,AX$13))))</f>
        <v>1000000000000</v>
      </c>
      <c r="AY269" s="182">
        <f ca="1">IF($D269&lt;&gt;"Serviço",0,IF(OR(AND(AUTOEVENTO="Manual",$M269=1),$M269&gt;(ROW(PLE.lastrow)-ROW(PLE.firstrow))),0,IF(OFFSET(PLE!$G$14,$M269,AY$13)="",10^12,OFFSET(PLE!$G$14,$M269,AY$13))))</f>
        <v>1000000000000</v>
      </c>
      <c r="AZ269" s="182">
        <f ca="1">IF($D269&lt;&gt;"Serviço",0,IF(OR(AND(AUTOEVENTO="Manual",$M269=1),$M269&gt;(ROW(PLE.lastrow)-ROW(PLE.firstrow))),0,IF(OFFSET(PLE!$G$14,$M269,AZ$13)="",10^12,OFFSET(PLE!$G$14,$M269,AZ$13))))</f>
        <v>1000000000000</v>
      </c>
      <c r="BA269" s="182">
        <f ca="1">IF($D269&lt;&gt;"Serviço",0,IF(OR(AND(AUTOEVENTO="Manual",$M269=1),$M269&gt;(ROW(PLE.lastrow)-ROW(PLE.firstrow))),0,IF(OFFSET(PLE!$G$14,$M269,BA$13)="",10^12,OFFSET(PLE!$G$14,$M269,BA$13))))</f>
        <v>1000000000000</v>
      </c>
      <c r="BB269" s="182">
        <f ca="1">IF($D269&lt;&gt;"Serviço",0,IF(OR(AND(AUTOEVENTO="Manual",$M269=1),$M269&gt;(ROW(PLE.lastrow)-ROW(PLE.firstrow))),0,IF(OFFSET(PLE!$G$14,$M269,BB$13)="",10^12,OFFSET(PLE!$G$14,$M269,BB$13))))</f>
        <v>1000000000000</v>
      </c>
      <c r="BC269" s="182">
        <f ca="1">IF($D269&lt;&gt;"Serviço",0,IF(OR(AND(AUTOEVENTO="Manual",$M269=1),$M269&gt;(ROW(PLE.lastrow)-ROW(PLE.firstrow))),0,IF(OFFSET(PLE!$G$14,$M269,BC$13)="",10^12,OFFSET(PLE!$G$14,$M269,BC$13))))</f>
        <v>1000000000000</v>
      </c>
      <c r="BD269" s="182">
        <f ca="1">IF($D269&lt;&gt;"Serviço",0,IF(OR(AND(AUTOEVENTO="Manual",$M269=1),$M269&gt;(ROW(PLE.lastrow)-ROW(PLE.firstrow))),0,IF(OFFSET(PLE!$G$14,$M269,BD$13)="",10^12,OFFSET(PLE!$G$14,$M269,BD$13))))</f>
        <v>1000000000000</v>
      </c>
      <c r="BE269" s="182">
        <f ca="1">IF($D269&lt;&gt;"Serviço",0,IF(OR(AND(AUTOEVENTO="Manual",$M269=1),$M269&gt;(ROW(PLE.lastrow)-ROW(PLE.firstrow))),0,IF(OFFSET(PLE!$G$14,$M269,BE$13)="",10^12,OFFSET(PLE!$G$14,$M269,BE$13))))</f>
        <v>1000000000000</v>
      </c>
      <c r="BF269" s="182">
        <f ca="1">IF($D269&lt;&gt;"Serviço",0,IF(OR(AND(AUTOEVENTO="Manual",$M269=1),$M269&gt;(ROW(PLE.lastrow)-ROW(PLE.firstrow))),0,IF(OFFSET(PLE!$G$14,$M269,BF$13)="",10^12,OFFSET(PLE!$G$14,$M269,BF$13))))</f>
        <v>1000000000000</v>
      </c>
      <c r="BG269" s="182">
        <f ca="1">IF($D269&lt;&gt;"Serviço",0,IF(OR(AND(AUTOEVENTO="Manual",$M269=1),$M269&gt;(ROW(PLE.lastrow)-ROW(PLE.firstrow))),0,IF(OFFSET(PLE!$G$14,$M269,BG$13)="",10^12,OFFSET(PLE!$G$14,$M269,BG$13))))</f>
        <v>1000000000000</v>
      </c>
    </row>
    <row r="270" spans="1:59" ht="12.75" x14ac:dyDescent="0.2">
      <c r="A270" s="7" t="str">
        <f t="shared" ca="1" si="11"/>
        <v>233</v>
      </c>
      <c r="B270" s="7" t="str">
        <f ca="1">OFFSET(ORÇAMENTO!C$15,ROW(B270)-ROW(B$15),0)</f>
        <v>S</v>
      </c>
      <c r="C270" s="7" t="str">
        <f ca="1">OFFSET(ORÇAMENTO!L$15,ROW(C270)-ROW(C$15),0)</f>
        <v/>
      </c>
      <c r="D270" s="118" t="str">
        <f ca="1">OFFSET(ORÇAMENTO!N$15,ROW(D270)-ROW(D$15),0)</f>
        <v>Serviço</v>
      </c>
      <c r="E270" s="119" t="str">
        <f ca="1">OFFSET(ORÇAMENTO!O$15,ROW(E270)-ROW(E$15),0)</f>
        <v>-</v>
      </c>
      <c r="F270" s="172" t="str">
        <f ca="1">OFFSET(ORÇAMENTO!R$15,ROW(F270)-ROW(F$15),0)</f>
        <v>(abra o arquivo 'Referência 03-2024.xlsm)</v>
      </c>
      <c r="G270" s="173" t="str">
        <f ca="1">IF($D270&lt;&gt;"Serviço","",OFFSET(ORÇAMENTO!S$15,ROW(G270)-ROW(G$15),0))</f>
        <v>-</v>
      </c>
      <c r="H270" s="124">
        <f ca="1">IF($D270&lt;&gt;"Serviço",0,IF(ACOMPANHAMENTO="BM",ROUND(OFFSET(ORÇAMENTO!AJ$15,ROW(H270)-ROW(H$15),0),15-13*ORÇAMENTO!$AF$7),SUMPRODUCT(($Q$12:$AA$12&lt;&gt;"")*ROUND($Q270:$AA270,15-13*ORÇAMENTO!$AF$7))))</f>
        <v>0</v>
      </c>
      <c r="I270" s="561"/>
      <c r="K270" s="174"/>
      <c r="L270" s="175" t="s">
        <v>255</v>
      </c>
      <c r="M270" s="176">
        <f ca="1">IF($D270&lt;&gt;"Serviço","",IF(AUTOEVENTO="manual",$A270,IF(ISERROR(MATCH($A270,$A$15:OFFSET($A270,-1,0),0)),MAX($M$15:OFFSET(M270,-1,0))+1,INDEX($M$15:OFFSET(M270,-1,0),MATCH($A270,$A$15:OFFSET($A270,-1,0),0)))))</f>
        <v>14</v>
      </c>
      <c r="N270" s="177" t="str">
        <f ca="1">IF($D270&lt;&gt;"Serviço","",IF(AUTOEVENTO="Manual",IF($A270=0,"&lt;-- defina o número do agrupador",OFFSET(EVENTOS!$D$14,$A270,0)),OFFSET($F$15,$A270,0)))</f>
        <v>SERVIÇOS FINAIS</v>
      </c>
      <c r="O270" s="178"/>
      <c r="Q270" s="178"/>
      <c r="R270" s="179"/>
      <c r="S270" s="179"/>
      <c r="T270" s="179"/>
      <c r="U270" s="179"/>
      <c r="V270" s="179"/>
      <c r="W270" s="179"/>
      <c r="X270" s="179"/>
      <c r="Y270" s="179"/>
      <c r="Z270" s="180"/>
      <c r="AB270" s="544">
        <f ca="1">IF(AND($D270="Serviço",AB$12&lt;&gt;0,$H270&gt;0,OR(AUTOEVENTO&lt;&gt;"manual",$M270&lt;&gt;1)),
IF(Import.TipoArredondamento&lt;&gt;"TransfereGOV",
ROUND(OFFSET($P270,0,AB$13),15-13*ORÇAMENTO!$AF$7)/$H270*OFFSET(ORÇAMENTO!$X$15,ROW(AB270)-ROW(AB$15),0),
ROUND(ROUND(OFFSET($P270,0,AB$13),15-13*ORÇAMENTO!$AF$7)*OFFSET(ORÇAMENTO!$W$15,ROW(AB270)-ROW(AB$15),0),15-13*ORÇAMENTO!$AF$11)),0)</f>
        <v>0</v>
      </c>
      <c r="AC270" s="545">
        <f ca="1">IF(AND($D270="Serviço",AC$12&lt;&gt;0,$H270&gt;0,OR(AUTOEVENTO&lt;&gt;"manual",$M270&lt;&gt;1)),
IF(Import.TipoArredondamento&lt;&gt;"TransfereGOV",
ROUND(OFFSET($P270,0,AC$13),15-13*ORÇAMENTO!$AF$7)/$H270*OFFSET(ORÇAMENTO!$X$15,ROW(AC270)-ROW(AC$15),0),
ROUND(ROUND(OFFSET($P270,0,AC$13),15-13*ORÇAMENTO!$AF$7)*OFFSET(ORÇAMENTO!$W$15,ROW(AC270)-ROW(AC$15),0),15-13*ORÇAMENTO!$AF$11)),0)</f>
        <v>0</v>
      </c>
      <c r="AD270" s="545">
        <f ca="1">IF(AND($D270="Serviço",AD$12&lt;&gt;0,$H270&gt;0,OR(AUTOEVENTO&lt;&gt;"manual",$M270&lt;&gt;1)),
IF(Import.TipoArredondamento&lt;&gt;"TransfereGOV",
ROUND(OFFSET($P270,0,AD$13),15-13*ORÇAMENTO!$AF$7)/$H270*OFFSET(ORÇAMENTO!$X$15,ROW(AD270)-ROW(AD$15),0),
ROUND(ROUND(OFFSET($P270,0,AD$13),15-13*ORÇAMENTO!$AF$7)*OFFSET(ORÇAMENTO!$W$15,ROW(AD270)-ROW(AD$15),0),15-13*ORÇAMENTO!$AF$11)),0)</f>
        <v>0</v>
      </c>
      <c r="AE270" s="545">
        <f ca="1">IF(AND($D270="Serviço",AE$12&lt;&gt;0,$H270&gt;0,OR(AUTOEVENTO&lt;&gt;"manual",$M270&lt;&gt;1)),
IF(Import.TipoArredondamento&lt;&gt;"TransfereGOV",
ROUND(OFFSET($P270,0,AE$13),15-13*ORÇAMENTO!$AF$7)/$H270*OFFSET(ORÇAMENTO!$X$15,ROW(AE270)-ROW(AE$15),0),
ROUND(ROUND(OFFSET($P270,0,AE$13),15-13*ORÇAMENTO!$AF$7)*OFFSET(ORÇAMENTO!$W$15,ROW(AE270)-ROW(AE$15),0),15-13*ORÇAMENTO!$AF$11)),0)</f>
        <v>0</v>
      </c>
      <c r="AF270" s="545">
        <f ca="1">IF(AND($D270="Serviço",AF$12&lt;&gt;0,$H270&gt;0,OR(AUTOEVENTO&lt;&gt;"manual",$M270&lt;&gt;1)),
IF(Import.TipoArredondamento&lt;&gt;"TransfereGOV",
ROUND(OFFSET($P270,0,AF$13),15-13*ORÇAMENTO!$AF$7)/$H270*OFFSET(ORÇAMENTO!$X$15,ROW(AF270)-ROW(AF$15),0),
ROUND(ROUND(OFFSET($P270,0,AF$13),15-13*ORÇAMENTO!$AF$7)*OFFSET(ORÇAMENTO!$W$15,ROW(AF270)-ROW(AF$15),0),15-13*ORÇAMENTO!$AF$11)),0)</f>
        <v>0</v>
      </c>
      <c r="AG270" s="545">
        <f ca="1">IF(AND($D270="Serviço",AG$12&lt;&gt;0,$H270&gt;0,OR(AUTOEVENTO&lt;&gt;"manual",$M270&lt;&gt;1)),
IF(Import.TipoArredondamento&lt;&gt;"TransfereGOV",
ROUND(OFFSET($P270,0,AG$13),15-13*ORÇAMENTO!$AF$7)/$H270*OFFSET(ORÇAMENTO!$X$15,ROW(AG270)-ROW(AG$15),0),
ROUND(ROUND(OFFSET($P270,0,AG$13),15-13*ORÇAMENTO!$AF$7)*OFFSET(ORÇAMENTO!$W$15,ROW(AG270)-ROW(AG$15),0),15-13*ORÇAMENTO!$AF$11)),0)</f>
        <v>0</v>
      </c>
      <c r="AH270" s="545">
        <f ca="1">IF(AND($D270="Serviço",AH$12&lt;&gt;0,$H270&gt;0,OR(AUTOEVENTO&lt;&gt;"manual",$M270&lt;&gt;1)),
IF(Import.TipoArredondamento&lt;&gt;"TransfereGOV",
ROUND(OFFSET($P270,0,AH$13),15-13*ORÇAMENTO!$AF$7)/$H270*OFFSET(ORÇAMENTO!$X$15,ROW(AH270)-ROW(AH$15),0),
ROUND(ROUND(OFFSET($P270,0,AH$13),15-13*ORÇAMENTO!$AF$7)*OFFSET(ORÇAMENTO!$W$15,ROW(AH270)-ROW(AH$15),0),15-13*ORÇAMENTO!$AF$11)),0)</f>
        <v>0</v>
      </c>
      <c r="AI270" s="545">
        <f ca="1">IF(AND($D270="Serviço",AI$12&lt;&gt;0,$H270&gt;0,OR(AUTOEVENTO&lt;&gt;"manual",$M270&lt;&gt;1)),
IF(Import.TipoArredondamento&lt;&gt;"TransfereGOV",
ROUND(OFFSET($P270,0,AI$13),15-13*ORÇAMENTO!$AF$7)/$H270*OFFSET(ORÇAMENTO!$X$15,ROW(AI270)-ROW(AI$15),0),
ROUND(ROUND(OFFSET($P270,0,AI$13),15-13*ORÇAMENTO!$AF$7)*OFFSET(ORÇAMENTO!$W$15,ROW(AI270)-ROW(AI$15),0),15-13*ORÇAMENTO!$AF$11)),0)</f>
        <v>0</v>
      </c>
      <c r="AJ270" s="545">
        <f ca="1">IF(AND($D270="Serviço",AJ$12&lt;&gt;0,$H270&gt;0,OR(AUTOEVENTO&lt;&gt;"manual",$M270&lt;&gt;1)),
IF(Import.TipoArredondamento&lt;&gt;"TransfereGOV",
ROUND(OFFSET($P270,0,AJ$13),15-13*ORÇAMENTO!$AF$7)/$H270*OFFSET(ORÇAMENTO!$X$15,ROW(AJ270)-ROW(AJ$15),0),
ROUND(ROUND(OFFSET($P270,0,AJ$13),15-13*ORÇAMENTO!$AF$7)*OFFSET(ORÇAMENTO!$W$15,ROW(AJ270)-ROW(AJ$15),0),15-13*ORÇAMENTO!$AF$11)),0)</f>
        <v>0</v>
      </c>
      <c r="AK270" s="546">
        <f ca="1">IF(AND($D270="Serviço",AK$12&lt;&gt;0,$H270&gt;0,OR(AUTOEVENTO&lt;&gt;"manual",$M270&lt;&gt;1)),
IF(Import.TipoArredondamento&lt;&gt;"TransfereGOV",
ROUND(OFFSET($P270,0,AK$13),15-13*ORÇAMENTO!$AF$7)/$H270*OFFSET(ORÇAMENTO!$X$15,ROW(AK270)-ROW(AK$15),0),
ROUND(ROUND(OFFSET($P270,0,AK$13),15-13*ORÇAMENTO!$AF$7)*OFFSET(ORÇAMENTO!$W$15,ROW(AK270)-ROW(AK$15),0),15-13*ORÇAMENTO!$AF$11)),0)</f>
        <v>0</v>
      </c>
      <c r="AM270" s="181">
        <f ca="1">IF($D270&lt;&gt;"Serviço",0,IF(AND(AUTOEVENTO="Manual",$M270=1),0,IF(OFFSET(CRONOPLE!$F$14,$M270,AM$13)="",10^12,OFFSET(CRONOPLE!$F$14,$M270,AM$13))))</f>
        <v>1000000000000</v>
      </c>
      <c r="AN270" s="181">
        <f ca="1">IF($D270&lt;&gt;"Serviço",0,IF(AND(AUTOEVENTO="Manual",$M270=1),0,IF(OFFSET(CRONOPLE!$F$14,$M270,AN$13)="",10^12,OFFSET(CRONOPLE!$F$14,$M270,AN$13))))</f>
        <v>1000000000000</v>
      </c>
      <c r="AO270" s="181">
        <f ca="1">IF($D270&lt;&gt;"Serviço",0,IF(AND(AUTOEVENTO="Manual",$M270=1),0,IF(OFFSET(CRONOPLE!$F$14,$M270,AO$13)="",10^12,OFFSET(CRONOPLE!$F$14,$M270,AO$13))))</f>
        <v>1000000000000</v>
      </c>
      <c r="AP270" s="181">
        <f ca="1">IF($D270&lt;&gt;"Serviço",0,IF(AND(AUTOEVENTO="Manual",$M270=1),0,IF(OFFSET(CRONOPLE!$F$14,$M270,AP$13)="",10^12,OFFSET(CRONOPLE!$F$14,$M270,AP$13))))</f>
        <v>1000000000000</v>
      </c>
      <c r="AQ270" s="181">
        <f ca="1">IF($D270&lt;&gt;"Serviço",0,IF(AND(AUTOEVENTO="Manual",$M270=1),0,IF(OFFSET(CRONOPLE!$F$14,$M270,AQ$13)="",10^12,OFFSET(CRONOPLE!$F$14,$M270,AQ$13))))</f>
        <v>1000000000000</v>
      </c>
      <c r="AR270" s="181">
        <f ca="1">IF($D270&lt;&gt;"Serviço",0,IF(AND(AUTOEVENTO="Manual",$M270=1),0,IF(OFFSET(CRONOPLE!$F$14,$M270,AR$13)="",10^12,OFFSET(CRONOPLE!$F$14,$M270,AR$13))))</f>
        <v>1000000000000</v>
      </c>
      <c r="AS270" s="181">
        <f ca="1">IF($D270&lt;&gt;"Serviço",0,IF(AND(AUTOEVENTO="Manual",$M270=1),0,IF(OFFSET(CRONOPLE!$F$14,$M270,AS$13)="",10^12,OFFSET(CRONOPLE!$F$14,$M270,AS$13))))</f>
        <v>1000000000000</v>
      </c>
      <c r="AT270" s="181">
        <f ca="1">IF($D270&lt;&gt;"Serviço",0,IF(AND(AUTOEVENTO="Manual",$M270=1),0,IF(OFFSET(CRONOPLE!$F$14,$M270,AT$13)="",10^12,OFFSET(CRONOPLE!$F$14,$M270,AT$13))))</f>
        <v>1000000000000</v>
      </c>
      <c r="AU270" s="181">
        <f ca="1">IF($D270&lt;&gt;"Serviço",0,IF(AND(AUTOEVENTO="Manual",$M270=1),0,IF(OFFSET(CRONOPLE!$F$14,$M270,AU$13)="",10^12,OFFSET(CRONOPLE!$F$14,$M270,AU$13))))</f>
        <v>1000000000000</v>
      </c>
      <c r="AV270" s="181">
        <f ca="1">IF($D270&lt;&gt;"Serviço",0,IF(AND(AUTOEVENTO="Manual",$M270=1),0,IF(OFFSET(CRONOPLE!$F$14,$M270,AV$13)="",10^12,OFFSET(CRONOPLE!$F$14,$M270,AV$13))))</f>
        <v>1000000000000</v>
      </c>
      <c r="AX270" s="182">
        <f ca="1">IF($D270&lt;&gt;"Serviço",0,IF(OR(AND(AUTOEVENTO="Manual",$M270=1),$M270&gt;(ROW(PLE.lastrow)-ROW(PLE.firstrow))),0,IF(OFFSET(PLE!$G$14,$M270,AX$13)="",10^12,OFFSET(PLE!$G$14,$M270,AX$13))))</f>
        <v>1000000000000</v>
      </c>
      <c r="AY270" s="182">
        <f ca="1">IF($D270&lt;&gt;"Serviço",0,IF(OR(AND(AUTOEVENTO="Manual",$M270=1),$M270&gt;(ROW(PLE.lastrow)-ROW(PLE.firstrow))),0,IF(OFFSET(PLE!$G$14,$M270,AY$13)="",10^12,OFFSET(PLE!$G$14,$M270,AY$13))))</f>
        <v>1000000000000</v>
      </c>
      <c r="AZ270" s="182">
        <f ca="1">IF($D270&lt;&gt;"Serviço",0,IF(OR(AND(AUTOEVENTO="Manual",$M270=1),$M270&gt;(ROW(PLE.lastrow)-ROW(PLE.firstrow))),0,IF(OFFSET(PLE!$G$14,$M270,AZ$13)="",10^12,OFFSET(PLE!$G$14,$M270,AZ$13))))</f>
        <v>1000000000000</v>
      </c>
      <c r="BA270" s="182">
        <f ca="1">IF($D270&lt;&gt;"Serviço",0,IF(OR(AND(AUTOEVENTO="Manual",$M270=1),$M270&gt;(ROW(PLE.lastrow)-ROW(PLE.firstrow))),0,IF(OFFSET(PLE!$G$14,$M270,BA$13)="",10^12,OFFSET(PLE!$G$14,$M270,BA$13))))</f>
        <v>1000000000000</v>
      </c>
      <c r="BB270" s="182">
        <f ca="1">IF($D270&lt;&gt;"Serviço",0,IF(OR(AND(AUTOEVENTO="Manual",$M270=1),$M270&gt;(ROW(PLE.lastrow)-ROW(PLE.firstrow))),0,IF(OFFSET(PLE!$G$14,$M270,BB$13)="",10^12,OFFSET(PLE!$G$14,$M270,BB$13))))</f>
        <v>1000000000000</v>
      </c>
      <c r="BC270" s="182">
        <f ca="1">IF($D270&lt;&gt;"Serviço",0,IF(OR(AND(AUTOEVENTO="Manual",$M270=1),$M270&gt;(ROW(PLE.lastrow)-ROW(PLE.firstrow))),0,IF(OFFSET(PLE!$G$14,$M270,BC$13)="",10^12,OFFSET(PLE!$G$14,$M270,BC$13))))</f>
        <v>1000000000000</v>
      </c>
      <c r="BD270" s="182">
        <f ca="1">IF($D270&lt;&gt;"Serviço",0,IF(OR(AND(AUTOEVENTO="Manual",$M270=1),$M270&gt;(ROW(PLE.lastrow)-ROW(PLE.firstrow))),0,IF(OFFSET(PLE!$G$14,$M270,BD$13)="",10^12,OFFSET(PLE!$G$14,$M270,BD$13))))</f>
        <v>1000000000000</v>
      </c>
      <c r="BE270" s="182">
        <f ca="1">IF($D270&lt;&gt;"Serviço",0,IF(OR(AND(AUTOEVENTO="Manual",$M270=1),$M270&gt;(ROW(PLE.lastrow)-ROW(PLE.firstrow))),0,IF(OFFSET(PLE!$G$14,$M270,BE$13)="",10^12,OFFSET(PLE!$G$14,$M270,BE$13))))</f>
        <v>1000000000000</v>
      </c>
      <c r="BF270" s="182">
        <f ca="1">IF($D270&lt;&gt;"Serviço",0,IF(OR(AND(AUTOEVENTO="Manual",$M270=1),$M270&gt;(ROW(PLE.lastrow)-ROW(PLE.firstrow))),0,IF(OFFSET(PLE!$G$14,$M270,BF$13)="",10^12,OFFSET(PLE!$G$14,$M270,BF$13))))</f>
        <v>1000000000000</v>
      </c>
      <c r="BG270" s="182">
        <f ca="1">IF($D270&lt;&gt;"Serviço",0,IF(OR(AND(AUTOEVENTO="Manual",$M270=1),$M270&gt;(ROW(PLE.lastrow)-ROW(PLE.firstrow))),0,IF(OFFSET(PLE!$G$14,$M270,BG$13)="",10^12,OFFSET(PLE!$G$14,$M270,BG$13))))</f>
        <v>1000000000000</v>
      </c>
    </row>
    <row r="271" spans="1:59" ht="12.75" x14ac:dyDescent="0.2">
      <c r="A271" s="7" t="str">
        <f t="shared" ca="1" si="11"/>
        <v>233</v>
      </c>
      <c r="B271" s="7" t="str">
        <f ca="1">OFFSET(ORÇAMENTO!C$15,ROW(B271)-ROW(B$15),0)</f>
        <v>S</v>
      </c>
      <c r="C271" s="7" t="str">
        <f ca="1">OFFSET(ORÇAMENTO!L$15,ROW(C271)-ROW(C$15),0)</f>
        <v/>
      </c>
      <c r="D271" s="118" t="str">
        <f ca="1">OFFSET(ORÇAMENTO!N$15,ROW(D271)-ROW(D$15),0)</f>
        <v>Serviço</v>
      </c>
      <c r="E271" s="119" t="str">
        <f ca="1">OFFSET(ORÇAMENTO!O$15,ROW(E271)-ROW(E$15),0)</f>
        <v>-</v>
      </c>
      <c r="F271" s="172" t="str">
        <f ca="1">OFFSET(ORÇAMENTO!R$15,ROW(F271)-ROW(F$15),0)</f>
        <v>(abra o arquivo 'Referência 03-2024.xlsm)</v>
      </c>
      <c r="G271" s="173" t="str">
        <f ca="1">IF($D271&lt;&gt;"Serviço","",OFFSET(ORÇAMENTO!S$15,ROW(G271)-ROW(G$15),0))</f>
        <v>-</v>
      </c>
      <c r="H271" s="124">
        <f ca="1">IF($D271&lt;&gt;"Serviço",0,IF(ACOMPANHAMENTO="BM",ROUND(OFFSET(ORÇAMENTO!AJ$15,ROW(H271)-ROW(H$15),0),15-13*ORÇAMENTO!$AF$7),SUMPRODUCT(($Q$12:$AA$12&lt;&gt;"")*ROUND($Q271:$AA271,15-13*ORÇAMENTO!$AF$7))))</f>
        <v>0</v>
      </c>
      <c r="I271" s="561"/>
      <c r="K271" s="174"/>
      <c r="L271" s="175" t="s">
        <v>255</v>
      </c>
      <c r="M271" s="176">
        <f ca="1">IF($D271&lt;&gt;"Serviço","",IF(AUTOEVENTO="manual",$A271,IF(ISERROR(MATCH($A271,$A$15:OFFSET($A271,-1,0),0)),MAX($M$15:OFFSET(M271,-1,0))+1,INDEX($M$15:OFFSET(M271,-1,0),MATCH($A271,$A$15:OFFSET($A271,-1,0),0)))))</f>
        <v>14</v>
      </c>
      <c r="N271" s="177" t="str">
        <f ca="1">IF($D271&lt;&gt;"Serviço","",IF(AUTOEVENTO="Manual",IF($A271=0,"&lt;-- defina o número do agrupador",OFFSET(EVENTOS!$D$14,$A271,0)),OFFSET($F$15,$A271,0)))</f>
        <v>SERVIÇOS FINAIS</v>
      </c>
      <c r="O271" s="178"/>
      <c r="Q271" s="178"/>
      <c r="R271" s="179"/>
      <c r="S271" s="179"/>
      <c r="T271" s="179"/>
      <c r="U271" s="179"/>
      <c r="V271" s="179"/>
      <c r="W271" s="179"/>
      <c r="X271" s="179"/>
      <c r="Y271" s="179"/>
      <c r="Z271" s="180"/>
      <c r="AB271" s="544">
        <f ca="1">IF(AND($D271="Serviço",AB$12&lt;&gt;0,$H271&gt;0,OR(AUTOEVENTO&lt;&gt;"manual",$M271&lt;&gt;1)),
IF(Import.TipoArredondamento&lt;&gt;"TransfereGOV",
ROUND(OFFSET($P271,0,AB$13),15-13*ORÇAMENTO!$AF$7)/$H271*OFFSET(ORÇAMENTO!$X$15,ROW(AB271)-ROW(AB$15),0),
ROUND(ROUND(OFFSET($P271,0,AB$13),15-13*ORÇAMENTO!$AF$7)*OFFSET(ORÇAMENTO!$W$15,ROW(AB271)-ROW(AB$15),0),15-13*ORÇAMENTO!$AF$11)),0)</f>
        <v>0</v>
      </c>
      <c r="AC271" s="545">
        <f ca="1">IF(AND($D271="Serviço",AC$12&lt;&gt;0,$H271&gt;0,OR(AUTOEVENTO&lt;&gt;"manual",$M271&lt;&gt;1)),
IF(Import.TipoArredondamento&lt;&gt;"TransfereGOV",
ROUND(OFFSET($P271,0,AC$13),15-13*ORÇAMENTO!$AF$7)/$H271*OFFSET(ORÇAMENTO!$X$15,ROW(AC271)-ROW(AC$15),0),
ROUND(ROUND(OFFSET($P271,0,AC$13),15-13*ORÇAMENTO!$AF$7)*OFFSET(ORÇAMENTO!$W$15,ROW(AC271)-ROW(AC$15),0),15-13*ORÇAMENTO!$AF$11)),0)</f>
        <v>0</v>
      </c>
      <c r="AD271" s="545">
        <f ca="1">IF(AND($D271="Serviço",AD$12&lt;&gt;0,$H271&gt;0,OR(AUTOEVENTO&lt;&gt;"manual",$M271&lt;&gt;1)),
IF(Import.TipoArredondamento&lt;&gt;"TransfereGOV",
ROUND(OFFSET($P271,0,AD$13),15-13*ORÇAMENTO!$AF$7)/$H271*OFFSET(ORÇAMENTO!$X$15,ROW(AD271)-ROW(AD$15),0),
ROUND(ROUND(OFFSET($P271,0,AD$13),15-13*ORÇAMENTO!$AF$7)*OFFSET(ORÇAMENTO!$W$15,ROW(AD271)-ROW(AD$15),0),15-13*ORÇAMENTO!$AF$11)),0)</f>
        <v>0</v>
      </c>
      <c r="AE271" s="545">
        <f ca="1">IF(AND($D271="Serviço",AE$12&lt;&gt;0,$H271&gt;0,OR(AUTOEVENTO&lt;&gt;"manual",$M271&lt;&gt;1)),
IF(Import.TipoArredondamento&lt;&gt;"TransfereGOV",
ROUND(OFFSET($P271,0,AE$13),15-13*ORÇAMENTO!$AF$7)/$H271*OFFSET(ORÇAMENTO!$X$15,ROW(AE271)-ROW(AE$15),0),
ROUND(ROUND(OFFSET($P271,0,AE$13),15-13*ORÇAMENTO!$AF$7)*OFFSET(ORÇAMENTO!$W$15,ROW(AE271)-ROW(AE$15),0),15-13*ORÇAMENTO!$AF$11)),0)</f>
        <v>0</v>
      </c>
      <c r="AF271" s="545">
        <f ca="1">IF(AND($D271="Serviço",AF$12&lt;&gt;0,$H271&gt;0,OR(AUTOEVENTO&lt;&gt;"manual",$M271&lt;&gt;1)),
IF(Import.TipoArredondamento&lt;&gt;"TransfereGOV",
ROUND(OFFSET($P271,0,AF$13),15-13*ORÇAMENTO!$AF$7)/$H271*OFFSET(ORÇAMENTO!$X$15,ROW(AF271)-ROW(AF$15),0),
ROUND(ROUND(OFFSET($P271,0,AF$13),15-13*ORÇAMENTO!$AF$7)*OFFSET(ORÇAMENTO!$W$15,ROW(AF271)-ROW(AF$15),0),15-13*ORÇAMENTO!$AF$11)),0)</f>
        <v>0</v>
      </c>
      <c r="AG271" s="545">
        <f ca="1">IF(AND($D271="Serviço",AG$12&lt;&gt;0,$H271&gt;0,OR(AUTOEVENTO&lt;&gt;"manual",$M271&lt;&gt;1)),
IF(Import.TipoArredondamento&lt;&gt;"TransfereGOV",
ROUND(OFFSET($P271,0,AG$13),15-13*ORÇAMENTO!$AF$7)/$H271*OFFSET(ORÇAMENTO!$X$15,ROW(AG271)-ROW(AG$15),0),
ROUND(ROUND(OFFSET($P271,0,AG$13),15-13*ORÇAMENTO!$AF$7)*OFFSET(ORÇAMENTO!$W$15,ROW(AG271)-ROW(AG$15),0),15-13*ORÇAMENTO!$AF$11)),0)</f>
        <v>0</v>
      </c>
      <c r="AH271" s="545">
        <f ca="1">IF(AND($D271="Serviço",AH$12&lt;&gt;0,$H271&gt;0,OR(AUTOEVENTO&lt;&gt;"manual",$M271&lt;&gt;1)),
IF(Import.TipoArredondamento&lt;&gt;"TransfereGOV",
ROUND(OFFSET($P271,0,AH$13),15-13*ORÇAMENTO!$AF$7)/$H271*OFFSET(ORÇAMENTO!$X$15,ROW(AH271)-ROW(AH$15),0),
ROUND(ROUND(OFFSET($P271,0,AH$13),15-13*ORÇAMENTO!$AF$7)*OFFSET(ORÇAMENTO!$W$15,ROW(AH271)-ROW(AH$15),0),15-13*ORÇAMENTO!$AF$11)),0)</f>
        <v>0</v>
      </c>
      <c r="AI271" s="545">
        <f ca="1">IF(AND($D271="Serviço",AI$12&lt;&gt;0,$H271&gt;0,OR(AUTOEVENTO&lt;&gt;"manual",$M271&lt;&gt;1)),
IF(Import.TipoArredondamento&lt;&gt;"TransfereGOV",
ROUND(OFFSET($P271,0,AI$13),15-13*ORÇAMENTO!$AF$7)/$H271*OFFSET(ORÇAMENTO!$X$15,ROW(AI271)-ROW(AI$15),0),
ROUND(ROUND(OFFSET($P271,0,AI$13),15-13*ORÇAMENTO!$AF$7)*OFFSET(ORÇAMENTO!$W$15,ROW(AI271)-ROW(AI$15),0),15-13*ORÇAMENTO!$AF$11)),0)</f>
        <v>0</v>
      </c>
      <c r="AJ271" s="545">
        <f ca="1">IF(AND($D271="Serviço",AJ$12&lt;&gt;0,$H271&gt;0,OR(AUTOEVENTO&lt;&gt;"manual",$M271&lt;&gt;1)),
IF(Import.TipoArredondamento&lt;&gt;"TransfereGOV",
ROUND(OFFSET($P271,0,AJ$13),15-13*ORÇAMENTO!$AF$7)/$H271*OFFSET(ORÇAMENTO!$X$15,ROW(AJ271)-ROW(AJ$15),0),
ROUND(ROUND(OFFSET($P271,0,AJ$13),15-13*ORÇAMENTO!$AF$7)*OFFSET(ORÇAMENTO!$W$15,ROW(AJ271)-ROW(AJ$15),0),15-13*ORÇAMENTO!$AF$11)),0)</f>
        <v>0</v>
      </c>
      <c r="AK271" s="546">
        <f ca="1">IF(AND($D271="Serviço",AK$12&lt;&gt;0,$H271&gt;0,OR(AUTOEVENTO&lt;&gt;"manual",$M271&lt;&gt;1)),
IF(Import.TipoArredondamento&lt;&gt;"TransfereGOV",
ROUND(OFFSET($P271,0,AK$13),15-13*ORÇAMENTO!$AF$7)/$H271*OFFSET(ORÇAMENTO!$X$15,ROW(AK271)-ROW(AK$15),0),
ROUND(ROUND(OFFSET($P271,0,AK$13),15-13*ORÇAMENTO!$AF$7)*OFFSET(ORÇAMENTO!$W$15,ROW(AK271)-ROW(AK$15),0),15-13*ORÇAMENTO!$AF$11)),0)</f>
        <v>0</v>
      </c>
      <c r="AM271" s="181">
        <f ca="1">IF($D271&lt;&gt;"Serviço",0,IF(AND(AUTOEVENTO="Manual",$M271=1),0,IF(OFFSET(CRONOPLE!$F$14,$M271,AM$13)="",10^12,OFFSET(CRONOPLE!$F$14,$M271,AM$13))))</f>
        <v>1000000000000</v>
      </c>
      <c r="AN271" s="181">
        <f ca="1">IF($D271&lt;&gt;"Serviço",0,IF(AND(AUTOEVENTO="Manual",$M271=1),0,IF(OFFSET(CRONOPLE!$F$14,$M271,AN$13)="",10^12,OFFSET(CRONOPLE!$F$14,$M271,AN$13))))</f>
        <v>1000000000000</v>
      </c>
      <c r="AO271" s="181">
        <f ca="1">IF($D271&lt;&gt;"Serviço",0,IF(AND(AUTOEVENTO="Manual",$M271=1),0,IF(OFFSET(CRONOPLE!$F$14,$M271,AO$13)="",10^12,OFFSET(CRONOPLE!$F$14,$M271,AO$13))))</f>
        <v>1000000000000</v>
      </c>
      <c r="AP271" s="181">
        <f ca="1">IF($D271&lt;&gt;"Serviço",0,IF(AND(AUTOEVENTO="Manual",$M271=1),0,IF(OFFSET(CRONOPLE!$F$14,$M271,AP$13)="",10^12,OFFSET(CRONOPLE!$F$14,$M271,AP$13))))</f>
        <v>1000000000000</v>
      </c>
      <c r="AQ271" s="181">
        <f ca="1">IF($D271&lt;&gt;"Serviço",0,IF(AND(AUTOEVENTO="Manual",$M271=1),0,IF(OFFSET(CRONOPLE!$F$14,$M271,AQ$13)="",10^12,OFFSET(CRONOPLE!$F$14,$M271,AQ$13))))</f>
        <v>1000000000000</v>
      </c>
      <c r="AR271" s="181">
        <f ca="1">IF($D271&lt;&gt;"Serviço",0,IF(AND(AUTOEVENTO="Manual",$M271=1),0,IF(OFFSET(CRONOPLE!$F$14,$M271,AR$13)="",10^12,OFFSET(CRONOPLE!$F$14,$M271,AR$13))))</f>
        <v>1000000000000</v>
      </c>
      <c r="AS271" s="181">
        <f ca="1">IF($D271&lt;&gt;"Serviço",0,IF(AND(AUTOEVENTO="Manual",$M271=1),0,IF(OFFSET(CRONOPLE!$F$14,$M271,AS$13)="",10^12,OFFSET(CRONOPLE!$F$14,$M271,AS$13))))</f>
        <v>1000000000000</v>
      </c>
      <c r="AT271" s="181">
        <f ca="1">IF($D271&lt;&gt;"Serviço",0,IF(AND(AUTOEVENTO="Manual",$M271=1),0,IF(OFFSET(CRONOPLE!$F$14,$M271,AT$13)="",10^12,OFFSET(CRONOPLE!$F$14,$M271,AT$13))))</f>
        <v>1000000000000</v>
      </c>
      <c r="AU271" s="181">
        <f ca="1">IF($D271&lt;&gt;"Serviço",0,IF(AND(AUTOEVENTO="Manual",$M271=1),0,IF(OFFSET(CRONOPLE!$F$14,$M271,AU$13)="",10^12,OFFSET(CRONOPLE!$F$14,$M271,AU$13))))</f>
        <v>1000000000000</v>
      </c>
      <c r="AV271" s="181">
        <f ca="1">IF($D271&lt;&gt;"Serviço",0,IF(AND(AUTOEVENTO="Manual",$M271=1),0,IF(OFFSET(CRONOPLE!$F$14,$M271,AV$13)="",10^12,OFFSET(CRONOPLE!$F$14,$M271,AV$13))))</f>
        <v>1000000000000</v>
      </c>
      <c r="AX271" s="182">
        <f ca="1">IF($D271&lt;&gt;"Serviço",0,IF(OR(AND(AUTOEVENTO="Manual",$M271=1),$M271&gt;(ROW(PLE.lastrow)-ROW(PLE.firstrow))),0,IF(OFFSET(PLE!$G$14,$M271,AX$13)="",10^12,OFFSET(PLE!$G$14,$M271,AX$13))))</f>
        <v>1000000000000</v>
      </c>
      <c r="AY271" s="182">
        <f ca="1">IF($D271&lt;&gt;"Serviço",0,IF(OR(AND(AUTOEVENTO="Manual",$M271=1),$M271&gt;(ROW(PLE.lastrow)-ROW(PLE.firstrow))),0,IF(OFFSET(PLE!$G$14,$M271,AY$13)="",10^12,OFFSET(PLE!$G$14,$M271,AY$13))))</f>
        <v>1000000000000</v>
      </c>
      <c r="AZ271" s="182">
        <f ca="1">IF($D271&lt;&gt;"Serviço",0,IF(OR(AND(AUTOEVENTO="Manual",$M271=1),$M271&gt;(ROW(PLE.lastrow)-ROW(PLE.firstrow))),0,IF(OFFSET(PLE!$G$14,$M271,AZ$13)="",10^12,OFFSET(PLE!$G$14,$M271,AZ$13))))</f>
        <v>1000000000000</v>
      </c>
      <c r="BA271" s="182">
        <f ca="1">IF($D271&lt;&gt;"Serviço",0,IF(OR(AND(AUTOEVENTO="Manual",$M271=1),$M271&gt;(ROW(PLE.lastrow)-ROW(PLE.firstrow))),0,IF(OFFSET(PLE!$G$14,$M271,BA$13)="",10^12,OFFSET(PLE!$G$14,$M271,BA$13))))</f>
        <v>1000000000000</v>
      </c>
      <c r="BB271" s="182">
        <f ca="1">IF($D271&lt;&gt;"Serviço",0,IF(OR(AND(AUTOEVENTO="Manual",$M271=1),$M271&gt;(ROW(PLE.lastrow)-ROW(PLE.firstrow))),0,IF(OFFSET(PLE!$G$14,$M271,BB$13)="",10^12,OFFSET(PLE!$G$14,$M271,BB$13))))</f>
        <v>1000000000000</v>
      </c>
      <c r="BC271" s="182">
        <f ca="1">IF($D271&lt;&gt;"Serviço",0,IF(OR(AND(AUTOEVENTO="Manual",$M271=1),$M271&gt;(ROW(PLE.lastrow)-ROW(PLE.firstrow))),0,IF(OFFSET(PLE!$G$14,$M271,BC$13)="",10^12,OFFSET(PLE!$G$14,$M271,BC$13))))</f>
        <v>1000000000000</v>
      </c>
      <c r="BD271" s="182">
        <f ca="1">IF($D271&lt;&gt;"Serviço",0,IF(OR(AND(AUTOEVENTO="Manual",$M271=1),$M271&gt;(ROW(PLE.lastrow)-ROW(PLE.firstrow))),0,IF(OFFSET(PLE!$G$14,$M271,BD$13)="",10^12,OFFSET(PLE!$G$14,$M271,BD$13))))</f>
        <v>1000000000000</v>
      </c>
      <c r="BE271" s="182">
        <f ca="1">IF($D271&lt;&gt;"Serviço",0,IF(OR(AND(AUTOEVENTO="Manual",$M271=1),$M271&gt;(ROW(PLE.lastrow)-ROW(PLE.firstrow))),0,IF(OFFSET(PLE!$G$14,$M271,BE$13)="",10^12,OFFSET(PLE!$G$14,$M271,BE$13))))</f>
        <v>1000000000000</v>
      </c>
      <c r="BF271" s="182">
        <f ca="1">IF($D271&lt;&gt;"Serviço",0,IF(OR(AND(AUTOEVENTO="Manual",$M271=1),$M271&gt;(ROW(PLE.lastrow)-ROW(PLE.firstrow))),0,IF(OFFSET(PLE!$G$14,$M271,BF$13)="",10^12,OFFSET(PLE!$G$14,$M271,BF$13))))</f>
        <v>1000000000000</v>
      </c>
      <c r="BG271" s="182">
        <f ca="1">IF($D271&lt;&gt;"Serviço",0,IF(OR(AND(AUTOEVENTO="Manual",$M271=1),$M271&gt;(ROW(PLE.lastrow)-ROW(PLE.firstrow))),0,IF(OFFSET(PLE!$G$14,$M271,BG$13)="",10^12,OFFSET(PLE!$G$14,$M271,BG$13))))</f>
        <v>1000000000000</v>
      </c>
    </row>
    <row r="272" spans="1:59" ht="12.75" x14ac:dyDescent="0.2">
      <c r="A272" s="7" t="str">
        <f t="shared" ca="1" si="11"/>
        <v>233</v>
      </c>
      <c r="B272" s="7" t="str">
        <f ca="1">OFFSET(ORÇAMENTO!C$15,ROW(B272)-ROW(B$15),0)</f>
        <v>S</v>
      </c>
      <c r="C272" s="7" t="str">
        <f ca="1">OFFSET(ORÇAMENTO!L$15,ROW(C272)-ROW(C$15),0)</f>
        <v/>
      </c>
      <c r="D272" s="118" t="str">
        <f ca="1">OFFSET(ORÇAMENTO!N$15,ROW(D272)-ROW(D$15),0)</f>
        <v>Serviço</v>
      </c>
      <c r="E272" s="119" t="str">
        <f ca="1">OFFSET(ORÇAMENTO!O$15,ROW(E272)-ROW(E$15),0)</f>
        <v>-</v>
      </c>
      <c r="F272" s="172" t="str">
        <f ca="1">OFFSET(ORÇAMENTO!R$15,ROW(F272)-ROW(F$15),0)</f>
        <v>(abra o arquivo 'Referência 03-2024.xlsm)</v>
      </c>
      <c r="G272" s="173" t="str">
        <f ca="1">IF($D272&lt;&gt;"Serviço","",OFFSET(ORÇAMENTO!S$15,ROW(G272)-ROW(G$15),0))</f>
        <v>-</v>
      </c>
      <c r="H272" s="124">
        <f ca="1">IF($D272&lt;&gt;"Serviço",0,IF(ACOMPANHAMENTO="BM",ROUND(OFFSET(ORÇAMENTO!AJ$15,ROW(H272)-ROW(H$15),0),15-13*ORÇAMENTO!$AF$7),SUMPRODUCT(($Q$12:$AA$12&lt;&gt;"")*ROUND($Q272:$AA272,15-13*ORÇAMENTO!$AF$7))))</f>
        <v>0</v>
      </c>
      <c r="I272" s="561"/>
      <c r="K272" s="174"/>
      <c r="L272" s="175" t="s">
        <v>255</v>
      </c>
      <c r="M272" s="176">
        <f ca="1">IF($D272&lt;&gt;"Serviço","",IF(AUTOEVENTO="manual",$A272,IF(ISERROR(MATCH($A272,$A$15:OFFSET($A272,-1,0),0)),MAX($M$15:OFFSET(M272,-1,0))+1,INDEX($M$15:OFFSET(M272,-1,0),MATCH($A272,$A$15:OFFSET($A272,-1,0),0)))))</f>
        <v>14</v>
      </c>
      <c r="N272" s="177" t="str">
        <f ca="1">IF($D272&lt;&gt;"Serviço","",IF(AUTOEVENTO="Manual",IF($A272=0,"&lt;-- defina o número do agrupador",OFFSET(EVENTOS!$D$14,$A272,0)),OFFSET($F$15,$A272,0)))</f>
        <v>SERVIÇOS FINAIS</v>
      </c>
      <c r="O272" s="178"/>
      <c r="Q272" s="178"/>
      <c r="R272" s="179"/>
      <c r="S272" s="179"/>
      <c r="T272" s="179"/>
      <c r="U272" s="179"/>
      <c r="V272" s="179"/>
      <c r="W272" s="179"/>
      <c r="X272" s="179"/>
      <c r="Y272" s="179"/>
      <c r="Z272" s="180"/>
      <c r="AB272" s="544">
        <f ca="1">IF(AND($D272="Serviço",AB$12&lt;&gt;0,$H272&gt;0,OR(AUTOEVENTO&lt;&gt;"manual",$M272&lt;&gt;1)),
IF(Import.TipoArredondamento&lt;&gt;"TransfereGOV",
ROUND(OFFSET($P272,0,AB$13),15-13*ORÇAMENTO!$AF$7)/$H272*OFFSET(ORÇAMENTO!$X$15,ROW(AB272)-ROW(AB$15),0),
ROUND(ROUND(OFFSET($P272,0,AB$13),15-13*ORÇAMENTO!$AF$7)*OFFSET(ORÇAMENTO!$W$15,ROW(AB272)-ROW(AB$15),0),15-13*ORÇAMENTO!$AF$11)),0)</f>
        <v>0</v>
      </c>
      <c r="AC272" s="545">
        <f ca="1">IF(AND($D272="Serviço",AC$12&lt;&gt;0,$H272&gt;0,OR(AUTOEVENTO&lt;&gt;"manual",$M272&lt;&gt;1)),
IF(Import.TipoArredondamento&lt;&gt;"TransfereGOV",
ROUND(OFFSET($P272,0,AC$13),15-13*ORÇAMENTO!$AF$7)/$H272*OFFSET(ORÇAMENTO!$X$15,ROW(AC272)-ROW(AC$15),0),
ROUND(ROUND(OFFSET($P272,0,AC$13),15-13*ORÇAMENTO!$AF$7)*OFFSET(ORÇAMENTO!$W$15,ROW(AC272)-ROW(AC$15),0),15-13*ORÇAMENTO!$AF$11)),0)</f>
        <v>0</v>
      </c>
      <c r="AD272" s="545">
        <f ca="1">IF(AND($D272="Serviço",AD$12&lt;&gt;0,$H272&gt;0,OR(AUTOEVENTO&lt;&gt;"manual",$M272&lt;&gt;1)),
IF(Import.TipoArredondamento&lt;&gt;"TransfereGOV",
ROUND(OFFSET($P272,0,AD$13),15-13*ORÇAMENTO!$AF$7)/$H272*OFFSET(ORÇAMENTO!$X$15,ROW(AD272)-ROW(AD$15),0),
ROUND(ROUND(OFFSET($P272,0,AD$13),15-13*ORÇAMENTO!$AF$7)*OFFSET(ORÇAMENTO!$W$15,ROW(AD272)-ROW(AD$15),0),15-13*ORÇAMENTO!$AF$11)),0)</f>
        <v>0</v>
      </c>
      <c r="AE272" s="545">
        <f ca="1">IF(AND($D272="Serviço",AE$12&lt;&gt;0,$H272&gt;0,OR(AUTOEVENTO&lt;&gt;"manual",$M272&lt;&gt;1)),
IF(Import.TipoArredondamento&lt;&gt;"TransfereGOV",
ROUND(OFFSET($P272,0,AE$13),15-13*ORÇAMENTO!$AF$7)/$H272*OFFSET(ORÇAMENTO!$X$15,ROW(AE272)-ROW(AE$15),0),
ROUND(ROUND(OFFSET($P272,0,AE$13),15-13*ORÇAMENTO!$AF$7)*OFFSET(ORÇAMENTO!$W$15,ROW(AE272)-ROW(AE$15),0),15-13*ORÇAMENTO!$AF$11)),0)</f>
        <v>0</v>
      </c>
      <c r="AF272" s="545">
        <f ca="1">IF(AND($D272="Serviço",AF$12&lt;&gt;0,$H272&gt;0,OR(AUTOEVENTO&lt;&gt;"manual",$M272&lt;&gt;1)),
IF(Import.TipoArredondamento&lt;&gt;"TransfereGOV",
ROUND(OFFSET($P272,0,AF$13),15-13*ORÇAMENTO!$AF$7)/$H272*OFFSET(ORÇAMENTO!$X$15,ROW(AF272)-ROW(AF$15),0),
ROUND(ROUND(OFFSET($P272,0,AF$13),15-13*ORÇAMENTO!$AF$7)*OFFSET(ORÇAMENTO!$W$15,ROW(AF272)-ROW(AF$15),0),15-13*ORÇAMENTO!$AF$11)),0)</f>
        <v>0</v>
      </c>
      <c r="AG272" s="545">
        <f ca="1">IF(AND($D272="Serviço",AG$12&lt;&gt;0,$H272&gt;0,OR(AUTOEVENTO&lt;&gt;"manual",$M272&lt;&gt;1)),
IF(Import.TipoArredondamento&lt;&gt;"TransfereGOV",
ROUND(OFFSET($P272,0,AG$13),15-13*ORÇAMENTO!$AF$7)/$H272*OFFSET(ORÇAMENTO!$X$15,ROW(AG272)-ROW(AG$15),0),
ROUND(ROUND(OFFSET($P272,0,AG$13),15-13*ORÇAMENTO!$AF$7)*OFFSET(ORÇAMENTO!$W$15,ROW(AG272)-ROW(AG$15),0),15-13*ORÇAMENTO!$AF$11)),0)</f>
        <v>0</v>
      </c>
      <c r="AH272" s="545">
        <f ca="1">IF(AND($D272="Serviço",AH$12&lt;&gt;0,$H272&gt;0,OR(AUTOEVENTO&lt;&gt;"manual",$M272&lt;&gt;1)),
IF(Import.TipoArredondamento&lt;&gt;"TransfereGOV",
ROUND(OFFSET($P272,0,AH$13),15-13*ORÇAMENTO!$AF$7)/$H272*OFFSET(ORÇAMENTO!$X$15,ROW(AH272)-ROW(AH$15),0),
ROUND(ROUND(OFFSET($P272,0,AH$13),15-13*ORÇAMENTO!$AF$7)*OFFSET(ORÇAMENTO!$W$15,ROW(AH272)-ROW(AH$15),0),15-13*ORÇAMENTO!$AF$11)),0)</f>
        <v>0</v>
      </c>
      <c r="AI272" s="545">
        <f ca="1">IF(AND($D272="Serviço",AI$12&lt;&gt;0,$H272&gt;0,OR(AUTOEVENTO&lt;&gt;"manual",$M272&lt;&gt;1)),
IF(Import.TipoArredondamento&lt;&gt;"TransfereGOV",
ROUND(OFFSET($P272,0,AI$13),15-13*ORÇAMENTO!$AF$7)/$H272*OFFSET(ORÇAMENTO!$X$15,ROW(AI272)-ROW(AI$15),0),
ROUND(ROUND(OFFSET($P272,0,AI$13),15-13*ORÇAMENTO!$AF$7)*OFFSET(ORÇAMENTO!$W$15,ROW(AI272)-ROW(AI$15),0),15-13*ORÇAMENTO!$AF$11)),0)</f>
        <v>0</v>
      </c>
      <c r="AJ272" s="545">
        <f ca="1">IF(AND($D272="Serviço",AJ$12&lt;&gt;0,$H272&gt;0,OR(AUTOEVENTO&lt;&gt;"manual",$M272&lt;&gt;1)),
IF(Import.TipoArredondamento&lt;&gt;"TransfereGOV",
ROUND(OFFSET($P272,0,AJ$13),15-13*ORÇAMENTO!$AF$7)/$H272*OFFSET(ORÇAMENTO!$X$15,ROW(AJ272)-ROW(AJ$15),0),
ROUND(ROUND(OFFSET($P272,0,AJ$13),15-13*ORÇAMENTO!$AF$7)*OFFSET(ORÇAMENTO!$W$15,ROW(AJ272)-ROW(AJ$15),0),15-13*ORÇAMENTO!$AF$11)),0)</f>
        <v>0</v>
      </c>
      <c r="AK272" s="546">
        <f ca="1">IF(AND($D272="Serviço",AK$12&lt;&gt;0,$H272&gt;0,OR(AUTOEVENTO&lt;&gt;"manual",$M272&lt;&gt;1)),
IF(Import.TipoArredondamento&lt;&gt;"TransfereGOV",
ROUND(OFFSET($P272,0,AK$13),15-13*ORÇAMENTO!$AF$7)/$H272*OFFSET(ORÇAMENTO!$X$15,ROW(AK272)-ROW(AK$15),0),
ROUND(ROUND(OFFSET($P272,0,AK$13),15-13*ORÇAMENTO!$AF$7)*OFFSET(ORÇAMENTO!$W$15,ROW(AK272)-ROW(AK$15),0),15-13*ORÇAMENTO!$AF$11)),0)</f>
        <v>0</v>
      </c>
      <c r="AM272" s="181">
        <f ca="1">IF($D272&lt;&gt;"Serviço",0,IF(AND(AUTOEVENTO="Manual",$M272=1),0,IF(OFFSET(CRONOPLE!$F$14,$M272,AM$13)="",10^12,OFFSET(CRONOPLE!$F$14,$M272,AM$13))))</f>
        <v>1000000000000</v>
      </c>
      <c r="AN272" s="181">
        <f ca="1">IF($D272&lt;&gt;"Serviço",0,IF(AND(AUTOEVENTO="Manual",$M272=1),0,IF(OFFSET(CRONOPLE!$F$14,$M272,AN$13)="",10^12,OFFSET(CRONOPLE!$F$14,$M272,AN$13))))</f>
        <v>1000000000000</v>
      </c>
      <c r="AO272" s="181">
        <f ca="1">IF($D272&lt;&gt;"Serviço",0,IF(AND(AUTOEVENTO="Manual",$M272=1),0,IF(OFFSET(CRONOPLE!$F$14,$M272,AO$13)="",10^12,OFFSET(CRONOPLE!$F$14,$M272,AO$13))))</f>
        <v>1000000000000</v>
      </c>
      <c r="AP272" s="181">
        <f ca="1">IF($D272&lt;&gt;"Serviço",0,IF(AND(AUTOEVENTO="Manual",$M272=1),0,IF(OFFSET(CRONOPLE!$F$14,$M272,AP$13)="",10^12,OFFSET(CRONOPLE!$F$14,$M272,AP$13))))</f>
        <v>1000000000000</v>
      </c>
      <c r="AQ272" s="181">
        <f ca="1">IF($D272&lt;&gt;"Serviço",0,IF(AND(AUTOEVENTO="Manual",$M272=1),0,IF(OFFSET(CRONOPLE!$F$14,$M272,AQ$13)="",10^12,OFFSET(CRONOPLE!$F$14,$M272,AQ$13))))</f>
        <v>1000000000000</v>
      </c>
      <c r="AR272" s="181">
        <f ca="1">IF($D272&lt;&gt;"Serviço",0,IF(AND(AUTOEVENTO="Manual",$M272=1),0,IF(OFFSET(CRONOPLE!$F$14,$M272,AR$13)="",10^12,OFFSET(CRONOPLE!$F$14,$M272,AR$13))))</f>
        <v>1000000000000</v>
      </c>
      <c r="AS272" s="181">
        <f ca="1">IF($D272&lt;&gt;"Serviço",0,IF(AND(AUTOEVENTO="Manual",$M272=1),0,IF(OFFSET(CRONOPLE!$F$14,$M272,AS$13)="",10^12,OFFSET(CRONOPLE!$F$14,$M272,AS$13))))</f>
        <v>1000000000000</v>
      </c>
      <c r="AT272" s="181">
        <f ca="1">IF($D272&lt;&gt;"Serviço",0,IF(AND(AUTOEVENTO="Manual",$M272=1),0,IF(OFFSET(CRONOPLE!$F$14,$M272,AT$13)="",10^12,OFFSET(CRONOPLE!$F$14,$M272,AT$13))))</f>
        <v>1000000000000</v>
      </c>
      <c r="AU272" s="181">
        <f ca="1">IF($D272&lt;&gt;"Serviço",0,IF(AND(AUTOEVENTO="Manual",$M272=1),0,IF(OFFSET(CRONOPLE!$F$14,$M272,AU$13)="",10^12,OFFSET(CRONOPLE!$F$14,$M272,AU$13))))</f>
        <v>1000000000000</v>
      </c>
      <c r="AV272" s="181">
        <f ca="1">IF($D272&lt;&gt;"Serviço",0,IF(AND(AUTOEVENTO="Manual",$M272=1),0,IF(OFFSET(CRONOPLE!$F$14,$M272,AV$13)="",10^12,OFFSET(CRONOPLE!$F$14,$M272,AV$13))))</f>
        <v>1000000000000</v>
      </c>
      <c r="AX272" s="182">
        <f ca="1">IF($D272&lt;&gt;"Serviço",0,IF(OR(AND(AUTOEVENTO="Manual",$M272=1),$M272&gt;(ROW(PLE.lastrow)-ROW(PLE.firstrow))),0,IF(OFFSET(PLE!$G$14,$M272,AX$13)="",10^12,OFFSET(PLE!$G$14,$M272,AX$13))))</f>
        <v>1000000000000</v>
      </c>
      <c r="AY272" s="182">
        <f ca="1">IF($D272&lt;&gt;"Serviço",0,IF(OR(AND(AUTOEVENTO="Manual",$M272=1),$M272&gt;(ROW(PLE.lastrow)-ROW(PLE.firstrow))),0,IF(OFFSET(PLE!$G$14,$M272,AY$13)="",10^12,OFFSET(PLE!$G$14,$M272,AY$13))))</f>
        <v>1000000000000</v>
      </c>
      <c r="AZ272" s="182">
        <f ca="1">IF($D272&lt;&gt;"Serviço",0,IF(OR(AND(AUTOEVENTO="Manual",$M272=1),$M272&gt;(ROW(PLE.lastrow)-ROW(PLE.firstrow))),0,IF(OFFSET(PLE!$G$14,$M272,AZ$13)="",10^12,OFFSET(PLE!$G$14,$M272,AZ$13))))</f>
        <v>1000000000000</v>
      </c>
      <c r="BA272" s="182">
        <f ca="1">IF($D272&lt;&gt;"Serviço",0,IF(OR(AND(AUTOEVENTO="Manual",$M272=1),$M272&gt;(ROW(PLE.lastrow)-ROW(PLE.firstrow))),0,IF(OFFSET(PLE!$G$14,$M272,BA$13)="",10^12,OFFSET(PLE!$G$14,$M272,BA$13))))</f>
        <v>1000000000000</v>
      </c>
      <c r="BB272" s="182">
        <f ca="1">IF($D272&lt;&gt;"Serviço",0,IF(OR(AND(AUTOEVENTO="Manual",$M272=1),$M272&gt;(ROW(PLE.lastrow)-ROW(PLE.firstrow))),0,IF(OFFSET(PLE!$G$14,$M272,BB$13)="",10^12,OFFSET(PLE!$G$14,$M272,BB$13))))</f>
        <v>1000000000000</v>
      </c>
      <c r="BC272" s="182">
        <f ca="1">IF($D272&lt;&gt;"Serviço",0,IF(OR(AND(AUTOEVENTO="Manual",$M272=1),$M272&gt;(ROW(PLE.lastrow)-ROW(PLE.firstrow))),0,IF(OFFSET(PLE!$G$14,$M272,BC$13)="",10^12,OFFSET(PLE!$G$14,$M272,BC$13))))</f>
        <v>1000000000000</v>
      </c>
      <c r="BD272" s="182">
        <f ca="1">IF($D272&lt;&gt;"Serviço",0,IF(OR(AND(AUTOEVENTO="Manual",$M272=1),$M272&gt;(ROW(PLE.lastrow)-ROW(PLE.firstrow))),0,IF(OFFSET(PLE!$G$14,$M272,BD$13)="",10^12,OFFSET(PLE!$G$14,$M272,BD$13))))</f>
        <v>1000000000000</v>
      </c>
      <c r="BE272" s="182">
        <f ca="1">IF($D272&lt;&gt;"Serviço",0,IF(OR(AND(AUTOEVENTO="Manual",$M272=1),$M272&gt;(ROW(PLE.lastrow)-ROW(PLE.firstrow))),0,IF(OFFSET(PLE!$G$14,$M272,BE$13)="",10^12,OFFSET(PLE!$G$14,$M272,BE$13))))</f>
        <v>1000000000000</v>
      </c>
      <c r="BF272" s="182">
        <f ca="1">IF($D272&lt;&gt;"Serviço",0,IF(OR(AND(AUTOEVENTO="Manual",$M272=1),$M272&gt;(ROW(PLE.lastrow)-ROW(PLE.firstrow))),0,IF(OFFSET(PLE!$G$14,$M272,BF$13)="",10^12,OFFSET(PLE!$G$14,$M272,BF$13))))</f>
        <v>1000000000000</v>
      </c>
      <c r="BG272" s="182">
        <f ca="1">IF($D272&lt;&gt;"Serviço",0,IF(OR(AND(AUTOEVENTO="Manual",$M272=1),$M272&gt;(ROW(PLE.lastrow)-ROW(PLE.firstrow))),0,IF(OFFSET(PLE!$G$14,$M272,BG$13)="",10^12,OFFSET(PLE!$G$14,$M272,BG$13))))</f>
        <v>1000000000000</v>
      </c>
    </row>
    <row r="273" spans="1:59" ht="12.75" x14ac:dyDescent="0.2">
      <c r="A273" s="7" t="str">
        <f t="shared" ca="1" si="11"/>
        <v>233</v>
      </c>
      <c r="B273" s="7" t="str">
        <f ca="1">OFFSET(ORÇAMENTO!C$15,ROW(B273)-ROW(B$15),0)</f>
        <v>S</v>
      </c>
      <c r="C273" s="7" t="str">
        <f ca="1">OFFSET(ORÇAMENTO!L$15,ROW(C273)-ROW(C$15),0)</f>
        <v/>
      </c>
      <c r="D273" s="118" t="str">
        <f ca="1">OFFSET(ORÇAMENTO!N$15,ROW(D273)-ROW(D$15),0)</f>
        <v>Serviço</v>
      </c>
      <c r="E273" s="119" t="str">
        <f ca="1">OFFSET(ORÇAMENTO!O$15,ROW(E273)-ROW(E$15),0)</f>
        <v>-</v>
      </c>
      <c r="F273" s="172" t="str">
        <f ca="1">OFFSET(ORÇAMENTO!R$15,ROW(F273)-ROW(F$15),0)</f>
        <v>(abra o arquivo 'Referência 03-2024.xlsm)</v>
      </c>
      <c r="G273" s="173" t="str">
        <f ca="1">IF($D273&lt;&gt;"Serviço","",OFFSET(ORÇAMENTO!S$15,ROW(G273)-ROW(G$15),0))</f>
        <v>-</v>
      </c>
      <c r="H273" s="124">
        <f ca="1">IF($D273&lt;&gt;"Serviço",0,IF(ACOMPANHAMENTO="BM",ROUND(OFFSET(ORÇAMENTO!AJ$15,ROW(H273)-ROW(H$15),0),15-13*ORÇAMENTO!$AF$7),SUMPRODUCT(($Q$12:$AA$12&lt;&gt;"")*ROUND($Q273:$AA273,15-13*ORÇAMENTO!$AF$7))))</f>
        <v>0</v>
      </c>
      <c r="I273" s="561"/>
      <c r="K273" s="174"/>
      <c r="L273" s="175" t="s">
        <v>255</v>
      </c>
      <c r="M273" s="176">
        <f ca="1">IF($D273&lt;&gt;"Serviço","",IF(AUTOEVENTO="manual",$A273,IF(ISERROR(MATCH($A273,$A$15:OFFSET($A273,-1,0),0)),MAX($M$15:OFFSET(M273,-1,0))+1,INDEX($M$15:OFFSET(M273,-1,0),MATCH($A273,$A$15:OFFSET($A273,-1,0),0)))))</f>
        <v>14</v>
      </c>
      <c r="N273" s="177" t="str">
        <f ca="1">IF($D273&lt;&gt;"Serviço","",IF(AUTOEVENTO="Manual",IF($A273=0,"&lt;-- defina o número do agrupador",OFFSET(EVENTOS!$D$14,$A273,0)),OFFSET($F$15,$A273,0)))</f>
        <v>SERVIÇOS FINAIS</v>
      </c>
      <c r="O273" s="178"/>
      <c r="Q273" s="178"/>
      <c r="R273" s="179"/>
      <c r="S273" s="179"/>
      <c r="T273" s="179"/>
      <c r="U273" s="179"/>
      <c r="V273" s="179"/>
      <c r="W273" s="179"/>
      <c r="X273" s="179"/>
      <c r="Y273" s="179"/>
      <c r="Z273" s="180"/>
      <c r="AB273" s="544">
        <f ca="1">IF(AND($D273="Serviço",AB$12&lt;&gt;0,$H273&gt;0,OR(AUTOEVENTO&lt;&gt;"manual",$M273&lt;&gt;1)),
IF(Import.TipoArredondamento&lt;&gt;"TransfereGOV",
ROUND(OFFSET($P273,0,AB$13),15-13*ORÇAMENTO!$AF$7)/$H273*OFFSET(ORÇAMENTO!$X$15,ROW(AB273)-ROW(AB$15),0),
ROUND(ROUND(OFFSET($P273,0,AB$13),15-13*ORÇAMENTO!$AF$7)*OFFSET(ORÇAMENTO!$W$15,ROW(AB273)-ROW(AB$15),0),15-13*ORÇAMENTO!$AF$11)),0)</f>
        <v>0</v>
      </c>
      <c r="AC273" s="545">
        <f ca="1">IF(AND($D273="Serviço",AC$12&lt;&gt;0,$H273&gt;0,OR(AUTOEVENTO&lt;&gt;"manual",$M273&lt;&gt;1)),
IF(Import.TipoArredondamento&lt;&gt;"TransfereGOV",
ROUND(OFFSET($P273,0,AC$13),15-13*ORÇAMENTO!$AF$7)/$H273*OFFSET(ORÇAMENTO!$X$15,ROW(AC273)-ROW(AC$15),0),
ROUND(ROUND(OFFSET($P273,0,AC$13),15-13*ORÇAMENTO!$AF$7)*OFFSET(ORÇAMENTO!$W$15,ROW(AC273)-ROW(AC$15),0),15-13*ORÇAMENTO!$AF$11)),0)</f>
        <v>0</v>
      </c>
      <c r="AD273" s="545">
        <f ca="1">IF(AND($D273="Serviço",AD$12&lt;&gt;0,$H273&gt;0,OR(AUTOEVENTO&lt;&gt;"manual",$M273&lt;&gt;1)),
IF(Import.TipoArredondamento&lt;&gt;"TransfereGOV",
ROUND(OFFSET($P273,0,AD$13),15-13*ORÇAMENTO!$AF$7)/$H273*OFFSET(ORÇAMENTO!$X$15,ROW(AD273)-ROW(AD$15),0),
ROUND(ROUND(OFFSET($P273,0,AD$13),15-13*ORÇAMENTO!$AF$7)*OFFSET(ORÇAMENTO!$W$15,ROW(AD273)-ROW(AD$15),0),15-13*ORÇAMENTO!$AF$11)),0)</f>
        <v>0</v>
      </c>
      <c r="AE273" s="545">
        <f ca="1">IF(AND($D273="Serviço",AE$12&lt;&gt;0,$H273&gt;0,OR(AUTOEVENTO&lt;&gt;"manual",$M273&lt;&gt;1)),
IF(Import.TipoArredondamento&lt;&gt;"TransfereGOV",
ROUND(OFFSET($P273,0,AE$13),15-13*ORÇAMENTO!$AF$7)/$H273*OFFSET(ORÇAMENTO!$X$15,ROW(AE273)-ROW(AE$15),0),
ROUND(ROUND(OFFSET($P273,0,AE$13),15-13*ORÇAMENTO!$AF$7)*OFFSET(ORÇAMENTO!$W$15,ROW(AE273)-ROW(AE$15),0),15-13*ORÇAMENTO!$AF$11)),0)</f>
        <v>0</v>
      </c>
      <c r="AF273" s="545">
        <f ca="1">IF(AND($D273="Serviço",AF$12&lt;&gt;0,$H273&gt;0,OR(AUTOEVENTO&lt;&gt;"manual",$M273&lt;&gt;1)),
IF(Import.TipoArredondamento&lt;&gt;"TransfereGOV",
ROUND(OFFSET($P273,0,AF$13),15-13*ORÇAMENTO!$AF$7)/$H273*OFFSET(ORÇAMENTO!$X$15,ROW(AF273)-ROW(AF$15),0),
ROUND(ROUND(OFFSET($P273,0,AF$13),15-13*ORÇAMENTO!$AF$7)*OFFSET(ORÇAMENTO!$W$15,ROW(AF273)-ROW(AF$15),0),15-13*ORÇAMENTO!$AF$11)),0)</f>
        <v>0</v>
      </c>
      <c r="AG273" s="545">
        <f ca="1">IF(AND($D273="Serviço",AG$12&lt;&gt;0,$H273&gt;0,OR(AUTOEVENTO&lt;&gt;"manual",$M273&lt;&gt;1)),
IF(Import.TipoArredondamento&lt;&gt;"TransfereGOV",
ROUND(OFFSET($P273,0,AG$13),15-13*ORÇAMENTO!$AF$7)/$H273*OFFSET(ORÇAMENTO!$X$15,ROW(AG273)-ROW(AG$15),0),
ROUND(ROUND(OFFSET($P273,0,AG$13),15-13*ORÇAMENTO!$AF$7)*OFFSET(ORÇAMENTO!$W$15,ROW(AG273)-ROW(AG$15),0),15-13*ORÇAMENTO!$AF$11)),0)</f>
        <v>0</v>
      </c>
      <c r="AH273" s="545">
        <f ca="1">IF(AND($D273="Serviço",AH$12&lt;&gt;0,$H273&gt;0,OR(AUTOEVENTO&lt;&gt;"manual",$M273&lt;&gt;1)),
IF(Import.TipoArredondamento&lt;&gt;"TransfereGOV",
ROUND(OFFSET($P273,0,AH$13),15-13*ORÇAMENTO!$AF$7)/$H273*OFFSET(ORÇAMENTO!$X$15,ROW(AH273)-ROW(AH$15),0),
ROUND(ROUND(OFFSET($P273,0,AH$13),15-13*ORÇAMENTO!$AF$7)*OFFSET(ORÇAMENTO!$W$15,ROW(AH273)-ROW(AH$15),0),15-13*ORÇAMENTO!$AF$11)),0)</f>
        <v>0</v>
      </c>
      <c r="AI273" s="545">
        <f ca="1">IF(AND($D273="Serviço",AI$12&lt;&gt;0,$H273&gt;0,OR(AUTOEVENTO&lt;&gt;"manual",$M273&lt;&gt;1)),
IF(Import.TipoArredondamento&lt;&gt;"TransfereGOV",
ROUND(OFFSET($P273,0,AI$13),15-13*ORÇAMENTO!$AF$7)/$H273*OFFSET(ORÇAMENTO!$X$15,ROW(AI273)-ROW(AI$15),0),
ROUND(ROUND(OFFSET($P273,0,AI$13),15-13*ORÇAMENTO!$AF$7)*OFFSET(ORÇAMENTO!$W$15,ROW(AI273)-ROW(AI$15),0),15-13*ORÇAMENTO!$AF$11)),0)</f>
        <v>0</v>
      </c>
      <c r="AJ273" s="545">
        <f ca="1">IF(AND($D273="Serviço",AJ$12&lt;&gt;0,$H273&gt;0,OR(AUTOEVENTO&lt;&gt;"manual",$M273&lt;&gt;1)),
IF(Import.TipoArredondamento&lt;&gt;"TransfereGOV",
ROUND(OFFSET($P273,0,AJ$13),15-13*ORÇAMENTO!$AF$7)/$H273*OFFSET(ORÇAMENTO!$X$15,ROW(AJ273)-ROW(AJ$15),0),
ROUND(ROUND(OFFSET($P273,0,AJ$13),15-13*ORÇAMENTO!$AF$7)*OFFSET(ORÇAMENTO!$W$15,ROW(AJ273)-ROW(AJ$15),0),15-13*ORÇAMENTO!$AF$11)),0)</f>
        <v>0</v>
      </c>
      <c r="AK273" s="546">
        <f ca="1">IF(AND($D273="Serviço",AK$12&lt;&gt;0,$H273&gt;0,OR(AUTOEVENTO&lt;&gt;"manual",$M273&lt;&gt;1)),
IF(Import.TipoArredondamento&lt;&gt;"TransfereGOV",
ROUND(OFFSET($P273,0,AK$13),15-13*ORÇAMENTO!$AF$7)/$H273*OFFSET(ORÇAMENTO!$X$15,ROW(AK273)-ROW(AK$15),0),
ROUND(ROUND(OFFSET($P273,0,AK$13),15-13*ORÇAMENTO!$AF$7)*OFFSET(ORÇAMENTO!$W$15,ROW(AK273)-ROW(AK$15),0),15-13*ORÇAMENTO!$AF$11)),0)</f>
        <v>0</v>
      </c>
      <c r="AM273" s="181">
        <f ca="1">IF($D273&lt;&gt;"Serviço",0,IF(AND(AUTOEVENTO="Manual",$M273=1),0,IF(OFFSET(CRONOPLE!$F$14,$M273,AM$13)="",10^12,OFFSET(CRONOPLE!$F$14,$M273,AM$13))))</f>
        <v>1000000000000</v>
      </c>
      <c r="AN273" s="181">
        <f ca="1">IF($D273&lt;&gt;"Serviço",0,IF(AND(AUTOEVENTO="Manual",$M273=1),0,IF(OFFSET(CRONOPLE!$F$14,$M273,AN$13)="",10^12,OFFSET(CRONOPLE!$F$14,$M273,AN$13))))</f>
        <v>1000000000000</v>
      </c>
      <c r="AO273" s="181">
        <f ca="1">IF($D273&lt;&gt;"Serviço",0,IF(AND(AUTOEVENTO="Manual",$M273=1),0,IF(OFFSET(CRONOPLE!$F$14,$M273,AO$13)="",10^12,OFFSET(CRONOPLE!$F$14,$M273,AO$13))))</f>
        <v>1000000000000</v>
      </c>
      <c r="AP273" s="181">
        <f ca="1">IF($D273&lt;&gt;"Serviço",0,IF(AND(AUTOEVENTO="Manual",$M273=1),0,IF(OFFSET(CRONOPLE!$F$14,$M273,AP$13)="",10^12,OFFSET(CRONOPLE!$F$14,$M273,AP$13))))</f>
        <v>1000000000000</v>
      </c>
      <c r="AQ273" s="181">
        <f ca="1">IF($D273&lt;&gt;"Serviço",0,IF(AND(AUTOEVENTO="Manual",$M273=1),0,IF(OFFSET(CRONOPLE!$F$14,$M273,AQ$13)="",10^12,OFFSET(CRONOPLE!$F$14,$M273,AQ$13))))</f>
        <v>1000000000000</v>
      </c>
      <c r="AR273" s="181">
        <f ca="1">IF($D273&lt;&gt;"Serviço",0,IF(AND(AUTOEVENTO="Manual",$M273=1),0,IF(OFFSET(CRONOPLE!$F$14,$M273,AR$13)="",10^12,OFFSET(CRONOPLE!$F$14,$M273,AR$13))))</f>
        <v>1000000000000</v>
      </c>
      <c r="AS273" s="181">
        <f ca="1">IF($D273&lt;&gt;"Serviço",0,IF(AND(AUTOEVENTO="Manual",$M273=1),0,IF(OFFSET(CRONOPLE!$F$14,$M273,AS$13)="",10^12,OFFSET(CRONOPLE!$F$14,$M273,AS$13))))</f>
        <v>1000000000000</v>
      </c>
      <c r="AT273" s="181">
        <f ca="1">IF($D273&lt;&gt;"Serviço",0,IF(AND(AUTOEVENTO="Manual",$M273=1),0,IF(OFFSET(CRONOPLE!$F$14,$M273,AT$13)="",10^12,OFFSET(CRONOPLE!$F$14,$M273,AT$13))))</f>
        <v>1000000000000</v>
      </c>
      <c r="AU273" s="181">
        <f ca="1">IF($D273&lt;&gt;"Serviço",0,IF(AND(AUTOEVENTO="Manual",$M273=1),0,IF(OFFSET(CRONOPLE!$F$14,$M273,AU$13)="",10^12,OFFSET(CRONOPLE!$F$14,$M273,AU$13))))</f>
        <v>1000000000000</v>
      </c>
      <c r="AV273" s="181">
        <f ca="1">IF($D273&lt;&gt;"Serviço",0,IF(AND(AUTOEVENTO="Manual",$M273=1),0,IF(OFFSET(CRONOPLE!$F$14,$M273,AV$13)="",10^12,OFFSET(CRONOPLE!$F$14,$M273,AV$13))))</f>
        <v>1000000000000</v>
      </c>
      <c r="AX273" s="182">
        <f ca="1">IF($D273&lt;&gt;"Serviço",0,IF(OR(AND(AUTOEVENTO="Manual",$M273=1),$M273&gt;(ROW(PLE.lastrow)-ROW(PLE.firstrow))),0,IF(OFFSET(PLE!$G$14,$M273,AX$13)="",10^12,OFFSET(PLE!$G$14,$M273,AX$13))))</f>
        <v>1000000000000</v>
      </c>
      <c r="AY273" s="182">
        <f ca="1">IF($D273&lt;&gt;"Serviço",0,IF(OR(AND(AUTOEVENTO="Manual",$M273=1),$M273&gt;(ROW(PLE.lastrow)-ROW(PLE.firstrow))),0,IF(OFFSET(PLE!$G$14,$M273,AY$13)="",10^12,OFFSET(PLE!$G$14,$M273,AY$13))))</f>
        <v>1000000000000</v>
      </c>
      <c r="AZ273" s="182">
        <f ca="1">IF($D273&lt;&gt;"Serviço",0,IF(OR(AND(AUTOEVENTO="Manual",$M273=1),$M273&gt;(ROW(PLE.lastrow)-ROW(PLE.firstrow))),0,IF(OFFSET(PLE!$G$14,$M273,AZ$13)="",10^12,OFFSET(PLE!$G$14,$M273,AZ$13))))</f>
        <v>1000000000000</v>
      </c>
      <c r="BA273" s="182">
        <f ca="1">IF($D273&lt;&gt;"Serviço",0,IF(OR(AND(AUTOEVENTO="Manual",$M273=1),$M273&gt;(ROW(PLE.lastrow)-ROW(PLE.firstrow))),0,IF(OFFSET(PLE!$G$14,$M273,BA$13)="",10^12,OFFSET(PLE!$G$14,$M273,BA$13))))</f>
        <v>1000000000000</v>
      </c>
      <c r="BB273" s="182">
        <f ca="1">IF($D273&lt;&gt;"Serviço",0,IF(OR(AND(AUTOEVENTO="Manual",$M273=1),$M273&gt;(ROW(PLE.lastrow)-ROW(PLE.firstrow))),0,IF(OFFSET(PLE!$G$14,$M273,BB$13)="",10^12,OFFSET(PLE!$G$14,$M273,BB$13))))</f>
        <v>1000000000000</v>
      </c>
      <c r="BC273" s="182">
        <f ca="1">IF($D273&lt;&gt;"Serviço",0,IF(OR(AND(AUTOEVENTO="Manual",$M273=1),$M273&gt;(ROW(PLE.lastrow)-ROW(PLE.firstrow))),0,IF(OFFSET(PLE!$G$14,$M273,BC$13)="",10^12,OFFSET(PLE!$G$14,$M273,BC$13))))</f>
        <v>1000000000000</v>
      </c>
      <c r="BD273" s="182">
        <f ca="1">IF($D273&lt;&gt;"Serviço",0,IF(OR(AND(AUTOEVENTO="Manual",$M273=1),$M273&gt;(ROW(PLE.lastrow)-ROW(PLE.firstrow))),0,IF(OFFSET(PLE!$G$14,$M273,BD$13)="",10^12,OFFSET(PLE!$G$14,$M273,BD$13))))</f>
        <v>1000000000000</v>
      </c>
      <c r="BE273" s="182">
        <f ca="1">IF($D273&lt;&gt;"Serviço",0,IF(OR(AND(AUTOEVENTO="Manual",$M273=1),$M273&gt;(ROW(PLE.lastrow)-ROW(PLE.firstrow))),0,IF(OFFSET(PLE!$G$14,$M273,BE$13)="",10^12,OFFSET(PLE!$G$14,$M273,BE$13))))</f>
        <v>1000000000000</v>
      </c>
      <c r="BF273" s="182">
        <f ca="1">IF($D273&lt;&gt;"Serviço",0,IF(OR(AND(AUTOEVENTO="Manual",$M273=1),$M273&gt;(ROW(PLE.lastrow)-ROW(PLE.firstrow))),0,IF(OFFSET(PLE!$G$14,$M273,BF$13)="",10^12,OFFSET(PLE!$G$14,$M273,BF$13))))</f>
        <v>1000000000000</v>
      </c>
      <c r="BG273" s="182">
        <f ca="1">IF($D273&lt;&gt;"Serviço",0,IF(OR(AND(AUTOEVENTO="Manual",$M273=1),$M273&gt;(ROW(PLE.lastrow)-ROW(PLE.firstrow))),0,IF(OFFSET(PLE!$G$14,$M273,BG$13)="",10^12,OFFSET(PLE!$G$14,$M273,BG$13))))</f>
        <v>1000000000000</v>
      </c>
    </row>
    <row r="274" spans="1:59" ht="12.75" x14ac:dyDescent="0.2">
      <c r="A274" s="7" t="str">
        <f t="shared" ca="1" si="11"/>
        <v>233</v>
      </c>
      <c r="B274" s="7" t="str">
        <f ca="1">OFFSET(ORÇAMENTO!C$15,ROW(B274)-ROW(B$15),0)</f>
        <v>S</v>
      </c>
      <c r="C274" s="7" t="str">
        <f ca="1">OFFSET(ORÇAMENTO!L$15,ROW(C274)-ROW(C$15),0)</f>
        <v/>
      </c>
      <c r="D274" s="118" t="str">
        <f ca="1">OFFSET(ORÇAMENTO!N$15,ROW(D274)-ROW(D$15),0)</f>
        <v>Serviço</v>
      </c>
      <c r="E274" s="119" t="str">
        <f ca="1">OFFSET(ORÇAMENTO!O$15,ROW(E274)-ROW(E$15),0)</f>
        <v>-</v>
      </c>
      <c r="F274" s="172" t="str">
        <f ca="1">OFFSET(ORÇAMENTO!R$15,ROW(F274)-ROW(F$15),0)</f>
        <v>(abra o arquivo 'Referência 03-2024.xlsm)</v>
      </c>
      <c r="G274" s="173" t="str">
        <f ca="1">IF($D274&lt;&gt;"Serviço","",OFFSET(ORÇAMENTO!S$15,ROW(G274)-ROW(G$15),0))</f>
        <v>-</v>
      </c>
      <c r="H274" s="124">
        <f ca="1">IF($D274&lt;&gt;"Serviço",0,IF(ACOMPANHAMENTO="BM",ROUND(OFFSET(ORÇAMENTO!AJ$15,ROW(H274)-ROW(H$15),0),15-13*ORÇAMENTO!$AF$7),SUMPRODUCT(($Q$12:$AA$12&lt;&gt;"")*ROUND($Q274:$AA274,15-13*ORÇAMENTO!$AF$7))))</f>
        <v>0</v>
      </c>
      <c r="I274" s="561"/>
      <c r="K274" s="174"/>
      <c r="L274" s="175" t="s">
        <v>255</v>
      </c>
      <c r="M274" s="176">
        <f ca="1">IF($D274&lt;&gt;"Serviço","",IF(AUTOEVENTO="manual",$A274,IF(ISERROR(MATCH($A274,$A$15:OFFSET($A274,-1,0),0)),MAX($M$15:OFFSET(M274,-1,0))+1,INDEX($M$15:OFFSET(M274,-1,0),MATCH($A274,$A$15:OFFSET($A274,-1,0),0)))))</f>
        <v>14</v>
      </c>
      <c r="N274" s="177" t="str">
        <f ca="1">IF($D274&lt;&gt;"Serviço","",IF(AUTOEVENTO="Manual",IF($A274=0,"&lt;-- defina o número do agrupador",OFFSET(EVENTOS!$D$14,$A274,0)),OFFSET($F$15,$A274,0)))</f>
        <v>SERVIÇOS FINAIS</v>
      </c>
      <c r="O274" s="178"/>
      <c r="Q274" s="178"/>
      <c r="R274" s="179"/>
      <c r="S274" s="179"/>
      <c r="T274" s="179"/>
      <c r="U274" s="179"/>
      <c r="V274" s="179"/>
      <c r="W274" s="179"/>
      <c r="X274" s="179"/>
      <c r="Y274" s="179"/>
      <c r="Z274" s="180"/>
      <c r="AB274" s="544">
        <f ca="1">IF(AND($D274="Serviço",AB$12&lt;&gt;0,$H274&gt;0,OR(AUTOEVENTO&lt;&gt;"manual",$M274&lt;&gt;1)),
IF(Import.TipoArredondamento&lt;&gt;"TransfereGOV",
ROUND(OFFSET($P274,0,AB$13),15-13*ORÇAMENTO!$AF$7)/$H274*OFFSET(ORÇAMENTO!$X$15,ROW(AB274)-ROW(AB$15),0),
ROUND(ROUND(OFFSET($P274,0,AB$13),15-13*ORÇAMENTO!$AF$7)*OFFSET(ORÇAMENTO!$W$15,ROW(AB274)-ROW(AB$15),0),15-13*ORÇAMENTO!$AF$11)),0)</f>
        <v>0</v>
      </c>
      <c r="AC274" s="545">
        <f ca="1">IF(AND($D274="Serviço",AC$12&lt;&gt;0,$H274&gt;0,OR(AUTOEVENTO&lt;&gt;"manual",$M274&lt;&gt;1)),
IF(Import.TipoArredondamento&lt;&gt;"TransfereGOV",
ROUND(OFFSET($P274,0,AC$13),15-13*ORÇAMENTO!$AF$7)/$H274*OFFSET(ORÇAMENTO!$X$15,ROW(AC274)-ROW(AC$15),0),
ROUND(ROUND(OFFSET($P274,0,AC$13),15-13*ORÇAMENTO!$AF$7)*OFFSET(ORÇAMENTO!$W$15,ROW(AC274)-ROW(AC$15),0),15-13*ORÇAMENTO!$AF$11)),0)</f>
        <v>0</v>
      </c>
      <c r="AD274" s="545">
        <f ca="1">IF(AND($D274="Serviço",AD$12&lt;&gt;0,$H274&gt;0,OR(AUTOEVENTO&lt;&gt;"manual",$M274&lt;&gt;1)),
IF(Import.TipoArredondamento&lt;&gt;"TransfereGOV",
ROUND(OFFSET($P274,0,AD$13),15-13*ORÇAMENTO!$AF$7)/$H274*OFFSET(ORÇAMENTO!$X$15,ROW(AD274)-ROW(AD$15),0),
ROUND(ROUND(OFFSET($P274,0,AD$13),15-13*ORÇAMENTO!$AF$7)*OFFSET(ORÇAMENTO!$W$15,ROW(AD274)-ROW(AD$15),0),15-13*ORÇAMENTO!$AF$11)),0)</f>
        <v>0</v>
      </c>
      <c r="AE274" s="545">
        <f ca="1">IF(AND($D274="Serviço",AE$12&lt;&gt;0,$H274&gt;0,OR(AUTOEVENTO&lt;&gt;"manual",$M274&lt;&gt;1)),
IF(Import.TipoArredondamento&lt;&gt;"TransfereGOV",
ROUND(OFFSET($P274,0,AE$13),15-13*ORÇAMENTO!$AF$7)/$H274*OFFSET(ORÇAMENTO!$X$15,ROW(AE274)-ROW(AE$15),0),
ROUND(ROUND(OFFSET($P274,0,AE$13),15-13*ORÇAMENTO!$AF$7)*OFFSET(ORÇAMENTO!$W$15,ROW(AE274)-ROW(AE$15),0),15-13*ORÇAMENTO!$AF$11)),0)</f>
        <v>0</v>
      </c>
      <c r="AF274" s="545">
        <f ca="1">IF(AND($D274="Serviço",AF$12&lt;&gt;0,$H274&gt;0,OR(AUTOEVENTO&lt;&gt;"manual",$M274&lt;&gt;1)),
IF(Import.TipoArredondamento&lt;&gt;"TransfereGOV",
ROUND(OFFSET($P274,0,AF$13),15-13*ORÇAMENTO!$AF$7)/$H274*OFFSET(ORÇAMENTO!$X$15,ROW(AF274)-ROW(AF$15),0),
ROUND(ROUND(OFFSET($P274,0,AF$13),15-13*ORÇAMENTO!$AF$7)*OFFSET(ORÇAMENTO!$W$15,ROW(AF274)-ROW(AF$15),0),15-13*ORÇAMENTO!$AF$11)),0)</f>
        <v>0</v>
      </c>
      <c r="AG274" s="545">
        <f ca="1">IF(AND($D274="Serviço",AG$12&lt;&gt;0,$H274&gt;0,OR(AUTOEVENTO&lt;&gt;"manual",$M274&lt;&gt;1)),
IF(Import.TipoArredondamento&lt;&gt;"TransfereGOV",
ROUND(OFFSET($P274,0,AG$13),15-13*ORÇAMENTO!$AF$7)/$H274*OFFSET(ORÇAMENTO!$X$15,ROW(AG274)-ROW(AG$15),0),
ROUND(ROUND(OFFSET($P274,0,AG$13),15-13*ORÇAMENTO!$AF$7)*OFFSET(ORÇAMENTO!$W$15,ROW(AG274)-ROW(AG$15),0),15-13*ORÇAMENTO!$AF$11)),0)</f>
        <v>0</v>
      </c>
      <c r="AH274" s="545">
        <f ca="1">IF(AND($D274="Serviço",AH$12&lt;&gt;0,$H274&gt;0,OR(AUTOEVENTO&lt;&gt;"manual",$M274&lt;&gt;1)),
IF(Import.TipoArredondamento&lt;&gt;"TransfereGOV",
ROUND(OFFSET($P274,0,AH$13),15-13*ORÇAMENTO!$AF$7)/$H274*OFFSET(ORÇAMENTO!$X$15,ROW(AH274)-ROW(AH$15),0),
ROUND(ROUND(OFFSET($P274,0,AH$13),15-13*ORÇAMENTO!$AF$7)*OFFSET(ORÇAMENTO!$W$15,ROW(AH274)-ROW(AH$15),0),15-13*ORÇAMENTO!$AF$11)),0)</f>
        <v>0</v>
      </c>
      <c r="AI274" s="545">
        <f ca="1">IF(AND($D274="Serviço",AI$12&lt;&gt;0,$H274&gt;0,OR(AUTOEVENTO&lt;&gt;"manual",$M274&lt;&gt;1)),
IF(Import.TipoArredondamento&lt;&gt;"TransfereGOV",
ROUND(OFFSET($P274,0,AI$13),15-13*ORÇAMENTO!$AF$7)/$H274*OFFSET(ORÇAMENTO!$X$15,ROW(AI274)-ROW(AI$15),0),
ROUND(ROUND(OFFSET($P274,0,AI$13),15-13*ORÇAMENTO!$AF$7)*OFFSET(ORÇAMENTO!$W$15,ROW(AI274)-ROW(AI$15),0),15-13*ORÇAMENTO!$AF$11)),0)</f>
        <v>0</v>
      </c>
      <c r="AJ274" s="545">
        <f ca="1">IF(AND($D274="Serviço",AJ$12&lt;&gt;0,$H274&gt;0,OR(AUTOEVENTO&lt;&gt;"manual",$M274&lt;&gt;1)),
IF(Import.TipoArredondamento&lt;&gt;"TransfereGOV",
ROUND(OFFSET($P274,0,AJ$13),15-13*ORÇAMENTO!$AF$7)/$H274*OFFSET(ORÇAMENTO!$X$15,ROW(AJ274)-ROW(AJ$15),0),
ROUND(ROUND(OFFSET($P274,0,AJ$13),15-13*ORÇAMENTO!$AF$7)*OFFSET(ORÇAMENTO!$W$15,ROW(AJ274)-ROW(AJ$15),0),15-13*ORÇAMENTO!$AF$11)),0)</f>
        <v>0</v>
      </c>
      <c r="AK274" s="546">
        <f ca="1">IF(AND($D274="Serviço",AK$12&lt;&gt;0,$H274&gt;0,OR(AUTOEVENTO&lt;&gt;"manual",$M274&lt;&gt;1)),
IF(Import.TipoArredondamento&lt;&gt;"TransfereGOV",
ROUND(OFFSET($P274,0,AK$13),15-13*ORÇAMENTO!$AF$7)/$H274*OFFSET(ORÇAMENTO!$X$15,ROW(AK274)-ROW(AK$15),0),
ROUND(ROUND(OFFSET($P274,0,AK$13),15-13*ORÇAMENTO!$AF$7)*OFFSET(ORÇAMENTO!$W$15,ROW(AK274)-ROW(AK$15),0),15-13*ORÇAMENTO!$AF$11)),0)</f>
        <v>0</v>
      </c>
      <c r="AM274" s="181">
        <f ca="1">IF($D274&lt;&gt;"Serviço",0,IF(AND(AUTOEVENTO="Manual",$M274=1),0,IF(OFFSET(CRONOPLE!$F$14,$M274,AM$13)="",10^12,OFFSET(CRONOPLE!$F$14,$M274,AM$13))))</f>
        <v>1000000000000</v>
      </c>
      <c r="AN274" s="181">
        <f ca="1">IF($D274&lt;&gt;"Serviço",0,IF(AND(AUTOEVENTO="Manual",$M274=1),0,IF(OFFSET(CRONOPLE!$F$14,$M274,AN$13)="",10^12,OFFSET(CRONOPLE!$F$14,$M274,AN$13))))</f>
        <v>1000000000000</v>
      </c>
      <c r="AO274" s="181">
        <f ca="1">IF($D274&lt;&gt;"Serviço",0,IF(AND(AUTOEVENTO="Manual",$M274=1),0,IF(OFFSET(CRONOPLE!$F$14,$M274,AO$13)="",10^12,OFFSET(CRONOPLE!$F$14,$M274,AO$13))))</f>
        <v>1000000000000</v>
      </c>
      <c r="AP274" s="181">
        <f ca="1">IF($D274&lt;&gt;"Serviço",0,IF(AND(AUTOEVENTO="Manual",$M274=1),0,IF(OFFSET(CRONOPLE!$F$14,$M274,AP$13)="",10^12,OFFSET(CRONOPLE!$F$14,$M274,AP$13))))</f>
        <v>1000000000000</v>
      </c>
      <c r="AQ274" s="181">
        <f ca="1">IF($D274&lt;&gt;"Serviço",0,IF(AND(AUTOEVENTO="Manual",$M274=1),0,IF(OFFSET(CRONOPLE!$F$14,$M274,AQ$13)="",10^12,OFFSET(CRONOPLE!$F$14,$M274,AQ$13))))</f>
        <v>1000000000000</v>
      </c>
      <c r="AR274" s="181">
        <f ca="1">IF($D274&lt;&gt;"Serviço",0,IF(AND(AUTOEVENTO="Manual",$M274=1),0,IF(OFFSET(CRONOPLE!$F$14,$M274,AR$13)="",10^12,OFFSET(CRONOPLE!$F$14,$M274,AR$13))))</f>
        <v>1000000000000</v>
      </c>
      <c r="AS274" s="181">
        <f ca="1">IF($D274&lt;&gt;"Serviço",0,IF(AND(AUTOEVENTO="Manual",$M274=1),0,IF(OFFSET(CRONOPLE!$F$14,$M274,AS$13)="",10^12,OFFSET(CRONOPLE!$F$14,$M274,AS$13))))</f>
        <v>1000000000000</v>
      </c>
      <c r="AT274" s="181">
        <f ca="1">IF($D274&lt;&gt;"Serviço",0,IF(AND(AUTOEVENTO="Manual",$M274=1),0,IF(OFFSET(CRONOPLE!$F$14,$M274,AT$13)="",10^12,OFFSET(CRONOPLE!$F$14,$M274,AT$13))))</f>
        <v>1000000000000</v>
      </c>
      <c r="AU274" s="181">
        <f ca="1">IF($D274&lt;&gt;"Serviço",0,IF(AND(AUTOEVENTO="Manual",$M274=1),0,IF(OFFSET(CRONOPLE!$F$14,$M274,AU$13)="",10^12,OFFSET(CRONOPLE!$F$14,$M274,AU$13))))</f>
        <v>1000000000000</v>
      </c>
      <c r="AV274" s="181">
        <f ca="1">IF($D274&lt;&gt;"Serviço",0,IF(AND(AUTOEVENTO="Manual",$M274=1),0,IF(OFFSET(CRONOPLE!$F$14,$M274,AV$13)="",10^12,OFFSET(CRONOPLE!$F$14,$M274,AV$13))))</f>
        <v>1000000000000</v>
      </c>
      <c r="AX274" s="182">
        <f ca="1">IF($D274&lt;&gt;"Serviço",0,IF(OR(AND(AUTOEVENTO="Manual",$M274=1),$M274&gt;(ROW(PLE.lastrow)-ROW(PLE.firstrow))),0,IF(OFFSET(PLE!$G$14,$M274,AX$13)="",10^12,OFFSET(PLE!$G$14,$M274,AX$13))))</f>
        <v>1000000000000</v>
      </c>
      <c r="AY274" s="182">
        <f ca="1">IF($D274&lt;&gt;"Serviço",0,IF(OR(AND(AUTOEVENTO="Manual",$M274=1),$M274&gt;(ROW(PLE.lastrow)-ROW(PLE.firstrow))),0,IF(OFFSET(PLE!$G$14,$M274,AY$13)="",10^12,OFFSET(PLE!$G$14,$M274,AY$13))))</f>
        <v>1000000000000</v>
      </c>
      <c r="AZ274" s="182">
        <f ca="1">IF($D274&lt;&gt;"Serviço",0,IF(OR(AND(AUTOEVENTO="Manual",$M274=1),$M274&gt;(ROW(PLE.lastrow)-ROW(PLE.firstrow))),0,IF(OFFSET(PLE!$G$14,$M274,AZ$13)="",10^12,OFFSET(PLE!$G$14,$M274,AZ$13))))</f>
        <v>1000000000000</v>
      </c>
      <c r="BA274" s="182">
        <f ca="1">IF($D274&lt;&gt;"Serviço",0,IF(OR(AND(AUTOEVENTO="Manual",$M274=1),$M274&gt;(ROW(PLE.lastrow)-ROW(PLE.firstrow))),0,IF(OFFSET(PLE!$G$14,$M274,BA$13)="",10^12,OFFSET(PLE!$G$14,$M274,BA$13))))</f>
        <v>1000000000000</v>
      </c>
      <c r="BB274" s="182">
        <f ca="1">IF($D274&lt;&gt;"Serviço",0,IF(OR(AND(AUTOEVENTO="Manual",$M274=1),$M274&gt;(ROW(PLE.lastrow)-ROW(PLE.firstrow))),0,IF(OFFSET(PLE!$G$14,$M274,BB$13)="",10^12,OFFSET(PLE!$G$14,$M274,BB$13))))</f>
        <v>1000000000000</v>
      </c>
      <c r="BC274" s="182">
        <f ca="1">IF($D274&lt;&gt;"Serviço",0,IF(OR(AND(AUTOEVENTO="Manual",$M274=1),$M274&gt;(ROW(PLE.lastrow)-ROW(PLE.firstrow))),0,IF(OFFSET(PLE!$G$14,$M274,BC$13)="",10^12,OFFSET(PLE!$G$14,$M274,BC$13))))</f>
        <v>1000000000000</v>
      </c>
      <c r="BD274" s="182">
        <f ca="1">IF($D274&lt;&gt;"Serviço",0,IF(OR(AND(AUTOEVENTO="Manual",$M274=1),$M274&gt;(ROW(PLE.lastrow)-ROW(PLE.firstrow))),0,IF(OFFSET(PLE!$G$14,$M274,BD$13)="",10^12,OFFSET(PLE!$G$14,$M274,BD$13))))</f>
        <v>1000000000000</v>
      </c>
      <c r="BE274" s="182">
        <f ca="1">IF($D274&lt;&gt;"Serviço",0,IF(OR(AND(AUTOEVENTO="Manual",$M274=1),$M274&gt;(ROW(PLE.lastrow)-ROW(PLE.firstrow))),0,IF(OFFSET(PLE!$G$14,$M274,BE$13)="",10^12,OFFSET(PLE!$G$14,$M274,BE$13))))</f>
        <v>1000000000000</v>
      </c>
      <c r="BF274" s="182">
        <f ca="1">IF($D274&lt;&gt;"Serviço",0,IF(OR(AND(AUTOEVENTO="Manual",$M274=1),$M274&gt;(ROW(PLE.lastrow)-ROW(PLE.firstrow))),0,IF(OFFSET(PLE!$G$14,$M274,BF$13)="",10^12,OFFSET(PLE!$G$14,$M274,BF$13))))</f>
        <v>1000000000000</v>
      </c>
      <c r="BG274" s="182">
        <f ca="1">IF($D274&lt;&gt;"Serviço",0,IF(OR(AND(AUTOEVENTO="Manual",$M274=1),$M274&gt;(ROW(PLE.lastrow)-ROW(PLE.firstrow))),0,IF(OFFSET(PLE!$G$14,$M274,BG$13)="",10^12,OFFSET(PLE!$G$14,$M274,BG$13))))</f>
        <v>1000000000000</v>
      </c>
    </row>
    <row r="275" spans="1:59" ht="12.75" x14ac:dyDescent="0.2">
      <c r="A275" s="7" t="str">
        <f t="shared" ca="1" si="11"/>
        <v>233</v>
      </c>
      <c r="B275" s="7" t="str">
        <f ca="1">OFFSET(ORÇAMENTO!C$15,ROW(B275)-ROW(B$15),0)</f>
        <v>S</v>
      </c>
      <c r="C275" s="7" t="str">
        <f ca="1">OFFSET(ORÇAMENTO!L$15,ROW(C275)-ROW(C$15),0)</f>
        <v/>
      </c>
      <c r="D275" s="118" t="str">
        <f ca="1">OFFSET(ORÇAMENTO!N$15,ROW(D275)-ROW(D$15),0)</f>
        <v>Serviço</v>
      </c>
      <c r="E275" s="119" t="str">
        <f ca="1">OFFSET(ORÇAMENTO!O$15,ROW(E275)-ROW(E$15),0)</f>
        <v>-</v>
      </c>
      <c r="F275" s="172" t="str">
        <f ca="1">OFFSET(ORÇAMENTO!R$15,ROW(F275)-ROW(F$15),0)</f>
        <v>(abra o arquivo 'Referência 03-2024.xlsm)</v>
      </c>
      <c r="G275" s="173" t="str">
        <f ca="1">IF($D275&lt;&gt;"Serviço","",OFFSET(ORÇAMENTO!S$15,ROW(G275)-ROW(G$15),0))</f>
        <v>-</v>
      </c>
      <c r="H275" s="124">
        <f ca="1">IF($D275&lt;&gt;"Serviço",0,IF(ACOMPANHAMENTO="BM",ROUND(OFFSET(ORÇAMENTO!AJ$15,ROW(H275)-ROW(H$15),0),15-13*ORÇAMENTO!$AF$7),SUMPRODUCT(($Q$12:$AA$12&lt;&gt;"")*ROUND($Q275:$AA275,15-13*ORÇAMENTO!$AF$7))))</f>
        <v>0</v>
      </c>
      <c r="I275" s="561"/>
      <c r="K275" s="174"/>
      <c r="L275" s="175" t="s">
        <v>255</v>
      </c>
      <c r="M275" s="176">
        <f ca="1">IF($D275&lt;&gt;"Serviço","",IF(AUTOEVENTO="manual",$A275,IF(ISERROR(MATCH($A275,$A$15:OFFSET($A275,-1,0),0)),MAX($M$15:OFFSET(M275,-1,0))+1,INDEX($M$15:OFFSET(M275,-1,0),MATCH($A275,$A$15:OFFSET($A275,-1,0),0)))))</f>
        <v>14</v>
      </c>
      <c r="N275" s="177" t="str">
        <f ca="1">IF($D275&lt;&gt;"Serviço","",IF(AUTOEVENTO="Manual",IF($A275=0,"&lt;-- defina o número do agrupador",OFFSET(EVENTOS!$D$14,$A275,0)),OFFSET($F$15,$A275,0)))</f>
        <v>SERVIÇOS FINAIS</v>
      </c>
      <c r="O275" s="178"/>
      <c r="Q275" s="178"/>
      <c r="R275" s="179"/>
      <c r="S275" s="179"/>
      <c r="T275" s="179"/>
      <c r="U275" s="179"/>
      <c r="V275" s="179"/>
      <c r="W275" s="179"/>
      <c r="X275" s="179"/>
      <c r="Y275" s="179"/>
      <c r="Z275" s="180"/>
      <c r="AB275" s="544">
        <f ca="1">IF(AND($D275="Serviço",AB$12&lt;&gt;0,$H275&gt;0,OR(AUTOEVENTO&lt;&gt;"manual",$M275&lt;&gt;1)),
IF(Import.TipoArredondamento&lt;&gt;"TransfereGOV",
ROUND(OFFSET($P275,0,AB$13),15-13*ORÇAMENTO!$AF$7)/$H275*OFFSET(ORÇAMENTO!$X$15,ROW(AB275)-ROW(AB$15),0),
ROUND(ROUND(OFFSET($P275,0,AB$13),15-13*ORÇAMENTO!$AF$7)*OFFSET(ORÇAMENTO!$W$15,ROW(AB275)-ROW(AB$15),0),15-13*ORÇAMENTO!$AF$11)),0)</f>
        <v>0</v>
      </c>
      <c r="AC275" s="545">
        <f ca="1">IF(AND($D275="Serviço",AC$12&lt;&gt;0,$H275&gt;0,OR(AUTOEVENTO&lt;&gt;"manual",$M275&lt;&gt;1)),
IF(Import.TipoArredondamento&lt;&gt;"TransfereGOV",
ROUND(OFFSET($P275,0,AC$13),15-13*ORÇAMENTO!$AF$7)/$H275*OFFSET(ORÇAMENTO!$X$15,ROW(AC275)-ROW(AC$15),0),
ROUND(ROUND(OFFSET($P275,0,AC$13),15-13*ORÇAMENTO!$AF$7)*OFFSET(ORÇAMENTO!$W$15,ROW(AC275)-ROW(AC$15),0),15-13*ORÇAMENTO!$AF$11)),0)</f>
        <v>0</v>
      </c>
      <c r="AD275" s="545">
        <f ca="1">IF(AND($D275="Serviço",AD$12&lt;&gt;0,$H275&gt;0,OR(AUTOEVENTO&lt;&gt;"manual",$M275&lt;&gt;1)),
IF(Import.TipoArredondamento&lt;&gt;"TransfereGOV",
ROUND(OFFSET($P275,0,AD$13),15-13*ORÇAMENTO!$AF$7)/$H275*OFFSET(ORÇAMENTO!$X$15,ROW(AD275)-ROW(AD$15),0),
ROUND(ROUND(OFFSET($P275,0,AD$13),15-13*ORÇAMENTO!$AF$7)*OFFSET(ORÇAMENTO!$W$15,ROW(AD275)-ROW(AD$15),0),15-13*ORÇAMENTO!$AF$11)),0)</f>
        <v>0</v>
      </c>
      <c r="AE275" s="545">
        <f ca="1">IF(AND($D275="Serviço",AE$12&lt;&gt;0,$H275&gt;0,OR(AUTOEVENTO&lt;&gt;"manual",$M275&lt;&gt;1)),
IF(Import.TipoArredondamento&lt;&gt;"TransfereGOV",
ROUND(OFFSET($P275,0,AE$13),15-13*ORÇAMENTO!$AF$7)/$H275*OFFSET(ORÇAMENTO!$X$15,ROW(AE275)-ROW(AE$15),0),
ROUND(ROUND(OFFSET($P275,0,AE$13),15-13*ORÇAMENTO!$AF$7)*OFFSET(ORÇAMENTO!$W$15,ROW(AE275)-ROW(AE$15),0),15-13*ORÇAMENTO!$AF$11)),0)</f>
        <v>0</v>
      </c>
      <c r="AF275" s="545">
        <f ca="1">IF(AND($D275="Serviço",AF$12&lt;&gt;0,$H275&gt;0,OR(AUTOEVENTO&lt;&gt;"manual",$M275&lt;&gt;1)),
IF(Import.TipoArredondamento&lt;&gt;"TransfereGOV",
ROUND(OFFSET($P275,0,AF$13),15-13*ORÇAMENTO!$AF$7)/$H275*OFFSET(ORÇAMENTO!$X$15,ROW(AF275)-ROW(AF$15),0),
ROUND(ROUND(OFFSET($P275,0,AF$13),15-13*ORÇAMENTO!$AF$7)*OFFSET(ORÇAMENTO!$W$15,ROW(AF275)-ROW(AF$15),0),15-13*ORÇAMENTO!$AF$11)),0)</f>
        <v>0</v>
      </c>
      <c r="AG275" s="545">
        <f ca="1">IF(AND($D275="Serviço",AG$12&lt;&gt;0,$H275&gt;0,OR(AUTOEVENTO&lt;&gt;"manual",$M275&lt;&gt;1)),
IF(Import.TipoArredondamento&lt;&gt;"TransfereGOV",
ROUND(OFFSET($P275,0,AG$13),15-13*ORÇAMENTO!$AF$7)/$H275*OFFSET(ORÇAMENTO!$X$15,ROW(AG275)-ROW(AG$15),0),
ROUND(ROUND(OFFSET($P275,0,AG$13),15-13*ORÇAMENTO!$AF$7)*OFFSET(ORÇAMENTO!$W$15,ROW(AG275)-ROW(AG$15),0),15-13*ORÇAMENTO!$AF$11)),0)</f>
        <v>0</v>
      </c>
      <c r="AH275" s="545">
        <f ca="1">IF(AND($D275="Serviço",AH$12&lt;&gt;0,$H275&gt;0,OR(AUTOEVENTO&lt;&gt;"manual",$M275&lt;&gt;1)),
IF(Import.TipoArredondamento&lt;&gt;"TransfereGOV",
ROUND(OFFSET($P275,0,AH$13),15-13*ORÇAMENTO!$AF$7)/$H275*OFFSET(ORÇAMENTO!$X$15,ROW(AH275)-ROW(AH$15),0),
ROUND(ROUND(OFFSET($P275,0,AH$13),15-13*ORÇAMENTO!$AF$7)*OFFSET(ORÇAMENTO!$W$15,ROW(AH275)-ROW(AH$15),0),15-13*ORÇAMENTO!$AF$11)),0)</f>
        <v>0</v>
      </c>
      <c r="AI275" s="545">
        <f ca="1">IF(AND($D275="Serviço",AI$12&lt;&gt;0,$H275&gt;0,OR(AUTOEVENTO&lt;&gt;"manual",$M275&lt;&gt;1)),
IF(Import.TipoArredondamento&lt;&gt;"TransfereGOV",
ROUND(OFFSET($P275,0,AI$13),15-13*ORÇAMENTO!$AF$7)/$H275*OFFSET(ORÇAMENTO!$X$15,ROW(AI275)-ROW(AI$15),0),
ROUND(ROUND(OFFSET($P275,0,AI$13),15-13*ORÇAMENTO!$AF$7)*OFFSET(ORÇAMENTO!$W$15,ROW(AI275)-ROW(AI$15),0),15-13*ORÇAMENTO!$AF$11)),0)</f>
        <v>0</v>
      </c>
      <c r="AJ275" s="545">
        <f ca="1">IF(AND($D275="Serviço",AJ$12&lt;&gt;0,$H275&gt;0,OR(AUTOEVENTO&lt;&gt;"manual",$M275&lt;&gt;1)),
IF(Import.TipoArredondamento&lt;&gt;"TransfereGOV",
ROUND(OFFSET($P275,0,AJ$13),15-13*ORÇAMENTO!$AF$7)/$H275*OFFSET(ORÇAMENTO!$X$15,ROW(AJ275)-ROW(AJ$15),0),
ROUND(ROUND(OFFSET($P275,0,AJ$13),15-13*ORÇAMENTO!$AF$7)*OFFSET(ORÇAMENTO!$W$15,ROW(AJ275)-ROW(AJ$15),0),15-13*ORÇAMENTO!$AF$11)),0)</f>
        <v>0</v>
      </c>
      <c r="AK275" s="546">
        <f ca="1">IF(AND($D275="Serviço",AK$12&lt;&gt;0,$H275&gt;0,OR(AUTOEVENTO&lt;&gt;"manual",$M275&lt;&gt;1)),
IF(Import.TipoArredondamento&lt;&gt;"TransfereGOV",
ROUND(OFFSET($P275,0,AK$13),15-13*ORÇAMENTO!$AF$7)/$H275*OFFSET(ORÇAMENTO!$X$15,ROW(AK275)-ROW(AK$15),0),
ROUND(ROUND(OFFSET($P275,0,AK$13),15-13*ORÇAMENTO!$AF$7)*OFFSET(ORÇAMENTO!$W$15,ROW(AK275)-ROW(AK$15),0),15-13*ORÇAMENTO!$AF$11)),0)</f>
        <v>0</v>
      </c>
      <c r="AM275" s="181">
        <f ca="1">IF($D275&lt;&gt;"Serviço",0,IF(AND(AUTOEVENTO="Manual",$M275=1),0,IF(OFFSET(CRONOPLE!$F$14,$M275,AM$13)="",10^12,OFFSET(CRONOPLE!$F$14,$M275,AM$13))))</f>
        <v>1000000000000</v>
      </c>
      <c r="AN275" s="181">
        <f ca="1">IF($D275&lt;&gt;"Serviço",0,IF(AND(AUTOEVENTO="Manual",$M275=1),0,IF(OFFSET(CRONOPLE!$F$14,$M275,AN$13)="",10^12,OFFSET(CRONOPLE!$F$14,$M275,AN$13))))</f>
        <v>1000000000000</v>
      </c>
      <c r="AO275" s="181">
        <f ca="1">IF($D275&lt;&gt;"Serviço",0,IF(AND(AUTOEVENTO="Manual",$M275=1),0,IF(OFFSET(CRONOPLE!$F$14,$M275,AO$13)="",10^12,OFFSET(CRONOPLE!$F$14,$M275,AO$13))))</f>
        <v>1000000000000</v>
      </c>
      <c r="AP275" s="181">
        <f ca="1">IF($D275&lt;&gt;"Serviço",0,IF(AND(AUTOEVENTO="Manual",$M275=1),0,IF(OFFSET(CRONOPLE!$F$14,$M275,AP$13)="",10^12,OFFSET(CRONOPLE!$F$14,$M275,AP$13))))</f>
        <v>1000000000000</v>
      </c>
      <c r="AQ275" s="181">
        <f ca="1">IF($D275&lt;&gt;"Serviço",0,IF(AND(AUTOEVENTO="Manual",$M275=1),0,IF(OFFSET(CRONOPLE!$F$14,$M275,AQ$13)="",10^12,OFFSET(CRONOPLE!$F$14,$M275,AQ$13))))</f>
        <v>1000000000000</v>
      </c>
      <c r="AR275" s="181">
        <f ca="1">IF($D275&lt;&gt;"Serviço",0,IF(AND(AUTOEVENTO="Manual",$M275=1),0,IF(OFFSET(CRONOPLE!$F$14,$M275,AR$13)="",10^12,OFFSET(CRONOPLE!$F$14,$M275,AR$13))))</f>
        <v>1000000000000</v>
      </c>
      <c r="AS275" s="181">
        <f ca="1">IF($D275&lt;&gt;"Serviço",0,IF(AND(AUTOEVENTO="Manual",$M275=1),0,IF(OFFSET(CRONOPLE!$F$14,$M275,AS$13)="",10^12,OFFSET(CRONOPLE!$F$14,$M275,AS$13))))</f>
        <v>1000000000000</v>
      </c>
      <c r="AT275" s="181">
        <f ca="1">IF($D275&lt;&gt;"Serviço",0,IF(AND(AUTOEVENTO="Manual",$M275=1),0,IF(OFFSET(CRONOPLE!$F$14,$M275,AT$13)="",10^12,OFFSET(CRONOPLE!$F$14,$M275,AT$13))))</f>
        <v>1000000000000</v>
      </c>
      <c r="AU275" s="181">
        <f ca="1">IF($D275&lt;&gt;"Serviço",0,IF(AND(AUTOEVENTO="Manual",$M275=1),0,IF(OFFSET(CRONOPLE!$F$14,$M275,AU$13)="",10^12,OFFSET(CRONOPLE!$F$14,$M275,AU$13))))</f>
        <v>1000000000000</v>
      </c>
      <c r="AV275" s="181">
        <f ca="1">IF($D275&lt;&gt;"Serviço",0,IF(AND(AUTOEVENTO="Manual",$M275=1),0,IF(OFFSET(CRONOPLE!$F$14,$M275,AV$13)="",10^12,OFFSET(CRONOPLE!$F$14,$M275,AV$13))))</f>
        <v>1000000000000</v>
      </c>
      <c r="AX275" s="182">
        <f ca="1">IF($D275&lt;&gt;"Serviço",0,IF(OR(AND(AUTOEVENTO="Manual",$M275=1),$M275&gt;(ROW(PLE.lastrow)-ROW(PLE.firstrow))),0,IF(OFFSET(PLE!$G$14,$M275,AX$13)="",10^12,OFFSET(PLE!$G$14,$M275,AX$13))))</f>
        <v>1000000000000</v>
      </c>
      <c r="AY275" s="182">
        <f ca="1">IF($D275&lt;&gt;"Serviço",0,IF(OR(AND(AUTOEVENTO="Manual",$M275=1),$M275&gt;(ROW(PLE.lastrow)-ROW(PLE.firstrow))),0,IF(OFFSET(PLE!$G$14,$M275,AY$13)="",10^12,OFFSET(PLE!$G$14,$M275,AY$13))))</f>
        <v>1000000000000</v>
      </c>
      <c r="AZ275" s="182">
        <f ca="1">IF($D275&lt;&gt;"Serviço",0,IF(OR(AND(AUTOEVENTO="Manual",$M275=1),$M275&gt;(ROW(PLE.lastrow)-ROW(PLE.firstrow))),0,IF(OFFSET(PLE!$G$14,$M275,AZ$13)="",10^12,OFFSET(PLE!$G$14,$M275,AZ$13))))</f>
        <v>1000000000000</v>
      </c>
      <c r="BA275" s="182">
        <f ca="1">IF($D275&lt;&gt;"Serviço",0,IF(OR(AND(AUTOEVENTO="Manual",$M275=1),$M275&gt;(ROW(PLE.lastrow)-ROW(PLE.firstrow))),0,IF(OFFSET(PLE!$G$14,$M275,BA$13)="",10^12,OFFSET(PLE!$G$14,$M275,BA$13))))</f>
        <v>1000000000000</v>
      </c>
      <c r="BB275" s="182">
        <f ca="1">IF($D275&lt;&gt;"Serviço",0,IF(OR(AND(AUTOEVENTO="Manual",$M275=1),$M275&gt;(ROW(PLE.lastrow)-ROW(PLE.firstrow))),0,IF(OFFSET(PLE!$G$14,$M275,BB$13)="",10^12,OFFSET(PLE!$G$14,$M275,BB$13))))</f>
        <v>1000000000000</v>
      </c>
      <c r="BC275" s="182">
        <f ca="1">IF($D275&lt;&gt;"Serviço",0,IF(OR(AND(AUTOEVENTO="Manual",$M275=1),$M275&gt;(ROW(PLE.lastrow)-ROW(PLE.firstrow))),0,IF(OFFSET(PLE!$G$14,$M275,BC$13)="",10^12,OFFSET(PLE!$G$14,$M275,BC$13))))</f>
        <v>1000000000000</v>
      </c>
      <c r="BD275" s="182">
        <f ca="1">IF($D275&lt;&gt;"Serviço",0,IF(OR(AND(AUTOEVENTO="Manual",$M275=1),$M275&gt;(ROW(PLE.lastrow)-ROW(PLE.firstrow))),0,IF(OFFSET(PLE!$G$14,$M275,BD$13)="",10^12,OFFSET(PLE!$G$14,$M275,BD$13))))</f>
        <v>1000000000000</v>
      </c>
      <c r="BE275" s="182">
        <f ca="1">IF($D275&lt;&gt;"Serviço",0,IF(OR(AND(AUTOEVENTO="Manual",$M275=1),$M275&gt;(ROW(PLE.lastrow)-ROW(PLE.firstrow))),0,IF(OFFSET(PLE!$G$14,$M275,BE$13)="",10^12,OFFSET(PLE!$G$14,$M275,BE$13))))</f>
        <v>1000000000000</v>
      </c>
      <c r="BF275" s="182">
        <f ca="1">IF($D275&lt;&gt;"Serviço",0,IF(OR(AND(AUTOEVENTO="Manual",$M275=1),$M275&gt;(ROW(PLE.lastrow)-ROW(PLE.firstrow))),0,IF(OFFSET(PLE!$G$14,$M275,BF$13)="",10^12,OFFSET(PLE!$G$14,$M275,BF$13))))</f>
        <v>1000000000000</v>
      </c>
      <c r="BG275" s="182">
        <f ca="1">IF($D275&lt;&gt;"Serviço",0,IF(OR(AND(AUTOEVENTO="Manual",$M275=1),$M275&gt;(ROW(PLE.lastrow)-ROW(PLE.firstrow))),0,IF(OFFSET(PLE!$G$14,$M275,BG$13)="",10^12,OFFSET(PLE!$G$14,$M275,BG$13))))</f>
        <v>1000000000000</v>
      </c>
    </row>
    <row r="276" spans="1:59" ht="12.75" x14ac:dyDescent="0.2">
      <c r="A276" s="7" t="str">
        <f t="shared" ca="1" si="11"/>
        <v>233</v>
      </c>
      <c r="B276" s="7" t="str">
        <f ca="1">OFFSET(ORÇAMENTO!C$15,ROW(B276)-ROW(B$15),0)</f>
        <v>S</v>
      </c>
      <c r="C276" s="7" t="str">
        <f ca="1">OFFSET(ORÇAMENTO!L$15,ROW(C276)-ROW(C$15),0)</f>
        <v/>
      </c>
      <c r="D276" s="118" t="str">
        <f ca="1">OFFSET(ORÇAMENTO!N$15,ROW(D276)-ROW(D$15),0)</f>
        <v>Serviço</v>
      </c>
      <c r="E276" s="119" t="str">
        <f ca="1">OFFSET(ORÇAMENTO!O$15,ROW(E276)-ROW(E$15),0)</f>
        <v>-</v>
      </c>
      <c r="F276" s="172" t="str">
        <f ca="1">OFFSET(ORÇAMENTO!R$15,ROW(F276)-ROW(F$15),0)</f>
        <v>(abra o arquivo 'Referência 03-2024.xlsm)</v>
      </c>
      <c r="G276" s="173" t="str">
        <f ca="1">IF($D276&lt;&gt;"Serviço","",OFFSET(ORÇAMENTO!S$15,ROW(G276)-ROW(G$15),0))</f>
        <v>-</v>
      </c>
      <c r="H276" s="124">
        <f ca="1">IF($D276&lt;&gt;"Serviço",0,IF(ACOMPANHAMENTO="BM",ROUND(OFFSET(ORÇAMENTO!AJ$15,ROW(H276)-ROW(H$15),0),15-13*ORÇAMENTO!$AF$7),SUMPRODUCT(($Q$12:$AA$12&lt;&gt;"")*ROUND($Q276:$AA276,15-13*ORÇAMENTO!$AF$7))))</f>
        <v>0</v>
      </c>
      <c r="I276" s="561"/>
      <c r="K276" s="174"/>
      <c r="L276" s="175" t="s">
        <v>255</v>
      </c>
      <c r="M276" s="176">
        <f ca="1">IF($D276&lt;&gt;"Serviço","",IF(AUTOEVENTO="manual",$A276,IF(ISERROR(MATCH($A276,$A$15:OFFSET($A276,-1,0),0)),MAX($M$15:OFFSET(M276,-1,0))+1,INDEX($M$15:OFFSET(M276,-1,0),MATCH($A276,$A$15:OFFSET($A276,-1,0),0)))))</f>
        <v>14</v>
      </c>
      <c r="N276" s="177" t="str">
        <f ca="1">IF($D276&lt;&gt;"Serviço","",IF(AUTOEVENTO="Manual",IF($A276=0,"&lt;-- defina o número do agrupador",OFFSET(EVENTOS!$D$14,$A276,0)),OFFSET($F$15,$A276,0)))</f>
        <v>SERVIÇOS FINAIS</v>
      </c>
      <c r="O276" s="178"/>
      <c r="Q276" s="178"/>
      <c r="R276" s="179"/>
      <c r="S276" s="179"/>
      <c r="T276" s="179"/>
      <c r="U276" s="179"/>
      <c r="V276" s="179"/>
      <c r="W276" s="179"/>
      <c r="X276" s="179"/>
      <c r="Y276" s="179"/>
      <c r="Z276" s="180"/>
      <c r="AB276" s="544">
        <f ca="1">IF(AND($D276="Serviço",AB$12&lt;&gt;0,$H276&gt;0,OR(AUTOEVENTO&lt;&gt;"manual",$M276&lt;&gt;1)),
IF(Import.TipoArredondamento&lt;&gt;"TransfereGOV",
ROUND(OFFSET($P276,0,AB$13),15-13*ORÇAMENTO!$AF$7)/$H276*OFFSET(ORÇAMENTO!$X$15,ROW(AB276)-ROW(AB$15),0),
ROUND(ROUND(OFFSET($P276,0,AB$13),15-13*ORÇAMENTO!$AF$7)*OFFSET(ORÇAMENTO!$W$15,ROW(AB276)-ROW(AB$15),0),15-13*ORÇAMENTO!$AF$11)),0)</f>
        <v>0</v>
      </c>
      <c r="AC276" s="545">
        <f ca="1">IF(AND($D276="Serviço",AC$12&lt;&gt;0,$H276&gt;0,OR(AUTOEVENTO&lt;&gt;"manual",$M276&lt;&gt;1)),
IF(Import.TipoArredondamento&lt;&gt;"TransfereGOV",
ROUND(OFFSET($P276,0,AC$13),15-13*ORÇAMENTO!$AF$7)/$H276*OFFSET(ORÇAMENTO!$X$15,ROW(AC276)-ROW(AC$15),0),
ROUND(ROUND(OFFSET($P276,0,AC$13),15-13*ORÇAMENTO!$AF$7)*OFFSET(ORÇAMENTO!$W$15,ROW(AC276)-ROW(AC$15),0),15-13*ORÇAMENTO!$AF$11)),0)</f>
        <v>0</v>
      </c>
      <c r="AD276" s="545">
        <f ca="1">IF(AND($D276="Serviço",AD$12&lt;&gt;0,$H276&gt;0,OR(AUTOEVENTO&lt;&gt;"manual",$M276&lt;&gt;1)),
IF(Import.TipoArredondamento&lt;&gt;"TransfereGOV",
ROUND(OFFSET($P276,0,AD$13),15-13*ORÇAMENTO!$AF$7)/$H276*OFFSET(ORÇAMENTO!$X$15,ROW(AD276)-ROW(AD$15),0),
ROUND(ROUND(OFFSET($P276,0,AD$13),15-13*ORÇAMENTO!$AF$7)*OFFSET(ORÇAMENTO!$W$15,ROW(AD276)-ROW(AD$15),0),15-13*ORÇAMENTO!$AF$11)),0)</f>
        <v>0</v>
      </c>
      <c r="AE276" s="545">
        <f ca="1">IF(AND($D276="Serviço",AE$12&lt;&gt;0,$H276&gt;0,OR(AUTOEVENTO&lt;&gt;"manual",$M276&lt;&gt;1)),
IF(Import.TipoArredondamento&lt;&gt;"TransfereGOV",
ROUND(OFFSET($P276,0,AE$13),15-13*ORÇAMENTO!$AF$7)/$H276*OFFSET(ORÇAMENTO!$X$15,ROW(AE276)-ROW(AE$15),0),
ROUND(ROUND(OFFSET($P276,0,AE$13),15-13*ORÇAMENTO!$AF$7)*OFFSET(ORÇAMENTO!$W$15,ROW(AE276)-ROW(AE$15),0),15-13*ORÇAMENTO!$AF$11)),0)</f>
        <v>0</v>
      </c>
      <c r="AF276" s="545">
        <f ca="1">IF(AND($D276="Serviço",AF$12&lt;&gt;0,$H276&gt;0,OR(AUTOEVENTO&lt;&gt;"manual",$M276&lt;&gt;1)),
IF(Import.TipoArredondamento&lt;&gt;"TransfereGOV",
ROUND(OFFSET($P276,0,AF$13),15-13*ORÇAMENTO!$AF$7)/$H276*OFFSET(ORÇAMENTO!$X$15,ROW(AF276)-ROW(AF$15),0),
ROUND(ROUND(OFFSET($P276,0,AF$13),15-13*ORÇAMENTO!$AF$7)*OFFSET(ORÇAMENTO!$W$15,ROW(AF276)-ROW(AF$15),0),15-13*ORÇAMENTO!$AF$11)),0)</f>
        <v>0</v>
      </c>
      <c r="AG276" s="545">
        <f ca="1">IF(AND($D276="Serviço",AG$12&lt;&gt;0,$H276&gt;0,OR(AUTOEVENTO&lt;&gt;"manual",$M276&lt;&gt;1)),
IF(Import.TipoArredondamento&lt;&gt;"TransfereGOV",
ROUND(OFFSET($P276,0,AG$13),15-13*ORÇAMENTO!$AF$7)/$H276*OFFSET(ORÇAMENTO!$X$15,ROW(AG276)-ROW(AG$15),0),
ROUND(ROUND(OFFSET($P276,0,AG$13),15-13*ORÇAMENTO!$AF$7)*OFFSET(ORÇAMENTO!$W$15,ROW(AG276)-ROW(AG$15),0),15-13*ORÇAMENTO!$AF$11)),0)</f>
        <v>0</v>
      </c>
      <c r="AH276" s="545">
        <f ca="1">IF(AND($D276="Serviço",AH$12&lt;&gt;0,$H276&gt;0,OR(AUTOEVENTO&lt;&gt;"manual",$M276&lt;&gt;1)),
IF(Import.TipoArredondamento&lt;&gt;"TransfereGOV",
ROUND(OFFSET($P276,0,AH$13),15-13*ORÇAMENTO!$AF$7)/$H276*OFFSET(ORÇAMENTO!$X$15,ROW(AH276)-ROW(AH$15),0),
ROUND(ROUND(OFFSET($P276,0,AH$13),15-13*ORÇAMENTO!$AF$7)*OFFSET(ORÇAMENTO!$W$15,ROW(AH276)-ROW(AH$15),0),15-13*ORÇAMENTO!$AF$11)),0)</f>
        <v>0</v>
      </c>
      <c r="AI276" s="545">
        <f ca="1">IF(AND($D276="Serviço",AI$12&lt;&gt;0,$H276&gt;0,OR(AUTOEVENTO&lt;&gt;"manual",$M276&lt;&gt;1)),
IF(Import.TipoArredondamento&lt;&gt;"TransfereGOV",
ROUND(OFFSET($P276,0,AI$13),15-13*ORÇAMENTO!$AF$7)/$H276*OFFSET(ORÇAMENTO!$X$15,ROW(AI276)-ROW(AI$15),0),
ROUND(ROUND(OFFSET($P276,0,AI$13),15-13*ORÇAMENTO!$AF$7)*OFFSET(ORÇAMENTO!$W$15,ROW(AI276)-ROW(AI$15),0),15-13*ORÇAMENTO!$AF$11)),0)</f>
        <v>0</v>
      </c>
      <c r="AJ276" s="545">
        <f ca="1">IF(AND($D276="Serviço",AJ$12&lt;&gt;0,$H276&gt;0,OR(AUTOEVENTO&lt;&gt;"manual",$M276&lt;&gt;1)),
IF(Import.TipoArredondamento&lt;&gt;"TransfereGOV",
ROUND(OFFSET($P276,0,AJ$13),15-13*ORÇAMENTO!$AF$7)/$H276*OFFSET(ORÇAMENTO!$X$15,ROW(AJ276)-ROW(AJ$15),0),
ROUND(ROUND(OFFSET($P276,0,AJ$13),15-13*ORÇAMENTO!$AF$7)*OFFSET(ORÇAMENTO!$W$15,ROW(AJ276)-ROW(AJ$15),0),15-13*ORÇAMENTO!$AF$11)),0)</f>
        <v>0</v>
      </c>
      <c r="AK276" s="546">
        <f ca="1">IF(AND($D276="Serviço",AK$12&lt;&gt;0,$H276&gt;0,OR(AUTOEVENTO&lt;&gt;"manual",$M276&lt;&gt;1)),
IF(Import.TipoArredondamento&lt;&gt;"TransfereGOV",
ROUND(OFFSET($P276,0,AK$13),15-13*ORÇAMENTO!$AF$7)/$H276*OFFSET(ORÇAMENTO!$X$15,ROW(AK276)-ROW(AK$15),0),
ROUND(ROUND(OFFSET($P276,0,AK$13),15-13*ORÇAMENTO!$AF$7)*OFFSET(ORÇAMENTO!$W$15,ROW(AK276)-ROW(AK$15),0),15-13*ORÇAMENTO!$AF$11)),0)</f>
        <v>0</v>
      </c>
      <c r="AM276" s="181">
        <f ca="1">IF($D276&lt;&gt;"Serviço",0,IF(AND(AUTOEVENTO="Manual",$M276=1),0,IF(OFFSET(CRONOPLE!$F$14,$M276,AM$13)="",10^12,OFFSET(CRONOPLE!$F$14,$M276,AM$13))))</f>
        <v>1000000000000</v>
      </c>
      <c r="AN276" s="181">
        <f ca="1">IF($D276&lt;&gt;"Serviço",0,IF(AND(AUTOEVENTO="Manual",$M276=1),0,IF(OFFSET(CRONOPLE!$F$14,$M276,AN$13)="",10^12,OFFSET(CRONOPLE!$F$14,$M276,AN$13))))</f>
        <v>1000000000000</v>
      </c>
      <c r="AO276" s="181">
        <f ca="1">IF($D276&lt;&gt;"Serviço",0,IF(AND(AUTOEVENTO="Manual",$M276=1),0,IF(OFFSET(CRONOPLE!$F$14,$M276,AO$13)="",10^12,OFFSET(CRONOPLE!$F$14,$M276,AO$13))))</f>
        <v>1000000000000</v>
      </c>
      <c r="AP276" s="181">
        <f ca="1">IF($D276&lt;&gt;"Serviço",0,IF(AND(AUTOEVENTO="Manual",$M276=1),0,IF(OFFSET(CRONOPLE!$F$14,$M276,AP$13)="",10^12,OFFSET(CRONOPLE!$F$14,$M276,AP$13))))</f>
        <v>1000000000000</v>
      </c>
      <c r="AQ276" s="181">
        <f ca="1">IF($D276&lt;&gt;"Serviço",0,IF(AND(AUTOEVENTO="Manual",$M276=1),0,IF(OFFSET(CRONOPLE!$F$14,$M276,AQ$13)="",10^12,OFFSET(CRONOPLE!$F$14,$M276,AQ$13))))</f>
        <v>1000000000000</v>
      </c>
      <c r="AR276" s="181">
        <f ca="1">IF($D276&lt;&gt;"Serviço",0,IF(AND(AUTOEVENTO="Manual",$M276=1),0,IF(OFFSET(CRONOPLE!$F$14,$M276,AR$13)="",10^12,OFFSET(CRONOPLE!$F$14,$M276,AR$13))))</f>
        <v>1000000000000</v>
      </c>
      <c r="AS276" s="181">
        <f ca="1">IF($D276&lt;&gt;"Serviço",0,IF(AND(AUTOEVENTO="Manual",$M276=1),0,IF(OFFSET(CRONOPLE!$F$14,$M276,AS$13)="",10^12,OFFSET(CRONOPLE!$F$14,$M276,AS$13))))</f>
        <v>1000000000000</v>
      </c>
      <c r="AT276" s="181">
        <f ca="1">IF($D276&lt;&gt;"Serviço",0,IF(AND(AUTOEVENTO="Manual",$M276=1),0,IF(OFFSET(CRONOPLE!$F$14,$M276,AT$13)="",10^12,OFFSET(CRONOPLE!$F$14,$M276,AT$13))))</f>
        <v>1000000000000</v>
      </c>
      <c r="AU276" s="181">
        <f ca="1">IF($D276&lt;&gt;"Serviço",0,IF(AND(AUTOEVENTO="Manual",$M276=1),0,IF(OFFSET(CRONOPLE!$F$14,$M276,AU$13)="",10^12,OFFSET(CRONOPLE!$F$14,$M276,AU$13))))</f>
        <v>1000000000000</v>
      </c>
      <c r="AV276" s="181">
        <f ca="1">IF($D276&lt;&gt;"Serviço",0,IF(AND(AUTOEVENTO="Manual",$M276=1),0,IF(OFFSET(CRONOPLE!$F$14,$M276,AV$13)="",10^12,OFFSET(CRONOPLE!$F$14,$M276,AV$13))))</f>
        <v>1000000000000</v>
      </c>
      <c r="AX276" s="182">
        <f ca="1">IF($D276&lt;&gt;"Serviço",0,IF(OR(AND(AUTOEVENTO="Manual",$M276=1),$M276&gt;(ROW(PLE.lastrow)-ROW(PLE.firstrow))),0,IF(OFFSET(PLE!$G$14,$M276,AX$13)="",10^12,OFFSET(PLE!$G$14,$M276,AX$13))))</f>
        <v>1000000000000</v>
      </c>
      <c r="AY276" s="182">
        <f ca="1">IF($D276&lt;&gt;"Serviço",0,IF(OR(AND(AUTOEVENTO="Manual",$M276=1),$M276&gt;(ROW(PLE.lastrow)-ROW(PLE.firstrow))),0,IF(OFFSET(PLE!$G$14,$M276,AY$13)="",10^12,OFFSET(PLE!$G$14,$M276,AY$13))))</f>
        <v>1000000000000</v>
      </c>
      <c r="AZ276" s="182">
        <f ca="1">IF($D276&lt;&gt;"Serviço",0,IF(OR(AND(AUTOEVENTO="Manual",$M276=1),$M276&gt;(ROW(PLE.lastrow)-ROW(PLE.firstrow))),0,IF(OFFSET(PLE!$G$14,$M276,AZ$13)="",10^12,OFFSET(PLE!$G$14,$M276,AZ$13))))</f>
        <v>1000000000000</v>
      </c>
      <c r="BA276" s="182">
        <f ca="1">IF($D276&lt;&gt;"Serviço",0,IF(OR(AND(AUTOEVENTO="Manual",$M276=1),$M276&gt;(ROW(PLE.lastrow)-ROW(PLE.firstrow))),0,IF(OFFSET(PLE!$G$14,$M276,BA$13)="",10^12,OFFSET(PLE!$G$14,$M276,BA$13))))</f>
        <v>1000000000000</v>
      </c>
      <c r="BB276" s="182">
        <f ca="1">IF($D276&lt;&gt;"Serviço",0,IF(OR(AND(AUTOEVENTO="Manual",$M276=1),$M276&gt;(ROW(PLE.lastrow)-ROW(PLE.firstrow))),0,IF(OFFSET(PLE!$G$14,$M276,BB$13)="",10^12,OFFSET(PLE!$G$14,$M276,BB$13))))</f>
        <v>1000000000000</v>
      </c>
      <c r="BC276" s="182">
        <f ca="1">IF($D276&lt;&gt;"Serviço",0,IF(OR(AND(AUTOEVENTO="Manual",$M276=1),$M276&gt;(ROW(PLE.lastrow)-ROW(PLE.firstrow))),0,IF(OFFSET(PLE!$G$14,$M276,BC$13)="",10^12,OFFSET(PLE!$G$14,$M276,BC$13))))</f>
        <v>1000000000000</v>
      </c>
      <c r="BD276" s="182">
        <f ca="1">IF($D276&lt;&gt;"Serviço",0,IF(OR(AND(AUTOEVENTO="Manual",$M276=1),$M276&gt;(ROW(PLE.lastrow)-ROW(PLE.firstrow))),0,IF(OFFSET(PLE!$G$14,$M276,BD$13)="",10^12,OFFSET(PLE!$G$14,$M276,BD$13))))</f>
        <v>1000000000000</v>
      </c>
      <c r="BE276" s="182">
        <f ca="1">IF($D276&lt;&gt;"Serviço",0,IF(OR(AND(AUTOEVENTO="Manual",$M276=1),$M276&gt;(ROW(PLE.lastrow)-ROW(PLE.firstrow))),0,IF(OFFSET(PLE!$G$14,$M276,BE$13)="",10^12,OFFSET(PLE!$G$14,$M276,BE$13))))</f>
        <v>1000000000000</v>
      </c>
      <c r="BF276" s="182">
        <f ca="1">IF($D276&lt;&gt;"Serviço",0,IF(OR(AND(AUTOEVENTO="Manual",$M276=1),$M276&gt;(ROW(PLE.lastrow)-ROW(PLE.firstrow))),0,IF(OFFSET(PLE!$G$14,$M276,BF$13)="",10^12,OFFSET(PLE!$G$14,$M276,BF$13))))</f>
        <v>1000000000000</v>
      </c>
      <c r="BG276" s="182">
        <f ca="1">IF($D276&lt;&gt;"Serviço",0,IF(OR(AND(AUTOEVENTO="Manual",$M276=1),$M276&gt;(ROW(PLE.lastrow)-ROW(PLE.firstrow))),0,IF(OFFSET(PLE!$G$14,$M276,BG$13)="",10^12,OFFSET(PLE!$G$14,$M276,BG$13))))</f>
        <v>1000000000000</v>
      </c>
    </row>
    <row r="277" spans="1:59" ht="12.75" x14ac:dyDescent="0.2">
      <c r="A277" s="7" t="str">
        <f t="shared" ca="1" si="11"/>
        <v>233</v>
      </c>
      <c r="B277" s="7" t="str">
        <f ca="1">OFFSET(ORÇAMENTO!C$15,ROW(B277)-ROW(B$15),0)</f>
        <v>S</v>
      </c>
      <c r="C277" s="7" t="str">
        <f ca="1">OFFSET(ORÇAMENTO!L$15,ROW(C277)-ROW(C$15),0)</f>
        <v/>
      </c>
      <c r="D277" s="118" t="str">
        <f ca="1">OFFSET(ORÇAMENTO!N$15,ROW(D277)-ROW(D$15),0)</f>
        <v>Serviço</v>
      </c>
      <c r="E277" s="119" t="str">
        <f ca="1">OFFSET(ORÇAMENTO!O$15,ROW(E277)-ROW(E$15),0)</f>
        <v>-</v>
      </c>
      <c r="F277" s="172" t="str">
        <f ca="1">OFFSET(ORÇAMENTO!R$15,ROW(F277)-ROW(F$15),0)</f>
        <v>(abra o arquivo 'Referência 03-2024.xlsm)</v>
      </c>
      <c r="G277" s="173" t="str">
        <f ca="1">IF($D277&lt;&gt;"Serviço","",OFFSET(ORÇAMENTO!S$15,ROW(G277)-ROW(G$15),0))</f>
        <v>-</v>
      </c>
      <c r="H277" s="124">
        <f ca="1">IF($D277&lt;&gt;"Serviço",0,IF(ACOMPANHAMENTO="BM",ROUND(OFFSET(ORÇAMENTO!AJ$15,ROW(H277)-ROW(H$15),0),15-13*ORÇAMENTO!$AF$7),SUMPRODUCT(($Q$12:$AA$12&lt;&gt;"")*ROUND($Q277:$AA277,15-13*ORÇAMENTO!$AF$7))))</f>
        <v>0</v>
      </c>
      <c r="I277" s="561"/>
      <c r="K277" s="174"/>
      <c r="L277" s="175" t="s">
        <v>255</v>
      </c>
      <c r="M277" s="176">
        <f ca="1">IF($D277&lt;&gt;"Serviço","",IF(AUTOEVENTO="manual",$A277,IF(ISERROR(MATCH($A277,$A$15:OFFSET($A277,-1,0),0)),MAX($M$15:OFFSET(M277,-1,0))+1,INDEX($M$15:OFFSET(M277,-1,0),MATCH($A277,$A$15:OFFSET($A277,-1,0),0)))))</f>
        <v>14</v>
      </c>
      <c r="N277" s="177" t="str">
        <f ca="1">IF($D277&lt;&gt;"Serviço","",IF(AUTOEVENTO="Manual",IF($A277=0,"&lt;-- defina o número do agrupador",OFFSET(EVENTOS!$D$14,$A277,0)),OFFSET($F$15,$A277,0)))</f>
        <v>SERVIÇOS FINAIS</v>
      </c>
      <c r="O277" s="178"/>
      <c r="Q277" s="178"/>
      <c r="R277" s="179"/>
      <c r="S277" s="179"/>
      <c r="T277" s="179"/>
      <c r="U277" s="179"/>
      <c r="V277" s="179"/>
      <c r="W277" s="179"/>
      <c r="X277" s="179"/>
      <c r="Y277" s="179"/>
      <c r="Z277" s="180"/>
      <c r="AB277" s="544">
        <f ca="1">IF(AND($D277="Serviço",AB$12&lt;&gt;0,$H277&gt;0,OR(AUTOEVENTO&lt;&gt;"manual",$M277&lt;&gt;1)),
IF(Import.TipoArredondamento&lt;&gt;"TransfereGOV",
ROUND(OFFSET($P277,0,AB$13),15-13*ORÇAMENTO!$AF$7)/$H277*OFFSET(ORÇAMENTO!$X$15,ROW(AB277)-ROW(AB$15),0),
ROUND(ROUND(OFFSET($P277,0,AB$13),15-13*ORÇAMENTO!$AF$7)*OFFSET(ORÇAMENTO!$W$15,ROW(AB277)-ROW(AB$15),0),15-13*ORÇAMENTO!$AF$11)),0)</f>
        <v>0</v>
      </c>
      <c r="AC277" s="545">
        <f ca="1">IF(AND($D277="Serviço",AC$12&lt;&gt;0,$H277&gt;0,OR(AUTOEVENTO&lt;&gt;"manual",$M277&lt;&gt;1)),
IF(Import.TipoArredondamento&lt;&gt;"TransfereGOV",
ROUND(OFFSET($P277,0,AC$13),15-13*ORÇAMENTO!$AF$7)/$H277*OFFSET(ORÇAMENTO!$X$15,ROW(AC277)-ROW(AC$15),0),
ROUND(ROUND(OFFSET($P277,0,AC$13),15-13*ORÇAMENTO!$AF$7)*OFFSET(ORÇAMENTO!$W$15,ROW(AC277)-ROW(AC$15),0),15-13*ORÇAMENTO!$AF$11)),0)</f>
        <v>0</v>
      </c>
      <c r="AD277" s="545">
        <f ca="1">IF(AND($D277="Serviço",AD$12&lt;&gt;0,$H277&gt;0,OR(AUTOEVENTO&lt;&gt;"manual",$M277&lt;&gt;1)),
IF(Import.TipoArredondamento&lt;&gt;"TransfereGOV",
ROUND(OFFSET($P277,0,AD$13),15-13*ORÇAMENTO!$AF$7)/$H277*OFFSET(ORÇAMENTO!$X$15,ROW(AD277)-ROW(AD$15),0),
ROUND(ROUND(OFFSET($P277,0,AD$13),15-13*ORÇAMENTO!$AF$7)*OFFSET(ORÇAMENTO!$W$15,ROW(AD277)-ROW(AD$15),0),15-13*ORÇAMENTO!$AF$11)),0)</f>
        <v>0</v>
      </c>
      <c r="AE277" s="545">
        <f ca="1">IF(AND($D277="Serviço",AE$12&lt;&gt;0,$H277&gt;0,OR(AUTOEVENTO&lt;&gt;"manual",$M277&lt;&gt;1)),
IF(Import.TipoArredondamento&lt;&gt;"TransfereGOV",
ROUND(OFFSET($P277,0,AE$13),15-13*ORÇAMENTO!$AF$7)/$H277*OFFSET(ORÇAMENTO!$X$15,ROW(AE277)-ROW(AE$15),0),
ROUND(ROUND(OFFSET($P277,0,AE$13),15-13*ORÇAMENTO!$AF$7)*OFFSET(ORÇAMENTO!$W$15,ROW(AE277)-ROW(AE$15),0),15-13*ORÇAMENTO!$AF$11)),0)</f>
        <v>0</v>
      </c>
      <c r="AF277" s="545">
        <f ca="1">IF(AND($D277="Serviço",AF$12&lt;&gt;0,$H277&gt;0,OR(AUTOEVENTO&lt;&gt;"manual",$M277&lt;&gt;1)),
IF(Import.TipoArredondamento&lt;&gt;"TransfereGOV",
ROUND(OFFSET($P277,0,AF$13),15-13*ORÇAMENTO!$AF$7)/$H277*OFFSET(ORÇAMENTO!$X$15,ROW(AF277)-ROW(AF$15),0),
ROUND(ROUND(OFFSET($P277,0,AF$13),15-13*ORÇAMENTO!$AF$7)*OFFSET(ORÇAMENTO!$W$15,ROW(AF277)-ROW(AF$15),0),15-13*ORÇAMENTO!$AF$11)),0)</f>
        <v>0</v>
      </c>
      <c r="AG277" s="545">
        <f ca="1">IF(AND($D277="Serviço",AG$12&lt;&gt;0,$H277&gt;0,OR(AUTOEVENTO&lt;&gt;"manual",$M277&lt;&gt;1)),
IF(Import.TipoArredondamento&lt;&gt;"TransfereGOV",
ROUND(OFFSET($P277,0,AG$13),15-13*ORÇAMENTO!$AF$7)/$H277*OFFSET(ORÇAMENTO!$X$15,ROW(AG277)-ROW(AG$15),0),
ROUND(ROUND(OFFSET($P277,0,AG$13),15-13*ORÇAMENTO!$AF$7)*OFFSET(ORÇAMENTO!$W$15,ROW(AG277)-ROW(AG$15),0),15-13*ORÇAMENTO!$AF$11)),0)</f>
        <v>0</v>
      </c>
      <c r="AH277" s="545">
        <f ca="1">IF(AND($D277="Serviço",AH$12&lt;&gt;0,$H277&gt;0,OR(AUTOEVENTO&lt;&gt;"manual",$M277&lt;&gt;1)),
IF(Import.TipoArredondamento&lt;&gt;"TransfereGOV",
ROUND(OFFSET($P277,0,AH$13),15-13*ORÇAMENTO!$AF$7)/$H277*OFFSET(ORÇAMENTO!$X$15,ROW(AH277)-ROW(AH$15),0),
ROUND(ROUND(OFFSET($P277,0,AH$13),15-13*ORÇAMENTO!$AF$7)*OFFSET(ORÇAMENTO!$W$15,ROW(AH277)-ROW(AH$15),0),15-13*ORÇAMENTO!$AF$11)),0)</f>
        <v>0</v>
      </c>
      <c r="AI277" s="545">
        <f ca="1">IF(AND($D277="Serviço",AI$12&lt;&gt;0,$H277&gt;0,OR(AUTOEVENTO&lt;&gt;"manual",$M277&lt;&gt;1)),
IF(Import.TipoArredondamento&lt;&gt;"TransfereGOV",
ROUND(OFFSET($P277,0,AI$13),15-13*ORÇAMENTO!$AF$7)/$H277*OFFSET(ORÇAMENTO!$X$15,ROW(AI277)-ROW(AI$15),0),
ROUND(ROUND(OFFSET($P277,0,AI$13),15-13*ORÇAMENTO!$AF$7)*OFFSET(ORÇAMENTO!$W$15,ROW(AI277)-ROW(AI$15),0),15-13*ORÇAMENTO!$AF$11)),0)</f>
        <v>0</v>
      </c>
      <c r="AJ277" s="545">
        <f ca="1">IF(AND($D277="Serviço",AJ$12&lt;&gt;0,$H277&gt;0,OR(AUTOEVENTO&lt;&gt;"manual",$M277&lt;&gt;1)),
IF(Import.TipoArredondamento&lt;&gt;"TransfereGOV",
ROUND(OFFSET($P277,0,AJ$13),15-13*ORÇAMENTO!$AF$7)/$H277*OFFSET(ORÇAMENTO!$X$15,ROW(AJ277)-ROW(AJ$15),0),
ROUND(ROUND(OFFSET($P277,0,AJ$13),15-13*ORÇAMENTO!$AF$7)*OFFSET(ORÇAMENTO!$W$15,ROW(AJ277)-ROW(AJ$15),0),15-13*ORÇAMENTO!$AF$11)),0)</f>
        <v>0</v>
      </c>
      <c r="AK277" s="546">
        <f ca="1">IF(AND($D277="Serviço",AK$12&lt;&gt;0,$H277&gt;0,OR(AUTOEVENTO&lt;&gt;"manual",$M277&lt;&gt;1)),
IF(Import.TipoArredondamento&lt;&gt;"TransfereGOV",
ROUND(OFFSET($P277,0,AK$13),15-13*ORÇAMENTO!$AF$7)/$H277*OFFSET(ORÇAMENTO!$X$15,ROW(AK277)-ROW(AK$15),0),
ROUND(ROUND(OFFSET($P277,0,AK$13),15-13*ORÇAMENTO!$AF$7)*OFFSET(ORÇAMENTO!$W$15,ROW(AK277)-ROW(AK$15),0),15-13*ORÇAMENTO!$AF$11)),0)</f>
        <v>0</v>
      </c>
      <c r="AM277" s="181">
        <f ca="1">IF($D277&lt;&gt;"Serviço",0,IF(AND(AUTOEVENTO="Manual",$M277=1),0,IF(OFFSET(CRONOPLE!$F$14,$M277,AM$13)="",10^12,OFFSET(CRONOPLE!$F$14,$M277,AM$13))))</f>
        <v>1000000000000</v>
      </c>
      <c r="AN277" s="181">
        <f ca="1">IF($D277&lt;&gt;"Serviço",0,IF(AND(AUTOEVENTO="Manual",$M277=1),0,IF(OFFSET(CRONOPLE!$F$14,$M277,AN$13)="",10^12,OFFSET(CRONOPLE!$F$14,$M277,AN$13))))</f>
        <v>1000000000000</v>
      </c>
      <c r="AO277" s="181">
        <f ca="1">IF($D277&lt;&gt;"Serviço",0,IF(AND(AUTOEVENTO="Manual",$M277=1),0,IF(OFFSET(CRONOPLE!$F$14,$M277,AO$13)="",10^12,OFFSET(CRONOPLE!$F$14,$M277,AO$13))))</f>
        <v>1000000000000</v>
      </c>
      <c r="AP277" s="181">
        <f ca="1">IF($D277&lt;&gt;"Serviço",0,IF(AND(AUTOEVENTO="Manual",$M277=1),0,IF(OFFSET(CRONOPLE!$F$14,$M277,AP$13)="",10^12,OFFSET(CRONOPLE!$F$14,$M277,AP$13))))</f>
        <v>1000000000000</v>
      </c>
      <c r="AQ277" s="181">
        <f ca="1">IF($D277&lt;&gt;"Serviço",0,IF(AND(AUTOEVENTO="Manual",$M277=1),0,IF(OFFSET(CRONOPLE!$F$14,$M277,AQ$13)="",10^12,OFFSET(CRONOPLE!$F$14,$M277,AQ$13))))</f>
        <v>1000000000000</v>
      </c>
      <c r="AR277" s="181">
        <f ca="1">IF($D277&lt;&gt;"Serviço",0,IF(AND(AUTOEVENTO="Manual",$M277=1),0,IF(OFFSET(CRONOPLE!$F$14,$M277,AR$13)="",10^12,OFFSET(CRONOPLE!$F$14,$M277,AR$13))))</f>
        <v>1000000000000</v>
      </c>
      <c r="AS277" s="181">
        <f ca="1">IF($D277&lt;&gt;"Serviço",0,IF(AND(AUTOEVENTO="Manual",$M277=1),0,IF(OFFSET(CRONOPLE!$F$14,$M277,AS$13)="",10^12,OFFSET(CRONOPLE!$F$14,$M277,AS$13))))</f>
        <v>1000000000000</v>
      </c>
      <c r="AT277" s="181">
        <f ca="1">IF($D277&lt;&gt;"Serviço",0,IF(AND(AUTOEVENTO="Manual",$M277=1),0,IF(OFFSET(CRONOPLE!$F$14,$M277,AT$13)="",10^12,OFFSET(CRONOPLE!$F$14,$M277,AT$13))))</f>
        <v>1000000000000</v>
      </c>
      <c r="AU277" s="181">
        <f ca="1">IF($D277&lt;&gt;"Serviço",0,IF(AND(AUTOEVENTO="Manual",$M277=1),0,IF(OFFSET(CRONOPLE!$F$14,$M277,AU$13)="",10^12,OFFSET(CRONOPLE!$F$14,$M277,AU$13))))</f>
        <v>1000000000000</v>
      </c>
      <c r="AV277" s="181">
        <f ca="1">IF($D277&lt;&gt;"Serviço",0,IF(AND(AUTOEVENTO="Manual",$M277=1),0,IF(OFFSET(CRONOPLE!$F$14,$M277,AV$13)="",10^12,OFFSET(CRONOPLE!$F$14,$M277,AV$13))))</f>
        <v>1000000000000</v>
      </c>
      <c r="AX277" s="182">
        <f ca="1">IF($D277&lt;&gt;"Serviço",0,IF(OR(AND(AUTOEVENTO="Manual",$M277=1),$M277&gt;(ROW(PLE.lastrow)-ROW(PLE.firstrow))),0,IF(OFFSET(PLE!$G$14,$M277,AX$13)="",10^12,OFFSET(PLE!$G$14,$M277,AX$13))))</f>
        <v>1000000000000</v>
      </c>
      <c r="AY277" s="182">
        <f ca="1">IF($D277&lt;&gt;"Serviço",0,IF(OR(AND(AUTOEVENTO="Manual",$M277=1),$M277&gt;(ROW(PLE.lastrow)-ROW(PLE.firstrow))),0,IF(OFFSET(PLE!$G$14,$M277,AY$13)="",10^12,OFFSET(PLE!$G$14,$M277,AY$13))))</f>
        <v>1000000000000</v>
      </c>
      <c r="AZ277" s="182">
        <f ca="1">IF($D277&lt;&gt;"Serviço",0,IF(OR(AND(AUTOEVENTO="Manual",$M277=1),$M277&gt;(ROW(PLE.lastrow)-ROW(PLE.firstrow))),0,IF(OFFSET(PLE!$G$14,$M277,AZ$13)="",10^12,OFFSET(PLE!$G$14,$M277,AZ$13))))</f>
        <v>1000000000000</v>
      </c>
      <c r="BA277" s="182">
        <f ca="1">IF($D277&lt;&gt;"Serviço",0,IF(OR(AND(AUTOEVENTO="Manual",$M277=1),$M277&gt;(ROW(PLE.lastrow)-ROW(PLE.firstrow))),0,IF(OFFSET(PLE!$G$14,$M277,BA$13)="",10^12,OFFSET(PLE!$G$14,$M277,BA$13))))</f>
        <v>1000000000000</v>
      </c>
      <c r="BB277" s="182">
        <f ca="1">IF($D277&lt;&gt;"Serviço",0,IF(OR(AND(AUTOEVENTO="Manual",$M277=1),$M277&gt;(ROW(PLE.lastrow)-ROW(PLE.firstrow))),0,IF(OFFSET(PLE!$G$14,$M277,BB$13)="",10^12,OFFSET(PLE!$G$14,$M277,BB$13))))</f>
        <v>1000000000000</v>
      </c>
      <c r="BC277" s="182">
        <f ca="1">IF($D277&lt;&gt;"Serviço",0,IF(OR(AND(AUTOEVENTO="Manual",$M277=1),$M277&gt;(ROW(PLE.lastrow)-ROW(PLE.firstrow))),0,IF(OFFSET(PLE!$G$14,$M277,BC$13)="",10^12,OFFSET(PLE!$G$14,$M277,BC$13))))</f>
        <v>1000000000000</v>
      </c>
      <c r="BD277" s="182">
        <f ca="1">IF($D277&lt;&gt;"Serviço",0,IF(OR(AND(AUTOEVENTO="Manual",$M277=1),$M277&gt;(ROW(PLE.lastrow)-ROW(PLE.firstrow))),0,IF(OFFSET(PLE!$G$14,$M277,BD$13)="",10^12,OFFSET(PLE!$G$14,$M277,BD$13))))</f>
        <v>1000000000000</v>
      </c>
      <c r="BE277" s="182">
        <f ca="1">IF($D277&lt;&gt;"Serviço",0,IF(OR(AND(AUTOEVENTO="Manual",$M277=1),$M277&gt;(ROW(PLE.lastrow)-ROW(PLE.firstrow))),0,IF(OFFSET(PLE!$G$14,$M277,BE$13)="",10^12,OFFSET(PLE!$G$14,$M277,BE$13))))</f>
        <v>1000000000000</v>
      </c>
      <c r="BF277" s="182">
        <f ca="1">IF($D277&lt;&gt;"Serviço",0,IF(OR(AND(AUTOEVENTO="Manual",$M277=1),$M277&gt;(ROW(PLE.lastrow)-ROW(PLE.firstrow))),0,IF(OFFSET(PLE!$G$14,$M277,BF$13)="",10^12,OFFSET(PLE!$G$14,$M277,BF$13))))</f>
        <v>1000000000000</v>
      </c>
      <c r="BG277" s="182">
        <f ca="1">IF($D277&lt;&gt;"Serviço",0,IF(OR(AND(AUTOEVENTO="Manual",$M277=1),$M277&gt;(ROW(PLE.lastrow)-ROW(PLE.firstrow))),0,IF(OFFSET(PLE!$G$14,$M277,BG$13)="",10^12,OFFSET(PLE!$G$14,$M277,BG$13))))</f>
        <v>1000000000000</v>
      </c>
    </row>
    <row r="278" spans="1:59" ht="12.75" x14ac:dyDescent="0.2">
      <c r="A278" s="7" t="str">
        <f t="shared" ca="1" si="11"/>
        <v>233</v>
      </c>
      <c r="B278" s="7" t="str">
        <f ca="1">OFFSET(ORÇAMENTO!C$15,ROW(B278)-ROW(B$15),0)</f>
        <v>S</v>
      </c>
      <c r="C278" s="7" t="str">
        <f ca="1">OFFSET(ORÇAMENTO!L$15,ROW(C278)-ROW(C$15),0)</f>
        <v/>
      </c>
      <c r="D278" s="118" t="str">
        <f ca="1">OFFSET(ORÇAMENTO!N$15,ROW(D278)-ROW(D$15),0)</f>
        <v>Serviço</v>
      </c>
      <c r="E278" s="119" t="str">
        <f ca="1">OFFSET(ORÇAMENTO!O$15,ROW(E278)-ROW(E$15),0)</f>
        <v>-</v>
      </c>
      <c r="F278" s="172" t="str">
        <f ca="1">OFFSET(ORÇAMENTO!R$15,ROW(F278)-ROW(F$15),0)</f>
        <v>(abra o arquivo 'Referência 03-2024.xlsm)</v>
      </c>
      <c r="G278" s="173" t="str">
        <f ca="1">IF($D278&lt;&gt;"Serviço","",OFFSET(ORÇAMENTO!S$15,ROW(G278)-ROW(G$15),0))</f>
        <v>-</v>
      </c>
      <c r="H278" s="124">
        <f ca="1">IF($D278&lt;&gt;"Serviço",0,IF(ACOMPANHAMENTO="BM",ROUND(OFFSET(ORÇAMENTO!AJ$15,ROW(H278)-ROW(H$15),0),15-13*ORÇAMENTO!$AF$7),SUMPRODUCT(($Q$12:$AA$12&lt;&gt;"")*ROUND($Q278:$AA278,15-13*ORÇAMENTO!$AF$7))))</f>
        <v>0</v>
      </c>
      <c r="I278" s="561"/>
      <c r="K278" s="174"/>
      <c r="L278" s="175" t="s">
        <v>255</v>
      </c>
      <c r="M278" s="176">
        <f ca="1">IF($D278&lt;&gt;"Serviço","",IF(AUTOEVENTO="manual",$A278,IF(ISERROR(MATCH($A278,$A$15:OFFSET($A278,-1,0),0)),MAX($M$15:OFFSET(M278,-1,0))+1,INDEX($M$15:OFFSET(M278,-1,0),MATCH($A278,$A$15:OFFSET($A278,-1,0),0)))))</f>
        <v>14</v>
      </c>
      <c r="N278" s="177" t="str">
        <f ca="1">IF($D278&lt;&gt;"Serviço","",IF(AUTOEVENTO="Manual",IF($A278=0,"&lt;-- defina o número do agrupador",OFFSET(EVENTOS!$D$14,$A278,0)),OFFSET($F$15,$A278,0)))</f>
        <v>SERVIÇOS FINAIS</v>
      </c>
      <c r="O278" s="178"/>
      <c r="Q278" s="178"/>
      <c r="R278" s="179"/>
      <c r="S278" s="179"/>
      <c r="T278" s="179"/>
      <c r="U278" s="179"/>
      <c r="V278" s="179"/>
      <c r="W278" s="179"/>
      <c r="X278" s="179"/>
      <c r="Y278" s="179"/>
      <c r="Z278" s="180"/>
      <c r="AB278" s="544">
        <f ca="1">IF(AND($D278="Serviço",AB$12&lt;&gt;0,$H278&gt;0,OR(AUTOEVENTO&lt;&gt;"manual",$M278&lt;&gt;1)),
IF(Import.TipoArredondamento&lt;&gt;"TransfereGOV",
ROUND(OFFSET($P278,0,AB$13),15-13*ORÇAMENTO!$AF$7)/$H278*OFFSET(ORÇAMENTO!$X$15,ROW(AB278)-ROW(AB$15),0),
ROUND(ROUND(OFFSET($P278,0,AB$13),15-13*ORÇAMENTO!$AF$7)*OFFSET(ORÇAMENTO!$W$15,ROW(AB278)-ROW(AB$15),0),15-13*ORÇAMENTO!$AF$11)),0)</f>
        <v>0</v>
      </c>
      <c r="AC278" s="545">
        <f ca="1">IF(AND($D278="Serviço",AC$12&lt;&gt;0,$H278&gt;0,OR(AUTOEVENTO&lt;&gt;"manual",$M278&lt;&gt;1)),
IF(Import.TipoArredondamento&lt;&gt;"TransfereGOV",
ROUND(OFFSET($P278,0,AC$13),15-13*ORÇAMENTO!$AF$7)/$H278*OFFSET(ORÇAMENTO!$X$15,ROW(AC278)-ROW(AC$15),0),
ROUND(ROUND(OFFSET($P278,0,AC$13),15-13*ORÇAMENTO!$AF$7)*OFFSET(ORÇAMENTO!$W$15,ROW(AC278)-ROW(AC$15),0),15-13*ORÇAMENTO!$AF$11)),0)</f>
        <v>0</v>
      </c>
      <c r="AD278" s="545">
        <f ca="1">IF(AND($D278="Serviço",AD$12&lt;&gt;0,$H278&gt;0,OR(AUTOEVENTO&lt;&gt;"manual",$M278&lt;&gt;1)),
IF(Import.TipoArredondamento&lt;&gt;"TransfereGOV",
ROUND(OFFSET($P278,0,AD$13),15-13*ORÇAMENTO!$AF$7)/$H278*OFFSET(ORÇAMENTO!$X$15,ROW(AD278)-ROW(AD$15),0),
ROUND(ROUND(OFFSET($P278,0,AD$13),15-13*ORÇAMENTO!$AF$7)*OFFSET(ORÇAMENTO!$W$15,ROW(AD278)-ROW(AD$15),0),15-13*ORÇAMENTO!$AF$11)),0)</f>
        <v>0</v>
      </c>
      <c r="AE278" s="545">
        <f ca="1">IF(AND($D278="Serviço",AE$12&lt;&gt;0,$H278&gt;0,OR(AUTOEVENTO&lt;&gt;"manual",$M278&lt;&gt;1)),
IF(Import.TipoArredondamento&lt;&gt;"TransfereGOV",
ROUND(OFFSET($P278,0,AE$13),15-13*ORÇAMENTO!$AF$7)/$H278*OFFSET(ORÇAMENTO!$X$15,ROW(AE278)-ROW(AE$15),0),
ROUND(ROUND(OFFSET($P278,0,AE$13),15-13*ORÇAMENTO!$AF$7)*OFFSET(ORÇAMENTO!$W$15,ROW(AE278)-ROW(AE$15),0),15-13*ORÇAMENTO!$AF$11)),0)</f>
        <v>0</v>
      </c>
      <c r="AF278" s="545">
        <f ca="1">IF(AND($D278="Serviço",AF$12&lt;&gt;0,$H278&gt;0,OR(AUTOEVENTO&lt;&gt;"manual",$M278&lt;&gt;1)),
IF(Import.TipoArredondamento&lt;&gt;"TransfereGOV",
ROUND(OFFSET($P278,0,AF$13),15-13*ORÇAMENTO!$AF$7)/$H278*OFFSET(ORÇAMENTO!$X$15,ROW(AF278)-ROW(AF$15),0),
ROUND(ROUND(OFFSET($P278,0,AF$13),15-13*ORÇAMENTO!$AF$7)*OFFSET(ORÇAMENTO!$W$15,ROW(AF278)-ROW(AF$15),0),15-13*ORÇAMENTO!$AF$11)),0)</f>
        <v>0</v>
      </c>
      <c r="AG278" s="545">
        <f ca="1">IF(AND($D278="Serviço",AG$12&lt;&gt;0,$H278&gt;0,OR(AUTOEVENTO&lt;&gt;"manual",$M278&lt;&gt;1)),
IF(Import.TipoArredondamento&lt;&gt;"TransfereGOV",
ROUND(OFFSET($P278,0,AG$13),15-13*ORÇAMENTO!$AF$7)/$H278*OFFSET(ORÇAMENTO!$X$15,ROW(AG278)-ROW(AG$15),0),
ROUND(ROUND(OFFSET($P278,0,AG$13),15-13*ORÇAMENTO!$AF$7)*OFFSET(ORÇAMENTO!$W$15,ROW(AG278)-ROW(AG$15),0),15-13*ORÇAMENTO!$AF$11)),0)</f>
        <v>0</v>
      </c>
      <c r="AH278" s="545">
        <f ca="1">IF(AND($D278="Serviço",AH$12&lt;&gt;0,$H278&gt;0,OR(AUTOEVENTO&lt;&gt;"manual",$M278&lt;&gt;1)),
IF(Import.TipoArredondamento&lt;&gt;"TransfereGOV",
ROUND(OFFSET($P278,0,AH$13),15-13*ORÇAMENTO!$AF$7)/$H278*OFFSET(ORÇAMENTO!$X$15,ROW(AH278)-ROW(AH$15),0),
ROUND(ROUND(OFFSET($P278,0,AH$13),15-13*ORÇAMENTO!$AF$7)*OFFSET(ORÇAMENTO!$W$15,ROW(AH278)-ROW(AH$15),0),15-13*ORÇAMENTO!$AF$11)),0)</f>
        <v>0</v>
      </c>
      <c r="AI278" s="545">
        <f ca="1">IF(AND($D278="Serviço",AI$12&lt;&gt;0,$H278&gt;0,OR(AUTOEVENTO&lt;&gt;"manual",$M278&lt;&gt;1)),
IF(Import.TipoArredondamento&lt;&gt;"TransfereGOV",
ROUND(OFFSET($P278,0,AI$13),15-13*ORÇAMENTO!$AF$7)/$H278*OFFSET(ORÇAMENTO!$X$15,ROW(AI278)-ROW(AI$15),0),
ROUND(ROUND(OFFSET($P278,0,AI$13),15-13*ORÇAMENTO!$AF$7)*OFFSET(ORÇAMENTO!$W$15,ROW(AI278)-ROW(AI$15),0),15-13*ORÇAMENTO!$AF$11)),0)</f>
        <v>0</v>
      </c>
      <c r="AJ278" s="545">
        <f ca="1">IF(AND($D278="Serviço",AJ$12&lt;&gt;0,$H278&gt;0,OR(AUTOEVENTO&lt;&gt;"manual",$M278&lt;&gt;1)),
IF(Import.TipoArredondamento&lt;&gt;"TransfereGOV",
ROUND(OFFSET($P278,0,AJ$13),15-13*ORÇAMENTO!$AF$7)/$H278*OFFSET(ORÇAMENTO!$X$15,ROW(AJ278)-ROW(AJ$15),0),
ROUND(ROUND(OFFSET($P278,0,AJ$13),15-13*ORÇAMENTO!$AF$7)*OFFSET(ORÇAMENTO!$W$15,ROW(AJ278)-ROW(AJ$15),0),15-13*ORÇAMENTO!$AF$11)),0)</f>
        <v>0</v>
      </c>
      <c r="AK278" s="546">
        <f ca="1">IF(AND($D278="Serviço",AK$12&lt;&gt;0,$H278&gt;0,OR(AUTOEVENTO&lt;&gt;"manual",$M278&lt;&gt;1)),
IF(Import.TipoArredondamento&lt;&gt;"TransfereGOV",
ROUND(OFFSET($P278,0,AK$13),15-13*ORÇAMENTO!$AF$7)/$H278*OFFSET(ORÇAMENTO!$X$15,ROW(AK278)-ROW(AK$15),0),
ROUND(ROUND(OFFSET($P278,0,AK$13),15-13*ORÇAMENTO!$AF$7)*OFFSET(ORÇAMENTO!$W$15,ROW(AK278)-ROW(AK$15),0),15-13*ORÇAMENTO!$AF$11)),0)</f>
        <v>0</v>
      </c>
      <c r="AM278" s="181">
        <f ca="1">IF($D278&lt;&gt;"Serviço",0,IF(AND(AUTOEVENTO="Manual",$M278=1),0,IF(OFFSET(CRONOPLE!$F$14,$M278,AM$13)="",10^12,OFFSET(CRONOPLE!$F$14,$M278,AM$13))))</f>
        <v>1000000000000</v>
      </c>
      <c r="AN278" s="181">
        <f ca="1">IF($D278&lt;&gt;"Serviço",0,IF(AND(AUTOEVENTO="Manual",$M278=1),0,IF(OFFSET(CRONOPLE!$F$14,$M278,AN$13)="",10^12,OFFSET(CRONOPLE!$F$14,$M278,AN$13))))</f>
        <v>1000000000000</v>
      </c>
      <c r="AO278" s="181">
        <f ca="1">IF($D278&lt;&gt;"Serviço",0,IF(AND(AUTOEVENTO="Manual",$M278=1),0,IF(OFFSET(CRONOPLE!$F$14,$M278,AO$13)="",10^12,OFFSET(CRONOPLE!$F$14,$M278,AO$13))))</f>
        <v>1000000000000</v>
      </c>
      <c r="AP278" s="181">
        <f ca="1">IF($D278&lt;&gt;"Serviço",0,IF(AND(AUTOEVENTO="Manual",$M278=1),0,IF(OFFSET(CRONOPLE!$F$14,$M278,AP$13)="",10^12,OFFSET(CRONOPLE!$F$14,$M278,AP$13))))</f>
        <v>1000000000000</v>
      </c>
      <c r="AQ278" s="181">
        <f ca="1">IF($D278&lt;&gt;"Serviço",0,IF(AND(AUTOEVENTO="Manual",$M278=1),0,IF(OFFSET(CRONOPLE!$F$14,$M278,AQ$13)="",10^12,OFFSET(CRONOPLE!$F$14,$M278,AQ$13))))</f>
        <v>1000000000000</v>
      </c>
      <c r="AR278" s="181">
        <f ca="1">IF($D278&lt;&gt;"Serviço",0,IF(AND(AUTOEVENTO="Manual",$M278=1),0,IF(OFFSET(CRONOPLE!$F$14,$M278,AR$13)="",10^12,OFFSET(CRONOPLE!$F$14,$M278,AR$13))))</f>
        <v>1000000000000</v>
      </c>
      <c r="AS278" s="181">
        <f ca="1">IF($D278&lt;&gt;"Serviço",0,IF(AND(AUTOEVENTO="Manual",$M278=1),0,IF(OFFSET(CRONOPLE!$F$14,$M278,AS$13)="",10^12,OFFSET(CRONOPLE!$F$14,$M278,AS$13))))</f>
        <v>1000000000000</v>
      </c>
      <c r="AT278" s="181">
        <f ca="1">IF($D278&lt;&gt;"Serviço",0,IF(AND(AUTOEVENTO="Manual",$M278=1),0,IF(OFFSET(CRONOPLE!$F$14,$M278,AT$13)="",10^12,OFFSET(CRONOPLE!$F$14,$M278,AT$13))))</f>
        <v>1000000000000</v>
      </c>
      <c r="AU278" s="181">
        <f ca="1">IF($D278&lt;&gt;"Serviço",0,IF(AND(AUTOEVENTO="Manual",$M278=1),0,IF(OFFSET(CRONOPLE!$F$14,$M278,AU$13)="",10^12,OFFSET(CRONOPLE!$F$14,$M278,AU$13))))</f>
        <v>1000000000000</v>
      </c>
      <c r="AV278" s="181">
        <f ca="1">IF($D278&lt;&gt;"Serviço",0,IF(AND(AUTOEVENTO="Manual",$M278=1),0,IF(OFFSET(CRONOPLE!$F$14,$M278,AV$13)="",10^12,OFFSET(CRONOPLE!$F$14,$M278,AV$13))))</f>
        <v>1000000000000</v>
      </c>
      <c r="AX278" s="182">
        <f ca="1">IF($D278&lt;&gt;"Serviço",0,IF(OR(AND(AUTOEVENTO="Manual",$M278=1),$M278&gt;(ROW(PLE.lastrow)-ROW(PLE.firstrow))),0,IF(OFFSET(PLE!$G$14,$M278,AX$13)="",10^12,OFFSET(PLE!$G$14,$M278,AX$13))))</f>
        <v>1000000000000</v>
      </c>
      <c r="AY278" s="182">
        <f ca="1">IF($D278&lt;&gt;"Serviço",0,IF(OR(AND(AUTOEVENTO="Manual",$M278=1),$M278&gt;(ROW(PLE.lastrow)-ROW(PLE.firstrow))),0,IF(OFFSET(PLE!$G$14,$M278,AY$13)="",10^12,OFFSET(PLE!$G$14,$M278,AY$13))))</f>
        <v>1000000000000</v>
      </c>
      <c r="AZ278" s="182">
        <f ca="1">IF($D278&lt;&gt;"Serviço",0,IF(OR(AND(AUTOEVENTO="Manual",$M278=1),$M278&gt;(ROW(PLE.lastrow)-ROW(PLE.firstrow))),0,IF(OFFSET(PLE!$G$14,$M278,AZ$13)="",10^12,OFFSET(PLE!$G$14,$M278,AZ$13))))</f>
        <v>1000000000000</v>
      </c>
      <c r="BA278" s="182">
        <f ca="1">IF($D278&lt;&gt;"Serviço",0,IF(OR(AND(AUTOEVENTO="Manual",$M278=1),$M278&gt;(ROW(PLE.lastrow)-ROW(PLE.firstrow))),0,IF(OFFSET(PLE!$G$14,$M278,BA$13)="",10^12,OFFSET(PLE!$G$14,$M278,BA$13))))</f>
        <v>1000000000000</v>
      </c>
      <c r="BB278" s="182">
        <f ca="1">IF($D278&lt;&gt;"Serviço",0,IF(OR(AND(AUTOEVENTO="Manual",$M278=1),$M278&gt;(ROW(PLE.lastrow)-ROW(PLE.firstrow))),0,IF(OFFSET(PLE!$G$14,$M278,BB$13)="",10^12,OFFSET(PLE!$G$14,$M278,BB$13))))</f>
        <v>1000000000000</v>
      </c>
      <c r="BC278" s="182">
        <f ca="1">IF($D278&lt;&gt;"Serviço",0,IF(OR(AND(AUTOEVENTO="Manual",$M278=1),$M278&gt;(ROW(PLE.lastrow)-ROW(PLE.firstrow))),0,IF(OFFSET(PLE!$G$14,$M278,BC$13)="",10^12,OFFSET(PLE!$G$14,$M278,BC$13))))</f>
        <v>1000000000000</v>
      </c>
      <c r="BD278" s="182">
        <f ca="1">IF($D278&lt;&gt;"Serviço",0,IF(OR(AND(AUTOEVENTO="Manual",$M278=1),$M278&gt;(ROW(PLE.lastrow)-ROW(PLE.firstrow))),0,IF(OFFSET(PLE!$G$14,$M278,BD$13)="",10^12,OFFSET(PLE!$G$14,$M278,BD$13))))</f>
        <v>1000000000000</v>
      </c>
      <c r="BE278" s="182">
        <f ca="1">IF($D278&lt;&gt;"Serviço",0,IF(OR(AND(AUTOEVENTO="Manual",$M278=1),$M278&gt;(ROW(PLE.lastrow)-ROW(PLE.firstrow))),0,IF(OFFSET(PLE!$G$14,$M278,BE$13)="",10^12,OFFSET(PLE!$G$14,$M278,BE$13))))</f>
        <v>1000000000000</v>
      </c>
      <c r="BF278" s="182">
        <f ca="1">IF($D278&lt;&gt;"Serviço",0,IF(OR(AND(AUTOEVENTO="Manual",$M278=1),$M278&gt;(ROW(PLE.lastrow)-ROW(PLE.firstrow))),0,IF(OFFSET(PLE!$G$14,$M278,BF$13)="",10^12,OFFSET(PLE!$G$14,$M278,BF$13))))</f>
        <v>1000000000000</v>
      </c>
      <c r="BG278" s="182">
        <f ca="1">IF($D278&lt;&gt;"Serviço",0,IF(OR(AND(AUTOEVENTO="Manual",$M278=1),$M278&gt;(ROW(PLE.lastrow)-ROW(PLE.firstrow))),0,IF(OFFSET(PLE!$G$14,$M278,BG$13)="",10^12,OFFSET(PLE!$G$14,$M278,BG$13))))</f>
        <v>1000000000000</v>
      </c>
    </row>
    <row r="279" spans="1:59" ht="12.75" x14ac:dyDescent="0.2">
      <c r="A279" s="7" t="str">
        <f t="shared" ca="1" si="11"/>
        <v>233</v>
      </c>
      <c r="B279" s="7" t="str">
        <f ca="1">OFFSET(ORÇAMENTO!C$15,ROW(B279)-ROW(B$15),0)</f>
        <v>S</v>
      </c>
      <c r="C279" s="7" t="str">
        <f ca="1">OFFSET(ORÇAMENTO!L$15,ROW(C279)-ROW(C$15),0)</f>
        <v/>
      </c>
      <c r="D279" s="118" t="str">
        <f ca="1">OFFSET(ORÇAMENTO!N$15,ROW(D279)-ROW(D$15),0)</f>
        <v>Serviço</v>
      </c>
      <c r="E279" s="119" t="str">
        <f ca="1">OFFSET(ORÇAMENTO!O$15,ROW(E279)-ROW(E$15),0)</f>
        <v>-</v>
      </c>
      <c r="F279" s="172" t="str">
        <f ca="1">OFFSET(ORÇAMENTO!R$15,ROW(F279)-ROW(F$15),0)</f>
        <v>(abra o arquivo 'Referência 03-2024.xlsm)</v>
      </c>
      <c r="G279" s="173" t="str">
        <f ca="1">IF($D279&lt;&gt;"Serviço","",OFFSET(ORÇAMENTO!S$15,ROW(G279)-ROW(G$15),0))</f>
        <v>-</v>
      </c>
      <c r="H279" s="124">
        <f ca="1">IF($D279&lt;&gt;"Serviço",0,IF(ACOMPANHAMENTO="BM",ROUND(OFFSET(ORÇAMENTO!AJ$15,ROW(H279)-ROW(H$15),0),15-13*ORÇAMENTO!$AF$7),SUMPRODUCT(($Q$12:$AA$12&lt;&gt;"")*ROUND($Q279:$AA279,15-13*ORÇAMENTO!$AF$7))))</f>
        <v>0</v>
      </c>
      <c r="I279" s="561"/>
      <c r="K279" s="174"/>
      <c r="L279" s="175" t="s">
        <v>255</v>
      </c>
      <c r="M279" s="176">
        <f ca="1">IF($D279&lt;&gt;"Serviço","",IF(AUTOEVENTO="manual",$A279,IF(ISERROR(MATCH($A279,$A$15:OFFSET($A279,-1,0),0)),MAX($M$15:OFFSET(M279,-1,0))+1,INDEX($M$15:OFFSET(M279,-1,0),MATCH($A279,$A$15:OFFSET($A279,-1,0),0)))))</f>
        <v>14</v>
      </c>
      <c r="N279" s="177" t="str">
        <f ca="1">IF($D279&lt;&gt;"Serviço","",IF(AUTOEVENTO="Manual",IF($A279=0,"&lt;-- defina o número do agrupador",OFFSET(EVENTOS!$D$14,$A279,0)),OFFSET($F$15,$A279,0)))</f>
        <v>SERVIÇOS FINAIS</v>
      </c>
      <c r="O279" s="178"/>
      <c r="Q279" s="178"/>
      <c r="R279" s="179"/>
      <c r="S279" s="179"/>
      <c r="T279" s="179"/>
      <c r="U279" s="179"/>
      <c r="V279" s="179"/>
      <c r="W279" s="179"/>
      <c r="X279" s="179"/>
      <c r="Y279" s="179"/>
      <c r="Z279" s="180"/>
      <c r="AB279" s="544">
        <f ca="1">IF(AND($D279="Serviço",AB$12&lt;&gt;0,$H279&gt;0,OR(AUTOEVENTO&lt;&gt;"manual",$M279&lt;&gt;1)),
IF(Import.TipoArredondamento&lt;&gt;"TransfereGOV",
ROUND(OFFSET($P279,0,AB$13),15-13*ORÇAMENTO!$AF$7)/$H279*OFFSET(ORÇAMENTO!$X$15,ROW(AB279)-ROW(AB$15),0),
ROUND(ROUND(OFFSET($P279,0,AB$13),15-13*ORÇAMENTO!$AF$7)*OFFSET(ORÇAMENTO!$W$15,ROW(AB279)-ROW(AB$15),0),15-13*ORÇAMENTO!$AF$11)),0)</f>
        <v>0</v>
      </c>
      <c r="AC279" s="545">
        <f ca="1">IF(AND($D279="Serviço",AC$12&lt;&gt;0,$H279&gt;0,OR(AUTOEVENTO&lt;&gt;"manual",$M279&lt;&gt;1)),
IF(Import.TipoArredondamento&lt;&gt;"TransfereGOV",
ROUND(OFFSET($P279,0,AC$13),15-13*ORÇAMENTO!$AF$7)/$H279*OFFSET(ORÇAMENTO!$X$15,ROW(AC279)-ROW(AC$15),0),
ROUND(ROUND(OFFSET($P279,0,AC$13),15-13*ORÇAMENTO!$AF$7)*OFFSET(ORÇAMENTO!$W$15,ROW(AC279)-ROW(AC$15),0),15-13*ORÇAMENTO!$AF$11)),0)</f>
        <v>0</v>
      </c>
      <c r="AD279" s="545">
        <f ca="1">IF(AND($D279="Serviço",AD$12&lt;&gt;0,$H279&gt;0,OR(AUTOEVENTO&lt;&gt;"manual",$M279&lt;&gt;1)),
IF(Import.TipoArredondamento&lt;&gt;"TransfereGOV",
ROUND(OFFSET($P279,0,AD$13),15-13*ORÇAMENTO!$AF$7)/$H279*OFFSET(ORÇAMENTO!$X$15,ROW(AD279)-ROW(AD$15),0),
ROUND(ROUND(OFFSET($P279,0,AD$13),15-13*ORÇAMENTO!$AF$7)*OFFSET(ORÇAMENTO!$W$15,ROW(AD279)-ROW(AD$15),0),15-13*ORÇAMENTO!$AF$11)),0)</f>
        <v>0</v>
      </c>
      <c r="AE279" s="545">
        <f ca="1">IF(AND($D279="Serviço",AE$12&lt;&gt;0,$H279&gt;0,OR(AUTOEVENTO&lt;&gt;"manual",$M279&lt;&gt;1)),
IF(Import.TipoArredondamento&lt;&gt;"TransfereGOV",
ROUND(OFFSET($P279,0,AE$13),15-13*ORÇAMENTO!$AF$7)/$H279*OFFSET(ORÇAMENTO!$X$15,ROW(AE279)-ROW(AE$15),0),
ROUND(ROUND(OFFSET($P279,0,AE$13),15-13*ORÇAMENTO!$AF$7)*OFFSET(ORÇAMENTO!$W$15,ROW(AE279)-ROW(AE$15),0),15-13*ORÇAMENTO!$AF$11)),0)</f>
        <v>0</v>
      </c>
      <c r="AF279" s="545">
        <f ca="1">IF(AND($D279="Serviço",AF$12&lt;&gt;0,$H279&gt;0,OR(AUTOEVENTO&lt;&gt;"manual",$M279&lt;&gt;1)),
IF(Import.TipoArredondamento&lt;&gt;"TransfereGOV",
ROUND(OFFSET($P279,0,AF$13),15-13*ORÇAMENTO!$AF$7)/$H279*OFFSET(ORÇAMENTO!$X$15,ROW(AF279)-ROW(AF$15),0),
ROUND(ROUND(OFFSET($P279,0,AF$13),15-13*ORÇAMENTO!$AF$7)*OFFSET(ORÇAMENTO!$W$15,ROW(AF279)-ROW(AF$15),0),15-13*ORÇAMENTO!$AF$11)),0)</f>
        <v>0</v>
      </c>
      <c r="AG279" s="545">
        <f ca="1">IF(AND($D279="Serviço",AG$12&lt;&gt;0,$H279&gt;0,OR(AUTOEVENTO&lt;&gt;"manual",$M279&lt;&gt;1)),
IF(Import.TipoArredondamento&lt;&gt;"TransfereGOV",
ROUND(OFFSET($P279,0,AG$13),15-13*ORÇAMENTO!$AF$7)/$H279*OFFSET(ORÇAMENTO!$X$15,ROW(AG279)-ROW(AG$15),0),
ROUND(ROUND(OFFSET($P279,0,AG$13),15-13*ORÇAMENTO!$AF$7)*OFFSET(ORÇAMENTO!$W$15,ROW(AG279)-ROW(AG$15),0),15-13*ORÇAMENTO!$AF$11)),0)</f>
        <v>0</v>
      </c>
      <c r="AH279" s="545">
        <f ca="1">IF(AND($D279="Serviço",AH$12&lt;&gt;0,$H279&gt;0,OR(AUTOEVENTO&lt;&gt;"manual",$M279&lt;&gt;1)),
IF(Import.TipoArredondamento&lt;&gt;"TransfereGOV",
ROUND(OFFSET($P279,0,AH$13),15-13*ORÇAMENTO!$AF$7)/$H279*OFFSET(ORÇAMENTO!$X$15,ROW(AH279)-ROW(AH$15),0),
ROUND(ROUND(OFFSET($P279,0,AH$13),15-13*ORÇAMENTO!$AF$7)*OFFSET(ORÇAMENTO!$W$15,ROW(AH279)-ROW(AH$15),0),15-13*ORÇAMENTO!$AF$11)),0)</f>
        <v>0</v>
      </c>
      <c r="AI279" s="545">
        <f ca="1">IF(AND($D279="Serviço",AI$12&lt;&gt;0,$H279&gt;0,OR(AUTOEVENTO&lt;&gt;"manual",$M279&lt;&gt;1)),
IF(Import.TipoArredondamento&lt;&gt;"TransfereGOV",
ROUND(OFFSET($P279,0,AI$13),15-13*ORÇAMENTO!$AF$7)/$H279*OFFSET(ORÇAMENTO!$X$15,ROW(AI279)-ROW(AI$15),0),
ROUND(ROUND(OFFSET($P279,0,AI$13),15-13*ORÇAMENTO!$AF$7)*OFFSET(ORÇAMENTO!$W$15,ROW(AI279)-ROW(AI$15),0),15-13*ORÇAMENTO!$AF$11)),0)</f>
        <v>0</v>
      </c>
      <c r="AJ279" s="545">
        <f ca="1">IF(AND($D279="Serviço",AJ$12&lt;&gt;0,$H279&gt;0,OR(AUTOEVENTO&lt;&gt;"manual",$M279&lt;&gt;1)),
IF(Import.TipoArredondamento&lt;&gt;"TransfereGOV",
ROUND(OFFSET($P279,0,AJ$13),15-13*ORÇAMENTO!$AF$7)/$H279*OFFSET(ORÇAMENTO!$X$15,ROW(AJ279)-ROW(AJ$15),0),
ROUND(ROUND(OFFSET($P279,0,AJ$13),15-13*ORÇAMENTO!$AF$7)*OFFSET(ORÇAMENTO!$W$15,ROW(AJ279)-ROW(AJ$15),0),15-13*ORÇAMENTO!$AF$11)),0)</f>
        <v>0</v>
      </c>
      <c r="AK279" s="546">
        <f ca="1">IF(AND($D279="Serviço",AK$12&lt;&gt;0,$H279&gt;0,OR(AUTOEVENTO&lt;&gt;"manual",$M279&lt;&gt;1)),
IF(Import.TipoArredondamento&lt;&gt;"TransfereGOV",
ROUND(OFFSET($P279,0,AK$13),15-13*ORÇAMENTO!$AF$7)/$H279*OFFSET(ORÇAMENTO!$X$15,ROW(AK279)-ROW(AK$15),0),
ROUND(ROUND(OFFSET($P279,0,AK$13),15-13*ORÇAMENTO!$AF$7)*OFFSET(ORÇAMENTO!$W$15,ROW(AK279)-ROW(AK$15),0),15-13*ORÇAMENTO!$AF$11)),0)</f>
        <v>0</v>
      </c>
      <c r="AM279" s="181">
        <f ca="1">IF($D279&lt;&gt;"Serviço",0,IF(AND(AUTOEVENTO="Manual",$M279=1),0,IF(OFFSET(CRONOPLE!$F$14,$M279,AM$13)="",10^12,OFFSET(CRONOPLE!$F$14,$M279,AM$13))))</f>
        <v>1000000000000</v>
      </c>
      <c r="AN279" s="181">
        <f ca="1">IF($D279&lt;&gt;"Serviço",0,IF(AND(AUTOEVENTO="Manual",$M279=1),0,IF(OFFSET(CRONOPLE!$F$14,$M279,AN$13)="",10^12,OFFSET(CRONOPLE!$F$14,$M279,AN$13))))</f>
        <v>1000000000000</v>
      </c>
      <c r="AO279" s="181">
        <f ca="1">IF($D279&lt;&gt;"Serviço",0,IF(AND(AUTOEVENTO="Manual",$M279=1),0,IF(OFFSET(CRONOPLE!$F$14,$M279,AO$13)="",10^12,OFFSET(CRONOPLE!$F$14,$M279,AO$13))))</f>
        <v>1000000000000</v>
      </c>
      <c r="AP279" s="181">
        <f ca="1">IF($D279&lt;&gt;"Serviço",0,IF(AND(AUTOEVENTO="Manual",$M279=1),0,IF(OFFSET(CRONOPLE!$F$14,$M279,AP$13)="",10^12,OFFSET(CRONOPLE!$F$14,$M279,AP$13))))</f>
        <v>1000000000000</v>
      </c>
      <c r="AQ279" s="181">
        <f ca="1">IF($D279&lt;&gt;"Serviço",0,IF(AND(AUTOEVENTO="Manual",$M279=1),0,IF(OFFSET(CRONOPLE!$F$14,$M279,AQ$13)="",10^12,OFFSET(CRONOPLE!$F$14,$M279,AQ$13))))</f>
        <v>1000000000000</v>
      </c>
      <c r="AR279" s="181">
        <f ca="1">IF($D279&lt;&gt;"Serviço",0,IF(AND(AUTOEVENTO="Manual",$M279=1),0,IF(OFFSET(CRONOPLE!$F$14,$M279,AR$13)="",10^12,OFFSET(CRONOPLE!$F$14,$M279,AR$13))))</f>
        <v>1000000000000</v>
      </c>
      <c r="AS279" s="181">
        <f ca="1">IF($D279&lt;&gt;"Serviço",0,IF(AND(AUTOEVENTO="Manual",$M279=1),0,IF(OFFSET(CRONOPLE!$F$14,$M279,AS$13)="",10^12,OFFSET(CRONOPLE!$F$14,$M279,AS$13))))</f>
        <v>1000000000000</v>
      </c>
      <c r="AT279" s="181">
        <f ca="1">IF($D279&lt;&gt;"Serviço",0,IF(AND(AUTOEVENTO="Manual",$M279=1),0,IF(OFFSET(CRONOPLE!$F$14,$M279,AT$13)="",10^12,OFFSET(CRONOPLE!$F$14,$M279,AT$13))))</f>
        <v>1000000000000</v>
      </c>
      <c r="AU279" s="181">
        <f ca="1">IF($D279&lt;&gt;"Serviço",0,IF(AND(AUTOEVENTO="Manual",$M279=1),0,IF(OFFSET(CRONOPLE!$F$14,$M279,AU$13)="",10^12,OFFSET(CRONOPLE!$F$14,$M279,AU$13))))</f>
        <v>1000000000000</v>
      </c>
      <c r="AV279" s="181">
        <f ca="1">IF($D279&lt;&gt;"Serviço",0,IF(AND(AUTOEVENTO="Manual",$M279=1),0,IF(OFFSET(CRONOPLE!$F$14,$M279,AV$13)="",10^12,OFFSET(CRONOPLE!$F$14,$M279,AV$13))))</f>
        <v>1000000000000</v>
      </c>
      <c r="AX279" s="182">
        <f ca="1">IF($D279&lt;&gt;"Serviço",0,IF(OR(AND(AUTOEVENTO="Manual",$M279=1),$M279&gt;(ROW(PLE.lastrow)-ROW(PLE.firstrow))),0,IF(OFFSET(PLE!$G$14,$M279,AX$13)="",10^12,OFFSET(PLE!$G$14,$M279,AX$13))))</f>
        <v>1000000000000</v>
      </c>
      <c r="AY279" s="182">
        <f ca="1">IF($D279&lt;&gt;"Serviço",0,IF(OR(AND(AUTOEVENTO="Manual",$M279=1),$M279&gt;(ROW(PLE.lastrow)-ROW(PLE.firstrow))),0,IF(OFFSET(PLE!$G$14,$M279,AY$13)="",10^12,OFFSET(PLE!$G$14,$M279,AY$13))))</f>
        <v>1000000000000</v>
      </c>
      <c r="AZ279" s="182">
        <f ca="1">IF($D279&lt;&gt;"Serviço",0,IF(OR(AND(AUTOEVENTO="Manual",$M279=1),$M279&gt;(ROW(PLE.lastrow)-ROW(PLE.firstrow))),0,IF(OFFSET(PLE!$G$14,$M279,AZ$13)="",10^12,OFFSET(PLE!$G$14,$M279,AZ$13))))</f>
        <v>1000000000000</v>
      </c>
      <c r="BA279" s="182">
        <f ca="1">IF($D279&lt;&gt;"Serviço",0,IF(OR(AND(AUTOEVENTO="Manual",$M279=1),$M279&gt;(ROW(PLE.lastrow)-ROW(PLE.firstrow))),0,IF(OFFSET(PLE!$G$14,$M279,BA$13)="",10^12,OFFSET(PLE!$G$14,$M279,BA$13))))</f>
        <v>1000000000000</v>
      </c>
      <c r="BB279" s="182">
        <f ca="1">IF($D279&lt;&gt;"Serviço",0,IF(OR(AND(AUTOEVENTO="Manual",$M279=1),$M279&gt;(ROW(PLE.lastrow)-ROW(PLE.firstrow))),0,IF(OFFSET(PLE!$G$14,$M279,BB$13)="",10^12,OFFSET(PLE!$G$14,$M279,BB$13))))</f>
        <v>1000000000000</v>
      </c>
      <c r="BC279" s="182">
        <f ca="1">IF($D279&lt;&gt;"Serviço",0,IF(OR(AND(AUTOEVENTO="Manual",$M279=1),$M279&gt;(ROW(PLE.lastrow)-ROW(PLE.firstrow))),0,IF(OFFSET(PLE!$G$14,$M279,BC$13)="",10^12,OFFSET(PLE!$G$14,$M279,BC$13))))</f>
        <v>1000000000000</v>
      </c>
      <c r="BD279" s="182">
        <f ca="1">IF($D279&lt;&gt;"Serviço",0,IF(OR(AND(AUTOEVENTO="Manual",$M279=1),$M279&gt;(ROW(PLE.lastrow)-ROW(PLE.firstrow))),0,IF(OFFSET(PLE!$G$14,$M279,BD$13)="",10^12,OFFSET(PLE!$G$14,$M279,BD$13))))</f>
        <v>1000000000000</v>
      </c>
      <c r="BE279" s="182">
        <f ca="1">IF($D279&lt;&gt;"Serviço",0,IF(OR(AND(AUTOEVENTO="Manual",$M279=1),$M279&gt;(ROW(PLE.lastrow)-ROW(PLE.firstrow))),0,IF(OFFSET(PLE!$G$14,$M279,BE$13)="",10^12,OFFSET(PLE!$G$14,$M279,BE$13))))</f>
        <v>1000000000000</v>
      </c>
      <c r="BF279" s="182">
        <f ca="1">IF($D279&lt;&gt;"Serviço",0,IF(OR(AND(AUTOEVENTO="Manual",$M279=1),$M279&gt;(ROW(PLE.lastrow)-ROW(PLE.firstrow))),0,IF(OFFSET(PLE!$G$14,$M279,BF$13)="",10^12,OFFSET(PLE!$G$14,$M279,BF$13))))</f>
        <v>1000000000000</v>
      </c>
      <c r="BG279" s="182">
        <f ca="1">IF($D279&lt;&gt;"Serviço",0,IF(OR(AND(AUTOEVENTO="Manual",$M279=1),$M279&gt;(ROW(PLE.lastrow)-ROW(PLE.firstrow))),0,IF(OFFSET(PLE!$G$14,$M279,BG$13)="",10^12,OFFSET(PLE!$G$14,$M279,BG$13))))</f>
        <v>1000000000000</v>
      </c>
    </row>
    <row r="280" spans="1:59" ht="12.75" x14ac:dyDescent="0.2">
      <c r="A280" s="7" t="str">
        <f t="shared" ca="1" si="11"/>
        <v>233</v>
      </c>
      <c r="B280" s="7" t="str">
        <f ca="1">OFFSET(ORÇAMENTO!C$15,ROW(B280)-ROW(B$15),0)</f>
        <v>S</v>
      </c>
      <c r="C280" s="7" t="str">
        <f ca="1">OFFSET(ORÇAMENTO!L$15,ROW(C280)-ROW(C$15),0)</f>
        <v/>
      </c>
      <c r="D280" s="118" t="str">
        <f ca="1">OFFSET(ORÇAMENTO!N$15,ROW(D280)-ROW(D$15),0)</f>
        <v>Serviço</v>
      </c>
      <c r="E280" s="119" t="str">
        <f ca="1">OFFSET(ORÇAMENTO!O$15,ROW(E280)-ROW(E$15),0)</f>
        <v>-</v>
      </c>
      <c r="F280" s="172" t="str">
        <f ca="1">OFFSET(ORÇAMENTO!R$15,ROW(F280)-ROW(F$15),0)</f>
        <v>(abra o arquivo 'Referência 03-2024.xlsm)</v>
      </c>
      <c r="G280" s="173" t="str">
        <f ca="1">IF($D280&lt;&gt;"Serviço","",OFFSET(ORÇAMENTO!S$15,ROW(G280)-ROW(G$15),0))</f>
        <v>-</v>
      </c>
      <c r="H280" s="124">
        <f ca="1">IF($D280&lt;&gt;"Serviço",0,IF(ACOMPANHAMENTO="BM",ROUND(OFFSET(ORÇAMENTO!AJ$15,ROW(H280)-ROW(H$15),0),15-13*ORÇAMENTO!$AF$7),SUMPRODUCT(($Q$12:$AA$12&lt;&gt;"")*ROUND($Q280:$AA280,15-13*ORÇAMENTO!$AF$7))))</f>
        <v>0</v>
      </c>
      <c r="I280" s="561"/>
      <c r="K280" s="174"/>
      <c r="L280" s="175" t="s">
        <v>255</v>
      </c>
      <c r="M280" s="176">
        <f ca="1">IF($D280&lt;&gt;"Serviço","",IF(AUTOEVENTO="manual",$A280,IF(ISERROR(MATCH($A280,$A$15:OFFSET($A280,-1,0),0)),MAX($M$15:OFFSET(M280,-1,0))+1,INDEX($M$15:OFFSET(M280,-1,0),MATCH($A280,$A$15:OFFSET($A280,-1,0),0)))))</f>
        <v>14</v>
      </c>
      <c r="N280" s="177" t="str">
        <f ca="1">IF($D280&lt;&gt;"Serviço","",IF(AUTOEVENTO="Manual",IF($A280=0,"&lt;-- defina o número do agrupador",OFFSET(EVENTOS!$D$14,$A280,0)),OFFSET($F$15,$A280,0)))</f>
        <v>SERVIÇOS FINAIS</v>
      </c>
      <c r="O280" s="178"/>
      <c r="Q280" s="178"/>
      <c r="R280" s="179"/>
      <c r="S280" s="179"/>
      <c r="T280" s="179"/>
      <c r="U280" s="179"/>
      <c r="V280" s="179"/>
      <c r="W280" s="179"/>
      <c r="X280" s="179"/>
      <c r="Y280" s="179"/>
      <c r="Z280" s="180"/>
      <c r="AB280" s="544">
        <f ca="1">IF(AND($D280="Serviço",AB$12&lt;&gt;0,$H280&gt;0,OR(AUTOEVENTO&lt;&gt;"manual",$M280&lt;&gt;1)),
IF(Import.TipoArredondamento&lt;&gt;"TransfereGOV",
ROUND(OFFSET($P280,0,AB$13),15-13*ORÇAMENTO!$AF$7)/$H280*OFFSET(ORÇAMENTO!$X$15,ROW(AB280)-ROW(AB$15),0),
ROUND(ROUND(OFFSET($P280,0,AB$13),15-13*ORÇAMENTO!$AF$7)*OFFSET(ORÇAMENTO!$W$15,ROW(AB280)-ROW(AB$15),0),15-13*ORÇAMENTO!$AF$11)),0)</f>
        <v>0</v>
      </c>
      <c r="AC280" s="545">
        <f ca="1">IF(AND($D280="Serviço",AC$12&lt;&gt;0,$H280&gt;0,OR(AUTOEVENTO&lt;&gt;"manual",$M280&lt;&gt;1)),
IF(Import.TipoArredondamento&lt;&gt;"TransfereGOV",
ROUND(OFFSET($P280,0,AC$13),15-13*ORÇAMENTO!$AF$7)/$H280*OFFSET(ORÇAMENTO!$X$15,ROW(AC280)-ROW(AC$15),0),
ROUND(ROUND(OFFSET($P280,0,AC$13),15-13*ORÇAMENTO!$AF$7)*OFFSET(ORÇAMENTO!$W$15,ROW(AC280)-ROW(AC$15),0),15-13*ORÇAMENTO!$AF$11)),0)</f>
        <v>0</v>
      </c>
      <c r="AD280" s="545">
        <f ca="1">IF(AND($D280="Serviço",AD$12&lt;&gt;0,$H280&gt;0,OR(AUTOEVENTO&lt;&gt;"manual",$M280&lt;&gt;1)),
IF(Import.TipoArredondamento&lt;&gt;"TransfereGOV",
ROUND(OFFSET($P280,0,AD$13),15-13*ORÇAMENTO!$AF$7)/$H280*OFFSET(ORÇAMENTO!$X$15,ROW(AD280)-ROW(AD$15),0),
ROUND(ROUND(OFFSET($P280,0,AD$13),15-13*ORÇAMENTO!$AF$7)*OFFSET(ORÇAMENTO!$W$15,ROW(AD280)-ROW(AD$15),0),15-13*ORÇAMENTO!$AF$11)),0)</f>
        <v>0</v>
      </c>
      <c r="AE280" s="545">
        <f ca="1">IF(AND($D280="Serviço",AE$12&lt;&gt;0,$H280&gt;0,OR(AUTOEVENTO&lt;&gt;"manual",$M280&lt;&gt;1)),
IF(Import.TipoArredondamento&lt;&gt;"TransfereGOV",
ROUND(OFFSET($P280,0,AE$13),15-13*ORÇAMENTO!$AF$7)/$H280*OFFSET(ORÇAMENTO!$X$15,ROW(AE280)-ROW(AE$15),0),
ROUND(ROUND(OFFSET($P280,0,AE$13),15-13*ORÇAMENTO!$AF$7)*OFFSET(ORÇAMENTO!$W$15,ROW(AE280)-ROW(AE$15),0),15-13*ORÇAMENTO!$AF$11)),0)</f>
        <v>0</v>
      </c>
      <c r="AF280" s="545">
        <f ca="1">IF(AND($D280="Serviço",AF$12&lt;&gt;0,$H280&gt;0,OR(AUTOEVENTO&lt;&gt;"manual",$M280&lt;&gt;1)),
IF(Import.TipoArredondamento&lt;&gt;"TransfereGOV",
ROUND(OFFSET($P280,0,AF$13),15-13*ORÇAMENTO!$AF$7)/$H280*OFFSET(ORÇAMENTO!$X$15,ROW(AF280)-ROW(AF$15),0),
ROUND(ROUND(OFFSET($P280,0,AF$13),15-13*ORÇAMENTO!$AF$7)*OFFSET(ORÇAMENTO!$W$15,ROW(AF280)-ROW(AF$15),0),15-13*ORÇAMENTO!$AF$11)),0)</f>
        <v>0</v>
      </c>
      <c r="AG280" s="545">
        <f ca="1">IF(AND($D280="Serviço",AG$12&lt;&gt;0,$H280&gt;0,OR(AUTOEVENTO&lt;&gt;"manual",$M280&lt;&gt;1)),
IF(Import.TipoArredondamento&lt;&gt;"TransfereGOV",
ROUND(OFFSET($P280,0,AG$13),15-13*ORÇAMENTO!$AF$7)/$H280*OFFSET(ORÇAMENTO!$X$15,ROW(AG280)-ROW(AG$15),0),
ROUND(ROUND(OFFSET($P280,0,AG$13),15-13*ORÇAMENTO!$AF$7)*OFFSET(ORÇAMENTO!$W$15,ROW(AG280)-ROW(AG$15),0),15-13*ORÇAMENTO!$AF$11)),0)</f>
        <v>0</v>
      </c>
      <c r="AH280" s="545">
        <f ca="1">IF(AND($D280="Serviço",AH$12&lt;&gt;0,$H280&gt;0,OR(AUTOEVENTO&lt;&gt;"manual",$M280&lt;&gt;1)),
IF(Import.TipoArredondamento&lt;&gt;"TransfereGOV",
ROUND(OFFSET($P280,0,AH$13),15-13*ORÇAMENTO!$AF$7)/$H280*OFFSET(ORÇAMENTO!$X$15,ROW(AH280)-ROW(AH$15),0),
ROUND(ROUND(OFFSET($P280,0,AH$13),15-13*ORÇAMENTO!$AF$7)*OFFSET(ORÇAMENTO!$W$15,ROW(AH280)-ROW(AH$15),0),15-13*ORÇAMENTO!$AF$11)),0)</f>
        <v>0</v>
      </c>
      <c r="AI280" s="545">
        <f ca="1">IF(AND($D280="Serviço",AI$12&lt;&gt;0,$H280&gt;0,OR(AUTOEVENTO&lt;&gt;"manual",$M280&lt;&gt;1)),
IF(Import.TipoArredondamento&lt;&gt;"TransfereGOV",
ROUND(OFFSET($P280,0,AI$13),15-13*ORÇAMENTO!$AF$7)/$H280*OFFSET(ORÇAMENTO!$X$15,ROW(AI280)-ROW(AI$15),0),
ROUND(ROUND(OFFSET($P280,0,AI$13),15-13*ORÇAMENTO!$AF$7)*OFFSET(ORÇAMENTO!$W$15,ROW(AI280)-ROW(AI$15),0),15-13*ORÇAMENTO!$AF$11)),0)</f>
        <v>0</v>
      </c>
      <c r="AJ280" s="545">
        <f ca="1">IF(AND($D280="Serviço",AJ$12&lt;&gt;0,$H280&gt;0,OR(AUTOEVENTO&lt;&gt;"manual",$M280&lt;&gt;1)),
IF(Import.TipoArredondamento&lt;&gt;"TransfereGOV",
ROUND(OFFSET($P280,0,AJ$13),15-13*ORÇAMENTO!$AF$7)/$H280*OFFSET(ORÇAMENTO!$X$15,ROW(AJ280)-ROW(AJ$15),0),
ROUND(ROUND(OFFSET($P280,0,AJ$13),15-13*ORÇAMENTO!$AF$7)*OFFSET(ORÇAMENTO!$W$15,ROW(AJ280)-ROW(AJ$15),0),15-13*ORÇAMENTO!$AF$11)),0)</f>
        <v>0</v>
      </c>
      <c r="AK280" s="546">
        <f ca="1">IF(AND($D280="Serviço",AK$12&lt;&gt;0,$H280&gt;0,OR(AUTOEVENTO&lt;&gt;"manual",$M280&lt;&gt;1)),
IF(Import.TipoArredondamento&lt;&gt;"TransfereGOV",
ROUND(OFFSET($P280,0,AK$13),15-13*ORÇAMENTO!$AF$7)/$H280*OFFSET(ORÇAMENTO!$X$15,ROW(AK280)-ROW(AK$15),0),
ROUND(ROUND(OFFSET($P280,0,AK$13),15-13*ORÇAMENTO!$AF$7)*OFFSET(ORÇAMENTO!$W$15,ROW(AK280)-ROW(AK$15),0),15-13*ORÇAMENTO!$AF$11)),0)</f>
        <v>0</v>
      </c>
      <c r="AM280" s="181">
        <f ca="1">IF($D280&lt;&gt;"Serviço",0,IF(AND(AUTOEVENTO="Manual",$M280=1),0,IF(OFFSET(CRONOPLE!$F$14,$M280,AM$13)="",10^12,OFFSET(CRONOPLE!$F$14,$M280,AM$13))))</f>
        <v>1000000000000</v>
      </c>
      <c r="AN280" s="181">
        <f ca="1">IF($D280&lt;&gt;"Serviço",0,IF(AND(AUTOEVENTO="Manual",$M280=1),0,IF(OFFSET(CRONOPLE!$F$14,$M280,AN$13)="",10^12,OFFSET(CRONOPLE!$F$14,$M280,AN$13))))</f>
        <v>1000000000000</v>
      </c>
      <c r="AO280" s="181">
        <f ca="1">IF($D280&lt;&gt;"Serviço",0,IF(AND(AUTOEVENTO="Manual",$M280=1),0,IF(OFFSET(CRONOPLE!$F$14,$M280,AO$13)="",10^12,OFFSET(CRONOPLE!$F$14,$M280,AO$13))))</f>
        <v>1000000000000</v>
      </c>
      <c r="AP280" s="181">
        <f ca="1">IF($D280&lt;&gt;"Serviço",0,IF(AND(AUTOEVENTO="Manual",$M280=1),0,IF(OFFSET(CRONOPLE!$F$14,$M280,AP$13)="",10^12,OFFSET(CRONOPLE!$F$14,$M280,AP$13))))</f>
        <v>1000000000000</v>
      </c>
      <c r="AQ280" s="181">
        <f ca="1">IF($D280&lt;&gt;"Serviço",0,IF(AND(AUTOEVENTO="Manual",$M280=1),0,IF(OFFSET(CRONOPLE!$F$14,$M280,AQ$13)="",10^12,OFFSET(CRONOPLE!$F$14,$M280,AQ$13))))</f>
        <v>1000000000000</v>
      </c>
      <c r="AR280" s="181">
        <f ca="1">IF($D280&lt;&gt;"Serviço",0,IF(AND(AUTOEVENTO="Manual",$M280=1),0,IF(OFFSET(CRONOPLE!$F$14,$M280,AR$13)="",10^12,OFFSET(CRONOPLE!$F$14,$M280,AR$13))))</f>
        <v>1000000000000</v>
      </c>
      <c r="AS280" s="181">
        <f ca="1">IF($D280&lt;&gt;"Serviço",0,IF(AND(AUTOEVENTO="Manual",$M280=1),0,IF(OFFSET(CRONOPLE!$F$14,$M280,AS$13)="",10^12,OFFSET(CRONOPLE!$F$14,$M280,AS$13))))</f>
        <v>1000000000000</v>
      </c>
      <c r="AT280" s="181">
        <f ca="1">IF($D280&lt;&gt;"Serviço",0,IF(AND(AUTOEVENTO="Manual",$M280=1),0,IF(OFFSET(CRONOPLE!$F$14,$M280,AT$13)="",10^12,OFFSET(CRONOPLE!$F$14,$M280,AT$13))))</f>
        <v>1000000000000</v>
      </c>
      <c r="AU280" s="181">
        <f ca="1">IF($D280&lt;&gt;"Serviço",0,IF(AND(AUTOEVENTO="Manual",$M280=1),0,IF(OFFSET(CRONOPLE!$F$14,$M280,AU$13)="",10^12,OFFSET(CRONOPLE!$F$14,$M280,AU$13))))</f>
        <v>1000000000000</v>
      </c>
      <c r="AV280" s="181">
        <f ca="1">IF($D280&lt;&gt;"Serviço",0,IF(AND(AUTOEVENTO="Manual",$M280=1),0,IF(OFFSET(CRONOPLE!$F$14,$M280,AV$13)="",10^12,OFFSET(CRONOPLE!$F$14,$M280,AV$13))))</f>
        <v>1000000000000</v>
      </c>
      <c r="AX280" s="182">
        <f ca="1">IF($D280&lt;&gt;"Serviço",0,IF(OR(AND(AUTOEVENTO="Manual",$M280=1),$M280&gt;(ROW(PLE.lastrow)-ROW(PLE.firstrow))),0,IF(OFFSET(PLE!$G$14,$M280,AX$13)="",10^12,OFFSET(PLE!$G$14,$M280,AX$13))))</f>
        <v>1000000000000</v>
      </c>
      <c r="AY280" s="182">
        <f ca="1">IF($D280&lt;&gt;"Serviço",0,IF(OR(AND(AUTOEVENTO="Manual",$M280=1),$M280&gt;(ROW(PLE.lastrow)-ROW(PLE.firstrow))),0,IF(OFFSET(PLE!$G$14,$M280,AY$13)="",10^12,OFFSET(PLE!$G$14,$M280,AY$13))))</f>
        <v>1000000000000</v>
      </c>
      <c r="AZ280" s="182">
        <f ca="1">IF($D280&lt;&gt;"Serviço",0,IF(OR(AND(AUTOEVENTO="Manual",$M280=1),$M280&gt;(ROW(PLE.lastrow)-ROW(PLE.firstrow))),0,IF(OFFSET(PLE!$G$14,$M280,AZ$13)="",10^12,OFFSET(PLE!$G$14,$M280,AZ$13))))</f>
        <v>1000000000000</v>
      </c>
      <c r="BA280" s="182">
        <f ca="1">IF($D280&lt;&gt;"Serviço",0,IF(OR(AND(AUTOEVENTO="Manual",$M280=1),$M280&gt;(ROW(PLE.lastrow)-ROW(PLE.firstrow))),0,IF(OFFSET(PLE!$G$14,$M280,BA$13)="",10^12,OFFSET(PLE!$G$14,$M280,BA$13))))</f>
        <v>1000000000000</v>
      </c>
      <c r="BB280" s="182">
        <f ca="1">IF($D280&lt;&gt;"Serviço",0,IF(OR(AND(AUTOEVENTO="Manual",$M280=1),$M280&gt;(ROW(PLE.lastrow)-ROW(PLE.firstrow))),0,IF(OFFSET(PLE!$G$14,$M280,BB$13)="",10^12,OFFSET(PLE!$G$14,$M280,BB$13))))</f>
        <v>1000000000000</v>
      </c>
      <c r="BC280" s="182">
        <f ca="1">IF($D280&lt;&gt;"Serviço",0,IF(OR(AND(AUTOEVENTO="Manual",$M280=1),$M280&gt;(ROW(PLE.lastrow)-ROW(PLE.firstrow))),0,IF(OFFSET(PLE!$G$14,$M280,BC$13)="",10^12,OFFSET(PLE!$G$14,$M280,BC$13))))</f>
        <v>1000000000000</v>
      </c>
      <c r="BD280" s="182">
        <f ca="1">IF($D280&lt;&gt;"Serviço",0,IF(OR(AND(AUTOEVENTO="Manual",$M280=1),$M280&gt;(ROW(PLE.lastrow)-ROW(PLE.firstrow))),0,IF(OFFSET(PLE!$G$14,$M280,BD$13)="",10^12,OFFSET(PLE!$G$14,$M280,BD$13))))</f>
        <v>1000000000000</v>
      </c>
      <c r="BE280" s="182">
        <f ca="1">IF($D280&lt;&gt;"Serviço",0,IF(OR(AND(AUTOEVENTO="Manual",$M280=1),$M280&gt;(ROW(PLE.lastrow)-ROW(PLE.firstrow))),0,IF(OFFSET(PLE!$G$14,$M280,BE$13)="",10^12,OFFSET(PLE!$G$14,$M280,BE$13))))</f>
        <v>1000000000000</v>
      </c>
      <c r="BF280" s="182">
        <f ca="1">IF($D280&lt;&gt;"Serviço",0,IF(OR(AND(AUTOEVENTO="Manual",$M280=1),$M280&gt;(ROW(PLE.lastrow)-ROW(PLE.firstrow))),0,IF(OFFSET(PLE!$G$14,$M280,BF$13)="",10^12,OFFSET(PLE!$G$14,$M280,BF$13))))</f>
        <v>1000000000000</v>
      </c>
      <c r="BG280" s="182">
        <f ca="1">IF($D280&lt;&gt;"Serviço",0,IF(OR(AND(AUTOEVENTO="Manual",$M280=1),$M280&gt;(ROW(PLE.lastrow)-ROW(PLE.firstrow))),0,IF(OFFSET(PLE!$G$14,$M280,BG$13)="",10^12,OFFSET(PLE!$G$14,$M280,BG$13))))</f>
        <v>1000000000000</v>
      </c>
    </row>
    <row r="281" spans="1:59" ht="12.75" x14ac:dyDescent="0.2">
      <c r="A281" s="7" t="str">
        <f t="shared" ca="1" si="11"/>
        <v>233</v>
      </c>
      <c r="B281" s="7" t="str">
        <f ca="1">OFFSET(ORÇAMENTO!C$15,ROW(B281)-ROW(B$15),0)</f>
        <v>S</v>
      </c>
      <c r="C281" s="7" t="str">
        <f ca="1">OFFSET(ORÇAMENTO!L$15,ROW(C281)-ROW(C$15),0)</f>
        <v/>
      </c>
      <c r="D281" s="118" t="str">
        <f ca="1">OFFSET(ORÇAMENTO!N$15,ROW(D281)-ROW(D$15),0)</f>
        <v>Serviço</v>
      </c>
      <c r="E281" s="119" t="str">
        <f ca="1">OFFSET(ORÇAMENTO!O$15,ROW(E281)-ROW(E$15),0)</f>
        <v>-</v>
      </c>
      <c r="F281" s="172" t="str">
        <f ca="1">OFFSET(ORÇAMENTO!R$15,ROW(F281)-ROW(F$15),0)</f>
        <v>(abra o arquivo 'Referência 03-2024.xlsm)</v>
      </c>
      <c r="G281" s="173" t="str">
        <f ca="1">IF($D281&lt;&gt;"Serviço","",OFFSET(ORÇAMENTO!S$15,ROW(G281)-ROW(G$15),0))</f>
        <v>-</v>
      </c>
      <c r="H281" s="124">
        <f ca="1">IF($D281&lt;&gt;"Serviço",0,IF(ACOMPANHAMENTO="BM",ROUND(OFFSET(ORÇAMENTO!AJ$15,ROW(H281)-ROW(H$15),0),15-13*ORÇAMENTO!$AF$7),SUMPRODUCT(($Q$12:$AA$12&lt;&gt;"")*ROUND($Q281:$AA281,15-13*ORÇAMENTO!$AF$7))))</f>
        <v>0</v>
      </c>
      <c r="I281" s="561"/>
      <c r="K281" s="174"/>
      <c r="L281" s="175" t="s">
        <v>255</v>
      </c>
      <c r="M281" s="176">
        <f ca="1">IF($D281&lt;&gt;"Serviço","",IF(AUTOEVENTO="manual",$A281,IF(ISERROR(MATCH($A281,$A$15:OFFSET($A281,-1,0),0)),MAX($M$15:OFFSET(M281,-1,0))+1,INDEX($M$15:OFFSET(M281,-1,0),MATCH($A281,$A$15:OFFSET($A281,-1,0),0)))))</f>
        <v>14</v>
      </c>
      <c r="N281" s="177" t="str">
        <f ca="1">IF($D281&lt;&gt;"Serviço","",IF(AUTOEVENTO="Manual",IF($A281=0,"&lt;-- defina o número do agrupador",OFFSET(EVENTOS!$D$14,$A281,0)),OFFSET($F$15,$A281,0)))</f>
        <v>SERVIÇOS FINAIS</v>
      </c>
      <c r="O281" s="178"/>
      <c r="Q281" s="178"/>
      <c r="R281" s="179"/>
      <c r="S281" s="179"/>
      <c r="T281" s="179"/>
      <c r="U281" s="179"/>
      <c r="V281" s="179"/>
      <c r="W281" s="179"/>
      <c r="X281" s="179"/>
      <c r="Y281" s="179"/>
      <c r="Z281" s="180"/>
      <c r="AB281" s="544">
        <f ca="1">IF(AND($D281="Serviço",AB$12&lt;&gt;0,$H281&gt;0,OR(AUTOEVENTO&lt;&gt;"manual",$M281&lt;&gt;1)),
IF(Import.TipoArredondamento&lt;&gt;"TransfereGOV",
ROUND(OFFSET($P281,0,AB$13),15-13*ORÇAMENTO!$AF$7)/$H281*OFFSET(ORÇAMENTO!$X$15,ROW(AB281)-ROW(AB$15),0),
ROUND(ROUND(OFFSET($P281,0,AB$13),15-13*ORÇAMENTO!$AF$7)*OFFSET(ORÇAMENTO!$W$15,ROW(AB281)-ROW(AB$15),0),15-13*ORÇAMENTO!$AF$11)),0)</f>
        <v>0</v>
      </c>
      <c r="AC281" s="545">
        <f ca="1">IF(AND($D281="Serviço",AC$12&lt;&gt;0,$H281&gt;0,OR(AUTOEVENTO&lt;&gt;"manual",$M281&lt;&gt;1)),
IF(Import.TipoArredondamento&lt;&gt;"TransfereGOV",
ROUND(OFFSET($P281,0,AC$13),15-13*ORÇAMENTO!$AF$7)/$H281*OFFSET(ORÇAMENTO!$X$15,ROW(AC281)-ROW(AC$15),0),
ROUND(ROUND(OFFSET($P281,0,AC$13),15-13*ORÇAMENTO!$AF$7)*OFFSET(ORÇAMENTO!$W$15,ROW(AC281)-ROW(AC$15),0),15-13*ORÇAMENTO!$AF$11)),0)</f>
        <v>0</v>
      </c>
      <c r="AD281" s="545">
        <f ca="1">IF(AND($D281="Serviço",AD$12&lt;&gt;0,$H281&gt;0,OR(AUTOEVENTO&lt;&gt;"manual",$M281&lt;&gt;1)),
IF(Import.TipoArredondamento&lt;&gt;"TransfereGOV",
ROUND(OFFSET($P281,0,AD$13),15-13*ORÇAMENTO!$AF$7)/$H281*OFFSET(ORÇAMENTO!$X$15,ROW(AD281)-ROW(AD$15),0),
ROUND(ROUND(OFFSET($P281,0,AD$13),15-13*ORÇAMENTO!$AF$7)*OFFSET(ORÇAMENTO!$W$15,ROW(AD281)-ROW(AD$15),0),15-13*ORÇAMENTO!$AF$11)),0)</f>
        <v>0</v>
      </c>
      <c r="AE281" s="545">
        <f ca="1">IF(AND($D281="Serviço",AE$12&lt;&gt;0,$H281&gt;0,OR(AUTOEVENTO&lt;&gt;"manual",$M281&lt;&gt;1)),
IF(Import.TipoArredondamento&lt;&gt;"TransfereGOV",
ROUND(OFFSET($P281,0,AE$13),15-13*ORÇAMENTO!$AF$7)/$H281*OFFSET(ORÇAMENTO!$X$15,ROW(AE281)-ROW(AE$15),0),
ROUND(ROUND(OFFSET($P281,0,AE$13),15-13*ORÇAMENTO!$AF$7)*OFFSET(ORÇAMENTO!$W$15,ROW(AE281)-ROW(AE$15),0),15-13*ORÇAMENTO!$AF$11)),0)</f>
        <v>0</v>
      </c>
      <c r="AF281" s="545">
        <f ca="1">IF(AND($D281="Serviço",AF$12&lt;&gt;0,$H281&gt;0,OR(AUTOEVENTO&lt;&gt;"manual",$M281&lt;&gt;1)),
IF(Import.TipoArredondamento&lt;&gt;"TransfereGOV",
ROUND(OFFSET($P281,0,AF$13),15-13*ORÇAMENTO!$AF$7)/$H281*OFFSET(ORÇAMENTO!$X$15,ROW(AF281)-ROW(AF$15),0),
ROUND(ROUND(OFFSET($P281,0,AF$13),15-13*ORÇAMENTO!$AF$7)*OFFSET(ORÇAMENTO!$W$15,ROW(AF281)-ROW(AF$15),0),15-13*ORÇAMENTO!$AF$11)),0)</f>
        <v>0</v>
      </c>
      <c r="AG281" s="545">
        <f ca="1">IF(AND($D281="Serviço",AG$12&lt;&gt;0,$H281&gt;0,OR(AUTOEVENTO&lt;&gt;"manual",$M281&lt;&gt;1)),
IF(Import.TipoArredondamento&lt;&gt;"TransfereGOV",
ROUND(OFFSET($P281,0,AG$13),15-13*ORÇAMENTO!$AF$7)/$H281*OFFSET(ORÇAMENTO!$X$15,ROW(AG281)-ROW(AG$15),0),
ROUND(ROUND(OFFSET($P281,0,AG$13),15-13*ORÇAMENTO!$AF$7)*OFFSET(ORÇAMENTO!$W$15,ROW(AG281)-ROW(AG$15),0),15-13*ORÇAMENTO!$AF$11)),0)</f>
        <v>0</v>
      </c>
      <c r="AH281" s="545">
        <f ca="1">IF(AND($D281="Serviço",AH$12&lt;&gt;0,$H281&gt;0,OR(AUTOEVENTO&lt;&gt;"manual",$M281&lt;&gt;1)),
IF(Import.TipoArredondamento&lt;&gt;"TransfereGOV",
ROUND(OFFSET($P281,0,AH$13),15-13*ORÇAMENTO!$AF$7)/$H281*OFFSET(ORÇAMENTO!$X$15,ROW(AH281)-ROW(AH$15),0),
ROUND(ROUND(OFFSET($P281,0,AH$13),15-13*ORÇAMENTO!$AF$7)*OFFSET(ORÇAMENTO!$W$15,ROW(AH281)-ROW(AH$15),0),15-13*ORÇAMENTO!$AF$11)),0)</f>
        <v>0</v>
      </c>
      <c r="AI281" s="545">
        <f ca="1">IF(AND($D281="Serviço",AI$12&lt;&gt;0,$H281&gt;0,OR(AUTOEVENTO&lt;&gt;"manual",$M281&lt;&gt;1)),
IF(Import.TipoArredondamento&lt;&gt;"TransfereGOV",
ROUND(OFFSET($P281,0,AI$13),15-13*ORÇAMENTO!$AF$7)/$H281*OFFSET(ORÇAMENTO!$X$15,ROW(AI281)-ROW(AI$15),0),
ROUND(ROUND(OFFSET($P281,0,AI$13),15-13*ORÇAMENTO!$AF$7)*OFFSET(ORÇAMENTO!$W$15,ROW(AI281)-ROW(AI$15),0),15-13*ORÇAMENTO!$AF$11)),0)</f>
        <v>0</v>
      </c>
      <c r="AJ281" s="545">
        <f ca="1">IF(AND($D281="Serviço",AJ$12&lt;&gt;0,$H281&gt;0,OR(AUTOEVENTO&lt;&gt;"manual",$M281&lt;&gt;1)),
IF(Import.TipoArredondamento&lt;&gt;"TransfereGOV",
ROUND(OFFSET($P281,0,AJ$13),15-13*ORÇAMENTO!$AF$7)/$H281*OFFSET(ORÇAMENTO!$X$15,ROW(AJ281)-ROW(AJ$15),0),
ROUND(ROUND(OFFSET($P281,0,AJ$13),15-13*ORÇAMENTO!$AF$7)*OFFSET(ORÇAMENTO!$W$15,ROW(AJ281)-ROW(AJ$15),0),15-13*ORÇAMENTO!$AF$11)),0)</f>
        <v>0</v>
      </c>
      <c r="AK281" s="546">
        <f ca="1">IF(AND($D281="Serviço",AK$12&lt;&gt;0,$H281&gt;0,OR(AUTOEVENTO&lt;&gt;"manual",$M281&lt;&gt;1)),
IF(Import.TipoArredondamento&lt;&gt;"TransfereGOV",
ROUND(OFFSET($P281,0,AK$13),15-13*ORÇAMENTO!$AF$7)/$H281*OFFSET(ORÇAMENTO!$X$15,ROW(AK281)-ROW(AK$15),0),
ROUND(ROUND(OFFSET($P281,0,AK$13),15-13*ORÇAMENTO!$AF$7)*OFFSET(ORÇAMENTO!$W$15,ROW(AK281)-ROW(AK$15),0),15-13*ORÇAMENTO!$AF$11)),0)</f>
        <v>0</v>
      </c>
      <c r="AM281" s="181">
        <f ca="1">IF($D281&lt;&gt;"Serviço",0,IF(AND(AUTOEVENTO="Manual",$M281=1),0,IF(OFFSET(CRONOPLE!$F$14,$M281,AM$13)="",10^12,OFFSET(CRONOPLE!$F$14,$M281,AM$13))))</f>
        <v>1000000000000</v>
      </c>
      <c r="AN281" s="181">
        <f ca="1">IF($D281&lt;&gt;"Serviço",0,IF(AND(AUTOEVENTO="Manual",$M281=1),0,IF(OFFSET(CRONOPLE!$F$14,$M281,AN$13)="",10^12,OFFSET(CRONOPLE!$F$14,$M281,AN$13))))</f>
        <v>1000000000000</v>
      </c>
      <c r="AO281" s="181">
        <f ca="1">IF($D281&lt;&gt;"Serviço",0,IF(AND(AUTOEVENTO="Manual",$M281=1),0,IF(OFFSET(CRONOPLE!$F$14,$M281,AO$13)="",10^12,OFFSET(CRONOPLE!$F$14,$M281,AO$13))))</f>
        <v>1000000000000</v>
      </c>
      <c r="AP281" s="181">
        <f ca="1">IF($D281&lt;&gt;"Serviço",0,IF(AND(AUTOEVENTO="Manual",$M281=1),0,IF(OFFSET(CRONOPLE!$F$14,$M281,AP$13)="",10^12,OFFSET(CRONOPLE!$F$14,$M281,AP$13))))</f>
        <v>1000000000000</v>
      </c>
      <c r="AQ281" s="181">
        <f ca="1">IF($D281&lt;&gt;"Serviço",0,IF(AND(AUTOEVENTO="Manual",$M281=1),0,IF(OFFSET(CRONOPLE!$F$14,$M281,AQ$13)="",10^12,OFFSET(CRONOPLE!$F$14,$M281,AQ$13))))</f>
        <v>1000000000000</v>
      </c>
      <c r="AR281" s="181">
        <f ca="1">IF($D281&lt;&gt;"Serviço",0,IF(AND(AUTOEVENTO="Manual",$M281=1),0,IF(OFFSET(CRONOPLE!$F$14,$M281,AR$13)="",10^12,OFFSET(CRONOPLE!$F$14,$M281,AR$13))))</f>
        <v>1000000000000</v>
      </c>
      <c r="AS281" s="181">
        <f ca="1">IF($D281&lt;&gt;"Serviço",0,IF(AND(AUTOEVENTO="Manual",$M281=1),0,IF(OFFSET(CRONOPLE!$F$14,$M281,AS$13)="",10^12,OFFSET(CRONOPLE!$F$14,$M281,AS$13))))</f>
        <v>1000000000000</v>
      </c>
      <c r="AT281" s="181">
        <f ca="1">IF($D281&lt;&gt;"Serviço",0,IF(AND(AUTOEVENTO="Manual",$M281=1),0,IF(OFFSET(CRONOPLE!$F$14,$M281,AT$13)="",10^12,OFFSET(CRONOPLE!$F$14,$M281,AT$13))))</f>
        <v>1000000000000</v>
      </c>
      <c r="AU281" s="181">
        <f ca="1">IF($D281&lt;&gt;"Serviço",0,IF(AND(AUTOEVENTO="Manual",$M281=1),0,IF(OFFSET(CRONOPLE!$F$14,$M281,AU$13)="",10^12,OFFSET(CRONOPLE!$F$14,$M281,AU$13))))</f>
        <v>1000000000000</v>
      </c>
      <c r="AV281" s="181">
        <f ca="1">IF($D281&lt;&gt;"Serviço",0,IF(AND(AUTOEVENTO="Manual",$M281=1),0,IF(OFFSET(CRONOPLE!$F$14,$M281,AV$13)="",10^12,OFFSET(CRONOPLE!$F$14,$M281,AV$13))))</f>
        <v>1000000000000</v>
      </c>
      <c r="AX281" s="182">
        <f ca="1">IF($D281&lt;&gt;"Serviço",0,IF(OR(AND(AUTOEVENTO="Manual",$M281=1),$M281&gt;(ROW(PLE.lastrow)-ROW(PLE.firstrow))),0,IF(OFFSET(PLE!$G$14,$M281,AX$13)="",10^12,OFFSET(PLE!$G$14,$M281,AX$13))))</f>
        <v>1000000000000</v>
      </c>
      <c r="AY281" s="182">
        <f ca="1">IF($D281&lt;&gt;"Serviço",0,IF(OR(AND(AUTOEVENTO="Manual",$M281=1),$M281&gt;(ROW(PLE.lastrow)-ROW(PLE.firstrow))),0,IF(OFFSET(PLE!$G$14,$M281,AY$13)="",10^12,OFFSET(PLE!$G$14,$M281,AY$13))))</f>
        <v>1000000000000</v>
      </c>
      <c r="AZ281" s="182">
        <f ca="1">IF($D281&lt;&gt;"Serviço",0,IF(OR(AND(AUTOEVENTO="Manual",$M281=1),$M281&gt;(ROW(PLE.lastrow)-ROW(PLE.firstrow))),0,IF(OFFSET(PLE!$G$14,$M281,AZ$13)="",10^12,OFFSET(PLE!$G$14,$M281,AZ$13))))</f>
        <v>1000000000000</v>
      </c>
      <c r="BA281" s="182">
        <f ca="1">IF($D281&lt;&gt;"Serviço",0,IF(OR(AND(AUTOEVENTO="Manual",$M281=1),$M281&gt;(ROW(PLE.lastrow)-ROW(PLE.firstrow))),0,IF(OFFSET(PLE!$G$14,$M281,BA$13)="",10^12,OFFSET(PLE!$G$14,$M281,BA$13))))</f>
        <v>1000000000000</v>
      </c>
      <c r="BB281" s="182">
        <f ca="1">IF($D281&lt;&gt;"Serviço",0,IF(OR(AND(AUTOEVENTO="Manual",$M281=1),$M281&gt;(ROW(PLE.lastrow)-ROW(PLE.firstrow))),0,IF(OFFSET(PLE!$G$14,$M281,BB$13)="",10^12,OFFSET(PLE!$G$14,$M281,BB$13))))</f>
        <v>1000000000000</v>
      </c>
      <c r="BC281" s="182">
        <f ca="1">IF($D281&lt;&gt;"Serviço",0,IF(OR(AND(AUTOEVENTO="Manual",$M281=1),$M281&gt;(ROW(PLE.lastrow)-ROW(PLE.firstrow))),0,IF(OFFSET(PLE!$G$14,$M281,BC$13)="",10^12,OFFSET(PLE!$G$14,$M281,BC$13))))</f>
        <v>1000000000000</v>
      </c>
      <c r="BD281" s="182">
        <f ca="1">IF($D281&lt;&gt;"Serviço",0,IF(OR(AND(AUTOEVENTO="Manual",$M281=1),$M281&gt;(ROW(PLE.lastrow)-ROW(PLE.firstrow))),0,IF(OFFSET(PLE!$G$14,$M281,BD$13)="",10^12,OFFSET(PLE!$G$14,$M281,BD$13))))</f>
        <v>1000000000000</v>
      </c>
      <c r="BE281" s="182">
        <f ca="1">IF($D281&lt;&gt;"Serviço",0,IF(OR(AND(AUTOEVENTO="Manual",$M281=1),$M281&gt;(ROW(PLE.lastrow)-ROW(PLE.firstrow))),0,IF(OFFSET(PLE!$G$14,$M281,BE$13)="",10^12,OFFSET(PLE!$G$14,$M281,BE$13))))</f>
        <v>1000000000000</v>
      </c>
      <c r="BF281" s="182">
        <f ca="1">IF($D281&lt;&gt;"Serviço",0,IF(OR(AND(AUTOEVENTO="Manual",$M281=1),$M281&gt;(ROW(PLE.lastrow)-ROW(PLE.firstrow))),0,IF(OFFSET(PLE!$G$14,$M281,BF$13)="",10^12,OFFSET(PLE!$G$14,$M281,BF$13))))</f>
        <v>1000000000000</v>
      </c>
      <c r="BG281" s="182">
        <f ca="1">IF($D281&lt;&gt;"Serviço",0,IF(OR(AND(AUTOEVENTO="Manual",$M281=1),$M281&gt;(ROW(PLE.lastrow)-ROW(PLE.firstrow))),0,IF(OFFSET(PLE!$G$14,$M281,BG$13)="",10^12,OFFSET(PLE!$G$14,$M281,BG$13))))</f>
        <v>1000000000000</v>
      </c>
    </row>
    <row r="282" spans="1:59" ht="12.75" x14ac:dyDescent="0.2">
      <c r="A282" s="7" t="str">
        <f t="shared" ca="1" si="11"/>
        <v>233</v>
      </c>
      <c r="B282" s="7" t="str">
        <f ca="1">OFFSET(ORÇAMENTO!C$15,ROW(B282)-ROW(B$15),0)</f>
        <v>S</v>
      </c>
      <c r="C282" s="7" t="str">
        <f ca="1">OFFSET(ORÇAMENTO!L$15,ROW(C282)-ROW(C$15),0)</f>
        <v/>
      </c>
      <c r="D282" s="118" t="str">
        <f ca="1">OFFSET(ORÇAMENTO!N$15,ROW(D282)-ROW(D$15),0)</f>
        <v>Serviço</v>
      </c>
      <c r="E282" s="119" t="str">
        <f ca="1">OFFSET(ORÇAMENTO!O$15,ROW(E282)-ROW(E$15),0)</f>
        <v>-</v>
      </c>
      <c r="F282" s="172" t="str">
        <f ca="1">OFFSET(ORÇAMENTO!R$15,ROW(F282)-ROW(F$15),0)</f>
        <v>(abra o arquivo 'Referência 03-2024.xlsm)</v>
      </c>
      <c r="G282" s="173" t="str">
        <f ca="1">IF($D282&lt;&gt;"Serviço","",OFFSET(ORÇAMENTO!S$15,ROW(G282)-ROW(G$15),0))</f>
        <v>-</v>
      </c>
      <c r="H282" s="124">
        <f ca="1">IF($D282&lt;&gt;"Serviço",0,IF(ACOMPANHAMENTO="BM",ROUND(OFFSET(ORÇAMENTO!AJ$15,ROW(H282)-ROW(H$15),0),15-13*ORÇAMENTO!$AF$7),SUMPRODUCT(($Q$12:$AA$12&lt;&gt;"")*ROUND($Q282:$AA282,15-13*ORÇAMENTO!$AF$7))))</f>
        <v>0</v>
      </c>
      <c r="I282" s="561"/>
      <c r="K282" s="174"/>
      <c r="L282" s="175" t="s">
        <v>255</v>
      </c>
      <c r="M282" s="176">
        <f ca="1">IF($D282&lt;&gt;"Serviço","",IF(AUTOEVENTO="manual",$A282,IF(ISERROR(MATCH($A282,$A$15:OFFSET($A282,-1,0),0)),MAX($M$15:OFFSET(M282,-1,0))+1,INDEX($M$15:OFFSET(M282,-1,0),MATCH($A282,$A$15:OFFSET($A282,-1,0),0)))))</f>
        <v>14</v>
      </c>
      <c r="N282" s="177" t="str">
        <f ca="1">IF($D282&lt;&gt;"Serviço","",IF(AUTOEVENTO="Manual",IF($A282=0,"&lt;-- defina o número do agrupador",OFFSET(EVENTOS!$D$14,$A282,0)),OFFSET($F$15,$A282,0)))</f>
        <v>SERVIÇOS FINAIS</v>
      </c>
      <c r="O282" s="178"/>
      <c r="Q282" s="178"/>
      <c r="R282" s="179"/>
      <c r="S282" s="179"/>
      <c r="T282" s="179"/>
      <c r="U282" s="179"/>
      <c r="V282" s="179"/>
      <c r="W282" s="179"/>
      <c r="X282" s="179"/>
      <c r="Y282" s="179"/>
      <c r="Z282" s="180"/>
      <c r="AB282" s="544">
        <f ca="1">IF(AND($D282="Serviço",AB$12&lt;&gt;0,$H282&gt;0,OR(AUTOEVENTO&lt;&gt;"manual",$M282&lt;&gt;1)),
IF(Import.TipoArredondamento&lt;&gt;"TransfereGOV",
ROUND(OFFSET($P282,0,AB$13),15-13*ORÇAMENTO!$AF$7)/$H282*OFFSET(ORÇAMENTO!$X$15,ROW(AB282)-ROW(AB$15),0),
ROUND(ROUND(OFFSET($P282,0,AB$13),15-13*ORÇAMENTO!$AF$7)*OFFSET(ORÇAMENTO!$W$15,ROW(AB282)-ROW(AB$15),0),15-13*ORÇAMENTO!$AF$11)),0)</f>
        <v>0</v>
      </c>
      <c r="AC282" s="545">
        <f ca="1">IF(AND($D282="Serviço",AC$12&lt;&gt;0,$H282&gt;0,OR(AUTOEVENTO&lt;&gt;"manual",$M282&lt;&gt;1)),
IF(Import.TipoArredondamento&lt;&gt;"TransfereGOV",
ROUND(OFFSET($P282,0,AC$13),15-13*ORÇAMENTO!$AF$7)/$H282*OFFSET(ORÇAMENTO!$X$15,ROW(AC282)-ROW(AC$15),0),
ROUND(ROUND(OFFSET($P282,0,AC$13),15-13*ORÇAMENTO!$AF$7)*OFFSET(ORÇAMENTO!$W$15,ROW(AC282)-ROW(AC$15),0),15-13*ORÇAMENTO!$AF$11)),0)</f>
        <v>0</v>
      </c>
      <c r="AD282" s="545">
        <f ca="1">IF(AND($D282="Serviço",AD$12&lt;&gt;0,$H282&gt;0,OR(AUTOEVENTO&lt;&gt;"manual",$M282&lt;&gt;1)),
IF(Import.TipoArredondamento&lt;&gt;"TransfereGOV",
ROUND(OFFSET($P282,0,AD$13),15-13*ORÇAMENTO!$AF$7)/$H282*OFFSET(ORÇAMENTO!$X$15,ROW(AD282)-ROW(AD$15),0),
ROUND(ROUND(OFFSET($P282,0,AD$13),15-13*ORÇAMENTO!$AF$7)*OFFSET(ORÇAMENTO!$W$15,ROW(AD282)-ROW(AD$15),0),15-13*ORÇAMENTO!$AF$11)),0)</f>
        <v>0</v>
      </c>
      <c r="AE282" s="545">
        <f ca="1">IF(AND($D282="Serviço",AE$12&lt;&gt;0,$H282&gt;0,OR(AUTOEVENTO&lt;&gt;"manual",$M282&lt;&gt;1)),
IF(Import.TipoArredondamento&lt;&gt;"TransfereGOV",
ROUND(OFFSET($P282,0,AE$13),15-13*ORÇAMENTO!$AF$7)/$H282*OFFSET(ORÇAMENTO!$X$15,ROW(AE282)-ROW(AE$15),0),
ROUND(ROUND(OFFSET($P282,0,AE$13),15-13*ORÇAMENTO!$AF$7)*OFFSET(ORÇAMENTO!$W$15,ROW(AE282)-ROW(AE$15),0),15-13*ORÇAMENTO!$AF$11)),0)</f>
        <v>0</v>
      </c>
      <c r="AF282" s="545">
        <f ca="1">IF(AND($D282="Serviço",AF$12&lt;&gt;0,$H282&gt;0,OR(AUTOEVENTO&lt;&gt;"manual",$M282&lt;&gt;1)),
IF(Import.TipoArredondamento&lt;&gt;"TransfereGOV",
ROUND(OFFSET($P282,0,AF$13),15-13*ORÇAMENTO!$AF$7)/$H282*OFFSET(ORÇAMENTO!$X$15,ROW(AF282)-ROW(AF$15),0),
ROUND(ROUND(OFFSET($P282,0,AF$13),15-13*ORÇAMENTO!$AF$7)*OFFSET(ORÇAMENTO!$W$15,ROW(AF282)-ROW(AF$15),0),15-13*ORÇAMENTO!$AF$11)),0)</f>
        <v>0</v>
      </c>
      <c r="AG282" s="545">
        <f ca="1">IF(AND($D282="Serviço",AG$12&lt;&gt;0,$H282&gt;0,OR(AUTOEVENTO&lt;&gt;"manual",$M282&lt;&gt;1)),
IF(Import.TipoArredondamento&lt;&gt;"TransfereGOV",
ROUND(OFFSET($P282,0,AG$13),15-13*ORÇAMENTO!$AF$7)/$H282*OFFSET(ORÇAMENTO!$X$15,ROW(AG282)-ROW(AG$15),0),
ROUND(ROUND(OFFSET($P282,0,AG$13),15-13*ORÇAMENTO!$AF$7)*OFFSET(ORÇAMENTO!$W$15,ROW(AG282)-ROW(AG$15),0),15-13*ORÇAMENTO!$AF$11)),0)</f>
        <v>0</v>
      </c>
      <c r="AH282" s="545">
        <f ca="1">IF(AND($D282="Serviço",AH$12&lt;&gt;0,$H282&gt;0,OR(AUTOEVENTO&lt;&gt;"manual",$M282&lt;&gt;1)),
IF(Import.TipoArredondamento&lt;&gt;"TransfereGOV",
ROUND(OFFSET($P282,0,AH$13),15-13*ORÇAMENTO!$AF$7)/$H282*OFFSET(ORÇAMENTO!$X$15,ROW(AH282)-ROW(AH$15),0),
ROUND(ROUND(OFFSET($P282,0,AH$13),15-13*ORÇAMENTO!$AF$7)*OFFSET(ORÇAMENTO!$W$15,ROW(AH282)-ROW(AH$15),0),15-13*ORÇAMENTO!$AF$11)),0)</f>
        <v>0</v>
      </c>
      <c r="AI282" s="545">
        <f ca="1">IF(AND($D282="Serviço",AI$12&lt;&gt;0,$H282&gt;0,OR(AUTOEVENTO&lt;&gt;"manual",$M282&lt;&gt;1)),
IF(Import.TipoArredondamento&lt;&gt;"TransfereGOV",
ROUND(OFFSET($P282,0,AI$13),15-13*ORÇAMENTO!$AF$7)/$H282*OFFSET(ORÇAMENTO!$X$15,ROW(AI282)-ROW(AI$15),0),
ROUND(ROUND(OFFSET($P282,0,AI$13),15-13*ORÇAMENTO!$AF$7)*OFFSET(ORÇAMENTO!$W$15,ROW(AI282)-ROW(AI$15),0),15-13*ORÇAMENTO!$AF$11)),0)</f>
        <v>0</v>
      </c>
      <c r="AJ282" s="545">
        <f ca="1">IF(AND($D282="Serviço",AJ$12&lt;&gt;0,$H282&gt;0,OR(AUTOEVENTO&lt;&gt;"manual",$M282&lt;&gt;1)),
IF(Import.TipoArredondamento&lt;&gt;"TransfereGOV",
ROUND(OFFSET($P282,0,AJ$13),15-13*ORÇAMENTO!$AF$7)/$H282*OFFSET(ORÇAMENTO!$X$15,ROW(AJ282)-ROW(AJ$15),0),
ROUND(ROUND(OFFSET($P282,0,AJ$13),15-13*ORÇAMENTO!$AF$7)*OFFSET(ORÇAMENTO!$W$15,ROW(AJ282)-ROW(AJ$15),0),15-13*ORÇAMENTO!$AF$11)),0)</f>
        <v>0</v>
      </c>
      <c r="AK282" s="546">
        <f ca="1">IF(AND($D282="Serviço",AK$12&lt;&gt;0,$H282&gt;0,OR(AUTOEVENTO&lt;&gt;"manual",$M282&lt;&gt;1)),
IF(Import.TipoArredondamento&lt;&gt;"TransfereGOV",
ROUND(OFFSET($P282,0,AK$13),15-13*ORÇAMENTO!$AF$7)/$H282*OFFSET(ORÇAMENTO!$X$15,ROW(AK282)-ROW(AK$15),0),
ROUND(ROUND(OFFSET($P282,0,AK$13),15-13*ORÇAMENTO!$AF$7)*OFFSET(ORÇAMENTO!$W$15,ROW(AK282)-ROW(AK$15),0),15-13*ORÇAMENTO!$AF$11)),0)</f>
        <v>0</v>
      </c>
      <c r="AM282" s="181">
        <f ca="1">IF($D282&lt;&gt;"Serviço",0,IF(AND(AUTOEVENTO="Manual",$M282=1),0,IF(OFFSET(CRONOPLE!$F$14,$M282,AM$13)="",10^12,OFFSET(CRONOPLE!$F$14,$M282,AM$13))))</f>
        <v>1000000000000</v>
      </c>
      <c r="AN282" s="181">
        <f ca="1">IF($D282&lt;&gt;"Serviço",0,IF(AND(AUTOEVENTO="Manual",$M282=1),0,IF(OFFSET(CRONOPLE!$F$14,$M282,AN$13)="",10^12,OFFSET(CRONOPLE!$F$14,$M282,AN$13))))</f>
        <v>1000000000000</v>
      </c>
      <c r="AO282" s="181">
        <f ca="1">IF($D282&lt;&gt;"Serviço",0,IF(AND(AUTOEVENTO="Manual",$M282=1),0,IF(OFFSET(CRONOPLE!$F$14,$M282,AO$13)="",10^12,OFFSET(CRONOPLE!$F$14,$M282,AO$13))))</f>
        <v>1000000000000</v>
      </c>
      <c r="AP282" s="181">
        <f ca="1">IF($D282&lt;&gt;"Serviço",0,IF(AND(AUTOEVENTO="Manual",$M282=1),0,IF(OFFSET(CRONOPLE!$F$14,$M282,AP$13)="",10^12,OFFSET(CRONOPLE!$F$14,$M282,AP$13))))</f>
        <v>1000000000000</v>
      </c>
      <c r="AQ282" s="181">
        <f ca="1">IF($D282&lt;&gt;"Serviço",0,IF(AND(AUTOEVENTO="Manual",$M282=1),0,IF(OFFSET(CRONOPLE!$F$14,$M282,AQ$13)="",10^12,OFFSET(CRONOPLE!$F$14,$M282,AQ$13))))</f>
        <v>1000000000000</v>
      </c>
      <c r="AR282" s="181">
        <f ca="1">IF($D282&lt;&gt;"Serviço",0,IF(AND(AUTOEVENTO="Manual",$M282=1),0,IF(OFFSET(CRONOPLE!$F$14,$M282,AR$13)="",10^12,OFFSET(CRONOPLE!$F$14,$M282,AR$13))))</f>
        <v>1000000000000</v>
      </c>
      <c r="AS282" s="181">
        <f ca="1">IF($D282&lt;&gt;"Serviço",0,IF(AND(AUTOEVENTO="Manual",$M282=1),0,IF(OFFSET(CRONOPLE!$F$14,$M282,AS$13)="",10^12,OFFSET(CRONOPLE!$F$14,$M282,AS$13))))</f>
        <v>1000000000000</v>
      </c>
      <c r="AT282" s="181">
        <f ca="1">IF($D282&lt;&gt;"Serviço",0,IF(AND(AUTOEVENTO="Manual",$M282=1),0,IF(OFFSET(CRONOPLE!$F$14,$M282,AT$13)="",10^12,OFFSET(CRONOPLE!$F$14,$M282,AT$13))))</f>
        <v>1000000000000</v>
      </c>
      <c r="AU282" s="181">
        <f ca="1">IF($D282&lt;&gt;"Serviço",0,IF(AND(AUTOEVENTO="Manual",$M282=1),0,IF(OFFSET(CRONOPLE!$F$14,$M282,AU$13)="",10^12,OFFSET(CRONOPLE!$F$14,$M282,AU$13))))</f>
        <v>1000000000000</v>
      </c>
      <c r="AV282" s="181">
        <f ca="1">IF($D282&lt;&gt;"Serviço",0,IF(AND(AUTOEVENTO="Manual",$M282=1),0,IF(OFFSET(CRONOPLE!$F$14,$M282,AV$13)="",10^12,OFFSET(CRONOPLE!$F$14,$M282,AV$13))))</f>
        <v>1000000000000</v>
      </c>
      <c r="AX282" s="182">
        <f ca="1">IF($D282&lt;&gt;"Serviço",0,IF(OR(AND(AUTOEVENTO="Manual",$M282=1),$M282&gt;(ROW(PLE.lastrow)-ROW(PLE.firstrow))),0,IF(OFFSET(PLE!$G$14,$M282,AX$13)="",10^12,OFFSET(PLE!$G$14,$M282,AX$13))))</f>
        <v>1000000000000</v>
      </c>
      <c r="AY282" s="182">
        <f ca="1">IF($D282&lt;&gt;"Serviço",0,IF(OR(AND(AUTOEVENTO="Manual",$M282=1),$M282&gt;(ROW(PLE.lastrow)-ROW(PLE.firstrow))),0,IF(OFFSET(PLE!$G$14,$M282,AY$13)="",10^12,OFFSET(PLE!$G$14,$M282,AY$13))))</f>
        <v>1000000000000</v>
      </c>
      <c r="AZ282" s="182">
        <f ca="1">IF($D282&lt;&gt;"Serviço",0,IF(OR(AND(AUTOEVENTO="Manual",$M282=1),$M282&gt;(ROW(PLE.lastrow)-ROW(PLE.firstrow))),0,IF(OFFSET(PLE!$G$14,$M282,AZ$13)="",10^12,OFFSET(PLE!$G$14,$M282,AZ$13))))</f>
        <v>1000000000000</v>
      </c>
      <c r="BA282" s="182">
        <f ca="1">IF($D282&lt;&gt;"Serviço",0,IF(OR(AND(AUTOEVENTO="Manual",$M282=1),$M282&gt;(ROW(PLE.lastrow)-ROW(PLE.firstrow))),0,IF(OFFSET(PLE!$G$14,$M282,BA$13)="",10^12,OFFSET(PLE!$G$14,$M282,BA$13))))</f>
        <v>1000000000000</v>
      </c>
      <c r="BB282" s="182">
        <f ca="1">IF($D282&lt;&gt;"Serviço",0,IF(OR(AND(AUTOEVENTO="Manual",$M282=1),$M282&gt;(ROW(PLE.lastrow)-ROW(PLE.firstrow))),0,IF(OFFSET(PLE!$G$14,$M282,BB$13)="",10^12,OFFSET(PLE!$G$14,$M282,BB$13))))</f>
        <v>1000000000000</v>
      </c>
      <c r="BC282" s="182">
        <f ca="1">IF($D282&lt;&gt;"Serviço",0,IF(OR(AND(AUTOEVENTO="Manual",$M282=1),$M282&gt;(ROW(PLE.lastrow)-ROW(PLE.firstrow))),0,IF(OFFSET(PLE!$G$14,$M282,BC$13)="",10^12,OFFSET(PLE!$G$14,$M282,BC$13))))</f>
        <v>1000000000000</v>
      </c>
      <c r="BD282" s="182">
        <f ca="1">IF($D282&lt;&gt;"Serviço",0,IF(OR(AND(AUTOEVENTO="Manual",$M282=1),$M282&gt;(ROW(PLE.lastrow)-ROW(PLE.firstrow))),0,IF(OFFSET(PLE!$G$14,$M282,BD$13)="",10^12,OFFSET(PLE!$G$14,$M282,BD$13))))</f>
        <v>1000000000000</v>
      </c>
      <c r="BE282" s="182">
        <f ca="1">IF($D282&lt;&gt;"Serviço",0,IF(OR(AND(AUTOEVENTO="Manual",$M282=1),$M282&gt;(ROW(PLE.lastrow)-ROW(PLE.firstrow))),0,IF(OFFSET(PLE!$G$14,$M282,BE$13)="",10^12,OFFSET(PLE!$G$14,$M282,BE$13))))</f>
        <v>1000000000000</v>
      </c>
      <c r="BF282" s="182">
        <f ca="1">IF($D282&lt;&gt;"Serviço",0,IF(OR(AND(AUTOEVENTO="Manual",$M282=1),$M282&gt;(ROW(PLE.lastrow)-ROW(PLE.firstrow))),0,IF(OFFSET(PLE!$G$14,$M282,BF$13)="",10^12,OFFSET(PLE!$G$14,$M282,BF$13))))</f>
        <v>1000000000000</v>
      </c>
      <c r="BG282" s="182">
        <f ca="1">IF($D282&lt;&gt;"Serviço",0,IF(OR(AND(AUTOEVENTO="Manual",$M282=1),$M282&gt;(ROW(PLE.lastrow)-ROW(PLE.firstrow))),0,IF(OFFSET(PLE!$G$14,$M282,BG$13)="",10^12,OFFSET(PLE!$G$14,$M282,BG$13))))</f>
        <v>1000000000000</v>
      </c>
    </row>
    <row r="283" spans="1:59" ht="12.75" x14ac:dyDescent="0.2">
      <c r="A283" s="7" t="str">
        <f t="shared" ca="1" si="11"/>
        <v>233</v>
      </c>
      <c r="B283" s="7" t="str">
        <f ca="1">OFFSET(ORÇAMENTO!C$15,ROW(B283)-ROW(B$15),0)</f>
        <v>S</v>
      </c>
      <c r="C283" s="7" t="str">
        <f ca="1">OFFSET(ORÇAMENTO!L$15,ROW(C283)-ROW(C$15),0)</f>
        <v/>
      </c>
      <c r="D283" s="118" t="str">
        <f ca="1">OFFSET(ORÇAMENTO!N$15,ROW(D283)-ROW(D$15),0)</f>
        <v>Serviço</v>
      </c>
      <c r="E283" s="119" t="str">
        <f ca="1">OFFSET(ORÇAMENTO!O$15,ROW(E283)-ROW(E$15),0)</f>
        <v>-</v>
      </c>
      <c r="F283" s="172" t="str">
        <f ca="1">OFFSET(ORÇAMENTO!R$15,ROW(F283)-ROW(F$15),0)</f>
        <v>(abra o arquivo 'Referência 03-2024.xlsm)</v>
      </c>
      <c r="G283" s="173" t="str">
        <f ca="1">IF($D283&lt;&gt;"Serviço","",OFFSET(ORÇAMENTO!S$15,ROW(G283)-ROW(G$15),0))</f>
        <v>-</v>
      </c>
      <c r="H283" s="124">
        <f ca="1">IF($D283&lt;&gt;"Serviço",0,IF(ACOMPANHAMENTO="BM",ROUND(OFFSET(ORÇAMENTO!AJ$15,ROW(H283)-ROW(H$15),0),15-13*ORÇAMENTO!$AF$7),SUMPRODUCT(($Q$12:$AA$12&lt;&gt;"")*ROUND($Q283:$AA283,15-13*ORÇAMENTO!$AF$7))))</f>
        <v>0</v>
      </c>
      <c r="I283" s="561"/>
      <c r="K283" s="174"/>
      <c r="L283" s="175" t="s">
        <v>255</v>
      </c>
      <c r="M283" s="176">
        <f ca="1">IF($D283&lt;&gt;"Serviço","",IF(AUTOEVENTO="manual",$A283,IF(ISERROR(MATCH($A283,$A$15:OFFSET($A283,-1,0),0)),MAX($M$15:OFFSET(M283,-1,0))+1,INDEX($M$15:OFFSET(M283,-1,0),MATCH($A283,$A$15:OFFSET($A283,-1,0),0)))))</f>
        <v>14</v>
      </c>
      <c r="N283" s="177" t="str">
        <f ca="1">IF($D283&lt;&gt;"Serviço","",IF(AUTOEVENTO="Manual",IF($A283=0,"&lt;-- defina o número do agrupador",OFFSET(EVENTOS!$D$14,$A283,0)),OFFSET($F$15,$A283,0)))</f>
        <v>SERVIÇOS FINAIS</v>
      </c>
      <c r="O283" s="178"/>
      <c r="Q283" s="178"/>
      <c r="R283" s="179"/>
      <c r="S283" s="179"/>
      <c r="T283" s="179"/>
      <c r="U283" s="179"/>
      <c r="V283" s="179"/>
      <c r="W283" s="179"/>
      <c r="X283" s="179"/>
      <c r="Y283" s="179"/>
      <c r="Z283" s="180"/>
      <c r="AB283" s="544">
        <f ca="1">IF(AND($D283="Serviço",AB$12&lt;&gt;0,$H283&gt;0,OR(AUTOEVENTO&lt;&gt;"manual",$M283&lt;&gt;1)),
IF(Import.TipoArredondamento&lt;&gt;"TransfereGOV",
ROUND(OFFSET($P283,0,AB$13),15-13*ORÇAMENTO!$AF$7)/$H283*OFFSET(ORÇAMENTO!$X$15,ROW(AB283)-ROW(AB$15),0),
ROUND(ROUND(OFFSET($P283,0,AB$13),15-13*ORÇAMENTO!$AF$7)*OFFSET(ORÇAMENTO!$W$15,ROW(AB283)-ROW(AB$15),0),15-13*ORÇAMENTO!$AF$11)),0)</f>
        <v>0</v>
      </c>
      <c r="AC283" s="545">
        <f ca="1">IF(AND($D283="Serviço",AC$12&lt;&gt;0,$H283&gt;0,OR(AUTOEVENTO&lt;&gt;"manual",$M283&lt;&gt;1)),
IF(Import.TipoArredondamento&lt;&gt;"TransfereGOV",
ROUND(OFFSET($P283,0,AC$13),15-13*ORÇAMENTO!$AF$7)/$H283*OFFSET(ORÇAMENTO!$X$15,ROW(AC283)-ROW(AC$15),0),
ROUND(ROUND(OFFSET($P283,0,AC$13),15-13*ORÇAMENTO!$AF$7)*OFFSET(ORÇAMENTO!$W$15,ROW(AC283)-ROW(AC$15),0),15-13*ORÇAMENTO!$AF$11)),0)</f>
        <v>0</v>
      </c>
      <c r="AD283" s="545">
        <f ca="1">IF(AND($D283="Serviço",AD$12&lt;&gt;0,$H283&gt;0,OR(AUTOEVENTO&lt;&gt;"manual",$M283&lt;&gt;1)),
IF(Import.TipoArredondamento&lt;&gt;"TransfereGOV",
ROUND(OFFSET($P283,0,AD$13),15-13*ORÇAMENTO!$AF$7)/$H283*OFFSET(ORÇAMENTO!$X$15,ROW(AD283)-ROW(AD$15),0),
ROUND(ROUND(OFFSET($P283,0,AD$13),15-13*ORÇAMENTO!$AF$7)*OFFSET(ORÇAMENTO!$W$15,ROW(AD283)-ROW(AD$15),0),15-13*ORÇAMENTO!$AF$11)),0)</f>
        <v>0</v>
      </c>
      <c r="AE283" s="545">
        <f ca="1">IF(AND($D283="Serviço",AE$12&lt;&gt;0,$H283&gt;0,OR(AUTOEVENTO&lt;&gt;"manual",$M283&lt;&gt;1)),
IF(Import.TipoArredondamento&lt;&gt;"TransfereGOV",
ROUND(OFFSET($P283,0,AE$13),15-13*ORÇAMENTO!$AF$7)/$H283*OFFSET(ORÇAMENTO!$X$15,ROW(AE283)-ROW(AE$15),0),
ROUND(ROUND(OFFSET($P283,0,AE$13),15-13*ORÇAMENTO!$AF$7)*OFFSET(ORÇAMENTO!$W$15,ROW(AE283)-ROW(AE$15),0),15-13*ORÇAMENTO!$AF$11)),0)</f>
        <v>0</v>
      </c>
      <c r="AF283" s="545">
        <f ca="1">IF(AND($D283="Serviço",AF$12&lt;&gt;0,$H283&gt;0,OR(AUTOEVENTO&lt;&gt;"manual",$M283&lt;&gt;1)),
IF(Import.TipoArredondamento&lt;&gt;"TransfereGOV",
ROUND(OFFSET($P283,0,AF$13),15-13*ORÇAMENTO!$AF$7)/$H283*OFFSET(ORÇAMENTO!$X$15,ROW(AF283)-ROW(AF$15),0),
ROUND(ROUND(OFFSET($P283,0,AF$13),15-13*ORÇAMENTO!$AF$7)*OFFSET(ORÇAMENTO!$W$15,ROW(AF283)-ROW(AF$15),0),15-13*ORÇAMENTO!$AF$11)),0)</f>
        <v>0</v>
      </c>
      <c r="AG283" s="545">
        <f ca="1">IF(AND($D283="Serviço",AG$12&lt;&gt;0,$H283&gt;0,OR(AUTOEVENTO&lt;&gt;"manual",$M283&lt;&gt;1)),
IF(Import.TipoArredondamento&lt;&gt;"TransfereGOV",
ROUND(OFFSET($P283,0,AG$13),15-13*ORÇAMENTO!$AF$7)/$H283*OFFSET(ORÇAMENTO!$X$15,ROW(AG283)-ROW(AG$15),0),
ROUND(ROUND(OFFSET($P283,0,AG$13),15-13*ORÇAMENTO!$AF$7)*OFFSET(ORÇAMENTO!$W$15,ROW(AG283)-ROW(AG$15),0),15-13*ORÇAMENTO!$AF$11)),0)</f>
        <v>0</v>
      </c>
      <c r="AH283" s="545">
        <f ca="1">IF(AND($D283="Serviço",AH$12&lt;&gt;0,$H283&gt;0,OR(AUTOEVENTO&lt;&gt;"manual",$M283&lt;&gt;1)),
IF(Import.TipoArredondamento&lt;&gt;"TransfereGOV",
ROUND(OFFSET($P283,0,AH$13),15-13*ORÇAMENTO!$AF$7)/$H283*OFFSET(ORÇAMENTO!$X$15,ROW(AH283)-ROW(AH$15),0),
ROUND(ROUND(OFFSET($P283,0,AH$13),15-13*ORÇAMENTO!$AF$7)*OFFSET(ORÇAMENTO!$W$15,ROW(AH283)-ROW(AH$15),0),15-13*ORÇAMENTO!$AF$11)),0)</f>
        <v>0</v>
      </c>
      <c r="AI283" s="545">
        <f ca="1">IF(AND($D283="Serviço",AI$12&lt;&gt;0,$H283&gt;0,OR(AUTOEVENTO&lt;&gt;"manual",$M283&lt;&gt;1)),
IF(Import.TipoArredondamento&lt;&gt;"TransfereGOV",
ROUND(OFFSET($P283,0,AI$13),15-13*ORÇAMENTO!$AF$7)/$H283*OFFSET(ORÇAMENTO!$X$15,ROW(AI283)-ROW(AI$15),0),
ROUND(ROUND(OFFSET($P283,0,AI$13),15-13*ORÇAMENTO!$AF$7)*OFFSET(ORÇAMENTO!$W$15,ROW(AI283)-ROW(AI$15),0),15-13*ORÇAMENTO!$AF$11)),0)</f>
        <v>0</v>
      </c>
      <c r="AJ283" s="545">
        <f ca="1">IF(AND($D283="Serviço",AJ$12&lt;&gt;0,$H283&gt;0,OR(AUTOEVENTO&lt;&gt;"manual",$M283&lt;&gt;1)),
IF(Import.TipoArredondamento&lt;&gt;"TransfereGOV",
ROUND(OFFSET($P283,0,AJ$13),15-13*ORÇAMENTO!$AF$7)/$H283*OFFSET(ORÇAMENTO!$X$15,ROW(AJ283)-ROW(AJ$15),0),
ROUND(ROUND(OFFSET($P283,0,AJ$13),15-13*ORÇAMENTO!$AF$7)*OFFSET(ORÇAMENTO!$W$15,ROW(AJ283)-ROW(AJ$15),0),15-13*ORÇAMENTO!$AF$11)),0)</f>
        <v>0</v>
      </c>
      <c r="AK283" s="546">
        <f ca="1">IF(AND($D283="Serviço",AK$12&lt;&gt;0,$H283&gt;0,OR(AUTOEVENTO&lt;&gt;"manual",$M283&lt;&gt;1)),
IF(Import.TipoArredondamento&lt;&gt;"TransfereGOV",
ROUND(OFFSET($P283,0,AK$13),15-13*ORÇAMENTO!$AF$7)/$H283*OFFSET(ORÇAMENTO!$X$15,ROW(AK283)-ROW(AK$15),0),
ROUND(ROUND(OFFSET($P283,0,AK$13),15-13*ORÇAMENTO!$AF$7)*OFFSET(ORÇAMENTO!$W$15,ROW(AK283)-ROW(AK$15),0),15-13*ORÇAMENTO!$AF$11)),0)</f>
        <v>0</v>
      </c>
      <c r="AM283" s="181">
        <f ca="1">IF($D283&lt;&gt;"Serviço",0,IF(AND(AUTOEVENTO="Manual",$M283=1),0,IF(OFFSET(CRONOPLE!$F$14,$M283,AM$13)="",10^12,OFFSET(CRONOPLE!$F$14,$M283,AM$13))))</f>
        <v>1000000000000</v>
      </c>
      <c r="AN283" s="181">
        <f ca="1">IF($D283&lt;&gt;"Serviço",0,IF(AND(AUTOEVENTO="Manual",$M283=1),0,IF(OFFSET(CRONOPLE!$F$14,$M283,AN$13)="",10^12,OFFSET(CRONOPLE!$F$14,$M283,AN$13))))</f>
        <v>1000000000000</v>
      </c>
      <c r="AO283" s="181">
        <f ca="1">IF($D283&lt;&gt;"Serviço",0,IF(AND(AUTOEVENTO="Manual",$M283=1),0,IF(OFFSET(CRONOPLE!$F$14,$M283,AO$13)="",10^12,OFFSET(CRONOPLE!$F$14,$M283,AO$13))))</f>
        <v>1000000000000</v>
      </c>
      <c r="AP283" s="181">
        <f ca="1">IF($D283&lt;&gt;"Serviço",0,IF(AND(AUTOEVENTO="Manual",$M283=1),0,IF(OFFSET(CRONOPLE!$F$14,$M283,AP$13)="",10^12,OFFSET(CRONOPLE!$F$14,$M283,AP$13))))</f>
        <v>1000000000000</v>
      </c>
      <c r="AQ283" s="181">
        <f ca="1">IF($D283&lt;&gt;"Serviço",0,IF(AND(AUTOEVENTO="Manual",$M283=1),0,IF(OFFSET(CRONOPLE!$F$14,$M283,AQ$13)="",10^12,OFFSET(CRONOPLE!$F$14,$M283,AQ$13))))</f>
        <v>1000000000000</v>
      </c>
      <c r="AR283" s="181">
        <f ca="1">IF($D283&lt;&gt;"Serviço",0,IF(AND(AUTOEVENTO="Manual",$M283=1),0,IF(OFFSET(CRONOPLE!$F$14,$M283,AR$13)="",10^12,OFFSET(CRONOPLE!$F$14,$M283,AR$13))))</f>
        <v>1000000000000</v>
      </c>
      <c r="AS283" s="181">
        <f ca="1">IF($D283&lt;&gt;"Serviço",0,IF(AND(AUTOEVENTO="Manual",$M283=1),0,IF(OFFSET(CRONOPLE!$F$14,$M283,AS$13)="",10^12,OFFSET(CRONOPLE!$F$14,$M283,AS$13))))</f>
        <v>1000000000000</v>
      </c>
      <c r="AT283" s="181">
        <f ca="1">IF($D283&lt;&gt;"Serviço",0,IF(AND(AUTOEVENTO="Manual",$M283=1),0,IF(OFFSET(CRONOPLE!$F$14,$M283,AT$13)="",10^12,OFFSET(CRONOPLE!$F$14,$M283,AT$13))))</f>
        <v>1000000000000</v>
      </c>
      <c r="AU283" s="181">
        <f ca="1">IF($D283&lt;&gt;"Serviço",0,IF(AND(AUTOEVENTO="Manual",$M283=1),0,IF(OFFSET(CRONOPLE!$F$14,$M283,AU$13)="",10^12,OFFSET(CRONOPLE!$F$14,$M283,AU$13))))</f>
        <v>1000000000000</v>
      </c>
      <c r="AV283" s="181">
        <f ca="1">IF($D283&lt;&gt;"Serviço",0,IF(AND(AUTOEVENTO="Manual",$M283=1),0,IF(OFFSET(CRONOPLE!$F$14,$M283,AV$13)="",10^12,OFFSET(CRONOPLE!$F$14,$M283,AV$13))))</f>
        <v>1000000000000</v>
      </c>
      <c r="AX283" s="182">
        <f ca="1">IF($D283&lt;&gt;"Serviço",0,IF(OR(AND(AUTOEVENTO="Manual",$M283=1),$M283&gt;(ROW(PLE.lastrow)-ROW(PLE.firstrow))),0,IF(OFFSET(PLE!$G$14,$M283,AX$13)="",10^12,OFFSET(PLE!$G$14,$M283,AX$13))))</f>
        <v>1000000000000</v>
      </c>
      <c r="AY283" s="182">
        <f ca="1">IF($D283&lt;&gt;"Serviço",0,IF(OR(AND(AUTOEVENTO="Manual",$M283=1),$M283&gt;(ROW(PLE.lastrow)-ROW(PLE.firstrow))),0,IF(OFFSET(PLE!$G$14,$M283,AY$13)="",10^12,OFFSET(PLE!$G$14,$M283,AY$13))))</f>
        <v>1000000000000</v>
      </c>
      <c r="AZ283" s="182">
        <f ca="1">IF($D283&lt;&gt;"Serviço",0,IF(OR(AND(AUTOEVENTO="Manual",$M283=1),$M283&gt;(ROW(PLE.lastrow)-ROW(PLE.firstrow))),0,IF(OFFSET(PLE!$G$14,$M283,AZ$13)="",10^12,OFFSET(PLE!$G$14,$M283,AZ$13))))</f>
        <v>1000000000000</v>
      </c>
      <c r="BA283" s="182">
        <f ca="1">IF($D283&lt;&gt;"Serviço",0,IF(OR(AND(AUTOEVENTO="Manual",$M283=1),$M283&gt;(ROW(PLE.lastrow)-ROW(PLE.firstrow))),0,IF(OFFSET(PLE!$G$14,$M283,BA$13)="",10^12,OFFSET(PLE!$G$14,$M283,BA$13))))</f>
        <v>1000000000000</v>
      </c>
      <c r="BB283" s="182">
        <f ca="1">IF($D283&lt;&gt;"Serviço",0,IF(OR(AND(AUTOEVENTO="Manual",$M283=1),$M283&gt;(ROW(PLE.lastrow)-ROW(PLE.firstrow))),0,IF(OFFSET(PLE!$G$14,$M283,BB$13)="",10^12,OFFSET(PLE!$G$14,$M283,BB$13))))</f>
        <v>1000000000000</v>
      </c>
      <c r="BC283" s="182">
        <f ca="1">IF($D283&lt;&gt;"Serviço",0,IF(OR(AND(AUTOEVENTO="Manual",$M283=1),$M283&gt;(ROW(PLE.lastrow)-ROW(PLE.firstrow))),0,IF(OFFSET(PLE!$G$14,$M283,BC$13)="",10^12,OFFSET(PLE!$G$14,$M283,BC$13))))</f>
        <v>1000000000000</v>
      </c>
      <c r="BD283" s="182">
        <f ca="1">IF($D283&lt;&gt;"Serviço",0,IF(OR(AND(AUTOEVENTO="Manual",$M283=1),$M283&gt;(ROW(PLE.lastrow)-ROW(PLE.firstrow))),0,IF(OFFSET(PLE!$G$14,$M283,BD$13)="",10^12,OFFSET(PLE!$G$14,$M283,BD$13))))</f>
        <v>1000000000000</v>
      </c>
      <c r="BE283" s="182">
        <f ca="1">IF($D283&lt;&gt;"Serviço",0,IF(OR(AND(AUTOEVENTO="Manual",$M283=1),$M283&gt;(ROW(PLE.lastrow)-ROW(PLE.firstrow))),0,IF(OFFSET(PLE!$G$14,$M283,BE$13)="",10^12,OFFSET(PLE!$G$14,$M283,BE$13))))</f>
        <v>1000000000000</v>
      </c>
      <c r="BF283" s="182">
        <f ca="1">IF($D283&lt;&gt;"Serviço",0,IF(OR(AND(AUTOEVENTO="Manual",$M283=1),$M283&gt;(ROW(PLE.lastrow)-ROW(PLE.firstrow))),0,IF(OFFSET(PLE!$G$14,$M283,BF$13)="",10^12,OFFSET(PLE!$G$14,$M283,BF$13))))</f>
        <v>1000000000000</v>
      </c>
      <c r="BG283" s="182">
        <f ca="1">IF($D283&lt;&gt;"Serviço",0,IF(OR(AND(AUTOEVENTO="Manual",$M283=1),$M283&gt;(ROW(PLE.lastrow)-ROW(PLE.firstrow))),0,IF(OFFSET(PLE!$G$14,$M283,BG$13)="",10^12,OFFSET(PLE!$G$14,$M283,BG$13))))</f>
        <v>1000000000000</v>
      </c>
    </row>
    <row r="284" spans="1:59" ht="12.75" x14ac:dyDescent="0.2">
      <c r="A284" s="7" t="str">
        <f t="shared" ca="1" si="11"/>
        <v>233</v>
      </c>
      <c r="B284" s="7" t="str">
        <f ca="1">OFFSET(ORÇAMENTO!C$15,ROW(B284)-ROW(B$15),0)</f>
        <v>S</v>
      </c>
      <c r="C284" s="7" t="str">
        <f ca="1">OFFSET(ORÇAMENTO!L$15,ROW(C284)-ROW(C$15),0)</f>
        <v/>
      </c>
      <c r="D284" s="118" t="str">
        <f ca="1">OFFSET(ORÇAMENTO!N$15,ROW(D284)-ROW(D$15),0)</f>
        <v>Serviço</v>
      </c>
      <c r="E284" s="119" t="str">
        <f ca="1">OFFSET(ORÇAMENTO!O$15,ROW(E284)-ROW(E$15),0)</f>
        <v>-</v>
      </c>
      <c r="F284" s="172" t="str">
        <f ca="1">OFFSET(ORÇAMENTO!R$15,ROW(F284)-ROW(F$15),0)</f>
        <v>(abra o arquivo 'Referência 03-2024.xlsm)</v>
      </c>
      <c r="G284" s="173" t="str">
        <f ca="1">IF($D284&lt;&gt;"Serviço","",OFFSET(ORÇAMENTO!S$15,ROW(G284)-ROW(G$15),0))</f>
        <v>-</v>
      </c>
      <c r="H284" s="124">
        <f ca="1">IF($D284&lt;&gt;"Serviço",0,IF(ACOMPANHAMENTO="BM",ROUND(OFFSET(ORÇAMENTO!AJ$15,ROW(H284)-ROW(H$15),0),15-13*ORÇAMENTO!$AF$7),SUMPRODUCT(($Q$12:$AA$12&lt;&gt;"")*ROUND($Q284:$AA284,15-13*ORÇAMENTO!$AF$7))))</f>
        <v>0</v>
      </c>
      <c r="I284" s="561"/>
      <c r="K284" s="174"/>
      <c r="L284" s="175" t="s">
        <v>255</v>
      </c>
      <c r="M284" s="176">
        <f ca="1">IF($D284&lt;&gt;"Serviço","",IF(AUTOEVENTO="manual",$A284,IF(ISERROR(MATCH($A284,$A$15:OFFSET($A284,-1,0),0)),MAX($M$15:OFFSET(M284,-1,0))+1,INDEX($M$15:OFFSET(M284,-1,0),MATCH($A284,$A$15:OFFSET($A284,-1,0),0)))))</f>
        <v>14</v>
      </c>
      <c r="N284" s="177" t="str">
        <f ca="1">IF($D284&lt;&gt;"Serviço","",IF(AUTOEVENTO="Manual",IF($A284=0,"&lt;-- defina o número do agrupador",OFFSET(EVENTOS!$D$14,$A284,0)),OFFSET($F$15,$A284,0)))</f>
        <v>SERVIÇOS FINAIS</v>
      </c>
      <c r="O284" s="178"/>
      <c r="Q284" s="178"/>
      <c r="R284" s="179"/>
      <c r="S284" s="179"/>
      <c r="T284" s="179"/>
      <c r="U284" s="179"/>
      <c r="V284" s="179"/>
      <c r="W284" s="179"/>
      <c r="X284" s="179"/>
      <c r="Y284" s="179"/>
      <c r="Z284" s="180"/>
      <c r="AB284" s="544">
        <f ca="1">IF(AND($D284="Serviço",AB$12&lt;&gt;0,$H284&gt;0,OR(AUTOEVENTO&lt;&gt;"manual",$M284&lt;&gt;1)),
IF(Import.TipoArredondamento&lt;&gt;"TransfereGOV",
ROUND(OFFSET($P284,0,AB$13),15-13*ORÇAMENTO!$AF$7)/$H284*OFFSET(ORÇAMENTO!$X$15,ROW(AB284)-ROW(AB$15),0),
ROUND(ROUND(OFFSET($P284,0,AB$13),15-13*ORÇAMENTO!$AF$7)*OFFSET(ORÇAMENTO!$W$15,ROW(AB284)-ROW(AB$15),0),15-13*ORÇAMENTO!$AF$11)),0)</f>
        <v>0</v>
      </c>
      <c r="AC284" s="545">
        <f ca="1">IF(AND($D284="Serviço",AC$12&lt;&gt;0,$H284&gt;0,OR(AUTOEVENTO&lt;&gt;"manual",$M284&lt;&gt;1)),
IF(Import.TipoArredondamento&lt;&gt;"TransfereGOV",
ROUND(OFFSET($P284,0,AC$13),15-13*ORÇAMENTO!$AF$7)/$H284*OFFSET(ORÇAMENTO!$X$15,ROW(AC284)-ROW(AC$15),0),
ROUND(ROUND(OFFSET($P284,0,AC$13),15-13*ORÇAMENTO!$AF$7)*OFFSET(ORÇAMENTO!$W$15,ROW(AC284)-ROW(AC$15),0),15-13*ORÇAMENTO!$AF$11)),0)</f>
        <v>0</v>
      </c>
      <c r="AD284" s="545">
        <f ca="1">IF(AND($D284="Serviço",AD$12&lt;&gt;0,$H284&gt;0,OR(AUTOEVENTO&lt;&gt;"manual",$M284&lt;&gt;1)),
IF(Import.TipoArredondamento&lt;&gt;"TransfereGOV",
ROUND(OFFSET($P284,0,AD$13),15-13*ORÇAMENTO!$AF$7)/$H284*OFFSET(ORÇAMENTO!$X$15,ROW(AD284)-ROW(AD$15),0),
ROUND(ROUND(OFFSET($P284,0,AD$13),15-13*ORÇAMENTO!$AF$7)*OFFSET(ORÇAMENTO!$W$15,ROW(AD284)-ROW(AD$15),0),15-13*ORÇAMENTO!$AF$11)),0)</f>
        <v>0</v>
      </c>
      <c r="AE284" s="545">
        <f ca="1">IF(AND($D284="Serviço",AE$12&lt;&gt;0,$H284&gt;0,OR(AUTOEVENTO&lt;&gt;"manual",$M284&lt;&gt;1)),
IF(Import.TipoArredondamento&lt;&gt;"TransfereGOV",
ROUND(OFFSET($P284,0,AE$13),15-13*ORÇAMENTO!$AF$7)/$H284*OFFSET(ORÇAMENTO!$X$15,ROW(AE284)-ROW(AE$15),0),
ROUND(ROUND(OFFSET($P284,0,AE$13),15-13*ORÇAMENTO!$AF$7)*OFFSET(ORÇAMENTO!$W$15,ROW(AE284)-ROW(AE$15),0),15-13*ORÇAMENTO!$AF$11)),0)</f>
        <v>0</v>
      </c>
      <c r="AF284" s="545">
        <f ca="1">IF(AND($D284="Serviço",AF$12&lt;&gt;0,$H284&gt;0,OR(AUTOEVENTO&lt;&gt;"manual",$M284&lt;&gt;1)),
IF(Import.TipoArredondamento&lt;&gt;"TransfereGOV",
ROUND(OFFSET($P284,0,AF$13),15-13*ORÇAMENTO!$AF$7)/$H284*OFFSET(ORÇAMENTO!$X$15,ROW(AF284)-ROW(AF$15),0),
ROUND(ROUND(OFFSET($P284,0,AF$13),15-13*ORÇAMENTO!$AF$7)*OFFSET(ORÇAMENTO!$W$15,ROW(AF284)-ROW(AF$15),0),15-13*ORÇAMENTO!$AF$11)),0)</f>
        <v>0</v>
      </c>
      <c r="AG284" s="545">
        <f ca="1">IF(AND($D284="Serviço",AG$12&lt;&gt;0,$H284&gt;0,OR(AUTOEVENTO&lt;&gt;"manual",$M284&lt;&gt;1)),
IF(Import.TipoArredondamento&lt;&gt;"TransfereGOV",
ROUND(OFFSET($P284,0,AG$13),15-13*ORÇAMENTO!$AF$7)/$H284*OFFSET(ORÇAMENTO!$X$15,ROW(AG284)-ROW(AG$15),0),
ROUND(ROUND(OFFSET($P284,0,AG$13),15-13*ORÇAMENTO!$AF$7)*OFFSET(ORÇAMENTO!$W$15,ROW(AG284)-ROW(AG$15),0),15-13*ORÇAMENTO!$AF$11)),0)</f>
        <v>0</v>
      </c>
      <c r="AH284" s="545">
        <f ca="1">IF(AND($D284="Serviço",AH$12&lt;&gt;0,$H284&gt;0,OR(AUTOEVENTO&lt;&gt;"manual",$M284&lt;&gt;1)),
IF(Import.TipoArredondamento&lt;&gt;"TransfereGOV",
ROUND(OFFSET($P284,0,AH$13),15-13*ORÇAMENTO!$AF$7)/$H284*OFFSET(ORÇAMENTO!$X$15,ROW(AH284)-ROW(AH$15),0),
ROUND(ROUND(OFFSET($P284,0,AH$13),15-13*ORÇAMENTO!$AF$7)*OFFSET(ORÇAMENTO!$W$15,ROW(AH284)-ROW(AH$15),0),15-13*ORÇAMENTO!$AF$11)),0)</f>
        <v>0</v>
      </c>
      <c r="AI284" s="545">
        <f ca="1">IF(AND($D284="Serviço",AI$12&lt;&gt;0,$H284&gt;0,OR(AUTOEVENTO&lt;&gt;"manual",$M284&lt;&gt;1)),
IF(Import.TipoArredondamento&lt;&gt;"TransfereGOV",
ROUND(OFFSET($P284,0,AI$13),15-13*ORÇAMENTO!$AF$7)/$H284*OFFSET(ORÇAMENTO!$X$15,ROW(AI284)-ROW(AI$15),0),
ROUND(ROUND(OFFSET($P284,0,AI$13),15-13*ORÇAMENTO!$AF$7)*OFFSET(ORÇAMENTO!$W$15,ROW(AI284)-ROW(AI$15),0),15-13*ORÇAMENTO!$AF$11)),0)</f>
        <v>0</v>
      </c>
      <c r="AJ284" s="545">
        <f ca="1">IF(AND($D284="Serviço",AJ$12&lt;&gt;0,$H284&gt;0,OR(AUTOEVENTO&lt;&gt;"manual",$M284&lt;&gt;1)),
IF(Import.TipoArredondamento&lt;&gt;"TransfereGOV",
ROUND(OFFSET($P284,0,AJ$13),15-13*ORÇAMENTO!$AF$7)/$H284*OFFSET(ORÇAMENTO!$X$15,ROW(AJ284)-ROW(AJ$15),0),
ROUND(ROUND(OFFSET($P284,0,AJ$13),15-13*ORÇAMENTO!$AF$7)*OFFSET(ORÇAMENTO!$W$15,ROW(AJ284)-ROW(AJ$15),0),15-13*ORÇAMENTO!$AF$11)),0)</f>
        <v>0</v>
      </c>
      <c r="AK284" s="546">
        <f ca="1">IF(AND($D284="Serviço",AK$12&lt;&gt;0,$H284&gt;0,OR(AUTOEVENTO&lt;&gt;"manual",$M284&lt;&gt;1)),
IF(Import.TipoArredondamento&lt;&gt;"TransfereGOV",
ROUND(OFFSET($P284,0,AK$13),15-13*ORÇAMENTO!$AF$7)/$H284*OFFSET(ORÇAMENTO!$X$15,ROW(AK284)-ROW(AK$15),0),
ROUND(ROUND(OFFSET($P284,0,AK$13),15-13*ORÇAMENTO!$AF$7)*OFFSET(ORÇAMENTO!$W$15,ROW(AK284)-ROW(AK$15),0),15-13*ORÇAMENTO!$AF$11)),0)</f>
        <v>0</v>
      </c>
      <c r="AM284" s="181">
        <f ca="1">IF($D284&lt;&gt;"Serviço",0,IF(AND(AUTOEVENTO="Manual",$M284=1),0,IF(OFFSET(CRONOPLE!$F$14,$M284,AM$13)="",10^12,OFFSET(CRONOPLE!$F$14,$M284,AM$13))))</f>
        <v>1000000000000</v>
      </c>
      <c r="AN284" s="181">
        <f ca="1">IF($D284&lt;&gt;"Serviço",0,IF(AND(AUTOEVENTO="Manual",$M284=1),0,IF(OFFSET(CRONOPLE!$F$14,$M284,AN$13)="",10^12,OFFSET(CRONOPLE!$F$14,$M284,AN$13))))</f>
        <v>1000000000000</v>
      </c>
      <c r="AO284" s="181">
        <f ca="1">IF($D284&lt;&gt;"Serviço",0,IF(AND(AUTOEVENTO="Manual",$M284=1),0,IF(OFFSET(CRONOPLE!$F$14,$M284,AO$13)="",10^12,OFFSET(CRONOPLE!$F$14,$M284,AO$13))))</f>
        <v>1000000000000</v>
      </c>
      <c r="AP284" s="181">
        <f ca="1">IF($D284&lt;&gt;"Serviço",0,IF(AND(AUTOEVENTO="Manual",$M284=1),0,IF(OFFSET(CRONOPLE!$F$14,$M284,AP$13)="",10^12,OFFSET(CRONOPLE!$F$14,$M284,AP$13))))</f>
        <v>1000000000000</v>
      </c>
      <c r="AQ284" s="181">
        <f ca="1">IF($D284&lt;&gt;"Serviço",0,IF(AND(AUTOEVENTO="Manual",$M284=1),0,IF(OFFSET(CRONOPLE!$F$14,$M284,AQ$13)="",10^12,OFFSET(CRONOPLE!$F$14,$M284,AQ$13))))</f>
        <v>1000000000000</v>
      </c>
      <c r="AR284" s="181">
        <f ca="1">IF($D284&lt;&gt;"Serviço",0,IF(AND(AUTOEVENTO="Manual",$M284=1),0,IF(OFFSET(CRONOPLE!$F$14,$M284,AR$13)="",10^12,OFFSET(CRONOPLE!$F$14,$M284,AR$13))))</f>
        <v>1000000000000</v>
      </c>
      <c r="AS284" s="181">
        <f ca="1">IF($D284&lt;&gt;"Serviço",0,IF(AND(AUTOEVENTO="Manual",$M284=1),0,IF(OFFSET(CRONOPLE!$F$14,$M284,AS$13)="",10^12,OFFSET(CRONOPLE!$F$14,$M284,AS$13))))</f>
        <v>1000000000000</v>
      </c>
      <c r="AT284" s="181">
        <f ca="1">IF($D284&lt;&gt;"Serviço",0,IF(AND(AUTOEVENTO="Manual",$M284=1),0,IF(OFFSET(CRONOPLE!$F$14,$M284,AT$13)="",10^12,OFFSET(CRONOPLE!$F$14,$M284,AT$13))))</f>
        <v>1000000000000</v>
      </c>
      <c r="AU284" s="181">
        <f ca="1">IF($D284&lt;&gt;"Serviço",0,IF(AND(AUTOEVENTO="Manual",$M284=1),0,IF(OFFSET(CRONOPLE!$F$14,$M284,AU$13)="",10^12,OFFSET(CRONOPLE!$F$14,$M284,AU$13))))</f>
        <v>1000000000000</v>
      </c>
      <c r="AV284" s="181">
        <f ca="1">IF($D284&lt;&gt;"Serviço",0,IF(AND(AUTOEVENTO="Manual",$M284=1),0,IF(OFFSET(CRONOPLE!$F$14,$M284,AV$13)="",10^12,OFFSET(CRONOPLE!$F$14,$M284,AV$13))))</f>
        <v>1000000000000</v>
      </c>
      <c r="AX284" s="182">
        <f ca="1">IF($D284&lt;&gt;"Serviço",0,IF(OR(AND(AUTOEVENTO="Manual",$M284=1),$M284&gt;(ROW(PLE.lastrow)-ROW(PLE.firstrow))),0,IF(OFFSET(PLE!$G$14,$M284,AX$13)="",10^12,OFFSET(PLE!$G$14,$M284,AX$13))))</f>
        <v>1000000000000</v>
      </c>
      <c r="AY284" s="182">
        <f ca="1">IF($D284&lt;&gt;"Serviço",0,IF(OR(AND(AUTOEVENTO="Manual",$M284=1),$M284&gt;(ROW(PLE.lastrow)-ROW(PLE.firstrow))),0,IF(OFFSET(PLE!$G$14,$M284,AY$13)="",10^12,OFFSET(PLE!$G$14,$M284,AY$13))))</f>
        <v>1000000000000</v>
      </c>
      <c r="AZ284" s="182">
        <f ca="1">IF($D284&lt;&gt;"Serviço",0,IF(OR(AND(AUTOEVENTO="Manual",$M284=1),$M284&gt;(ROW(PLE.lastrow)-ROW(PLE.firstrow))),0,IF(OFFSET(PLE!$G$14,$M284,AZ$13)="",10^12,OFFSET(PLE!$G$14,$M284,AZ$13))))</f>
        <v>1000000000000</v>
      </c>
      <c r="BA284" s="182">
        <f ca="1">IF($D284&lt;&gt;"Serviço",0,IF(OR(AND(AUTOEVENTO="Manual",$M284=1),$M284&gt;(ROW(PLE.lastrow)-ROW(PLE.firstrow))),0,IF(OFFSET(PLE!$G$14,$M284,BA$13)="",10^12,OFFSET(PLE!$G$14,$M284,BA$13))))</f>
        <v>1000000000000</v>
      </c>
      <c r="BB284" s="182">
        <f ca="1">IF($D284&lt;&gt;"Serviço",0,IF(OR(AND(AUTOEVENTO="Manual",$M284=1),$M284&gt;(ROW(PLE.lastrow)-ROW(PLE.firstrow))),0,IF(OFFSET(PLE!$G$14,$M284,BB$13)="",10^12,OFFSET(PLE!$G$14,$M284,BB$13))))</f>
        <v>1000000000000</v>
      </c>
      <c r="BC284" s="182">
        <f ca="1">IF($D284&lt;&gt;"Serviço",0,IF(OR(AND(AUTOEVENTO="Manual",$M284=1),$M284&gt;(ROW(PLE.lastrow)-ROW(PLE.firstrow))),0,IF(OFFSET(PLE!$G$14,$M284,BC$13)="",10^12,OFFSET(PLE!$G$14,$M284,BC$13))))</f>
        <v>1000000000000</v>
      </c>
      <c r="BD284" s="182">
        <f ca="1">IF($D284&lt;&gt;"Serviço",0,IF(OR(AND(AUTOEVENTO="Manual",$M284=1),$M284&gt;(ROW(PLE.lastrow)-ROW(PLE.firstrow))),0,IF(OFFSET(PLE!$G$14,$M284,BD$13)="",10^12,OFFSET(PLE!$G$14,$M284,BD$13))))</f>
        <v>1000000000000</v>
      </c>
      <c r="BE284" s="182">
        <f ca="1">IF($D284&lt;&gt;"Serviço",0,IF(OR(AND(AUTOEVENTO="Manual",$M284=1),$M284&gt;(ROW(PLE.lastrow)-ROW(PLE.firstrow))),0,IF(OFFSET(PLE!$G$14,$M284,BE$13)="",10^12,OFFSET(PLE!$G$14,$M284,BE$13))))</f>
        <v>1000000000000</v>
      </c>
      <c r="BF284" s="182">
        <f ca="1">IF($D284&lt;&gt;"Serviço",0,IF(OR(AND(AUTOEVENTO="Manual",$M284=1),$M284&gt;(ROW(PLE.lastrow)-ROW(PLE.firstrow))),0,IF(OFFSET(PLE!$G$14,$M284,BF$13)="",10^12,OFFSET(PLE!$G$14,$M284,BF$13))))</f>
        <v>1000000000000</v>
      </c>
      <c r="BG284" s="182">
        <f ca="1">IF($D284&lt;&gt;"Serviço",0,IF(OR(AND(AUTOEVENTO="Manual",$M284=1),$M284&gt;(ROW(PLE.lastrow)-ROW(PLE.firstrow))),0,IF(OFFSET(PLE!$G$14,$M284,BG$13)="",10^12,OFFSET(PLE!$G$14,$M284,BG$13))))</f>
        <v>1000000000000</v>
      </c>
    </row>
    <row r="285" spans="1:59" ht="12.75" x14ac:dyDescent="0.2">
      <c r="A285" s="7" t="str">
        <f t="shared" ca="1" si="11"/>
        <v>233</v>
      </c>
      <c r="B285" s="7" t="str">
        <f ca="1">OFFSET(ORÇAMENTO!C$15,ROW(B285)-ROW(B$15),0)</f>
        <v>S</v>
      </c>
      <c r="C285" s="7" t="str">
        <f ca="1">OFFSET(ORÇAMENTO!L$15,ROW(C285)-ROW(C$15),0)</f>
        <v/>
      </c>
      <c r="D285" s="118" t="str">
        <f ca="1">OFFSET(ORÇAMENTO!N$15,ROW(D285)-ROW(D$15),0)</f>
        <v>Serviço</v>
      </c>
      <c r="E285" s="119" t="str">
        <f ca="1">OFFSET(ORÇAMENTO!O$15,ROW(E285)-ROW(E$15),0)</f>
        <v>-</v>
      </c>
      <c r="F285" s="172" t="str">
        <f ca="1">OFFSET(ORÇAMENTO!R$15,ROW(F285)-ROW(F$15),0)</f>
        <v>(abra o arquivo 'Referência 03-2024.xlsm)</v>
      </c>
      <c r="G285" s="173" t="str">
        <f ca="1">IF($D285&lt;&gt;"Serviço","",OFFSET(ORÇAMENTO!S$15,ROW(G285)-ROW(G$15),0))</f>
        <v>-</v>
      </c>
      <c r="H285" s="124">
        <f ca="1">IF($D285&lt;&gt;"Serviço",0,IF(ACOMPANHAMENTO="BM",ROUND(OFFSET(ORÇAMENTO!AJ$15,ROW(H285)-ROW(H$15),0),15-13*ORÇAMENTO!$AF$7),SUMPRODUCT(($Q$12:$AA$12&lt;&gt;"")*ROUND($Q285:$AA285,15-13*ORÇAMENTO!$AF$7))))</f>
        <v>0</v>
      </c>
      <c r="I285" s="561"/>
      <c r="K285" s="174"/>
      <c r="L285" s="175" t="s">
        <v>255</v>
      </c>
      <c r="M285" s="176">
        <f ca="1">IF($D285&lt;&gt;"Serviço","",IF(AUTOEVENTO="manual",$A285,IF(ISERROR(MATCH($A285,$A$15:OFFSET($A285,-1,0),0)),MAX($M$15:OFFSET(M285,-1,0))+1,INDEX($M$15:OFFSET(M285,-1,0),MATCH($A285,$A$15:OFFSET($A285,-1,0),0)))))</f>
        <v>14</v>
      </c>
      <c r="N285" s="177" t="str">
        <f ca="1">IF($D285&lt;&gt;"Serviço","",IF(AUTOEVENTO="Manual",IF($A285=0,"&lt;-- defina o número do agrupador",OFFSET(EVENTOS!$D$14,$A285,0)),OFFSET($F$15,$A285,0)))</f>
        <v>SERVIÇOS FINAIS</v>
      </c>
      <c r="O285" s="178"/>
      <c r="Q285" s="178"/>
      <c r="R285" s="179"/>
      <c r="S285" s="179"/>
      <c r="T285" s="179"/>
      <c r="U285" s="179"/>
      <c r="V285" s="179"/>
      <c r="W285" s="179"/>
      <c r="X285" s="179"/>
      <c r="Y285" s="179"/>
      <c r="Z285" s="180"/>
      <c r="AB285" s="544">
        <f ca="1">IF(AND($D285="Serviço",AB$12&lt;&gt;0,$H285&gt;0,OR(AUTOEVENTO&lt;&gt;"manual",$M285&lt;&gt;1)),
IF(Import.TipoArredondamento&lt;&gt;"TransfereGOV",
ROUND(OFFSET($P285,0,AB$13),15-13*ORÇAMENTO!$AF$7)/$H285*OFFSET(ORÇAMENTO!$X$15,ROW(AB285)-ROW(AB$15),0),
ROUND(ROUND(OFFSET($P285,0,AB$13),15-13*ORÇAMENTO!$AF$7)*OFFSET(ORÇAMENTO!$W$15,ROW(AB285)-ROW(AB$15),0),15-13*ORÇAMENTO!$AF$11)),0)</f>
        <v>0</v>
      </c>
      <c r="AC285" s="545">
        <f ca="1">IF(AND($D285="Serviço",AC$12&lt;&gt;0,$H285&gt;0,OR(AUTOEVENTO&lt;&gt;"manual",$M285&lt;&gt;1)),
IF(Import.TipoArredondamento&lt;&gt;"TransfereGOV",
ROUND(OFFSET($P285,0,AC$13),15-13*ORÇAMENTO!$AF$7)/$H285*OFFSET(ORÇAMENTO!$X$15,ROW(AC285)-ROW(AC$15),0),
ROUND(ROUND(OFFSET($P285,0,AC$13),15-13*ORÇAMENTO!$AF$7)*OFFSET(ORÇAMENTO!$W$15,ROW(AC285)-ROW(AC$15),0),15-13*ORÇAMENTO!$AF$11)),0)</f>
        <v>0</v>
      </c>
      <c r="AD285" s="545">
        <f ca="1">IF(AND($D285="Serviço",AD$12&lt;&gt;0,$H285&gt;0,OR(AUTOEVENTO&lt;&gt;"manual",$M285&lt;&gt;1)),
IF(Import.TipoArredondamento&lt;&gt;"TransfereGOV",
ROUND(OFFSET($P285,0,AD$13),15-13*ORÇAMENTO!$AF$7)/$H285*OFFSET(ORÇAMENTO!$X$15,ROW(AD285)-ROW(AD$15),0),
ROUND(ROUND(OFFSET($P285,0,AD$13),15-13*ORÇAMENTO!$AF$7)*OFFSET(ORÇAMENTO!$W$15,ROW(AD285)-ROW(AD$15),0),15-13*ORÇAMENTO!$AF$11)),0)</f>
        <v>0</v>
      </c>
      <c r="AE285" s="545">
        <f ca="1">IF(AND($D285="Serviço",AE$12&lt;&gt;0,$H285&gt;0,OR(AUTOEVENTO&lt;&gt;"manual",$M285&lt;&gt;1)),
IF(Import.TipoArredondamento&lt;&gt;"TransfereGOV",
ROUND(OFFSET($P285,0,AE$13),15-13*ORÇAMENTO!$AF$7)/$H285*OFFSET(ORÇAMENTO!$X$15,ROW(AE285)-ROW(AE$15),0),
ROUND(ROUND(OFFSET($P285,0,AE$13),15-13*ORÇAMENTO!$AF$7)*OFFSET(ORÇAMENTO!$W$15,ROW(AE285)-ROW(AE$15),0),15-13*ORÇAMENTO!$AF$11)),0)</f>
        <v>0</v>
      </c>
      <c r="AF285" s="545">
        <f ca="1">IF(AND($D285="Serviço",AF$12&lt;&gt;0,$H285&gt;0,OR(AUTOEVENTO&lt;&gt;"manual",$M285&lt;&gt;1)),
IF(Import.TipoArredondamento&lt;&gt;"TransfereGOV",
ROUND(OFFSET($P285,0,AF$13),15-13*ORÇAMENTO!$AF$7)/$H285*OFFSET(ORÇAMENTO!$X$15,ROW(AF285)-ROW(AF$15),0),
ROUND(ROUND(OFFSET($P285,0,AF$13),15-13*ORÇAMENTO!$AF$7)*OFFSET(ORÇAMENTO!$W$15,ROW(AF285)-ROW(AF$15),0),15-13*ORÇAMENTO!$AF$11)),0)</f>
        <v>0</v>
      </c>
      <c r="AG285" s="545">
        <f ca="1">IF(AND($D285="Serviço",AG$12&lt;&gt;0,$H285&gt;0,OR(AUTOEVENTO&lt;&gt;"manual",$M285&lt;&gt;1)),
IF(Import.TipoArredondamento&lt;&gt;"TransfereGOV",
ROUND(OFFSET($P285,0,AG$13),15-13*ORÇAMENTO!$AF$7)/$H285*OFFSET(ORÇAMENTO!$X$15,ROW(AG285)-ROW(AG$15),0),
ROUND(ROUND(OFFSET($P285,0,AG$13),15-13*ORÇAMENTO!$AF$7)*OFFSET(ORÇAMENTO!$W$15,ROW(AG285)-ROW(AG$15),0),15-13*ORÇAMENTO!$AF$11)),0)</f>
        <v>0</v>
      </c>
      <c r="AH285" s="545">
        <f ca="1">IF(AND($D285="Serviço",AH$12&lt;&gt;0,$H285&gt;0,OR(AUTOEVENTO&lt;&gt;"manual",$M285&lt;&gt;1)),
IF(Import.TipoArredondamento&lt;&gt;"TransfereGOV",
ROUND(OFFSET($P285,0,AH$13),15-13*ORÇAMENTO!$AF$7)/$H285*OFFSET(ORÇAMENTO!$X$15,ROW(AH285)-ROW(AH$15),0),
ROUND(ROUND(OFFSET($P285,0,AH$13),15-13*ORÇAMENTO!$AF$7)*OFFSET(ORÇAMENTO!$W$15,ROW(AH285)-ROW(AH$15),0),15-13*ORÇAMENTO!$AF$11)),0)</f>
        <v>0</v>
      </c>
      <c r="AI285" s="545">
        <f ca="1">IF(AND($D285="Serviço",AI$12&lt;&gt;0,$H285&gt;0,OR(AUTOEVENTO&lt;&gt;"manual",$M285&lt;&gt;1)),
IF(Import.TipoArredondamento&lt;&gt;"TransfereGOV",
ROUND(OFFSET($P285,0,AI$13),15-13*ORÇAMENTO!$AF$7)/$H285*OFFSET(ORÇAMENTO!$X$15,ROW(AI285)-ROW(AI$15),0),
ROUND(ROUND(OFFSET($P285,0,AI$13),15-13*ORÇAMENTO!$AF$7)*OFFSET(ORÇAMENTO!$W$15,ROW(AI285)-ROW(AI$15),0),15-13*ORÇAMENTO!$AF$11)),0)</f>
        <v>0</v>
      </c>
      <c r="AJ285" s="545">
        <f ca="1">IF(AND($D285="Serviço",AJ$12&lt;&gt;0,$H285&gt;0,OR(AUTOEVENTO&lt;&gt;"manual",$M285&lt;&gt;1)),
IF(Import.TipoArredondamento&lt;&gt;"TransfereGOV",
ROUND(OFFSET($P285,0,AJ$13),15-13*ORÇAMENTO!$AF$7)/$H285*OFFSET(ORÇAMENTO!$X$15,ROW(AJ285)-ROW(AJ$15),0),
ROUND(ROUND(OFFSET($P285,0,AJ$13),15-13*ORÇAMENTO!$AF$7)*OFFSET(ORÇAMENTO!$W$15,ROW(AJ285)-ROW(AJ$15),0),15-13*ORÇAMENTO!$AF$11)),0)</f>
        <v>0</v>
      </c>
      <c r="AK285" s="546">
        <f ca="1">IF(AND($D285="Serviço",AK$12&lt;&gt;0,$H285&gt;0,OR(AUTOEVENTO&lt;&gt;"manual",$M285&lt;&gt;1)),
IF(Import.TipoArredondamento&lt;&gt;"TransfereGOV",
ROUND(OFFSET($P285,0,AK$13),15-13*ORÇAMENTO!$AF$7)/$H285*OFFSET(ORÇAMENTO!$X$15,ROW(AK285)-ROW(AK$15),0),
ROUND(ROUND(OFFSET($P285,0,AK$13),15-13*ORÇAMENTO!$AF$7)*OFFSET(ORÇAMENTO!$W$15,ROW(AK285)-ROW(AK$15),0),15-13*ORÇAMENTO!$AF$11)),0)</f>
        <v>0</v>
      </c>
      <c r="AM285" s="181">
        <f ca="1">IF($D285&lt;&gt;"Serviço",0,IF(AND(AUTOEVENTO="Manual",$M285=1),0,IF(OFFSET(CRONOPLE!$F$14,$M285,AM$13)="",10^12,OFFSET(CRONOPLE!$F$14,$M285,AM$13))))</f>
        <v>1000000000000</v>
      </c>
      <c r="AN285" s="181">
        <f ca="1">IF($D285&lt;&gt;"Serviço",0,IF(AND(AUTOEVENTO="Manual",$M285=1),0,IF(OFFSET(CRONOPLE!$F$14,$M285,AN$13)="",10^12,OFFSET(CRONOPLE!$F$14,$M285,AN$13))))</f>
        <v>1000000000000</v>
      </c>
      <c r="AO285" s="181">
        <f ca="1">IF($D285&lt;&gt;"Serviço",0,IF(AND(AUTOEVENTO="Manual",$M285=1),0,IF(OFFSET(CRONOPLE!$F$14,$M285,AO$13)="",10^12,OFFSET(CRONOPLE!$F$14,$M285,AO$13))))</f>
        <v>1000000000000</v>
      </c>
      <c r="AP285" s="181">
        <f ca="1">IF($D285&lt;&gt;"Serviço",0,IF(AND(AUTOEVENTO="Manual",$M285=1),0,IF(OFFSET(CRONOPLE!$F$14,$M285,AP$13)="",10^12,OFFSET(CRONOPLE!$F$14,$M285,AP$13))))</f>
        <v>1000000000000</v>
      </c>
      <c r="AQ285" s="181">
        <f ca="1">IF($D285&lt;&gt;"Serviço",0,IF(AND(AUTOEVENTO="Manual",$M285=1),0,IF(OFFSET(CRONOPLE!$F$14,$M285,AQ$13)="",10^12,OFFSET(CRONOPLE!$F$14,$M285,AQ$13))))</f>
        <v>1000000000000</v>
      </c>
      <c r="AR285" s="181">
        <f ca="1">IF($D285&lt;&gt;"Serviço",0,IF(AND(AUTOEVENTO="Manual",$M285=1),0,IF(OFFSET(CRONOPLE!$F$14,$M285,AR$13)="",10^12,OFFSET(CRONOPLE!$F$14,$M285,AR$13))))</f>
        <v>1000000000000</v>
      </c>
      <c r="AS285" s="181">
        <f ca="1">IF($D285&lt;&gt;"Serviço",0,IF(AND(AUTOEVENTO="Manual",$M285=1),0,IF(OFFSET(CRONOPLE!$F$14,$M285,AS$13)="",10^12,OFFSET(CRONOPLE!$F$14,$M285,AS$13))))</f>
        <v>1000000000000</v>
      </c>
      <c r="AT285" s="181">
        <f ca="1">IF($D285&lt;&gt;"Serviço",0,IF(AND(AUTOEVENTO="Manual",$M285=1),0,IF(OFFSET(CRONOPLE!$F$14,$M285,AT$13)="",10^12,OFFSET(CRONOPLE!$F$14,$M285,AT$13))))</f>
        <v>1000000000000</v>
      </c>
      <c r="AU285" s="181">
        <f ca="1">IF($D285&lt;&gt;"Serviço",0,IF(AND(AUTOEVENTO="Manual",$M285=1),0,IF(OFFSET(CRONOPLE!$F$14,$M285,AU$13)="",10^12,OFFSET(CRONOPLE!$F$14,$M285,AU$13))))</f>
        <v>1000000000000</v>
      </c>
      <c r="AV285" s="181">
        <f ca="1">IF($D285&lt;&gt;"Serviço",0,IF(AND(AUTOEVENTO="Manual",$M285=1),0,IF(OFFSET(CRONOPLE!$F$14,$M285,AV$13)="",10^12,OFFSET(CRONOPLE!$F$14,$M285,AV$13))))</f>
        <v>1000000000000</v>
      </c>
      <c r="AX285" s="182">
        <f ca="1">IF($D285&lt;&gt;"Serviço",0,IF(OR(AND(AUTOEVENTO="Manual",$M285=1),$M285&gt;(ROW(PLE.lastrow)-ROW(PLE.firstrow))),0,IF(OFFSET(PLE!$G$14,$M285,AX$13)="",10^12,OFFSET(PLE!$G$14,$M285,AX$13))))</f>
        <v>1000000000000</v>
      </c>
      <c r="AY285" s="182">
        <f ca="1">IF($D285&lt;&gt;"Serviço",0,IF(OR(AND(AUTOEVENTO="Manual",$M285=1),$M285&gt;(ROW(PLE.lastrow)-ROW(PLE.firstrow))),0,IF(OFFSET(PLE!$G$14,$M285,AY$13)="",10^12,OFFSET(PLE!$G$14,$M285,AY$13))))</f>
        <v>1000000000000</v>
      </c>
      <c r="AZ285" s="182">
        <f ca="1">IF($D285&lt;&gt;"Serviço",0,IF(OR(AND(AUTOEVENTO="Manual",$M285=1),$M285&gt;(ROW(PLE.lastrow)-ROW(PLE.firstrow))),0,IF(OFFSET(PLE!$G$14,$M285,AZ$13)="",10^12,OFFSET(PLE!$G$14,$M285,AZ$13))))</f>
        <v>1000000000000</v>
      </c>
      <c r="BA285" s="182">
        <f ca="1">IF($D285&lt;&gt;"Serviço",0,IF(OR(AND(AUTOEVENTO="Manual",$M285=1),$M285&gt;(ROW(PLE.lastrow)-ROW(PLE.firstrow))),0,IF(OFFSET(PLE!$G$14,$M285,BA$13)="",10^12,OFFSET(PLE!$G$14,$M285,BA$13))))</f>
        <v>1000000000000</v>
      </c>
      <c r="BB285" s="182">
        <f ca="1">IF($D285&lt;&gt;"Serviço",0,IF(OR(AND(AUTOEVENTO="Manual",$M285=1),$M285&gt;(ROW(PLE.lastrow)-ROW(PLE.firstrow))),0,IF(OFFSET(PLE!$G$14,$M285,BB$13)="",10^12,OFFSET(PLE!$G$14,$M285,BB$13))))</f>
        <v>1000000000000</v>
      </c>
      <c r="BC285" s="182">
        <f ca="1">IF($D285&lt;&gt;"Serviço",0,IF(OR(AND(AUTOEVENTO="Manual",$M285=1),$M285&gt;(ROW(PLE.lastrow)-ROW(PLE.firstrow))),0,IF(OFFSET(PLE!$G$14,$M285,BC$13)="",10^12,OFFSET(PLE!$G$14,$M285,BC$13))))</f>
        <v>1000000000000</v>
      </c>
      <c r="BD285" s="182">
        <f ca="1">IF($D285&lt;&gt;"Serviço",0,IF(OR(AND(AUTOEVENTO="Manual",$M285=1),$M285&gt;(ROW(PLE.lastrow)-ROW(PLE.firstrow))),0,IF(OFFSET(PLE!$G$14,$M285,BD$13)="",10^12,OFFSET(PLE!$G$14,$M285,BD$13))))</f>
        <v>1000000000000</v>
      </c>
      <c r="BE285" s="182">
        <f ca="1">IF($D285&lt;&gt;"Serviço",0,IF(OR(AND(AUTOEVENTO="Manual",$M285=1),$M285&gt;(ROW(PLE.lastrow)-ROW(PLE.firstrow))),0,IF(OFFSET(PLE!$G$14,$M285,BE$13)="",10^12,OFFSET(PLE!$G$14,$M285,BE$13))))</f>
        <v>1000000000000</v>
      </c>
      <c r="BF285" s="182">
        <f ca="1">IF($D285&lt;&gt;"Serviço",0,IF(OR(AND(AUTOEVENTO="Manual",$M285=1),$M285&gt;(ROW(PLE.lastrow)-ROW(PLE.firstrow))),0,IF(OFFSET(PLE!$G$14,$M285,BF$13)="",10^12,OFFSET(PLE!$G$14,$M285,BF$13))))</f>
        <v>1000000000000</v>
      </c>
      <c r="BG285" s="182">
        <f ca="1">IF($D285&lt;&gt;"Serviço",0,IF(OR(AND(AUTOEVENTO="Manual",$M285=1),$M285&gt;(ROW(PLE.lastrow)-ROW(PLE.firstrow))),0,IF(OFFSET(PLE!$G$14,$M285,BG$13)="",10^12,OFFSET(PLE!$G$14,$M285,BG$13))))</f>
        <v>1000000000000</v>
      </c>
    </row>
    <row r="286" spans="1:59" ht="12.75" x14ac:dyDescent="0.2">
      <c r="A286" s="7" t="str">
        <f t="shared" ca="1" si="11"/>
        <v>233</v>
      </c>
      <c r="B286" s="7" t="str">
        <f ca="1">OFFSET(ORÇAMENTO!C$15,ROW(B286)-ROW(B$15),0)</f>
        <v>S</v>
      </c>
      <c r="C286" s="7" t="str">
        <f ca="1">OFFSET(ORÇAMENTO!L$15,ROW(C286)-ROW(C$15),0)</f>
        <v/>
      </c>
      <c r="D286" s="118" t="str">
        <f ca="1">OFFSET(ORÇAMENTO!N$15,ROW(D286)-ROW(D$15),0)</f>
        <v>Serviço</v>
      </c>
      <c r="E286" s="119" t="str">
        <f ca="1">OFFSET(ORÇAMENTO!O$15,ROW(E286)-ROW(E$15),0)</f>
        <v>-</v>
      </c>
      <c r="F286" s="172" t="str">
        <f ca="1">OFFSET(ORÇAMENTO!R$15,ROW(F286)-ROW(F$15),0)</f>
        <v>(abra o arquivo 'Referência 03-2024.xlsm)</v>
      </c>
      <c r="G286" s="173" t="str">
        <f ca="1">IF($D286&lt;&gt;"Serviço","",OFFSET(ORÇAMENTO!S$15,ROW(G286)-ROW(G$15),0))</f>
        <v>-</v>
      </c>
      <c r="H286" s="124">
        <f ca="1">IF($D286&lt;&gt;"Serviço",0,IF(ACOMPANHAMENTO="BM",ROUND(OFFSET(ORÇAMENTO!AJ$15,ROW(H286)-ROW(H$15),0),15-13*ORÇAMENTO!$AF$7),SUMPRODUCT(($Q$12:$AA$12&lt;&gt;"")*ROUND($Q286:$AA286,15-13*ORÇAMENTO!$AF$7))))</f>
        <v>0</v>
      </c>
      <c r="I286" s="561"/>
      <c r="K286" s="174"/>
      <c r="L286" s="175" t="s">
        <v>255</v>
      </c>
      <c r="M286" s="176">
        <f ca="1">IF($D286&lt;&gt;"Serviço","",IF(AUTOEVENTO="manual",$A286,IF(ISERROR(MATCH($A286,$A$15:OFFSET($A286,-1,0),0)),MAX($M$15:OFFSET(M286,-1,0))+1,INDEX($M$15:OFFSET(M286,-1,0),MATCH($A286,$A$15:OFFSET($A286,-1,0),0)))))</f>
        <v>14</v>
      </c>
      <c r="N286" s="177" t="str">
        <f ca="1">IF($D286&lt;&gt;"Serviço","",IF(AUTOEVENTO="Manual",IF($A286=0,"&lt;-- defina o número do agrupador",OFFSET(EVENTOS!$D$14,$A286,0)),OFFSET($F$15,$A286,0)))</f>
        <v>SERVIÇOS FINAIS</v>
      </c>
      <c r="O286" s="178"/>
      <c r="Q286" s="178"/>
      <c r="R286" s="179"/>
      <c r="S286" s="179"/>
      <c r="T286" s="179"/>
      <c r="U286" s="179"/>
      <c r="V286" s="179"/>
      <c r="W286" s="179"/>
      <c r="X286" s="179"/>
      <c r="Y286" s="179"/>
      <c r="Z286" s="180"/>
      <c r="AB286" s="544">
        <f ca="1">IF(AND($D286="Serviço",AB$12&lt;&gt;0,$H286&gt;0,OR(AUTOEVENTO&lt;&gt;"manual",$M286&lt;&gt;1)),
IF(Import.TipoArredondamento&lt;&gt;"TransfereGOV",
ROUND(OFFSET($P286,0,AB$13),15-13*ORÇAMENTO!$AF$7)/$H286*OFFSET(ORÇAMENTO!$X$15,ROW(AB286)-ROW(AB$15),0),
ROUND(ROUND(OFFSET($P286,0,AB$13),15-13*ORÇAMENTO!$AF$7)*OFFSET(ORÇAMENTO!$W$15,ROW(AB286)-ROW(AB$15),0),15-13*ORÇAMENTO!$AF$11)),0)</f>
        <v>0</v>
      </c>
      <c r="AC286" s="545">
        <f ca="1">IF(AND($D286="Serviço",AC$12&lt;&gt;0,$H286&gt;0,OR(AUTOEVENTO&lt;&gt;"manual",$M286&lt;&gt;1)),
IF(Import.TipoArredondamento&lt;&gt;"TransfereGOV",
ROUND(OFFSET($P286,0,AC$13),15-13*ORÇAMENTO!$AF$7)/$H286*OFFSET(ORÇAMENTO!$X$15,ROW(AC286)-ROW(AC$15),0),
ROUND(ROUND(OFFSET($P286,0,AC$13),15-13*ORÇAMENTO!$AF$7)*OFFSET(ORÇAMENTO!$W$15,ROW(AC286)-ROW(AC$15),0),15-13*ORÇAMENTO!$AF$11)),0)</f>
        <v>0</v>
      </c>
      <c r="AD286" s="545">
        <f ca="1">IF(AND($D286="Serviço",AD$12&lt;&gt;0,$H286&gt;0,OR(AUTOEVENTO&lt;&gt;"manual",$M286&lt;&gt;1)),
IF(Import.TipoArredondamento&lt;&gt;"TransfereGOV",
ROUND(OFFSET($P286,0,AD$13),15-13*ORÇAMENTO!$AF$7)/$H286*OFFSET(ORÇAMENTO!$X$15,ROW(AD286)-ROW(AD$15),0),
ROUND(ROUND(OFFSET($P286,0,AD$13),15-13*ORÇAMENTO!$AF$7)*OFFSET(ORÇAMENTO!$W$15,ROW(AD286)-ROW(AD$15),0),15-13*ORÇAMENTO!$AF$11)),0)</f>
        <v>0</v>
      </c>
      <c r="AE286" s="545">
        <f ca="1">IF(AND($D286="Serviço",AE$12&lt;&gt;0,$H286&gt;0,OR(AUTOEVENTO&lt;&gt;"manual",$M286&lt;&gt;1)),
IF(Import.TipoArredondamento&lt;&gt;"TransfereGOV",
ROUND(OFFSET($P286,0,AE$13),15-13*ORÇAMENTO!$AF$7)/$H286*OFFSET(ORÇAMENTO!$X$15,ROW(AE286)-ROW(AE$15),0),
ROUND(ROUND(OFFSET($P286,0,AE$13),15-13*ORÇAMENTO!$AF$7)*OFFSET(ORÇAMENTO!$W$15,ROW(AE286)-ROW(AE$15),0),15-13*ORÇAMENTO!$AF$11)),0)</f>
        <v>0</v>
      </c>
      <c r="AF286" s="545">
        <f ca="1">IF(AND($D286="Serviço",AF$12&lt;&gt;0,$H286&gt;0,OR(AUTOEVENTO&lt;&gt;"manual",$M286&lt;&gt;1)),
IF(Import.TipoArredondamento&lt;&gt;"TransfereGOV",
ROUND(OFFSET($P286,0,AF$13),15-13*ORÇAMENTO!$AF$7)/$H286*OFFSET(ORÇAMENTO!$X$15,ROW(AF286)-ROW(AF$15),0),
ROUND(ROUND(OFFSET($P286,0,AF$13),15-13*ORÇAMENTO!$AF$7)*OFFSET(ORÇAMENTO!$W$15,ROW(AF286)-ROW(AF$15),0),15-13*ORÇAMENTO!$AF$11)),0)</f>
        <v>0</v>
      </c>
      <c r="AG286" s="545">
        <f ca="1">IF(AND($D286="Serviço",AG$12&lt;&gt;0,$H286&gt;0,OR(AUTOEVENTO&lt;&gt;"manual",$M286&lt;&gt;1)),
IF(Import.TipoArredondamento&lt;&gt;"TransfereGOV",
ROUND(OFFSET($P286,0,AG$13),15-13*ORÇAMENTO!$AF$7)/$H286*OFFSET(ORÇAMENTO!$X$15,ROW(AG286)-ROW(AG$15),0),
ROUND(ROUND(OFFSET($P286,0,AG$13),15-13*ORÇAMENTO!$AF$7)*OFFSET(ORÇAMENTO!$W$15,ROW(AG286)-ROW(AG$15),0),15-13*ORÇAMENTO!$AF$11)),0)</f>
        <v>0</v>
      </c>
      <c r="AH286" s="545">
        <f ca="1">IF(AND($D286="Serviço",AH$12&lt;&gt;0,$H286&gt;0,OR(AUTOEVENTO&lt;&gt;"manual",$M286&lt;&gt;1)),
IF(Import.TipoArredondamento&lt;&gt;"TransfereGOV",
ROUND(OFFSET($P286,0,AH$13),15-13*ORÇAMENTO!$AF$7)/$H286*OFFSET(ORÇAMENTO!$X$15,ROW(AH286)-ROW(AH$15),0),
ROUND(ROUND(OFFSET($P286,0,AH$13),15-13*ORÇAMENTO!$AF$7)*OFFSET(ORÇAMENTO!$W$15,ROW(AH286)-ROW(AH$15),0),15-13*ORÇAMENTO!$AF$11)),0)</f>
        <v>0</v>
      </c>
      <c r="AI286" s="545">
        <f ca="1">IF(AND($D286="Serviço",AI$12&lt;&gt;0,$H286&gt;0,OR(AUTOEVENTO&lt;&gt;"manual",$M286&lt;&gt;1)),
IF(Import.TipoArredondamento&lt;&gt;"TransfereGOV",
ROUND(OFFSET($P286,0,AI$13),15-13*ORÇAMENTO!$AF$7)/$H286*OFFSET(ORÇAMENTO!$X$15,ROW(AI286)-ROW(AI$15),0),
ROUND(ROUND(OFFSET($P286,0,AI$13),15-13*ORÇAMENTO!$AF$7)*OFFSET(ORÇAMENTO!$W$15,ROW(AI286)-ROW(AI$15),0),15-13*ORÇAMENTO!$AF$11)),0)</f>
        <v>0</v>
      </c>
      <c r="AJ286" s="545">
        <f ca="1">IF(AND($D286="Serviço",AJ$12&lt;&gt;0,$H286&gt;0,OR(AUTOEVENTO&lt;&gt;"manual",$M286&lt;&gt;1)),
IF(Import.TipoArredondamento&lt;&gt;"TransfereGOV",
ROUND(OFFSET($P286,0,AJ$13),15-13*ORÇAMENTO!$AF$7)/$H286*OFFSET(ORÇAMENTO!$X$15,ROW(AJ286)-ROW(AJ$15),0),
ROUND(ROUND(OFFSET($P286,0,AJ$13),15-13*ORÇAMENTO!$AF$7)*OFFSET(ORÇAMENTO!$W$15,ROW(AJ286)-ROW(AJ$15),0),15-13*ORÇAMENTO!$AF$11)),0)</f>
        <v>0</v>
      </c>
      <c r="AK286" s="546">
        <f ca="1">IF(AND($D286="Serviço",AK$12&lt;&gt;0,$H286&gt;0,OR(AUTOEVENTO&lt;&gt;"manual",$M286&lt;&gt;1)),
IF(Import.TipoArredondamento&lt;&gt;"TransfereGOV",
ROUND(OFFSET($P286,0,AK$13),15-13*ORÇAMENTO!$AF$7)/$H286*OFFSET(ORÇAMENTO!$X$15,ROW(AK286)-ROW(AK$15),0),
ROUND(ROUND(OFFSET($P286,0,AK$13),15-13*ORÇAMENTO!$AF$7)*OFFSET(ORÇAMENTO!$W$15,ROW(AK286)-ROW(AK$15),0),15-13*ORÇAMENTO!$AF$11)),0)</f>
        <v>0</v>
      </c>
      <c r="AM286" s="181">
        <f ca="1">IF($D286&lt;&gt;"Serviço",0,IF(AND(AUTOEVENTO="Manual",$M286=1),0,IF(OFFSET(CRONOPLE!$F$14,$M286,AM$13)="",10^12,OFFSET(CRONOPLE!$F$14,$M286,AM$13))))</f>
        <v>1000000000000</v>
      </c>
      <c r="AN286" s="181">
        <f ca="1">IF($D286&lt;&gt;"Serviço",0,IF(AND(AUTOEVENTO="Manual",$M286=1),0,IF(OFFSET(CRONOPLE!$F$14,$M286,AN$13)="",10^12,OFFSET(CRONOPLE!$F$14,$M286,AN$13))))</f>
        <v>1000000000000</v>
      </c>
      <c r="AO286" s="181">
        <f ca="1">IF($D286&lt;&gt;"Serviço",0,IF(AND(AUTOEVENTO="Manual",$M286=1),0,IF(OFFSET(CRONOPLE!$F$14,$M286,AO$13)="",10^12,OFFSET(CRONOPLE!$F$14,$M286,AO$13))))</f>
        <v>1000000000000</v>
      </c>
      <c r="AP286" s="181">
        <f ca="1">IF($D286&lt;&gt;"Serviço",0,IF(AND(AUTOEVENTO="Manual",$M286=1),0,IF(OFFSET(CRONOPLE!$F$14,$M286,AP$13)="",10^12,OFFSET(CRONOPLE!$F$14,$M286,AP$13))))</f>
        <v>1000000000000</v>
      </c>
      <c r="AQ286" s="181">
        <f ca="1">IF($D286&lt;&gt;"Serviço",0,IF(AND(AUTOEVENTO="Manual",$M286=1),0,IF(OFFSET(CRONOPLE!$F$14,$M286,AQ$13)="",10^12,OFFSET(CRONOPLE!$F$14,$M286,AQ$13))))</f>
        <v>1000000000000</v>
      </c>
      <c r="AR286" s="181">
        <f ca="1">IF($D286&lt;&gt;"Serviço",0,IF(AND(AUTOEVENTO="Manual",$M286=1),0,IF(OFFSET(CRONOPLE!$F$14,$M286,AR$13)="",10^12,OFFSET(CRONOPLE!$F$14,$M286,AR$13))))</f>
        <v>1000000000000</v>
      </c>
      <c r="AS286" s="181">
        <f ca="1">IF($D286&lt;&gt;"Serviço",0,IF(AND(AUTOEVENTO="Manual",$M286=1),0,IF(OFFSET(CRONOPLE!$F$14,$M286,AS$13)="",10^12,OFFSET(CRONOPLE!$F$14,$M286,AS$13))))</f>
        <v>1000000000000</v>
      </c>
      <c r="AT286" s="181">
        <f ca="1">IF($D286&lt;&gt;"Serviço",0,IF(AND(AUTOEVENTO="Manual",$M286=1),0,IF(OFFSET(CRONOPLE!$F$14,$M286,AT$13)="",10^12,OFFSET(CRONOPLE!$F$14,$M286,AT$13))))</f>
        <v>1000000000000</v>
      </c>
      <c r="AU286" s="181">
        <f ca="1">IF($D286&lt;&gt;"Serviço",0,IF(AND(AUTOEVENTO="Manual",$M286=1),0,IF(OFFSET(CRONOPLE!$F$14,$M286,AU$13)="",10^12,OFFSET(CRONOPLE!$F$14,$M286,AU$13))))</f>
        <v>1000000000000</v>
      </c>
      <c r="AV286" s="181">
        <f ca="1">IF($D286&lt;&gt;"Serviço",0,IF(AND(AUTOEVENTO="Manual",$M286=1),0,IF(OFFSET(CRONOPLE!$F$14,$M286,AV$13)="",10^12,OFFSET(CRONOPLE!$F$14,$M286,AV$13))))</f>
        <v>1000000000000</v>
      </c>
      <c r="AX286" s="182">
        <f ca="1">IF($D286&lt;&gt;"Serviço",0,IF(OR(AND(AUTOEVENTO="Manual",$M286=1),$M286&gt;(ROW(PLE.lastrow)-ROW(PLE.firstrow))),0,IF(OFFSET(PLE!$G$14,$M286,AX$13)="",10^12,OFFSET(PLE!$G$14,$M286,AX$13))))</f>
        <v>1000000000000</v>
      </c>
      <c r="AY286" s="182">
        <f ca="1">IF($D286&lt;&gt;"Serviço",0,IF(OR(AND(AUTOEVENTO="Manual",$M286=1),$M286&gt;(ROW(PLE.lastrow)-ROW(PLE.firstrow))),0,IF(OFFSET(PLE!$G$14,$M286,AY$13)="",10^12,OFFSET(PLE!$G$14,$M286,AY$13))))</f>
        <v>1000000000000</v>
      </c>
      <c r="AZ286" s="182">
        <f ca="1">IF($D286&lt;&gt;"Serviço",0,IF(OR(AND(AUTOEVENTO="Manual",$M286=1),$M286&gt;(ROW(PLE.lastrow)-ROW(PLE.firstrow))),0,IF(OFFSET(PLE!$G$14,$M286,AZ$13)="",10^12,OFFSET(PLE!$G$14,$M286,AZ$13))))</f>
        <v>1000000000000</v>
      </c>
      <c r="BA286" s="182">
        <f ca="1">IF($D286&lt;&gt;"Serviço",0,IF(OR(AND(AUTOEVENTO="Manual",$M286=1),$M286&gt;(ROW(PLE.lastrow)-ROW(PLE.firstrow))),0,IF(OFFSET(PLE!$G$14,$M286,BA$13)="",10^12,OFFSET(PLE!$G$14,$M286,BA$13))))</f>
        <v>1000000000000</v>
      </c>
      <c r="BB286" s="182">
        <f ca="1">IF($D286&lt;&gt;"Serviço",0,IF(OR(AND(AUTOEVENTO="Manual",$M286=1),$M286&gt;(ROW(PLE.lastrow)-ROW(PLE.firstrow))),0,IF(OFFSET(PLE!$G$14,$M286,BB$13)="",10^12,OFFSET(PLE!$G$14,$M286,BB$13))))</f>
        <v>1000000000000</v>
      </c>
      <c r="BC286" s="182">
        <f ca="1">IF($D286&lt;&gt;"Serviço",0,IF(OR(AND(AUTOEVENTO="Manual",$M286=1),$M286&gt;(ROW(PLE.lastrow)-ROW(PLE.firstrow))),0,IF(OFFSET(PLE!$G$14,$M286,BC$13)="",10^12,OFFSET(PLE!$G$14,$M286,BC$13))))</f>
        <v>1000000000000</v>
      </c>
      <c r="BD286" s="182">
        <f ca="1">IF($D286&lt;&gt;"Serviço",0,IF(OR(AND(AUTOEVENTO="Manual",$M286=1),$M286&gt;(ROW(PLE.lastrow)-ROW(PLE.firstrow))),0,IF(OFFSET(PLE!$G$14,$M286,BD$13)="",10^12,OFFSET(PLE!$G$14,$M286,BD$13))))</f>
        <v>1000000000000</v>
      </c>
      <c r="BE286" s="182">
        <f ca="1">IF($D286&lt;&gt;"Serviço",0,IF(OR(AND(AUTOEVENTO="Manual",$M286=1),$M286&gt;(ROW(PLE.lastrow)-ROW(PLE.firstrow))),0,IF(OFFSET(PLE!$G$14,$M286,BE$13)="",10^12,OFFSET(PLE!$G$14,$M286,BE$13))))</f>
        <v>1000000000000</v>
      </c>
      <c r="BF286" s="182">
        <f ca="1">IF($D286&lt;&gt;"Serviço",0,IF(OR(AND(AUTOEVENTO="Manual",$M286=1),$M286&gt;(ROW(PLE.lastrow)-ROW(PLE.firstrow))),0,IF(OFFSET(PLE!$G$14,$M286,BF$13)="",10^12,OFFSET(PLE!$G$14,$M286,BF$13))))</f>
        <v>1000000000000</v>
      </c>
      <c r="BG286" s="182">
        <f ca="1">IF($D286&lt;&gt;"Serviço",0,IF(OR(AND(AUTOEVENTO="Manual",$M286=1),$M286&gt;(ROW(PLE.lastrow)-ROW(PLE.firstrow))),0,IF(OFFSET(PLE!$G$14,$M286,BG$13)="",10^12,OFFSET(PLE!$G$14,$M286,BG$13))))</f>
        <v>1000000000000</v>
      </c>
    </row>
    <row r="287" spans="1:59" ht="12.75" x14ac:dyDescent="0.2">
      <c r="A287" s="7" t="str">
        <f t="shared" ca="1" si="11"/>
        <v>233</v>
      </c>
      <c r="B287" s="7" t="str">
        <f ca="1">OFFSET(ORÇAMENTO!C$15,ROW(B287)-ROW(B$15),0)</f>
        <v>S</v>
      </c>
      <c r="C287" s="7" t="str">
        <f ca="1">OFFSET(ORÇAMENTO!L$15,ROW(C287)-ROW(C$15),0)</f>
        <v/>
      </c>
      <c r="D287" s="118" t="str">
        <f ca="1">OFFSET(ORÇAMENTO!N$15,ROW(D287)-ROW(D$15),0)</f>
        <v>Serviço</v>
      </c>
      <c r="E287" s="119" t="str">
        <f ca="1">OFFSET(ORÇAMENTO!O$15,ROW(E287)-ROW(E$15),0)</f>
        <v>-</v>
      </c>
      <c r="F287" s="172" t="str">
        <f ca="1">OFFSET(ORÇAMENTO!R$15,ROW(F287)-ROW(F$15),0)</f>
        <v>(abra o arquivo 'Referência 03-2024.xlsm)</v>
      </c>
      <c r="G287" s="173" t="str">
        <f ca="1">IF($D287&lt;&gt;"Serviço","",OFFSET(ORÇAMENTO!S$15,ROW(G287)-ROW(G$15),0))</f>
        <v>-</v>
      </c>
      <c r="H287" s="124">
        <f ca="1">IF($D287&lt;&gt;"Serviço",0,IF(ACOMPANHAMENTO="BM",ROUND(OFFSET(ORÇAMENTO!AJ$15,ROW(H287)-ROW(H$15),0),15-13*ORÇAMENTO!$AF$7),SUMPRODUCT(($Q$12:$AA$12&lt;&gt;"")*ROUND($Q287:$AA287,15-13*ORÇAMENTO!$AF$7))))</f>
        <v>0</v>
      </c>
      <c r="I287" s="561"/>
      <c r="K287" s="174"/>
      <c r="L287" s="175" t="s">
        <v>255</v>
      </c>
      <c r="M287" s="176">
        <f ca="1">IF($D287&lt;&gt;"Serviço","",IF(AUTOEVENTO="manual",$A287,IF(ISERROR(MATCH($A287,$A$15:OFFSET($A287,-1,0),0)),MAX($M$15:OFFSET(M287,-1,0))+1,INDEX($M$15:OFFSET(M287,-1,0),MATCH($A287,$A$15:OFFSET($A287,-1,0),0)))))</f>
        <v>14</v>
      </c>
      <c r="N287" s="177" t="str">
        <f ca="1">IF($D287&lt;&gt;"Serviço","",IF(AUTOEVENTO="Manual",IF($A287=0,"&lt;-- defina o número do agrupador",OFFSET(EVENTOS!$D$14,$A287,0)),OFFSET($F$15,$A287,0)))</f>
        <v>SERVIÇOS FINAIS</v>
      </c>
      <c r="O287" s="178"/>
      <c r="Q287" s="178"/>
      <c r="R287" s="179"/>
      <c r="S287" s="179"/>
      <c r="T287" s="179"/>
      <c r="U287" s="179"/>
      <c r="V287" s="179"/>
      <c r="W287" s="179"/>
      <c r="X287" s="179"/>
      <c r="Y287" s="179"/>
      <c r="Z287" s="180"/>
      <c r="AB287" s="544">
        <f ca="1">IF(AND($D287="Serviço",AB$12&lt;&gt;0,$H287&gt;0,OR(AUTOEVENTO&lt;&gt;"manual",$M287&lt;&gt;1)),
IF(Import.TipoArredondamento&lt;&gt;"TransfereGOV",
ROUND(OFFSET($P287,0,AB$13),15-13*ORÇAMENTO!$AF$7)/$H287*OFFSET(ORÇAMENTO!$X$15,ROW(AB287)-ROW(AB$15),0),
ROUND(ROUND(OFFSET($P287,0,AB$13),15-13*ORÇAMENTO!$AF$7)*OFFSET(ORÇAMENTO!$W$15,ROW(AB287)-ROW(AB$15),0),15-13*ORÇAMENTO!$AF$11)),0)</f>
        <v>0</v>
      </c>
      <c r="AC287" s="545">
        <f ca="1">IF(AND($D287="Serviço",AC$12&lt;&gt;0,$H287&gt;0,OR(AUTOEVENTO&lt;&gt;"manual",$M287&lt;&gt;1)),
IF(Import.TipoArredondamento&lt;&gt;"TransfereGOV",
ROUND(OFFSET($P287,0,AC$13),15-13*ORÇAMENTO!$AF$7)/$H287*OFFSET(ORÇAMENTO!$X$15,ROW(AC287)-ROW(AC$15),0),
ROUND(ROUND(OFFSET($P287,0,AC$13),15-13*ORÇAMENTO!$AF$7)*OFFSET(ORÇAMENTO!$W$15,ROW(AC287)-ROW(AC$15),0),15-13*ORÇAMENTO!$AF$11)),0)</f>
        <v>0</v>
      </c>
      <c r="AD287" s="545">
        <f ca="1">IF(AND($D287="Serviço",AD$12&lt;&gt;0,$H287&gt;0,OR(AUTOEVENTO&lt;&gt;"manual",$M287&lt;&gt;1)),
IF(Import.TipoArredondamento&lt;&gt;"TransfereGOV",
ROUND(OFFSET($P287,0,AD$13),15-13*ORÇAMENTO!$AF$7)/$H287*OFFSET(ORÇAMENTO!$X$15,ROW(AD287)-ROW(AD$15),0),
ROUND(ROUND(OFFSET($P287,0,AD$13),15-13*ORÇAMENTO!$AF$7)*OFFSET(ORÇAMENTO!$W$15,ROW(AD287)-ROW(AD$15),0),15-13*ORÇAMENTO!$AF$11)),0)</f>
        <v>0</v>
      </c>
      <c r="AE287" s="545">
        <f ca="1">IF(AND($D287="Serviço",AE$12&lt;&gt;0,$H287&gt;0,OR(AUTOEVENTO&lt;&gt;"manual",$M287&lt;&gt;1)),
IF(Import.TipoArredondamento&lt;&gt;"TransfereGOV",
ROUND(OFFSET($P287,0,AE$13),15-13*ORÇAMENTO!$AF$7)/$H287*OFFSET(ORÇAMENTO!$X$15,ROW(AE287)-ROW(AE$15),0),
ROUND(ROUND(OFFSET($P287,0,AE$13),15-13*ORÇAMENTO!$AF$7)*OFFSET(ORÇAMENTO!$W$15,ROW(AE287)-ROW(AE$15),0),15-13*ORÇAMENTO!$AF$11)),0)</f>
        <v>0</v>
      </c>
      <c r="AF287" s="545">
        <f ca="1">IF(AND($D287="Serviço",AF$12&lt;&gt;0,$H287&gt;0,OR(AUTOEVENTO&lt;&gt;"manual",$M287&lt;&gt;1)),
IF(Import.TipoArredondamento&lt;&gt;"TransfereGOV",
ROUND(OFFSET($P287,0,AF$13),15-13*ORÇAMENTO!$AF$7)/$H287*OFFSET(ORÇAMENTO!$X$15,ROW(AF287)-ROW(AF$15),0),
ROUND(ROUND(OFFSET($P287,0,AF$13),15-13*ORÇAMENTO!$AF$7)*OFFSET(ORÇAMENTO!$W$15,ROW(AF287)-ROW(AF$15),0),15-13*ORÇAMENTO!$AF$11)),0)</f>
        <v>0</v>
      </c>
      <c r="AG287" s="545">
        <f ca="1">IF(AND($D287="Serviço",AG$12&lt;&gt;0,$H287&gt;0,OR(AUTOEVENTO&lt;&gt;"manual",$M287&lt;&gt;1)),
IF(Import.TipoArredondamento&lt;&gt;"TransfereGOV",
ROUND(OFFSET($P287,0,AG$13),15-13*ORÇAMENTO!$AF$7)/$H287*OFFSET(ORÇAMENTO!$X$15,ROW(AG287)-ROW(AG$15),0),
ROUND(ROUND(OFFSET($P287,0,AG$13),15-13*ORÇAMENTO!$AF$7)*OFFSET(ORÇAMENTO!$W$15,ROW(AG287)-ROW(AG$15),0),15-13*ORÇAMENTO!$AF$11)),0)</f>
        <v>0</v>
      </c>
      <c r="AH287" s="545">
        <f ca="1">IF(AND($D287="Serviço",AH$12&lt;&gt;0,$H287&gt;0,OR(AUTOEVENTO&lt;&gt;"manual",$M287&lt;&gt;1)),
IF(Import.TipoArredondamento&lt;&gt;"TransfereGOV",
ROUND(OFFSET($P287,0,AH$13),15-13*ORÇAMENTO!$AF$7)/$H287*OFFSET(ORÇAMENTO!$X$15,ROW(AH287)-ROW(AH$15),0),
ROUND(ROUND(OFFSET($P287,0,AH$13),15-13*ORÇAMENTO!$AF$7)*OFFSET(ORÇAMENTO!$W$15,ROW(AH287)-ROW(AH$15),0),15-13*ORÇAMENTO!$AF$11)),0)</f>
        <v>0</v>
      </c>
      <c r="AI287" s="545">
        <f ca="1">IF(AND($D287="Serviço",AI$12&lt;&gt;0,$H287&gt;0,OR(AUTOEVENTO&lt;&gt;"manual",$M287&lt;&gt;1)),
IF(Import.TipoArredondamento&lt;&gt;"TransfereGOV",
ROUND(OFFSET($P287,0,AI$13),15-13*ORÇAMENTO!$AF$7)/$H287*OFFSET(ORÇAMENTO!$X$15,ROW(AI287)-ROW(AI$15),0),
ROUND(ROUND(OFFSET($P287,0,AI$13),15-13*ORÇAMENTO!$AF$7)*OFFSET(ORÇAMENTO!$W$15,ROW(AI287)-ROW(AI$15),0),15-13*ORÇAMENTO!$AF$11)),0)</f>
        <v>0</v>
      </c>
      <c r="AJ287" s="545">
        <f ca="1">IF(AND($D287="Serviço",AJ$12&lt;&gt;0,$H287&gt;0,OR(AUTOEVENTO&lt;&gt;"manual",$M287&lt;&gt;1)),
IF(Import.TipoArredondamento&lt;&gt;"TransfereGOV",
ROUND(OFFSET($P287,0,AJ$13),15-13*ORÇAMENTO!$AF$7)/$H287*OFFSET(ORÇAMENTO!$X$15,ROW(AJ287)-ROW(AJ$15),0),
ROUND(ROUND(OFFSET($P287,0,AJ$13),15-13*ORÇAMENTO!$AF$7)*OFFSET(ORÇAMENTO!$W$15,ROW(AJ287)-ROW(AJ$15),0),15-13*ORÇAMENTO!$AF$11)),0)</f>
        <v>0</v>
      </c>
      <c r="AK287" s="546">
        <f ca="1">IF(AND($D287="Serviço",AK$12&lt;&gt;0,$H287&gt;0,OR(AUTOEVENTO&lt;&gt;"manual",$M287&lt;&gt;1)),
IF(Import.TipoArredondamento&lt;&gt;"TransfereGOV",
ROUND(OFFSET($P287,0,AK$13),15-13*ORÇAMENTO!$AF$7)/$H287*OFFSET(ORÇAMENTO!$X$15,ROW(AK287)-ROW(AK$15),0),
ROUND(ROUND(OFFSET($P287,0,AK$13),15-13*ORÇAMENTO!$AF$7)*OFFSET(ORÇAMENTO!$W$15,ROW(AK287)-ROW(AK$15),0),15-13*ORÇAMENTO!$AF$11)),0)</f>
        <v>0</v>
      </c>
      <c r="AM287" s="181">
        <f ca="1">IF($D287&lt;&gt;"Serviço",0,IF(AND(AUTOEVENTO="Manual",$M287=1),0,IF(OFFSET(CRONOPLE!$F$14,$M287,AM$13)="",10^12,OFFSET(CRONOPLE!$F$14,$M287,AM$13))))</f>
        <v>1000000000000</v>
      </c>
      <c r="AN287" s="181">
        <f ca="1">IF($D287&lt;&gt;"Serviço",0,IF(AND(AUTOEVENTO="Manual",$M287=1),0,IF(OFFSET(CRONOPLE!$F$14,$M287,AN$13)="",10^12,OFFSET(CRONOPLE!$F$14,$M287,AN$13))))</f>
        <v>1000000000000</v>
      </c>
      <c r="AO287" s="181">
        <f ca="1">IF($D287&lt;&gt;"Serviço",0,IF(AND(AUTOEVENTO="Manual",$M287=1),0,IF(OFFSET(CRONOPLE!$F$14,$M287,AO$13)="",10^12,OFFSET(CRONOPLE!$F$14,$M287,AO$13))))</f>
        <v>1000000000000</v>
      </c>
      <c r="AP287" s="181">
        <f ca="1">IF($D287&lt;&gt;"Serviço",0,IF(AND(AUTOEVENTO="Manual",$M287=1),0,IF(OFFSET(CRONOPLE!$F$14,$M287,AP$13)="",10^12,OFFSET(CRONOPLE!$F$14,$M287,AP$13))))</f>
        <v>1000000000000</v>
      </c>
      <c r="AQ287" s="181">
        <f ca="1">IF($D287&lt;&gt;"Serviço",0,IF(AND(AUTOEVENTO="Manual",$M287=1),0,IF(OFFSET(CRONOPLE!$F$14,$M287,AQ$13)="",10^12,OFFSET(CRONOPLE!$F$14,$M287,AQ$13))))</f>
        <v>1000000000000</v>
      </c>
      <c r="AR287" s="181">
        <f ca="1">IF($D287&lt;&gt;"Serviço",0,IF(AND(AUTOEVENTO="Manual",$M287=1),0,IF(OFFSET(CRONOPLE!$F$14,$M287,AR$13)="",10^12,OFFSET(CRONOPLE!$F$14,$M287,AR$13))))</f>
        <v>1000000000000</v>
      </c>
      <c r="AS287" s="181">
        <f ca="1">IF($D287&lt;&gt;"Serviço",0,IF(AND(AUTOEVENTO="Manual",$M287=1),0,IF(OFFSET(CRONOPLE!$F$14,$M287,AS$13)="",10^12,OFFSET(CRONOPLE!$F$14,$M287,AS$13))))</f>
        <v>1000000000000</v>
      </c>
      <c r="AT287" s="181">
        <f ca="1">IF($D287&lt;&gt;"Serviço",0,IF(AND(AUTOEVENTO="Manual",$M287=1),0,IF(OFFSET(CRONOPLE!$F$14,$M287,AT$13)="",10^12,OFFSET(CRONOPLE!$F$14,$M287,AT$13))))</f>
        <v>1000000000000</v>
      </c>
      <c r="AU287" s="181">
        <f ca="1">IF($D287&lt;&gt;"Serviço",0,IF(AND(AUTOEVENTO="Manual",$M287=1),0,IF(OFFSET(CRONOPLE!$F$14,$M287,AU$13)="",10^12,OFFSET(CRONOPLE!$F$14,$M287,AU$13))))</f>
        <v>1000000000000</v>
      </c>
      <c r="AV287" s="181">
        <f ca="1">IF($D287&lt;&gt;"Serviço",0,IF(AND(AUTOEVENTO="Manual",$M287=1),0,IF(OFFSET(CRONOPLE!$F$14,$M287,AV$13)="",10^12,OFFSET(CRONOPLE!$F$14,$M287,AV$13))))</f>
        <v>1000000000000</v>
      </c>
      <c r="AX287" s="182">
        <f ca="1">IF($D287&lt;&gt;"Serviço",0,IF(OR(AND(AUTOEVENTO="Manual",$M287=1),$M287&gt;(ROW(PLE.lastrow)-ROW(PLE.firstrow))),0,IF(OFFSET(PLE!$G$14,$M287,AX$13)="",10^12,OFFSET(PLE!$G$14,$M287,AX$13))))</f>
        <v>1000000000000</v>
      </c>
      <c r="AY287" s="182">
        <f ca="1">IF($D287&lt;&gt;"Serviço",0,IF(OR(AND(AUTOEVENTO="Manual",$M287=1),$M287&gt;(ROW(PLE.lastrow)-ROW(PLE.firstrow))),0,IF(OFFSET(PLE!$G$14,$M287,AY$13)="",10^12,OFFSET(PLE!$G$14,$M287,AY$13))))</f>
        <v>1000000000000</v>
      </c>
      <c r="AZ287" s="182">
        <f ca="1">IF($D287&lt;&gt;"Serviço",0,IF(OR(AND(AUTOEVENTO="Manual",$M287=1),$M287&gt;(ROW(PLE.lastrow)-ROW(PLE.firstrow))),0,IF(OFFSET(PLE!$G$14,$M287,AZ$13)="",10^12,OFFSET(PLE!$G$14,$M287,AZ$13))))</f>
        <v>1000000000000</v>
      </c>
      <c r="BA287" s="182">
        <f ca="1">IF($D287&lt;&gt;"Serviço",0,IF(OR(AND(AUTOEVENTO="Manual",$M287=1),$M287&gt;(ROW(PLE.lastrow)-ROW(PLE.firstrow))),0,IF(OFFSET(PLE!$G$14,$M287,BA$13)="",10^12,OFFSET(PLE!$G$14,$M287,BA$13))))</f>
        <v>1000000000000</v>
      </c>
      <c r="BB287" s="182">
        <f ca="1">IF($D287&lt;&gt;"Serviço",0,IF(OR(AND(AUTOEVENTO="Manual",$M287=1),$M287&gt;(ROW(PLE.lastrow)-ROW(PLE.firstrow))),0,IF(OFFSET(PLE!$G$14,$M287,BB$13)="",10^12,OFFSET(PLE!$G$14,$M287,BB$13))))</f>
        <v>1000000000000</v>
      </c>
      <c r="BC287" s="182">
        <f ca="1">IF($D287&lt;&gt;"Serviço",0,IF(OR(AND(AUTOEVENTO="Manual",$M287=1),$M287&gt;(ROW(PLE.lastrow)-ROW(PLE.firstrow))),0,IF(OFFSET(PLE!$G$14,$M287,BC$13)="",10^12,OFFSET(PLE!$G$14,$M287,BC$13))))</f>
        <v>1000000000000</v>
      </c>
      <c r="BD287" s="182">
        <f ca="1">IF($D287&lt;&gt;"Serviço",0,IF(OR(AND(AUTOEVENTO="Manual",$M287=1),$M287&gt;(ROW(PLE.lastrow)-ROW(PLE.firstrow))),0,IF(OFFSET(PLE!$G$14,$M287,BD$13)="",10^12,OFFSET(PLE!$G$14,$M287,BD$13))))</f>
        <v>1000000000000</v>
      </c>
      <c r="BE287" s="182">
        <f ca="1">IF($D287&lt;&gt;"Serviço",0,IF(OR(AND(AUTOEVENTO="Manual",$M287=1),$M287&gt;(ROW(PLE.lastrow)-ROW(PLE.firstrow))),0,IF(OFFSET(PLE!$G$14,$M287,BE$13)="",10^12,OFFSET(PLE!$G$14,$M287,BE$13))))</f>
        <v>1000000000000</v>
      </c>
      <c r="BF287" s="182">
        <f ca="1">IF($D287&lt;&gt;"Serviço",0,IF(OR(AND(AUTOEVENTO="Manual",$M287=1),$M287&gt;(ROW(PLE.lastrow)-ROW(PLE.firstrow))),0,IF(OFFSET(PLE!$G$14,$M287,BF$13)="",10^12,OFFSET(PLE!$G$14,$M287,BF$13))))</f>
        <v>1000000000000</v>
      </c>
      <c r="BG287" s="182">
        <f ca="1">IF($D287&lt;&gt;"Serviço",0,IF(OR(AND(AUTOEVENTO="Manual",$M287=1),$M287&gt;(ROW(PLE.lastrow)-ROW(PLE.firstrow))),0,IF(OFFSET(PLE!$G$14,$M287,BG$13)="",10^12,OFFSET(PLE!$G$14,$M287,BG$13))))</f>
        <v>1000000000000</v>
      </c>
    </row>
    <row r="288" spans="1:59" ht="12.75" x14ac:dyDescent="0.2">
      <c r="A288" s="7" t="str">
        <f t="shared" ca="1" si="11"/>
        <v>233</v>
      </c>
      <c r="B288" s="7" t="str">
        <f ca="1">OFFSET(ORÇAMENTO!C$15,ROW(B288)-ROW(B$15),0)</f>
        <v>S</v>
      </c>
      <c r="C288" s="7" t="str">
        <f ca="1">OFFSET(ORÇAMENTO!L$15,ROW(C288)-ROW(C$15),0)</f>
        <v/>
      </c>
      <c r="D288" s="118" t="str">
        <f ca="1">OFFSET(ORÇAMENTO!N$15,ROW(D288)-ROW(D$15),0)</f>
        <v>Serviço</v>
      </c>
      <c r="E288" s="119" t="str">
        <f ca="1">OFFSET(ORÇAMENTO!O$15,ROW(E288)-ROW(E$15),0)</f>
        <v>-</v>
      </c>
      <c r="F288" s="172" t="str">
        <f ca="1">OFFSET(ORÇAMENTO!R$15,ROW(F288)-ROW(F$15),0)</f>
        <v>(abra o arquivo 'Referência 03-2024.xlsm)</v>
      </c>
      <c r="G288" s="173" t="str">
        <f ca="1">IF($D288&lt;&gt;"Serviço","",OFFSET(ORÇAMENTO!S$15,ROW(G288)-ROW(G$15),0))</f>
        <v>-</v>
      </c>
      <c r="H288" s="124">
        <f ca="1">IF($D288&lt;&gt;"Serviço",0,IF(ACOMPANHAMENTO="BM",ROUND(OFFSET(ORÇAMENTO!AJ$15,ROW(H288)-ROW(H$15),0),15-13*ORÇAMENTO!$AF$7),SUMPRODUCT(($Q$12:$AA$12&lt;&gt;"")*ROUND($Q288:$AA288,15-13*ORÇAMENTO!$AF$7))))</f>
        <v>0</v>
      </c>
      <c r="I288" s="561"/>
      <c r="K288" s="174"/>
      <c r="L288" s="175" t="s">
        <v>255</v>
      </c>
      <c r="M288" s="176">
        <f ca="1">IF($D288&lt;&gt;"Serviço","",IF(AUTOEVENTO="manual",$A288,IF(ISERROR(MATCH($A288,$A$15:OFFSET($A288,-1,0),0)),MAX($M$15:OFFSET(M288,-1,0))+1,INDEX($M$15:OFFSET(M288,-1,0),MATCH($A288,$A$15:OFFSET($A288,-1,0),0)))))</f>
        <v>14</v>
      </c>
      <c r="N288" s="177" t="str">
        <f ca="1">IF($D288&lt;&gt;"Serviço","",IF(AUTOEVENTO="Manual",IF($A288=0,"&lt;-- defina o número do agrupador",OFFSET(EVENTOS!$D$14,$A288,0)),OFFSET($F$15,$A288,0)))</f>
        <v>SERVIÇOS FINAIS</v>
      </c>
      <c r="O288" s="178"/>
      <c r="Q288" s="178"/>
      <c r="R288" s="179"/>
      <c r="S288" s="179"/>
      <c r="T288" s="179"/>
      <c r="U288" s="179"/>
      <c r="V288" s="179"/>
      <c r="W288" s="179"/>
      <c r="X288" s="179"/>
      <c r="Y288" s="179"/>
      <c r="Z288" s="180"/>
      <c r="AB288" s="544">
        <f ca="1">IF(AND($D288="Serviço",AB$12&lt;&gt;0,$H288&gt;0,OR(AUTOEVENTO&lt;&gt;"manual",$M288&lt;&gt;1)),
IF(Import.TipoArredondamento&lt;&gt;"TransfereGOV",
ROUND(OFFSET($P288,0,AB$13),15-13*ORÇAMENTO!$AF$7)/$H288*OFFSET(ORÇAMENTO!$X$15,ROW(AB288)-ROW(AB$15),0),
ROUND(ROUND(OFFSET($P288,0,AB$13),15-13*ORÇAMENTO!$AF$7)*OFFSET(ORÇAMENTO!$W$15,ROW(AB288)-ROW(AB$15),0),15-13*ORÇAMENTO!$AF$11)),0)</f>
        <v>0</v>
      </c>
      <c r="AC288" s="545">
        <f ca="1">IF(AND($D288="Serviço",AC$12&lt;&gt;0,$H288&gt;0,OR(AUTOEVENTO&lt;&gt;"manual",$M288&lt;&gt;1)),
IF(Import.TipoArredondamento&lt;&gt;"TransfereGOV",
ROUND(OFFSET($P288,0,AC$13),15-13*ORÇAMENTO!$AF$7)/$H288*OFFSET(ORÇAMENTO!$X$15,ROW(AC288)-ROW(AC$15),0),
ROUND(ROUND(OFFSET($P288,0,AC$13),15-13*ORÇAMENTO!$AF$7)*OFFSET(ORÇAMENTO!$W$15,ROW(AC288)-ROW(AC$15),0),15-13*ORÇAMENTO!$AF$11)),0)</f>
        <v>0</v>
      </c>
      <c r="AD288" s="545">
        <f ca="1">IF(AND($D288="Serviço",AD$12&lt;&gt;0,$H288&gt;0,OR(AUTOEVENTO&lt;&gt;"manual",$M288&lt;&gt;1)),
IF(Import.TipoArredondamento&lt;&gt;"TransfereGOV",
ROUND(OFFSET($P288,0,AD$13),15-13*ORÇAMENTO!$AF$7)/$H288*OFFSET(ORÇAMENTO!$X$15,ROW(AD288)-ROW(AD$15),0),
ROUND(ROUND(OFFSET($P288,0,AD$13),15-13*ORÇAMENTO!$AF$7)*OFFSET(ORÇAMENTO!$W$15,ROW(AD288)-ROW(AD$15),0),15-13*ORÇAMENTO!$AF$11)),0)</f>
        <v>0</v>
      </c>
      <c r="AE288" s="545">
        <f ca="1">IF(AND($D288="Serviço",AE$12&lt;&gt;0,$H288&gt;0,OR(AUTOEVENTO&lt;&gt;"manual",$M288&lt;&gt;1)),
IF(Import.TipoArredondamento&lt;&gt;"TransfereGOV",
ROUND(OFFSET($P288,0,AE$13),15-13*ORÇAMENTO!$AF$7)/$H288*OFFSET(ORÇAMENTO!$X$15,ROW(AE288)-ROW(AE$15),0),
ROUND(ROUND(OFFSET($P288,0,AE$13),15-13*ORÇAMENTO!$AF$7)*OFFSET(ORÇAMENTO!$W$15,ROW(AE288)-ROW(AE$15),0),15-13*ORÇAMENTO!$AF$11)),0)</f>
        <v>0</v>
      </c>
      <c r="AF288" s="545">
        <f ca="1">IF(AND($D288="Serviço",AF$12&lt;&gt;0,$H288&gt;0,OR(AUTOEVENTO&lt;&gt;"manual",$M288&lt;&gt;1)),
IF(Import.TipoArredondamento&lt;&gt;"TransfereGOV",
ROUND(OFFSET($P288,0,AF$13),15-13*ORÇAMENTO!$AF$7)/$H288*OFFSET(ORÇAMENTO!$X$15,ROW(AF288)-ROW(AF$15),0),
ROUND(ROUND(OFFSET($P288,0,AF$13),15-13*ORÇAMENTO!$AF$7)*OFFSET(ORÇAMENTO!$W$15,ROW(AF288)-ROW(AF$15),0),15-13*ORÇAMENTO!$AF$11)),0)</f>
        <v>0</v>
      </c>
      <c r="AG288" s="545">
        <f ca="1">IF(AND($D288="Serviço",AG$12&lt;&gt;0,$H288&gt;0,OR(AUTOEVENTO&lt;&gt;"manual",$M288&lt;&gt;1)),
IF(Import.TipoArredondamento&lt;&gt;"TransfereGOV",
ROUND(OFFSET($P288,0,AG$13),15-13*ORÇAMENTO!$AF$7)/$H288*OFFSET(ORÇAMENTO!$X$15,ROW(AG288)-ROW(AG$15),0),
ROUND(ROUND(OFFSET($P288,0,AG$13),15-13*ORÇAMENTO!$AF$7)*OFFSET(ORÇAMENTO!$W$15,ROW(AG288)-ROW(AG$15),0),15-13*ORÇAMENTO!$AF$11)),0)</f>
        <v>0</v>
      </c>
      <c r="AH288" s="545">
        <f ca="1">IF(AND($D288="Serviço",AH$12&lt;&gt;0,$H288&gt;0,OR(AUTOEVENTO&lt;&gt;"manual",$M288&lt;&gt;1)),
IF(Import.TipoArredondamento&lt;&gt;"TransfereGOV",
ROUND(OFFSET($P288,0,AH$13),15-13*ORÇAMENTO!$AF$7)/$H288*OFFSET(ORÇAMENTO!$X$15,ROW(AH288)-ROW(AH$15),0),
ROUND(ROUND(OFFSET($P288,0,AH$13),15-13*ORÇAMENTO!$AF$7)*OFFSET(ORÇAMENTO!$W$15,ROW(AH288)-ROW(AH$15),0),15-13*ORÇAMENTO!$AF$11)),0)</f>
        <v>0</v>
      </c>
      <c r="AI288" s="545">
        <f ca="1">IF(AND($D288="Serviço",AI$12&lt;&gt;0,$H288&gt;0,OR(AUTOEVENTO&lt;&gt;"manual",$M288&lt;&gt;1)),
IF(Import.TipoArredondamento&lt;&gt;"TransfereGOV",
ROUND(OFFSET($P288,0,AI$13),15-13*ORÇAMENTO!$AF$7)/$H288*OFFSET(ORÇAMENTO!$X$15,ROW(AI288)-ROW(AI$15),0),
ROUND(ROUND(OFFSET($P288,0,AI$13),15-13*ORÇAMENTO!$AF$7)*OFFSET(ORÇAMENTO!$W$15,ROW(AI288)-ROW(AI$15),0),15-13*ORÇAMENTO!$AF$11)),0)</f>
        <v>0</v>
      </c>
      <c r="AJ288" s="545">
        <f ca="1">IF(AND($D288="Serviço",AJ$12&lt;&gt;0,$H288&gt;0,OR(AUTOEVENTO&lt;&gt;"manual",$M288&lt;&gt;1)),
IF(Import.TipoArredondamento&lt;&gt;"TransfereGOV",
ROUND(OFFSET($P288,0,AJ$13),15-13*ORÇAMENTO!$AF$7)/$H288*OFFSET(ORÇAMENTO!$X$15,ROW(AJ288)-ROW(AJ$15),0),
ROUND(ROUND(OFFSET($P288,0,AJ$13),15-13*ORÇAMENTO!$AF$7)*OFFSET(ORÇAMENTO!$W$15,ROW(AJ288)-ROW(AJ$15),0),15-13*ORÇAMENTO!$AF$11)),0)</f>
        <v>0</v>
      </c>
      <c r="AK288" s="546">
        <f ca="1">IF(AND($D288="Serviço",AK$12&lt;&gt;0,$H288&gt;0,OR(AUTOEVENTO&lt;&gt;"manual",$M288&lt;&gt;1)),
IF(Import.TipoArredondamento&lt;&gt;"TransfereGOV",
ROUND(OFFSET($P288,0,AK$13),15-13*ORÇAMENTO!$AF$7)/$H288*OFFSET(ORÇAMENTO!$X$15,ROW(AK288)-ROW(AK$15),0),
ROUND(ROUND(OFFSET($P288,0,AK$13),15-13*ORÇAMENTO!$AF$7)*OFFSET(ORÇAMENTO!$W$15,ROW(AK288)-ROW(AK$15),0),15-13*ORÇAMENTO!$AF$11)),0)</f>
        <v>0</v>
      </c>
      <c r="AM288" s="181">
        <f ca="1">IF($D288&lt;&gt;"Serviço",0,IF(AND(AUTOEVENTO="Manual",$M288=1),0,IF(OFFSET(CRONOPLE!$F$14,$M288,AM$13)="",10^12,OFFSET(CRONOPLE!$F$14,$M288,AM$13))))</f>
        <v>1000000000000</v>
      </c>
      <c r="AN288" s="181">
        <f ca="1">IF($D288&lt;&gt;"Serviço",0,IF(AND(AUTOEVENTO="Manual",$M288=1),0,IF(OFFSET(CRONOPLE!$F$14,$M288,AN$13)="",10^12,OFFSET(CRONOPLE!$F$14,$M288,AN$13))))</f>
        <v>1000000000000</v>
      </c>
      <c r="AO288" s="181">
        <f ca="1">IF($D288&lt;&gt;"Serviço",0,IF(AND(AUTOEVENTO="Manual",$M288=1),0,IF(OFFSET(CRONOPLE!$F$14,$M288,AO$13)="",10^12,OFFSET(CRONOPLE!$F$14,$M288,AO$13))))</f>
        <v>1000000000000</v>
      </c>
      <c r="AP288" s="181">
        <f ca="1">IF($D288&lt;&gt;"Serviço",0,IF(AND(AUTOEVENTO="Manual",$M288=1),0,IF(OFFSET(CRONOPLE!$F$14,$M288,AP$13)="",10^12,OFFSET(CRONOPLE!$F$14,$M288,AP$13))))</f>
        <v>1000000000000</v>
      </c>
      <c r="AQ288" s="181">
        <f ca="1">IF($D288&lt;&gt;"Serviço",0,IF(AND(AUTOEVENTO="Manual",$M288=1),0,IF(OFFSET(CRONOPLE!$F$14,$M288,AQ$13)="",10^12,OFFSET(CRONOPLE!$F$14,$M288,AQ$13))))</f>
        <v>1000000000000</v>
      </c>
      <c r="AR288" s="181">
        <f ca="1">IF($D288&lt;&gt;"Serviço",0,IF(AND(AUTOEVENTO="Manual",$M288=1),0,IF(OFFSET(CRONOPLE!$F$14,$M288,AR$13)="",10^12,OFFSET(CRONOPLE!$F$14,$M288,AR$13))))</f>
        <v>1000000000000</v>
      </c>
      <c r="AS288" s="181">
        <f ca="1">IF($D288&lt;&gt;"Serviço",0,IF(AND(AUTOEVENTO="Manual",$M288=1),0,IF(OFFSET(CRONOPLE!$F$14,$M288,AS$13)="",10^12,OFFSET(CRONOPLE!$F$14,$M288,AS$13))))</f>
        <v>1000000000000</v>
      </c>
      <c r="AT288" s="181">
        <f ca="1">IF($D288&lt;&gt;"Serviço",0,IF(AND(AUTOEVENTO="Manual",$M288=1),0,IF(OFFSET(CRONOPLE!$F$14,$M288,AT$13)="",10^12,OFFSET(CRONOPLE!$F$14,$M288,AT$13))))</f>
        <v>1000000000000</v>
      </c>
      <c r="AU288" s="181">
        <f ca="1">IF($D288&lt;&gt;"Serviço",0,IF(AND(AUTOEVENTO="Manual",$M288=1),0,IF(OFFSET(CRONOPLE!$F$14,$M288,AU$13)="",10^12,OFFSET(CRONOPLE!$F$14,$M288,AU$13))))</f>
        <v>1000000000000</v>
      </c>
      <c r="AV288" s="181">
        <f ca="1">IF($D288&lt;&gt;"Serviço",0,IF(AND(AUTOEVENTO="Manual",$M288=1),0,IF(OFFSET(CRONOPLE!$F$14,$M288,AV$13)="",10^12,OFFSET(CRONOPLE!$F$14,$M288,AV$13))))</f>
        <v>1000000000000</v>
      </c>
      <c r="AX288" s="182">
        <f ca="1">IF($D288&lt;&gt;"Serviço",0,IF(OR(AND(AUTOEVENTO="Manual",$M288=1),$M288&gt;(ROW(PLE.lastrow)-ROW(PLE.firstrow))),0,IF(OFFSET(PLE!$G$14,$M288,AX$13)="",10^12,OFFSET(PLE!$G$14,$M288,AX$13))))</f>
        <v>1000000000000</v>
      </c>
      <c r="AY288" s="182">
        <f ca="1">IF($D288&lt;&gt;"Serviço",0,IF(OR(AND(AUTOEVENTO="Manual",$M288=1),$M288&gt;(ROW(PLE.lastrow)-ROW(PLE.firstrow))),0,IF(OFFSET(PLE!$G$14,$M288,AY$13)="",10^12,OFFSET(PLE!$G$14,$M288,AY$13))))</f>
        <v>1000000000000</v>
      </c>
      <c r="AZ288" s="182">
        <f ca="1">IF($D288&lt;&gt;"Serviço",0,IF(OR(AND(AUTOEVENTO="Manual",$M288=1),$M288&gt;(ROW(PLE.lastrow)-ROW(PLE.firstrow))),0,IF(OFFSET(PLE!$G$14,$M288,AZ$13)="",10^12,OFFSET(PLE!$G$14,$M288,AZ$13))))</f>
        <v>1000000000000</v>
      </c>
      <c r="BA288" s="182">
        <f ca="1">IF($D288&lt;&gt;"Serviço",0,IF(OR(AND(AUTOEVENTO="Manual",$M288=1),$M288&gt;(ROW(PLE.lastrow)-ROW(PLE.firstrow))),0,IF(OFFSET(PLE!$G$14,$M288,BA$13)="",10^12,OFFSET(PLE!$G$14,$M288,BA$13))))</f>
        <v>1000000000000</v>
      </c>
      <c r="BB288" s="182">
        <f ca="1">IF($D288&lt;&gt;"Serviço",0,IF(OR(AND(AUTOEVENTO="Manual",$M288=1),$M288&gt;(ROW(PLE.lastrow)-ROW(PLE.firstrow))),0,IF(OFFSET(PLE!$G$14,$M288,BB$13)="",10^12,OFFSET(PLE!$G$14,$M288,BB$13))))</f>
        <v>1000000000000</v>
      </c>
      <c r="BC288" s="182">
        <f ca="1">IF($D288&lt;&gt;"Serviço",0,IF(OR(AND(AUTOEVENTO="Manual",$M288=1),$M288&gt;(ROW(PLE.lastrow)-ROW(PLE.firstrow))),0,IF(OFFSET(PLE!$G$14,$M288,BC$13)="",10^12,OFFSET(PLE!$G$14,$M288,BC$13))))</f>
        <v>1000000000000</v>
      </c>
      <c r="BD288" s="182">
        <f ca="1">IF($D288&lt;&gt;"Serviço",0,IF(OR(AND(AUTOEVENTO="Manual",$M288=1),$M288&gt;(ROW(PLE.lastrow)-ROW(PLE.firstrow))),0,IF(OFFSET(PLE!$G$14,$M288,BD$13)="",10^12,OFFSET(PLE!$G$14,$M288,BD$13))))</f>
        <v>1000000000000</v>
      </c>
      <c r="BE288" s="182">
        <f ca="1">IF($D288&lt;&gt;"Serviço",0,IF(OR(AND(AUTOEVENTO="Manual",$M288=1),$M288&gt;(ROW(PLE.lastrow)-ROW(PLE.firstrow))),0,IF(OFFSET(PLE!$G$14,$M288,BE$13)="",10^12,OFFSET(PLE!$G$14,$M288,BE$13))))</f>
        <v>1000000000000</v>
      </c>
      <c r="BF288" s="182">
        <f ca="1">IF($D288&lt;&gt;"Serviço",0,IF(OR(AND(AUTOEVENTO="Manual",$M288=1),$M288&gt;(ROW(PLE.lastrow)-ROW(PLE.firstrow))),0,IF(OFFSET(PLE!$G$14,$M288,BF$13)="",10^12,OFFSET(PLE!$G$14,$M288,BF$13))))</f>
        <v>1000000000000</v>
      </c>
      <c r="BG288" s="182">
        <f ca="1">IF($D288&lt;&gt;"Serviço",0,IF(OR(AND(AUTOEVENTO="Manual",$M288=1),$M288&gt;(ROW(PLE.lastrow)-ROW(PLE.firstrow))),0,IF(OFFSET(PLE!$G$14,$M288,BG$13)="",10^12,OFFSET(PLE!$G$14,$M288,BG$13))))</f>
        <v>1000000000000</v>
      </c>
    </row>
    <row r="289" spans="1:59" ht="12.75" x14ac:dyDescent="0.2">
      <c r="A289" s="7" t="str">
        <f t="shared" ca="1" si="11"/>
        <v>233</v>
      </c>
      <c r="B289" s="7" t="str">
        <f ca="1">OFFSET(ORÇAMENTO!C$15,ROW(B289)-ROW(B$15),0)</f>
        <v>S</v>
      </c>
      <c r="C289" s="7" t="str">
        <f ca="1">OFFSET(ORÇAMENTO!L$15,ROW(C289)-ROW(C$15),0)</f>
        <v/>
      </c>
      <c r="D289" s="118" t="str">
        <f ca="1">OFFSET(ORÇAMENTO!N$15,ROW(D289)-ROW(D$15),0)</f>
        <v>Serviço</v>
      </c>
      <c r="E289" s="119" t="str">
        <f ca="1">OFFSET(ORÇAMENTO!O$15,ROW(E289)-ROW(E$15),0)</f>
        <v>-</v>
      </c>
      <c r="F289" s="172" t="str">
        <f ca="1">OFFSET(ORÇAMENTO!R$15,ROW(F289)-ROW(F$15),0)</f>
        <v>(abra o arquivo 'Referência 03-2024.xlsm)</v>
      </c>
      <c r="G289" s="173" t="str">
        <f ca="1">IF($D289&lt;&gt;"Serviço","",OFFSET(ORÇAMENTO!S$15,ROW(G289)-ROW(G$15),0))</f>
        <v>-</v>
      </c>
      <c r="H289" s="124">
        <f ca="1">IF($D289&lt;&gt;"Serviço",0,IF(ACOMPANHAMENTO="BM",ROUND(OFFSET(ORÇAMENTO!AJ$15,ROW(H289)-ROW(H$15),0),15-13*ORÇAMENTO!$AF$7),SUMPRODUCT(($Q$12:$AA$12&lt;&gt;"")*ROUND($Q289:$AA289,15-13*ORÇAMENTO!$AF$7))))</f>
        <v>0</v>
      </c>
      <c r="I289" s="561"/>
      <c r="K289" s="174"/>
      <c r="L289" s="175" t="s">
        <v>255</v>
      </c>
      <c r="M289" s="176">
        <f ca="1">IF($D289&lt;&gt;"Serviço","",IF(AUTOEVENTO="manual",$A289,IF(ISERROR(MATCH($A289,$A$15:OFFSET($A289,-1,0),0)),MAX($M$15:OFFSET(M289,-1,0))+1,INDEX($M$15:OFFSET(M289,-1,0),MATCH($A289,$A$15:OFFSET($A289,-1,0),0)))))</f>
        <v>14</v>
      </c>
      <c r="N289" s="177" t="str">
        <f ca="1">IF($D289&lt;&gt;"Serviço","",IF(AUTOEVENTO="Manual",IF($A289=0,"&lt;-- defina o número do agrupador",OFFSET(EVENTOS!$D$14,$A289,0)),OFFSET($F$15,$A289,0)))</f>
        <v>SERVIÇOS FINAIS</v>
      </c>
      <c r="O289" s="178"/>
      <c r="Q289" s="178"/>
      <c r="R289" s="179"/>
      <c r="S289" s="179"/>
      <c r="T289" s="179"/>
      <c r="U289" s="179"/>
      <c r="V289" s="179"/>
      <c r="W289" s="179"/>
      <c r="X289" s="179"/>
      <c r="Y289" s="179"/>
      <c r="Z289" s="180"/>
      <c r="AB289" s="544">
        <f ca="1">IF(AND($D289="Serviço",AB$12&lt;&gt;0,$H289&gt;0,OR(AUTOEVENTO&lt;&gt;"manual",$M289&lt;&gt;1)),
IF(Import.TipoArredondamento&lt;&gt;"TransfereGOV",
ROUND(OFFSET($P289,0,AB$13),15-13*ORÇAMENTO!$AF$7)/$H289*OFFSET(ORÇAMENTO!$X$15,ROW(AB289)-ROW(AB$15),0),
ROUND(ROUND(OFFSET($P289,0,AB$13),15-13*ORÇAMENTO!$AF$7)*OFFSET(ORÇAMENTO!$W$15,ROW(AB289)-ROW(AB$15),0),15-13*ORÇAMENTO!$AF$11)),0)</f>
        <v>0</v>
      </c>
      <c r="AC289" s="545">
        <f ca="1">IF(AND($D289="Serviço",AC$12&lt;&gt;0,$H289&gt;0,OR(AUTOEVENTO&lt;&gt;"manual",$M289&lt;&gt;1)),
IF(Import.TipoArredondamento&lt;&gt;"TransfereGOV",
ROUND(OFFSET($P289,0,AC$13),15-13*ORÇAMENTO!$AF$7)/$H289*OFFSET(ORÇAMENTO!$X$15,ROW(AC289)-ROW(AC$15),0),
ROUND(ROUND(OFFSET($P289,0,AC$13),15-13*ORÇAMENTO!$AF$7)*OFFSET(ORÇAMENTO!$W$15,ROW(AC289)-ROW(AC$15),0),15-13*ORÇAMENTO!$AF$11)),0)</f>
        <v>0</v>
      </c>
      <c r="AD289" s="545">
        <f ca="1">IF(AND($D289="Serviço",AD$12&lt;&gt;0,$H289&gt;0,OR(AUTOEVENTO&lt;&gt;"manual",$M289&lt;&gt;1)),
IF(Import.TipoArredondamento&lt;&gt;"TransfereGOV",
ROUND(OFFSET($P289,0,AD$13),15-13*ORÇAMENTO!$AF$7)/$H289*OFFSET(ORÇAMENTO!$X$15,ROW(AD289)-ROW(AD$15),0),
ROUND(ROUND(OFFSET($P289,0,AD$13),15-13*ORÇAMENTO!$AF$7)*OFFSET(ORÇAMENTO!$W$15,ROW(AD289)-ROW(AD$15),0),15-13*ORÇAMENTO!$AF$11)),0)</f>
        <v>0</v>
      </c>
      <c r="AE289" s="545">
        <f ca="1">IF(AND($D289="Serviço",AE$12&lt;&gt;0,$H289&gt;0,OR(AUTOEVENTO&lt;&gt;"manual",$M289&lt;&gt;1)),
IF(Import.TipoArredondamento&lt;&gt;"TransfereGOV",
ROUND(OFFSET($P289,0,AE$13),15-13*ORÇAMENTO!$AF$7)/$H289*OFFSET(ORÇAMENTO!$X$15,ROW(AE289)-ROW(AE$15),0),
ROUND(ROUND(OFFSET($P289,0,AE$13),15-13*ORÇAMENTO!$AF$7)*OFFSET(ORÇAMENTO!$W$15,ROW(AE289)-ROW(AE$15),0),15-13*ORÇAMENTO!$AF$11)),0)</f>
        <v>0</v>
      </c>
      <c r="AF289" s="545">
        <f ca="1">IF(AND($D289="Serviço",AF$12&lt;&gt;0,$H289&gt;0,OR(AUTOEVENTO&lt;&gt;"manual",$M289&lt;&gt;1)),
IF(Import.TipoArredondamento&lt;&gt;"TransfereGOV",
ROUND(OFFSET($P289,0,AF$13),15-13*ORÇAMENTO!$AF$7)/$H289*OFFSET(ORÇAMENTO!$X$15,ROW(AF289)-ROW(AF$15),0),
ROUND(ROUND(OFFSET($P289,0,AF$13),15-13*ORÇAMENTO!$AF$7)*OFFSET(ORÇAMENTO!$W$15,ROW(AF289)-ROW(AF$15),0),15-13*ORÇAMENTO!$AF$11)),0)</f>
        <v>0</v>
      </c>
      <c r="AG289" s="545">
        <f ca="1">IF(AND($D289="Serviço",AG$12&lt;&gt;0,$H289&gt;0,OR(AUTOEVENTO&lt;&gt;"manual",$M289&lt;&gt;1)),
IF(Import.TipoArredondamento&lt;&gt;"TransfereGOV",
ROUND(OFFSET($P289,0,AG$13),15-13*ORÇAMENTO!$AF$7)/$H289*OFFSET(ORÇAMENTO!$X$15,ROW(AG289)-ROW(AG$15),0),
ROUND(ROUND(OFFSET($P289,0,AG$13),15-13*ORÇAMENTO!$AF$7)*OFFSET(ORÇAMENTO!$W$15,ROW(AG289)-ROW(AG$15),0),15-13*ORÇAMENTO!$AF$11)),0)</f>
        <v>0</v>
      </c>
      <c r="AH289" s="545">
        <f ca="1">IF(AND($D289="Serviço",AH$12&lt;&gt;0,$H289&gt;0,OR(AUTOEVENTO&lt;&gt;"manual",$M289&lt;&gt;1)),
IF(Import.TipoArredondamento&lt;&gt;"TransfereGOV",
ROUND(OFFSET($P289,0,AH$13),15-13*ORÇAMENTO!$AF$7)/$H289*OFFSET(ORÇAMENTO!$X$15,ROW(AH289)-ROW(AH$15),0),
ROUND(ROUND(OFFSET($P289,0,AH$13),15-13*ORÇAMENTO!$AF$7)*OFFSET(ORÇAMENTO!$W$15,ROW(AH289)-ROW(AH$15),0),15-13*ORÇAMENTO!$AF$11)),0)</f>
        <v>0</v>
      </c>
      <c r="AI289" s="545">
        <f ca="1">IF(AND($D289="Serviço",AI$12&lt;&gt;0,$H289&gt;0,OR(AUTOEVENTO&lt;&gt;"manual",$M289&lt;&gt;1)),
IF(Import.TipoArredondamento&lt;&gt;"TransfereGOV",
ROUND(OFFSET($P289,0,AI$13),15-13*ORÇAMENTO!$AF$7)/$H289*OFFSET(ORÇAMENTO!$X$15,ROW(AI289)-ROW(AI$15),0),
ROUND(ROUND(OFFSET($P289,0,AI$13),15-13*ORÇAMENTO!$AF$7)*OFFSET(ORÇAMENTO!$W$15,ROW(AI289)-ROW(AI$15),0),15-13*ORÇAMENTO!$AF$11)),0)</f>
        <v>0</v>
      </c>
      <c r="AJ289" s="545">
        <f ca="1">IF(AND($D289="Serviço",AJ$12&lt;&gt;0,$H289&gt;0,OR(AUTOEVENTO&lt;&gt;"manual",$M289&lt;&gt;1)),
IF(Import.TipoArredondamento&lt;&gt;"TransfereGOV",
ROUND(OFFSET($P289,0,AJ$13),15-13*ORÇAMENTO!$AF$7)/$H289*OFFSET(ORÇAMENTO!$X$15,ROW(AJ289)-ROW(AJ$15),0),
ROUND(ROUND(OFFSET($P289,0,AJ$13),15-13*ORÇAMENTO!$AF$7)*OFFSET(ORÇAMENTO!$W$15,ROW(AJ289)-ROW(AJ$15),0),15-13*ORÇAMENTO!$AF$11)),0)</f>
        <v>0</v>
      </c>
      <c r="AK289" s="546">
        <f ca="1">IF(AND($D289="Serviço",AK$12&lt;&gt;0,$H289&gt;0,OR(AUTOEVENTO&lt;&gt;"manual",$M289&lt;&gt;1)),
IF(Import.TipoArredondamento&lt;&gt;"TransfereGOV",
ROUND(OFFSET($P289,0,AK$13),15-13*ORÇAMENTO!$AF$7)/$H289*OFFSET(ORÇAMENTO!$X$15,ROW(AK289)-ROW(AK$15),0),
ROUND(ROUND(OFFSET($P289,0,AK$13),15-13*ORÇAMENTO!$AF$7)*OFFSET(ORÇAMENTO!$W$15,ROW(AK289)-ROW(AK$15),0),15-13*ORÇAMENTO!$AF$11)),0)</f>
        <v>0</v>
      </c>
      <c r="AM289" s="181">
        <f ca="1">IF($D289&lt;&gt;"Serviço",0,IF(AND(AUTOEVENTO="Manual",$M289=1),0,IF(OFFSET(CRONOPLE!$F$14,$M289,AM$13)="",10^12,OFFSET(CRONOPLE!$F$14,$M289,AM$13))))</f>
        <v>1000000000000</v>
      </c>
      <c r="AN289" s="181">
        <f ca="1">IF($D289&lt;&gt;"Serviço",0,IF(AND(AUTOEVENTO="Manual",$M289=1),0,IF(OFFSET(CRONOPLE!$F$14,$M289,AN$13)="",10^12,OFFSET(CRONOPLE!$F$14,$M289,AN$13))))</f>
        <v>1000000000000</v>
      </c>
      <c r="AO289" s="181">
        <f ca="1">IF($D289&lt;&gt;"Serviço",0,IF(AND(AUTOEVENTO="Manual",$M289=1),0,IF(OFFSET(CRONOPLE!$F$14,$M289,AO$13)="",10^12,OFFSET(CRONOPLE!$F$14,$M289,AO$13))))</f>
        <v>1000000000000</v>
      </c>
      <c r="AP289" s="181">
        <f ca="1">IF($D289&lt;&gt;"Serviço",0,IF(AND(AUTOEVENTO="Manual",$M289=1),0,IF(OFFSET(CRONOPLE!$F$14,$M289,AP$13)="",10^12,OFFSET(CRONOPLE!$F$14,$M289,AP$13))))</f>
        <v>1000000000000</v>
      </c>
      <c r="AQ289" s="181">
        <f ca="1">IF($D289&lt;&gt;"Serviço",0,IF(AND(AUTOEVENTO="Manual",$M289=1),0,IF(OFFSET(CRONOPLE!$F$14,$M289,AQ$13)="",10^12,OFFSET(CRONOPLE!$F$14,$M289,AQ$13))))</f>
        <v>1000000000000</v>
      </c>
      <c r="AR289" s="181">
        <f ca="1">IF($D289&lt;&gt;"Serviço",0,IF(AND(AUTOEVENTO="Manual",$M289=1),0,IF(OFFSET(CRONOPLE!$F$14,$M289,AR$13)="",10^12,OFFSET(CRONOPLE!$F$14,$M289,AR$13))))</f>
        <v>1000000000000</v>
      </c>
      <c r="AS289" s="181">
        <f ca="1">IF($D289&lt;&gt;"Serviço",0,IF(AND(AUTOEVENTO="Manual",$M289=1),0,IF(OFFSET(CRONOPLE!$F$14,$M289,AS$13)="",10^12,OFFSET(CRONOPLE!$F$14,$M289,AS$13))))</f>
        <v>1000000000000</v>
      </c>
      <c r="AT289" s="181">
        <f ca="1">IF($D289&lt;&gt;"Serviço",0,IF(AND(AUTOEVENTO="Manual",$M289=1),0,IF(OFFSET(CRONOPLE!$F$14,$M289,AT$13)="",10^12,OFFSET(CRONOPLE!$F$14,$M289,AT$13))))</f>
        <v>1000000000000</v>
      </c>
      <c r="AU289" s="181">
        <f ca="1">IF($D289&lt;&gt;"Serviço",0,IF(AND(AUTOEVENTO="Manual",$M289=1),0,IF(OFFSET(CRONOPLE!$F$14,$M289,AU$13)="",10^12,OFFSET(CRONOPLE!$F$14,$M289,AU$13))))</f>
        <v>1000000000000</v>
      </c>
      <c r="AV289" s="181">
        <f ca="1">IF($D289&lt;&gt;"Serviço",0,IF(AND(AUTOEVENTO="Manual",$M289=1),0,IF(OFFSET(CRONOPLE!$F$14,$M289,AV$13)="",10^12,OFFSET(CRONOPLE!$F$14,$M289,AV$13))))</f>
        <v>1000000000000</v>
      </c>
      <c r="AX289" s="182">
        <f ca="1">IF($D289&lt;&gt;"Serviço",0,IF(OR(AND(AUTOEVENTO="Manual",$M289=1),$M289&gt;(ROW(PLE.lastrow)-ROW(PLE.firstrow))),0,IF(OFFSET(PLE!$G$14,$M289,AX$13)="",10^12,OFFSET(PLE!$G$14,$M289,AX$13))))</f>
        <v>1000000000000</v>
      </c>
      <c r="AY289" s="182">
        <f ca="1">IF($D289&lt;&gt;"Serviço",0,IF(OR(AND(AUTOEVENTO="Manual",$M289=1),$M289&gt;(ROW(PLE.lastrow)-ROW(PLE.firstrow))),0,IF(OFFSET(PLE!$G$14,$M289,AY$13)="",10^12,OFFSET(PLE!$G$14,$M289,AY$13))))</f>
        <v>1000000000000</v>
      </c>
      <c r="AZ289" s="182">
        <f ca="1">IF($D289&lt;&gt;"Serviço",0,IF(OR(AND(AUTOEVENTO="Manual",$M289=1),$M289&gt;(ROW(PLE.lastrow)-ROW(PLE.firstrow))),0,IF(OFFSET(PLE!$G$14,$M289,AZ$13)="",10^12,OFFSET(PLE!$G$14,$M289,AZ$13))))</f>
        <v>1000000000000</v>
      </c>
      <c r="BA289" s="182">
        <f ca="1">IF($D289&lt;&gt;"Serviço",0,IF(OR(AND(AUTOEVENTO="Manual",$M289=1),$M289&gt;(ROW(PLE.lastrow)-ROW(PLE.firstrow))),0,IF(OFFSET(PLE!$G$14,$M289,BA$13)="",10^12,OFFSET(PLE!$G$14,$M289,BA$13))))</f>
        <v>1000000000000</v>
      </c>
      <c r="BB289" s="182">
        <f ca="1">IF($D289&lt;&gt;"Serviço",0,IF(OR(AND(AUTOEVENTO="Manual",$M289=1),$M289&gt;(ROW(PLE.lastrow)-ROW(PLE.firstrow))),0,IF(OFFSET(PLE!$G$14,$M289,BB$13)="",10^12,OFFSET(PLE!$G$14,$M289,BB$13))))</f>
        <v>1000000000000</v>
      </c>
      <c r="BC289" s="182">
        <f ca="1">IF($D289&lt;&gt;"Serviço",0,IF(OR(AND(AUTOEVENTO="Manual",$M289=1),$M289&gt;(ROW(PLE.lastrow)-ROW(PLE.firstrow))),0,IF(OFFSET(PLE!$G$14,$M289,BC$13)="",10^12,OFFSET(PLE!$G$14,$M289,BC$13))))</f>
        <v>1000000000000</v>
      </c>
      <c r="BD289" s="182">
        <f ca="1">IF($D289&lt;&gt;"Serviço",0,IF(OR(AND(AUTOEVENTO="Manual",$M289=1),$M289&gt;(ROW(PLE.lastrow)-ROW(PLE.firstrow))),0,IF(OFFSET(PLE!$G$14,$M289,BD$13)="",10^12,OFFSET(PLE!$G$14,$M289,BD$13))))</f>
        <v>1000000000000</v>
      </c>
      <c r="BE289" s="182">
        <f ca="1">IF($D289&lt;&gt;"Serviço",0,IF(OR(AND(AUTOEVENTO="Manual",$M289=1),$M289&gt;(ROW(PLE.lastrow)-ROW(PLE.firstrow))),0,IF(OFFSET(PLE!$G$14,$M289,BE$13)="",10^12,OFFSET(PLE!$G$14,$M289,BE$13))))</f>
        <v>1000000000000</v>
      </c>
      <c r="BF289" s="182">
        <f ca="1">IF($D289&lt;&gt;"Serviço",0,IF(OR(AND(AUTOEVENTO="Manual",$M289=1),$M289&gt;(ROW(PLE.lastrow)-ROW(PLE.firstrow))),0,IF(OFFSET(PLE!$G$14,$M289,BF$13)="",10^12,OFFSET(PLE!$G$14,$M289,BF$13))))</f>
        <v>1000000000000</v>
      </c>
      <c r="BG289" s="182">
        <f ca="1">IF($D289&lt;&gt;"Serviço",0,IF(OR(AND(AUTOEVENTO="Manual",$M289=1),$M289&gt;(ROW(PLE.lastrow)-ROW(PLE.firstrow))),0,IF(OFFSET(PLE!$G$14,$M289,BG$13)="",10^12,OFFSET(PLE!$G$14,$M289,BG$13))))</f>
        <v>1000000000000</v>
      </c>
    </row>
    <row r="290" spans="1:59" ht="5.0999999999999996" customHeight="1" x14ac:dyDescent="0.2">
      <c r="B290" s="7">
        <f ca="1">OFFSET(ORÇAMENTO!C$15,ROW(B290)-ROW(B$15),0)</f>
        <v>-1</v>
      </c>
      <c r="C290" s="7" t="str">
        <f ca="1">OFFSET(ORÇAMENTO!L$15,ROW(C290)-ROW(C$15),0)</f>
        <v>F</v>
      </c>
      <c r="D290" s="483" t="s">
        <v>194</v>
      </c>
      <c r="E290" s="484"/>
      <c r="F290" s="485"/>
      <c r="G290" s="485"/>
      <c r="H290" s="485"/>
      <c r="I290" s="486"/>
      <c r="K290" s="488"/>
      <c r="L290" s="175" t="s">
        <v>255</v>
      </c>
      <c r="M290" s="489"/>
      <c r="N290" s="487"/>
      <c r="O290" s="482"/>
      <c r="Q290" s="484"/>
      <c r="R290" s="485"/>
      <c r="S290" s="485"/>
      <c r="T290" s="485"/>
      <c r="U290" s="485"/>
      <c r="V290" s="485"/>
      <c r="W290" s="485"/>
      <c r="X290" s="485"/>
      <c r="Y290" s="485"/>
      <c r="Z290" s="486"/>
      <c r="AB290" s="138"/>
      <c r="AC290" s="192"/>
      <c r="AD290" s="192"/>
      <c r="AE290" s="192"/>
      <c r="AF290" s="192"/>
      <c r="AG290" s="192"/>
      <c r="AH290" s="192"/>
      <c r="AI290" s="192"/>
      <c r="AJ290" s="192"/>
      <c r="AK290" s="139"/>
      <c r="AM290" s="138"/>
      <c r="AN290" s="192"/>
      <c r="AO290" s="192"/>
      <c r="AP290" s="192"/>
      <c r="AQ290" s="192"/>
      <c r="AR290" s="192"/>
      <c r="AS290" s="192"/>
      <c r="AT290" s="192"/>
      <c r="AU290" s="192"/>
      <c r="AV290" s="139"/>
      <c r="AX290" s="138"/>
      <c r="AY290" s="192"/>
      <c r="AZ290" s="192"/>
      <c r="BA290" s="192"/>
      <c r="BB290" s="192"/>
      <c r="BC290" s="192"/>
      <c r="BD290" s="192"/>
      <c r="BE290" s="192"/>
      <c r="BF290" s="192"/>
      <c r="BG290" s="139"/>
    </row>
    <row r="291" spans="1:59" ht="12.75" customHeight="1" x14ac:dyDescent="0.2"/>
    <row r="292" spans="1:59" ht="12.75" customHeight="1" x14ac:dyDescent="0.2"/>
    <row r="293" spans="1:59" ht="12.75" customHeight="1" x14ac:dyDescent="0.2"/>
    <row r="294" spans="1:59" ht="15" customHeight="1" x14ac:dyDescent="0.2">
      <c r="F294" s="193" t="str">
        <f>Import.Município</f>
        <v>RONDINHA - RS</v>
      </c>
      <c r="I294" s="553"/>
      <c r="J294" s="553"/>
      <c r="K294" s="553"/>
      <c r="L294" s="553"/>
      <c r="M294" s="554"/>
      <c r="N294" s="479"/>
      <c r="T294" s="145"/>
      <c r="U294" s="145"/>
      <c r="V294" s="194"/>
      <c r="W294" s="194"/>
      <c r="X294" s="194"/>
      <c r="Y294" s="194"/>
    </row>
    <row r="295" spans="1:59" ht="12.75" customHeight="1" x14ac:dyDescent="0.2">
      <c r="F295" s="10" t="s">
        <v>188</v>
      </c>
      <c r="I295" s="195" t="s">
        <v>190</v>
      </c>
      <c r="J295" s="195"/>
      <c r="K295" s="195"/>
      <c r="L295" s="195"/>
      <c r="T295" s="195" t="s">
        <v>190</v>
      </c>
      <c r="U295" s="195"/>
    </row>
    <row r="296" spans="1:59" ht="12.75" customHeight="1" x14ac:dyDescent="0.2">
      <c r="I296" s="447" t="str">
        <f t="array" aca="1" ref="I296:I298" ca="1">OFFSET(Import.RespOrçamento,0,-1) &amp; " " &amp; Import.RespOrçamento</f>
        <v>Nome: MARCELO SETTI</v>
      </c>
      <c r="K296" s="80"/>
      <c r="L296" s="80"/>
      <c r="T296" s="447" t="str">
        <f t="array" aca="1" ref="T296:T298" ca="1">OFFSET(Import.RespOrçamento,0,-1) &amp; " " &amp; Import.RespOrçamento</f>
        <v>Nome: MARCELO SETTI</v>
      </c>
      <c r="U296" s="79"/>
    </row>
    <row r="297" spans="1:59" ht="12.75" customHeight="1" x14ac:dyDescent="0.2">
      <c r="F297" s="552">
        <f ca="1">DADOS!$F$25</f>
        <v>45412</v>
      </c>
      <c r="I297" s="447" t="str">
        <f ca="1"/>
        <v>CREA/CAU: CREA/RS 226290</v>
      </c>
      <c r="K297" s="80"/>
      <c r="L297" s="80"/>
      <c r="T297" s="447" t="str">
        <f ca="1"/>
        <v>CREA/CAU: CREA/RS 226290</v>
      </c>
      <c r="U297" s="79"/>
    </row>
    <row r="298" spans="1:59" ht="12.75" customHeight="1" x14ac:dyDescent="0.2">
      <c r="F298" s="146" t="s">
        <v>189</v>
      </c>
      <c r="I298" s="447" t="str">
        <f ca="1"/>
        <v>ART/RRT: 13152333</v>
      </c>
      <c r="K298" s="80"/>
      <c r="L298" s="80"/>
      <c r="T298" s="447" t="str">
        <f ca="1"/>
        <v>ART/RRT: 13152333</v>
      </c>
      <c r="U298" s="79"/>
    </row>
    <row r="299" spans="1:59" ht="12.75" customHeight="1" x14ac:dyDescent="0.2">
      <c r="C299"/>
      <c r="M299"/>
    </row>
    <row r="300" spans="1:59" ht="12.75" customHeight="1" x14ac:dyDescent="0.2">
      <c r="C300"/>
      <c r="M300"/>
    </row>
    <row r="301" spans="1:59" ht="12.75" customHeight="1" x14ac:dyDescent="0.2">
      <c r="C301"/>
      <c r="M301"/>
    </row>
    <row r="302" spans="1:59" ht="12.75" customHeight="1" x14ac:dyDescent="0.2">
      <c r="C302"/>
      <c r="M302"/>
    </row>
    <row r="303" spans="1:59" ht="12.75" customHeight="1" x14ac:dyDescent="0.2">
      <c r="C303"/>
      <c r="M303"/>
    </row>
    <row r="304" spans="1:59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76" spans="3:13" ht="12.75" customHeight="1" x14ac:dyDescent="0.2">
      <c r="C4276"/>
      <c r="M4276"/>
    </row>
    <row r="4277" spans="3:13" ht="12.75" customHeight="1" x14ac:dyDescent="0.2">
      <c r="C4277"/>
      <c r="M4277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4289" spans="3:13" ht="12.75" customHeight="1" x14ac:dyDescent="0.2">
      <c r="C4289"/>
      <c r="M4289"/>
    </row>
    <row r="4290" spans="3:13" ht="12.75" customHeight="1" x14ac:dyDescent="0.2">
      <c r="C4290"/>
      <c r="M4290"/>
    </row>
    <row r="4291" spans="3:13" ht="12.75" customHeight="1" x14ac:dyDescent="0.2">
      <c r="C4291"/>
      <c r="M4291"/>
    </row>
    <row r="4292" spans="3:13" ht="12.75" customHeight="1" x14ac:dyDescent="0.2">
      <c r="C4292"/>
      <c r="M4292"/>
    </row>
    <row r="4293" spans="3:13" ht="12.75" customHeight="1" x14ac:dyDescent="0.2">
      <c r="C4293"/>
      <c r="M4293"/>
    </row>
    <row r="4294" spans="3:13" ht="12.75" customHeight="1" x14ac:dyDescent="0.2">
      <c r="C4294"/>
      <c r="M4294"/>
    </row>
    <row r="4295" spans="3:13" ht="12.75" customHeight="1" x14ac:dyDescent="0.2">
      <c r="C4295"/>
      <c r="M4295"/>
    </row>
    <row r="4296" spans="3:13" ht="12.75" customHeight="1" x14ac:dyDescent="0.2">
      <c r="C4296"/>
      <c r="M4296"/>
    </row>
    <row r="4297" spans="3:13" ht="12.75" customHeight="1" x14ac:dyDescent="0.2">
      <c r="C4297"/>
      <c r="M4297"/>
    </row>
    <row r="4298" spans="3:13" ht="12.75" customHeight="1" x14ac:dyDescent="0.2">
      <c r="C4298"/>
      <c r="M4298"/>
    </row>
    <row r="4299" spans="3:13" ht="12.75" customHeight="1" x14ac:dyDescent="0.2">
      <c r="C4299"/>
      <c r="M4299"/>
    </row>
    <row r="4300" spans="3:13" ht="12.75" customHeight="1" x14ac:dyDescent="0.2">
      <c r="C4300"/>
      <c r="M4300"/>
    </row>
    <row r="4301" spans="3:13" ht="12.75" customHeight="1" x14ac:dyDescent="0.2">
      <c r="C4301"/>
      <c r="M4301"/>
    </row>
    <row r="4302" spans="3:13" ht="12.75" customHeight="1" x14ac:dyDescent="0.2">
      <c r="C4302"/>
      <c r="M4302"/>
    </row>
    <row r="4303" spans="3:13" ht="12.75" customHeight="1" x14ac:dyDescent="0.2">
      <c r="C4303"/>
      <c r="M4303"/>
    </row>
    <row r="4304" spans="3:13" ht="12.75" customHeight="1" x14ac:dyDescent="0.2">
      <c r="C4304"/>
      <c r="M4304"/>
    </row>
    <row r="4305" spans="3:13" ht="12.75" customHeight="1" x14ac:dyDescent="0.2">
      <c r="C4305"/>
      <c r="M4305"/>
    </row>
    <row r="4306" spans="3:13" ht="12.75" customHeight="1" x14ac:dyDescent="0.2">
      <c r="C4306"/>
      <c r="M4306"/>
    </row>
    <row r="4307" spans="3:13" ht="12.75" customHeight="1" x14ac:dyDescent="0.2">
      <c r="C4307"/>
      <c r="M4307"/>
    </row>
    <row r="4308" spans="3:13" ht="12.75" customHeight="1" x14ac:dyDescent="0.2">
      <c r="C4308"/>
      <c r="M4308"/>
    </row>
    <row r="4309" spans="3:13" ht="12.75" customHeight="1" x14ac:dyDescent="0.2">
      <c r="C4309"/>
      <c r="M4309"/>
    </row>
    <row r="4310" spans="3:13" ht="12.75" customHeight="1" x14ac:dyDescent="0.2">
      <c r="C4310"/>
      <c r="M4310"/>
    </row>
    <row r="4311" spans="3:13" ht="12.75" customHeight="1" x14ac:dyDescent="0.2">
      <c r="C4311"/>
      <c r="M4311"/>
    </row>
    <row r="4312" spans="3:13" ht="12.75" customHeight="1" x14ac:dyDescent="0.2">
      <c r="C4312"/>
      <c r="M4312"/>
    </row>
    <row r="4313" spans="3:13" ht="12.75" customHeight="1" x14ac:dyDescent="0.2">
      <c r="C4313"/>
      <c r="M4313"/>
    </row>
    <row r="4314" spans="3:13" ht="12.75" customHeight="1" x14ac:dyDescent="0.2">
      <c r="C4314"/>
      <c r="M4314"/>
    </row>
    <row r="4315" spans="3:13" ht="12.75" customHeight="1" x14ac:dyDescent="0.2">
      <c r="C4315"/>
      <c r="M4315"/>
    </row>
    <row r="4316" spans="3:13" ht="12.75" customHeight="1" x14ac:dyDescent="0.2">
      <c r="C4316"/>
      <c r="M4316"/>
    </row>
    <row r="4317" spans="3:13" ht="12.75" customHeight="1" x14ac:dyDescent="0.2">
      <c r="C4317"/>
      <c r="M4317"/>
    </row>
    <row r="4318" spans="3:13" ht="12.75" customHeight="1" x14ac:dyDescent="0.2">
      <c r="C4318"/>
      <c r="M4318"/>
    </row>
    <row r="4319" spans="3:13" ht="12.75" customHeight="1" x14ac:dyDescent="0.2">
      <c r="C4319"/>
      <c r="M4319"/>
    </row>
    <row r="4320" spans="3:13" ht="12.75" customHeight="1" x14ac:dyDescent="0.2">
      <c r="C4320"/>
      <c r="M4320"/>
    </row>
    <row r="4321" spans="3:13" ht="12.75" customHeight="1" x14ac:dyDescent="0.2">
      <c r="C4321"/>
      <c r="M4321"/>
    </row>
    <row r="4322" spans="3:13" ht="12.75" customHeight="1" x14ac:dyDescent="0.2">
      <c r="C4322"/>
      <c r="M4322"/>
    </row>
    <row r="4323" spans="3:13" ht="12.75" customHeight="1" x14ac:dyDescent="0.2">
      <c r="C4323"/>
      <c r="M4323"/>
    </row>
    <row r="4324" spans="3:13" ht="12.75" customHeight="1" x14ac:dyDescent="0.2">
      <c r="C4324"/>
      <c r="M4324"/>
    </row>
    <row r="4325" spans="3:13" ht="12.75" customHeight="1" x14ac:dyDescent="0.2">
      <c r="C4325"/>
      <c r="M4325"/>
    </row>
    <row r="4326" spans="3:13" ht="12.75" customHeight="1" x14ac:dyDescent="0.2">
      <c r="C4326"/>
      <c r="M4326"/>
    </row>
    <row r="4327" spans="3:13" ht="12.75" customHeight="1" x14ac:dyDescent="0.2">
      <c r="C4327"/>
      <c r="M4327"/>
    </row>
    <row r="4328" spans="3:13" ht="12.75" customHeight="1" x14ac:dyDescent="0.2">
      <c r="C4328"/>
      <c r="M4328"/>
    </row>
    <row r="4329" spans="3:13" ht="12.75" customHeight="1" x14ac:dyDescent="0.2">
      <c r="C4329"/>
      <c r="M4329"/>
    </row>
    <row r="4330" spans="3:13" ht="12.75" customHeight="1" x14ac:dyDescent="0.2">
      <c r="C4330"/>
      <c r="M4330"/>
    </row>
    <row r="4331" spans="3:13" ht="12.75" customHeight="1" x14ac:dyDescent="0.2">
      <c r="C4331"/>
      <c r="M4331"/>
    </row>
    <row r="4332" spans="3:13" ht="12.75" customHeight="1" x14ac:dyDescent="0.2">
      <c r="C4332"/>
      <c r="M4332"/>
    </row>
    <row r="4333" spans="3:13" ht="12.75" customHeight="1" x14ac:dyDescent="0.2">
      <c r="C4333"/>
      <c r="M4333"/>
    </row>
    <row r="4334" spans="3:13" ht="12.75" customHeight="1" x14ac:dyDescent="0.2">
      <c r="C4334"/>
      <c r="M4334"/>
    </row>
    <row r="4335" spans="3:13" ht="12.75" customHeight="1" x14ac:dyDescent="0.2">
      <c r="C4335"/>
      <c r="M4335"/>
    </row>
    <row r="4336" spans="3:13" ht="12.75" customHeight="1" x14ac:dyDescent="0.2">
      <c r="C4336"/>
      <c r="M4336"/>
    </row>
    <row r="4337" spans="3:13" ht="12.75" customHeight="1" x14ac:dyDescent="0.2">
      <c r="C4337"/>
      <c r="M4337"/>
    </row>
    <row r="4338" spans="3:13" ht="12.75" customHeight="1" x14ac:dyDescent="0.2">
      <c r="C4338"/>
      <c r="M4338"/>
    </row>
    <row r="4339" spans="3:13" ht="12.75" customHeight="1" x14ac:dyDescent="0.2">
      <c r="C4339"/>
      <c r="M4339"/>
    </row>
    <row r="4340" spans="3:13" ht="12.75" customHeight="1" x14ac:dyDescent="0.2">
      <c r="C4340"/>
      <c r="M4340"/>
    </row>
    <row r="4341" spans="3:13" ht="12.75" customHeight="1" x14ac:dyDescent="0.2">
      <c r="C4341"/>
      <c r="M4341"/>
    </row>
    <row r="4342" spans="3:13" ht="12.75" customHeight="1" x14ac:dyDescent="0.2">
      <c r="C4342"/>
      <c r="M4342"/>
    </row>
    <row r="4343" spans="3:13" ht="12.75" customHeight="1" x14ac:dyDescent="0.2">
      <c r="C4343"/>
      <c r="M4343"/>
    </row>
    <row r="4344" spans="3:13" ht="12.75" customHeight="1" x14ac:dyDescent="0.2">
      <c r="C4344"/>
      <c r="M4344"/>
    </row>
    <row r="4345" spans="3:13" ht="12.75" customHeight="1" x14ac:dyDescent="0.2">
      <c r="C4345"/>
      <c r="M4345"/>
    </row>
    <row r="4346" spans="3:13" ht="12.75" customHeight="1" x14ac:dyDescent="0.2">
      <c r="C4346"/>
      <c r="M4346"/>
    </row>
    <row r="4347" spans="3:13" ht="12.75" customHeight="1" x14ac:dyDescent="0.2">
      <c r="C4347"/>
      <c r="M4347"/>
    </row>
    <row r="4348" spans="3:13" ht="12.75" customHeight="1" x14ac:dyDescent="0.2">
      <c r="C4348"/>
      <c r="M4348"/>
    </row>
    <row r="4349" spans="3:13" ht="12.75" customHeight="1" x14ac:dyDescent="0.2">
      <c r="C4349"/>
      <c r="M4349"/>
    </row>
    <row r="4350" spans="3:13" ht="12.75" customHeight="1" x14ac:dyDescent="0.2">
      <c r="C4350"/>
      <c r="M4350"/>
    </row>
    <row r="4351" spans="3:13" ht="12.75" customHeight="1" x14ac:dyDescent="0.2">
      <c r="C4351"/>
      <c r="M4351"/>
    </row>
    <row r="4352" spans="3:13" ht="12.75" customHeight="1" x14ac:dyDescent="0.2">
      <c r="C4352"/>
      <c r="M4352"/>
    </row>
    <row r="4353" spans="3:13" ht="12.75" customHeight="1" x14ac:dyDescent="0.2">
      <c r="C4353"/>
      <c r="M4353"/>
    </row>
    <row r="4354" spans="3:13" ht="12.75" customHeight="1" x14ac:dyDescent="0.2">
      <c r="C4354"/>
      <c r="M4354"/>
    </row>
    <row r="4355" spans="3:13" ht="12.75" customHeight="1" x14ac:dyDescent="0.2">
      <c r="C4355"/>
      <c r="M4355"/>
    </row>
    <row r="4356" spans="3:13" ht="12.75" customHeight="1" x14ac:dyDescent="0.2">
      <c r="C4356"/>
      <c r="M4356"/>
    </row>
    <row r="4357" spans="3:13" ht="12.75" customHeight="1" x14ac:dyDescent="0.2">
      <c r="C4357"/>
      <c r="M4357"/>
    </row>
    <row r="4358" spans="3:13" ht="12.75" customHeight="1" x14ac:dyDescent="0.2">
      <c r="C4358"/>
      <c r="M4358"/>
    </row>
    <row r="4359" spans="3:13" ht="12.75" customHeight="1" x14ac:dyDescent="0.2">
      <c r="C4359"/>
      <c r="M4359"/>
    </row>
    <row r="4360" spans="3:13" ht="12.75" customHeight="1" x14ac:dyDescent="0.2">
      <c r="C4360"/>
      <c r="M4360"/>
    </row>
    <row r="4361" spans="3:13" ht="12.75" customHeight="1" x14ac:dyDescent="0.2">
      <c r="C4361"/>
      <c r="M4361"/>
    </row>
    <row r="4362" spans="3:13" ht="12.75" customHeight="1" x14ac:dyDescent="0.2">
      <c r="C4362"/>
      <c r="M4362"/>
    </row>
    <row r="4363" spans="3:13" ht="12.75" customHeight="1" x14ac:dyDescent="0.2">
      <c r="C4363"/>
      <c r="M4363"/>
    </row>
    <row r="4364" spans="3:13" ht="12.75" customHeight="1" x14ac:dyDescent="0.2">
      <c r="C4364"/>
      <c r="M4364"/>
    </row>
    <row r="4365" spans="3:13" ht="12.75" customHeight="1" x14ac:dyDescent="0.2">
      <c r="C4365"/>
      <c r="M4365"/>
    </row>
    <row r="4366" spans="3:13" ht="12.75" customHeight="1" x14ac:dyDescent="0.2">
      <c r="C4366"/>
      <c r="M4366"/>
    </row>
    <row r="4367" spans="3:13" ht="12.75" customHeight="1" x14ac:dyDescent="0.2">
      <c r="C4367"/>
      <c r="M4367"/>
    </row>
    <row r="4368" spans="3:13" ht="12.75" customHeight="1" x14ac:dyDescent="0.2">
      <c r="C4368"/>
      <c r="M4368"/>
    </row>
    <row r="4369" spans="3:13" ht="12.75" customHeight="1" x14ac:dyDescent="0.2">
      <c r="C4369"/>
      <c r="M4369"/>
    </row>
    <row r="4370" spans="3:13" ht="12.75" customHeight="1" x14ac:dyDescent="0.2">
      <c r="C4370"/>
      <c r="M4370"/>
    </row>
    <row r="4371" spans="3:13" ht="12.75" customHeight="1" x14ac:dyDescent="0.2">
      <c r="C4371"/>
      <c r="M4371"/>
    </row>
    <row r="4372" spans="3:13" ht="12.75" customHeight="1" x14ac:dyDescent="0.2">
      <c r="C4372"/>
      <c r="M4372"/>
    </row>
    <row r="4373" spans="3:13" ht="12.75" customHeight="1" x14ac:dyDescent="0.2">
      <c r="C4373"/>
      <c r="M4373"/>
    </row>
    <row r="4374" spans="3:13" ht="12.75" customHeight="1" x14ac:dyDescent="0.2">
      <c r="C4374"/>
      <c r="M4374"/>
    </row>
    <row r="4375" spans="3:13" ht="12.75" customHeight="1" x14ac:dyDescent="0.2">
      <c r="C4375"/>
      <c r="M4375"/>
    </row>
    <row r="4376" spans="3:13" ht="12.75" customHeight="1" x14ac:dyDescent="0.2">
      <c r="C4376"/>
      <c r="M4376"/>
    </row>
    <row r="4377" spans="3:13" ht="12.75" customHeight="1" x14ac:dyDescent="0.2">
      <c r="C4377"/>
      <c r="M4377"/>
    </row>
    <row r="4378" spans="3:13" ht="12.75" customHeight="1" x14ac:dyDescent="0.2">
      <c r="C4378"/>
      <c r="M4378"/>
    </row>
    <row r="4379" spans="3:13" ht="12.75" customHeight="1" x14ac:dyDescent="0.2">
      <c r="C4379"/>
      <c r="M4379"/>
    </row>
    <row r="4380" spans="3:13" ht="12.75" customHeight="1" x14ac:dyDescent="0.2">
      <c r="C4380"/>
      <c r="M4380"/>
    </row>
    <row r="4381" spans="3:13" ht="12.75" customHeight="1" x14ac:dyDescent="0.2">
      <c r="C4381"/>
      <c r="M4381"/>
    </row>
    <row r="4382" spans="3:13" ht="12.75" customHeight="1" x14ac:dyDescent="0.2">
      <c r="C4382"/>
      <c r="M4382"/>
    </row>
    <row r="4383" spans="3:13" ht="12.75" customHeight="1" x14ac:dyDescent="0.2">
      <c r="C4383"/>
      <c r="M4383"/>
    </row>
    <row r="4384" spans="3:13" ht="12.75" customHeight="1" x14ac:dyDescent="0.2">
      <c r="C4384"/>
      <c r="M4384"/>
    </row>
    <row r="4385" spans="3:13" ht="12.75" customHeight="1" x14ac:dyDescent="0.2">
      <c r="C4385"/>
      <c r="M4385"/>
    </row>
    <row r="4386" spans="3:13" ht="12.75" customHeight="1" x14ac:dyDescent="0.2">
      <c r="C4386"/>
      <c r="M4386"/>
    </row>
    <row r="4387" spans="3:13" ht="12.75" customHeight="1" x14ac:dyDescent="0.2">
      <c r="C4387"/>
      <c r="M4387"/>
    </row>
    <row r="4388" spans="3:13" ht="12.75" customHeight="1" x14ac:dyDescent="0.2">
      <c r="C4388"/>
      <c r="M4388"/>
    </row>
    <row r="4389" spans="3:13" ht="12.75" customHeight="1" x14ac:dyDescent="0.2">
      <c r="C4389"/>
      <c r="M4389"/>
    </row>
    <row r="4390" spans="3:13" ht="12.75" customHeight="1" x14ac:dyDescent="0.2">
      <c r="C4390"/>
      <c r="M4390"/>
    </row>
    <row r="4391" spans="3:13" ht="12.75" customHeight="1" x14ac:dyDescent="0.2">
      <c r="C4391"/>
      <c r="M4391"/>
    </row>
    <row r="4392" spans="3:13" ht="12.75" customHeight="1" x14ac:dyDescent="0.2">
      <c r="C4392"/>
      <c r="M4392"/>
    </row>
    <row r="4393" spans="3:13" ht="12.75" customHeight="1" x14ac:dyDescent="0.2">
      <c r="C4393"/>
      <c r="M4393"/>
    </row>
    <row r="4394" spans="3:13" ht="12.75" customHeight="1" x14ac:dyDescent="0.2">
      <c r="C4394"/>
      <c r="M4394"/>
    </row>
    <row r="4395" spans="3:13" ht="12.75" customHeight="1" x14ac:dyDescent="0.2">
      <c r="C4395"/>
      <c r="M4395"/>
    </row>
    <row r="4396" spans="3:13" ht="12.75" customHeight="1" x14ac:dyDescent="0.2">
      <c r="C4396"/>
      <c r="M4396"/>
    </row>
    <row r="4397" spans="3:13" ht="12.75" customHeight="1" x14ac:dyDescent="0.2">
      <c r="C4397"/>
      <c r="M4397"/>
    </row>
    <row r="4398" spans="3:13" ht="12.75" customHeight="1" x14ac:dyDescent="0.2">
      <c r="C4398"/>
      <c r="M4398"/>
    </row>
    <row r="4399" spans="3:13" ht="12.75" customHeight="1" x14ac:dyDescent="0.2">
      <c r="C4399"/>
      <c r="M4399"/>
    </row>
    <row r="4400" spans="3:13" ht="12.75" customHeight="1" x14ac:dyDescent="0.2">
      <c r="C4400"/>
      <c r="M4400"/>
    </row>
    <row r="4401" spans="3:13" ht="12.75" customHeight="1" x14ac:dyDescent="0.2">
      <c r="C4401"/>
      <c r="M4401"/>
    </row>
    <row r="4402" spans="3:13" ht="12.75" customHeight="1" x14ac:dyDescent="0.2">
      <c r="C4402"/>
      <c r="M4402"/>
    </row>
    <row r="4403" spans="3:13" ht="12.75" customHeight="1" x14ac:dyDescent="0.2">
      <c r="C4403"/>
      <c r="M4403"/>
    </row>
    <row r="4404" spans="3:13" ht="12.75" customHeight="1" x14ac:dyDescent="0.2">
      <c r="C4404"/>
      <c r="M4404"/>
    </row>
    <row r="4405" spans="3:13" ht="12.75" customHeight="1" x14ac:dyDescent="0.2">
      <c r="C4405"/>
      <c r="M4405"/>
    </row>
    <row r="4406" spans="3:13" ht="12.75" customHeight="1" x14ac:dyDescent="0.2">
      <c r="C4406"/>
      <c r="M4406"/>
    </row>
    <row r="4407" spans="3:13" ht="12.75" customHeight="1" x14ac:dyDescent="0.2">
      <c r="C4407"/>
      <c r="M4407"/>
    </row>
    <row r="4408" spans="3:13" ht="12.75" customHeight="1" x14ac:dyDescent="0.2">
      <c r="C4408"/>
      <c r="M4408"/>
    </row>
    <row r="4409" spans="3:13" ht="12.75" customHeight="1" x14ac:dyDescent="0.2">
      <c r="C4409"/>
      <c r="M4409"/>
    </row>
    <row r="4410" spans="3:13" ht="12.75" customHeight="1" x14ac:dyDescent="0.2">
      <c r="C4410"/>
      <c r="M4410"/>
    </row>
    <row r="4411" spans="3:13" ht="12.75" customHeight="1" x14ac:dyDescent="0.2">
      <c r="C4411"/>
      <c r="M4411"/>
    </row>
    <row r="4412" spans="3:13" ht="12.75" customHeight="1" x14ac:dyDescent="0.2">
      <c r="C4412"/>
      <c r="M4412"/>
    </row>
    <row r="4413" spans="3:13" ht="12.75" customHeight="1" x14ac:dyDescent="0.2">
      <c r="C4413"/>
      <c r="M4413"/>
    </row>
    <row r="4414" spans="3:13" ht="12.75" customHeight="1" x14ac:dyDescent="0.2">
      <c r="C4414"/>
      <c r="M4414"/>
    </row>
    <row r="4415" spans="3:13" ht="12.75" customHeight="1" x14ac:dyDescent="0.2">
      <c r="C4415"/>
      <c r="M4415"/>
    </row>
    <row r="4416" spans="3:13" ht="12.75" customHeight="1" x14ac:dyDescent="0.2">
      <c r="C4416"/>
      <c r="M4416"/>
    </row>
    <row r="4417" spans="3:13" ht="12.75" customHeight="1" x14ac:dyDescent="0.2">
      <c r="C4417"/>
      <c r="M4417"/>
    </row>
    <row r="4418" spans="3:13" ht="12.75" customHeight="1" x14ac:dyDescent="0.2">
      <c r="C4418"/>
      <c r="M4418"/>
    </row>
    <row r="4419" spans="3:13" ht="12.75" customHeight="1" x14ac:dyDescent="0.2">
      <c r="C4419"/>
      <c r="M4419"/>
    </row>
    <row r="4420" spans="3:13" ht="12.75" customHeight="1" x14ac:dyDescent="0.2">
      <c r="C4420"/>
      <c r="M4420"/>
    </row>
    <row r="4421" spans="3:13" ht="12.75" customHeight="1" x14ac:dyDescent="0.2">
      <c r="C4421"/>
      <c r="M4421"/>
    </row>
    <row r="4422" spans="3:13" ht="12.75" customHeight="1" x14ac:dyDescent="0.2">
      <c r="C4422"/>
      <c r="M4422"/>
    </row>
    <row r="4423" spans="3:13" ht="12.75" customHeight="1" x14ac:dyDescent="0.2">
      <c r="C4423"/>
      <c r="M4423"/>
    </row>
    <row r="4424" spans="3:13" ht="12.75" customHeight="1" x14ac:dyDescent="0.2">
      <c r="C4424"/>
      <c r="M4424"/>
    </row>
    <row r="4425" spans="3:13" ht="12.75" customHeight="1" x14ac:dyDescent="0.2">
      <c r="C4425"/>
      <c r="M4425"/>
    </row>
    <row r="4426" spans="3:13" ht="12.75" customHeight="1" x14ac:dyDescent="0.2">
      <c r="C4426"/>
      <c r="M4426"/>
    </row>
    <row r="4427" spans="3:13" ht="12.75" customHeight="1" x14ac:dyDescent="0.2">
      <c r="C4427"/>
      <c r="M4427"/>
    </row>
    <row r="4428" spans="3:13" ht="12.75" customHeight="1" x14ac:dyDescent="0.2">
      <c r="C4428"/>
      <c r="M4428"/>
    </row>
    <row r="4429" spans="3:13" ht="12.75" customHeight="1" x14ac:dyDescent="0.2">
      <c r="C4429"/>
      <c r="M4429"/>
    </row>
    <row r="4430" spans="3:13" ht="12.75" customHeight="1" x14ac:dyDescent="0.2">
      <c r="C4430"/>
      <c r="M4430"/>
    </row>
    <row r="4431" spans="3:13" ht="12.75" customHeight="1" x14ac:dyDescent="0.2">
      <c r="C4431"/>
      <c r="M4431"/>
    </row>
    <row r="4432" spans="3:13" ht="12.75" customHeight="1" x14ac:dyDescent="0.2">
      <c r="C4432"/>
      <c r="M4432"/>
    </row>
    <row r="4433" spans="3:13" ht="12.75" customHeight="1" x14ac:dyDescent="0.2">
      <c r="C4433"/>
      <c r="M4433"/>
    </row>
    <row r="4434" spans="3:13" ht="12.75" customHeight="1" x14ac:dyDescent="0.2">
      <c r="C4434"/>
      <c r="M4434"/>
    </row>
    <row r="4435" spans="3:13" ht="12.75" customHeight="1" x14ac:dyDescent="0.2">
      <c r="C4435"/>
      <c r="M4435"/>
    </row>
    <row r="4436" spans="3:13" ht="12.75" customHeight="1" x14ac:dyDescent="0.2">
      <c r="C4436"/>
      <c r="M4436"/>
    </row>
    <row r="4437" spans="3:13" ht="12.75" customHeight="1" x14ac:dyDescent="0.2">
      <c r="C4437"/>
      <c r="M4437"/>
    </row>
    <row r="4438" spans="3:13" ht="12.75" customHeight="1" x14ac:dyDescent="0.2">
      <c r="C4438"/>
      <c r="M4438"/>
    </row>
    <row r="4439" spans="3:13" ht="12.75" customHeight="1" x14ac:dyDescent="0.2">
      <c r="C4439"/>
      <c r="M4439"/>
    </row>
    <row r="4440" spans="3:13" ht="12.75" customHeight="1" x14ac:dyDescent="0.2">
      <c r="C4440"/>
      <c r="M4440"/>
    </row>
    <row r="4441" spans="3:13" ht="12.75" customHeight="1" x14ac:dyDescent="0.2">
      <c r="C4441"/>
      <c r="M4441"/>
    </row>
    <row r="4442" spans="3:13" ht="12.75" customHeight="1" x14ac:dyDescent="0.2">
      <c r="C4442"/>
      <c r="M4442"/>
    </row>
    <row r="4443" spans="3:13" ht="12.75" customHeight="1" x14ac:dyDescent="0.2">
      <c r="C4443"/>
      <c r="M4443"/>
    </row>
    <row r="4444" spans="3:13" ht="12.75" customHeight="1" x14ac:dyDescent="0.2">
      <c r="C4444"/>
      <c r="M4444"/>
    </row>
    <row r="4445" spans="3:13" ht="12.75" customHeight="1" x14ac:dyDescent="0.2">
      <c r="C4445"/>
      <c r="M4445"/>
    </row>
    <row r="4446" spans="3:13" ht="12.75" customHeight="1" x14ac:dyDescent="0.2">
      <c r="C4446"/>
      <c r="M4446"/>
    </row>
    <row r="4447" spans="3:13" ht="12.75" customHeight="1" x14ac:dyDescent="0.2">
      <c r="C4447"/>
      <c r="M4447"/>
    </row>
    <row r="4448" spans="3:13" ht="12.75" customHeight="1" x14ac:dyDescent="0.2">
      <c r="C4448"/>
      <c r="M4448"/>
    </row>
    <row r="4449" spans="3:13" ht="12.75" customHeight="1" x14ac:dyDescent="0.2">
      <c r="C4449"/>
      <c r="M4449"/>
    </row>
    <row r="4450" spans="3:13" ht="12.75" customHeight="1" x14ac:dyDescent="0.2">
      <c r="C4450"/>
      <c r="M4450"/>
    </row>
    <row r="4451" spans="3:13" ht="12.75" customHeight="1" x14ac:dyDescent="0.2">
      <c r="C4451"/>
      <c r="M4451"/>
    </row>
    <row r="4452" spans="3:13" ht="12.75" customHeight="1" x14ac:dyDescent="0.2">
      <c r="C4452"/>
      <c r="M4452"/>
    </row>
    <row r="4453" spans="3:13" ht="12.75" customHeight="1" x14ac:dyDescent="0.2">
      <c r="C4453"/>
      <c r="M4453"/>
    </row>
    <row r="4454" spans="3:13" ht="12.75" customHeight="1" x14ac:dyDescent="0.2">
      <c r="C4454"/>
      <c r="M4454"/>
    </row>
    <row r="4455" spans="3:13" ht="12.75" customHeight="1" x14ac:dyDescent="0.2">
      <c r="C4455"/>
      <c r="M4455"/>
    </row>
    <row r="4456" spans="3:13" ht="12.75" customHeight="1" x14ac:dyDescent="0.2">
      <c r="C4456"/>
      <c r="M4456"/>
    </row>
    <row r="4457" spans="3:13" ht="12.75" customHeight="1" x14ac:dyDescent="0.2">
      <c r="C4457"/>
      <c r="M4457"/>
    </row>
    <row r="4458" spans="3:13" ht="12.75" customHeight="1" x14ac:dyDescent="0.2">
      <c r="C4458"/>
      <c r="M4458"/>
    </row>
    <row r="4459" spans="3:13" ht="12.75" customHeight="1" x14ac:dyDescent="0.2">
      <c r="C4459"/>
      <c r="M4459"/>
    </row>
    <row r="4460" spans="3:13" ht="12.75" customHeight="1" x14ac:dyDescent="0.2">
      <c r="C4460"/>
      <c r="M4460"/>
    </row>
    <row r="4461" spans="3:13" ht="12.75" customHeight="1" x14ac:dyDescent="0.2">
      <c r="C4461"/>
      <c r="M4461"/>
    </row>
    <row r="4462" spans="3:13" ht="12.75" customHeight="1" x14ac:dyDescent="0.2">
      <c r="C4462"/>
      <c r="M4462"/>
    </row>
    <row r="4463" spans="3:13" ht="12.75" customHeight="1" x14ac:dyDescent="0.2">
      <c r="C4463"/>
      <c r="M4463"/>
    </row>
    <row r="4464" spans="3:13" ht="12.75" customHeight="1" x14ac:dyDescent="0.2">
      <c r="C4464"/>
      <c r="M4464"/>
    </row>
    <row r="4465" spans="3:13" ht="12.75" customHeight="1" x14ac:dyDescent="0.2">
      <c r="C4465"/>
      <c r="M4465"/>
    </row>
    <row r="4466" spans="3:13" ht="12.75" customHeight="1" x14ac:dyDescent="0.2">
      <c r="C4466"/>
      <c r="M4466"/>
    </row>
    <row r="4467" spans="3:13" ht="12.75" customHeight="1" x14ac:dyDescent="0.2">
      <c r="C4467"/>
      <c r="M4467"/>
    </row>
    <row r="4468" spans="3:13" ht="12.75" customHeight="1" x14ac:dyDescent="0.2">
      <c r="C4468"/>
      <c r="M4468"/>
    </row>
    <row r="4469" spans="3:13" ht="12.75" customHeight="1" x14ac:dyDescent="0.2">
      <c r="C4469"/>
      <c r="M4469"/>
    </row>
    <row r="4470" spans="3:13" ht="12.75" customHeight="1" x14ac:dyDescent="0.2">
      <c r="C4470"/>
      <c r="M4470"/>
    </row>
    <row r="4471" spans="3:13" ht="12.75" customHeight="1" x14ac:dyDescent="0.2">
      <c r="C4471"/>
      <c r="M4471"/>
    </row>
    <row r="4472" spans="3:13" ht="12.75" customHeight="1" x14ac:dyDescent="0.2">
      <c r="C4472"/>
      <c r="M4472"/>
    </row>
    <row r="4473" spans="3:13" ht="12.75" customHeight="1" x14ac:dyDescent="0.2">
      <c r="C4473"/>
      <c r="M4473"/>
    </row>
    <row r="4474" spans="3:13" ht="12.75" customHeight="1" x14ac:dyDescent="0.2">
      <c r="C4474"/>
      <c r="M4474"/>
    </row>
    <row r="4475" spans="3:13" ht="12.75" customHeight="1" x14ac:dyDescent="0.2">
      <c r="C4475"/>
      <c r="M4475"/>
    </row>
    <row r="4476" spans="3:13" ht="12.75" customHeight="1" x14ac:dyDescent="0.2">
      <c r="C4476"/>
      <c r="M4476"/>
    </row>
    <row r="4477" spans="3:13" ht="12.75" customHeight="1" x14ac:dyDescent="0.2">
      <c r="C4477"/>
      <c r="M4477"/>
    </row>
    <row r="4478" spans="3:13" ht="12.75" customHeight="1" x14ac:dyDescent="0.2">
      <c r="C4478"/>
      <c r="M4478"/>
    </row>
    <row r="4479" spans="3:13" ht="12.75" customHeight="1" x14ac:dyDescent="0.2">
      <c r="C4479"/>
      <c r="M4479"/>
    </row>
    <row r="4480" spans="3:13" ht="12.75" customHeight="1" x14ac:dyDescent="0.2">
      <c r="C4480"/>
      <c r="M4480"/>
    </row>
    <row r="4481" spans="3:13" ht="12.75" customHeight="1" x14ac:dyDescent="0.2">
      <c r="C4481"/>
      <c r="M4481"/>
    </row>
    <row r="4482" spans="3:13" ht="12.75" customHeight="1" x14ac:dyDescent="0.2">
      <c r="C4482"/>
      <c r="M4482"/>
    </row>
    <row r="4483" spans="3:13" ht="12.75" customHeight="1" x14ac:dyDescent="0.2">
      <c r="C4483"/>
      <c r="M4483"/>
    </row>
    <row r="4484" spans="3:13" ht="12.75" customHeight="1" x14ac:dyDescent="0.2">
      <c r="C4484"/>
      <c r="M4484"/>
    </row>
    <row r="4485" spans="3:13" ht="12.75" customHeight="1" x14ac:dyDescent="0.2">
      <c r="C4485"/>
      <c r="M4485"/>
    </row>
    <row r="4486" spans="3:13" ht="12.75" customHeight="1" x14ac:dyDescent="0.2">
      <c r="C4486"/>
      <c r="M4486"/>
    </row>
    <row r="4487" spans="3:13" ht="12.75" customHeight="1" x14ac:dyDescent="0.2">
      <c r="C4487"/>
      <c r="M4487"/>
    </row>
    <row r="4488" spans="3:13" ht="12.75" customHeight="1" x14ac:dyDescent="0.2">
      <c r="C4488"/>
      <c r="M4488"/>
    </row>
    <row r="4489" spans="3:13" ht="12.75" customHeight="1" x14ac:dyDescent="0.2">
      <c r="C4489"/>
      <c r="M4489"/>
    </row>
    <row r="4490" spans="3:13" ht="12.75" customHeight="1" x14ac:dyDescent="0.2">
      <c r="C4490"/>
      <c r="M4490"/>
    </row>
    <row r="4491" spans="3:13" ht="12.75" customHeight="1" x14ac:dyDescent="0.2">
      <c r="C4491"/>
      <c r="M4491"/>
    </row>
    <row r="4492" spans="3:13" ht="12.75" customHeight="1" x14ac:dyDescent="0.2">
      <c r="C4492"/>
      <c r="M4492"/>
    </row>
    <row r="4493" spans="3:13" ht="12.75" customHeight="1" x14ac:dyDescent="0.2">
      <c r="C4493"/>
      <c r="M4493"/>
    </row>
    <row r="4494" spans="3:13" ht="12.75" customHeight="1" x14ac:dyDescent="0.2">
      <c r="C4494"/>
      <c r="M4494"/>
    </row>
    <row r="4495" spans="3:13" ht="12.75" customHeight="1" x14ac:dyDescent="0.2">
      <c r="C4495"/>
      <c r="M4495"/>
    </row>
    <row r="4496" spans="3:13" ht="12.75" customHeight="1" x14ac:dyDescent="0.2">
      <c r="C4496"/>
      <c r="M4496"/>
    </row>
    <row r="4497" spans="3:13" ht="12.75" customHeight="1" x14ac:dyDescent="0.2">
      <c r="C4497"/>
      <c r="M4497"/>
    </row>
    <row r="4498" spans="3:13" ht="12.75" customHeight="1" x14ac:dyDescent="0.2">
      <c r="C4498"/>
      <c r="M4498"/>
    </row>
    <row r="4499" spans="3:13" ht="12.75" customHeight="1" x14ac:dyDescent="0.2">
      <c r="C4499"/>
      <c r="M4499"/>
    </row>
    <row r="4500" spans="3:13" ht="12.75" customHeight="1" x14ac:dyDescent="0.2">
      <c r="C4500"/>
      <c r="M4500"/>
    </row>
    <row r="4501" spans="3:13" ht="12.75" customHeight="1" x14ac:dyDescent="0.2">
      <c r="C4501"/>
      <c r="M4501"/>
    </row>
    <row r="4502" spans="3:13" ht="12.75" customHeight="1" x14ac:dyDescent="0.2">
      <c r="C4502"/>
      <c r="M4502"/>
    </row>
    <row r="4503" spans="3:13" ht="12.75" customHeight="1" x14ac:dyDescent="0.2">
      <c r="C4503"/>
      <c r="M4503"/>
    </row>
    <row r="4504" spans="3:13" ht="12.75" customHeight="1" x14ac:dyDescent="0.2">
      <c r="C4504"/>
      <c r="M4504"/>
    </row>
    <row r="4505" spans="3:13" ht="12.75" customHeight="1" x14ac:dyDescent="0.2">
      <c r="C4505"/>
      <c r="M4505"/>
    </row>
    <row r="4506" spans="3:13" ht="12.75" customHeight="1" x14ac:dyDescent="0.2">
      <c r="C4506"/>
      <c r="M4506"/>
    </row>
    <row r="4507" spans="3:13" ht="12.75" customHeight="1" x14ac:dyDescent="0.2">
      <c r="C4507"/>
      <c r="M4507"/>
    </row>
    <row r="4508" spans="3:13" ht="12.75" customHeight="1" x14ac:dyDescent="0.2">
      <c r="C4508"/>
      <c r="M4508"/>
    </row>
    <row r="4509" spans="3:13" ht="12.75" customHeight="1" x14ac:dyDescent="0.2">
      <c r="C4509"/>
      <c r="M4509"/>
    </row>
    <row r="4510" spans="3:13" ht="12.75" customHeight="1" x14ac:dyDescent="0.2">
      <c r="C4510"/>
      <c r="M4510"/>
    </row>
    <row r="4511" spans="3:13" ht="12.75" customHeight="1" x14ac:dyDescent="0.2">
      <c r="C4511"/>
      <c r="M4511"/>
    </row>
    <row r="4512" spans="3:13" ht="12.75" customHeight="1" x14ac:dyDescent="0.2">
      <c r="C4512"/>
      <c r="M4512"/>
    </row>
    <row r="4513" spans="3:13" ht="12.75" customHeight="1" x14ac:dyDescent="0.2">
      <c r="C4513"/>
      <c r="M4513"/>
    </row>
    <row r="4514" spans="3:13" ht="12.75" customHeight="1" x14ac:dyDescent="0.2">
      <c r="C4514"/>
      <c r="M4514"/>
    </row>
    <row r="4515" spans="3:13" ht="12.75" customHeight="1" x14ac:dyDescent="0.2">
      <c r="C4515"/>
      <c r="M4515"/>
    </row>
    <row r="4516" spans="3:13" ht="12.75" customHeight="1" x14ac:dyDescent="0.2">
      <c r="C4516"/>
      <c r="M4516"/>
    </row>
    <row r="4517" spans="3:13" ht="12.75" customHeight="1" x14ac:dyDescent="0.2">
      <c r="C4517"/>
      <c r="M4517"/>
    </row>
    <row r="4518" spans="3:13" ht="12.75" customHeight="1" x14ac:dyDescent="0.2">
      <c r="C4518"/>
      <c r="M4518"/>
    </row>
    <row r="4519" spans="3:13" ht="12.75" customHeight="1" x14ac:dyDescent="0.2">
      <c r="C4519"/>
      <c r="M4519"/>
    </row>
    <row r="4520" spans="3:13" ht="12.75" customHeight="1" x14ac:dyDescent="0.2">
      <c r="C4520"/>
      <c r="M4520"/>
    </row>
    <row r="4521" spans="3:13" ht="12.75" customHeight="1" x14ac:dyDescent="0.2">
      <c r="C4521"/>
      <c r="M4521"/>
    </row>
    <row r="4522" spans="3:13" ht="12.75" customHeight="1" x14ac:dyDescent="0.2">
      <c r="C4522"/>
      <c r="M4522"/>
    </row>
    <row r="4523" spans="3:13" ht="12.75" customHeight="1" x14ac:dyDescent="0.2">
      <c r="C4523"/>
      <c r="M4523"/>
    </row>
    <row r="4524" spans="3:13" ht="12.75" customHeight="1" x14ac:dyDescent="0.2">
      <c r="C4524"/>
      <c r="M4524"/>
    </row>
    <row r="4525" spans="3:13" ht="12.75" customHeight="1" x14ac:dyDescent="0.2">
      <c r="C4525"/>
      <c r="M4525"/>
    </row>
    <row r="4526" spans="3:13" ht="12.75" customHeight="1" x14ac:dyDescent="0.2">
      <c r="C4526"/>
      <c r="M4526"/>
    </row>
    <row r="4527" spans="3:13" ht="12.75" customHeight="1" x14ac:dyDescent="0.2">
      <c r="C4527"/>
      <c r="M4527"/>
    </row>
    <row r="4528" spans="3:13" ht="12.75" customHeight="1" x14ac:dyDescent="0.2">
      <c r="C4528"/>
      <c r="M4528"/>
    </row>
    <row r="4529" spans="3:13" ht="12.75" customHeight="1" x14ac:dyDescent="0.2">
      <c r="C4529"/>
      <c r="M4529"/>
    </row>
    <row r="4530" spans="3:13" ht="12.75" customHeight="1" x14ac:dyDescent="0.2">
      <c r="C4530"/>
      <c r="M4530"/>
    </row>
    <row r="4531" spans="3:13" ht="12.75" customHeight="1" x14ac:dyDescent="0.2">
      <c r="C4531"/>
      <c r="M4531"/>
    </row>
    <row r="4541" spans="3:13" ht="12.75" customHeight="1" x14ac:dyDescent="0.2">
      <c r="C4541"/>
      <c r="M4541"/>
    </row>
    <row r="4542" spans="3:13" ht="12.75" customHeight="1" x14ac:dyDescent="0.2">
      <c r="C4542"/>
      <c r="M4542"/>
    </row>
    <row r="4543" spans="3:13" ht="12.75" customHeight="1" x14ac:dyDescent="0.2">
      <c r="C4543"/>
      <c r="M4543"/>
    </row>
    <row r="4544" spans="3:13" ht="12.75" customHeight="1" x14ac:dyDescent="0.2">
      <c r="C4544"/>
      <c r="M4544"/>
    </row>
    <row r="61202" spans="3:13" ht="12.75" customHeight="1" x14ac:dyDescent="0.2">
      <c r="C61202"/>
      <c r="M61202"/>
    </row>
    <row r="61218" spans="3:13" ht="12.75" customHeight="1" x14ac:dyDescent="0.2">
      <c r="C61218"/>
      <c r="M61218"/>
    </row>
    <row r="61234" spans="3:13" ht="12.75" customHeight="1" x14ac:dyDescent="0.2">
      <c r="C61234"/>
      <c r="M61234"/>
    </row>
    <row r="61250" spans="3:13" ht="12.75" customHeight="1" x14ac:dyDescent="0.2">
      <c r="C61250"/>
      <c r="M61250"/>
    </row>
    <row r="61263" spans="3:13" ht="12.75" customHeight="1" x14ac:dyDescent="0.2">
      <c r="C61263"/>
      <c r="M61263"/>
    </row>
    <row r="61264" spans="3:13" ht="12.75" customHeight="1" x14ac:dyDescent="0.2">
      <c r="C61264"/>
      <c r="M61264"/>
    </row>
    <row r="61266" spans="3:13" ht="12.75" customHeight="1" x14ac:dyDescent="0.2">
      <c r="C61266"/>
      <c r="M61266"/>
    </row>
    <row r="61277" spans="3:13" ht="12.75" customHeight="1" x14ac:dyDescent="0.2">
      <c r="C61277"/>
      <c r="M61277"/>
    </row>
    <row r="61278" spans="3:13" ht="12.75" customHeight="1" x14ac:dyDescent="0.2">
      <c r="C61278"/>
      <c r="M61278"/>
    </row>
    <row r="61279" spans="3:13" ht="12.75" customHeight="1" x14ac:dyDescent="0.2">
      <c r="C61279"/>
      <c r="M61279"/>
    </row>
    <row r="61280" spans="3:13" ht="12.75" customHeight="1" x14ac:dyDescent="0.2">
      <c r="C61280"/>
      <c r="M61280"/>
    </row>
    <row r="61282" spans="3:13" ht="12.75" customHeight="1" x14ac:dyDescent="0.2">
      <c r="C61282"/>
      <c r="M61282"/>
    </row>
    <row r="61293" spans="3:13" ht="12.75" customHeight="1" x14ac:dyDescent="0.2">
      <c r="C61293"/>
      <c r="M61293"/>
    </row>
    <row r="61294" spans="3:13" ht="12.75" customHeight="1" x14ac:dyDescent="0.2">
      <c r="C61294"/>
      <c r="M61294"/>
    </row>
    <row r="61295" spans="3:13" ht="12.75" customHeight="1" x14ac:dyDescent="0.2">
      <c r="C61295"/>
      <c r="M61295"/>
    </row>
    <row r="61296" spans="3:13" ht="12.75" customHeight="1" x14ac:dyDescent="0.2">
      <c r="C61296"/>
      <c r="M61296"/>
    </row>
    <row r="61298" spans="3:13" ht="12.75" customHeight="1" x14ac:dyDescent="0.2">
      <c r="C61298"/>
      <c r="M61298"/>
    </row>
    <row r="61309" spans="3:13" ht="12.75" customHeight="1" x14ac:dyDescent="0.2">
      <c r="C61309"/>
      <c r="M61309"/>
    </row>
    <row r="61310" spans="3:13" ht="12.75" customHeight="1" x14ac:dyDescent="0.2">
      <c r="C61310"/>
      <c r="M61310"/>
    </row>
    <row r="61311" spans="3:13" ht="12.75" customHeight="1" x14ac:dyDescent="0.2">
      <c r="C61311"/>
      <c r="M61311"/>
    </row>
    <row r="61312" spans="3:13" ht="12.75" customHeight="1" x14ac:dyDescent="0.2">
      <c r="C61312"/>
      <c r="M61312"/>
    </row>
    <row r="61314" spans="3:13" ht="12.75" customHeight="1" x14ac:dyDescent="0.2">
      <c r="C61314"/>
      <c r="M61314"/>
    </row>
    <row r="61325" spans="3:13" ht="12.75" customHeight="1" x14ac:dyDescent="0.2">
      <c r="C61325"/>
      <c r="M61325"/>
    </row>
    <row r="61326" spans="3:13" ht="12.75" customHeight="1" x14ac:dyDescent="0.2">
      <c r="C61326"/>
      <c r="M61326"/>
    </row>
    <row r="61327" spans="3:13" ht="12.75" customHeight="1" x14ac:dyDescent="0.2">
      <c r="C61327"/>
      <c r="M61327"/>
    </row>
    <row r="61328" spans="3:13" ht="12.75" customHeight="1" x14ac:dyDescent="0.2">
      <c r="C61328"/>
      <c r="M61328"/>
    </row>
    <row r="61330" spans="3:13" ht="12.75" customHeight="1" x14ac:dyDescent="0.2">
      <c r="C61330"/>
      <c r="M61330"/>
    </row>
    <row r="61341" spans="3:13" ht="12.75" customHeight="1" x14ac:dyDescent="0.2">
      <c r="C61341"/>
      <c r="M61341"/>
    </row>
    <row r="61342" spans="3:13" ht="12.75" customHeight="1" x14ac:dyDescent="0.2">
      <c r="C61342"/>
      <c r="M61342"/>
    </row>
    <row r="61343" spans="3:13" ht="12.75" customHeight="1" x14ac:dyDescent="0.2">
      <c r="C61343"/>
      <c r="M61343"/>
    </row>
    <row r="61344" spans="3:13" ht="12.75" customHeight="1" x14ac:dyDescent="0.2">
      <c r="C61344"/>
      <c r="M61344"/>
    </row>
    <row r="61346" spans="3:13" ht="12.75" customHeight="1" x14ac:dyDescent="0.2">
      <c r="C61346"/>
      <c r="M61346"/>
    </row>
    <row r="61357" spans="3:13" ht="12.75" customHeight="1" x14ac:dyDescent="0.2">
      <c r="C61357"/>
      <c r="M61357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0" spans="3:13" ht="12.75" customHeight="1" x14ac:dyDescent="0.2">
      <c r="C61360"/>
      <c r="M61360"/>
    </row>
    <row r="61362" spans="3:13" ht="12.75" customHeight="1" x14ac:dyDescent="0.2">
      <c r="C61362"/>
      <c r="M61362"/>
    </row>
    <row r="61373" spans="3:13" ht="12.75" customHeight="1" x14ac:dyDescent="0.2">
      <c r="C61373"/>
      <c r="M61373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6" spans="3:13" ht="12.75" customHeight="1" x14ac:dyDescent="0.2">
      <c r="C61376"/>
      <c r="M61376"/>
    </row>
    <row r="61378" spans="3:13" ht="12.75" customHeight="1" x14ac:dyDescent="0.2">
      <c r="C61378"/>
      <c r="M61378"/>
    </row>
    <row r="61389" spans="3:13" ht="12.75" customHeight="1" x14ac:dyDescent="0.2">
      <c r="C61389"/>
      <c r="M61389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2" spans="3:13" ht="12.75" customHeight="1" x14ac:dyDescent="0.2">
      <c r="C61392"/>
      <c r="M61392"/>
    </row>
    <row r="61394" spans="3:13" ht="12.75" customHeight="1" x14ac:dyDescent="0.2">
      <c r="C61394"/>
      <c r="M61394"/>
    </row>
    <row r="61402" spans="3:13" ht="12.75" customHeight="1" x14ac:dyDescent="0.2">
      <c r="C61402"/>
      <c r="M61402"/>
    </row>
    <row r="61405" spans="3:13" ht="12.75" customHeight="1" x14ac:dyDescent="0.2">
      <c r="C61405"/>
      <c r="M61405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08" spans="3:13" ht="12.75" customHeight="1" x14ac:dyDescent="0.2">
      <c r="C61408"/>
      <c r="M61408"/>
    </row>
    <row r="61410" spans="3:13" ht="12.75" customHeight="1" x14ac:dyDescent="0.2">
      <c r="C61410"/>
      <c r="M61410"/>
    </row>
    <row r="61418" spans="3:13" ht="12.75" customHeight="1" x14ac:dyDescent="0.2">
      <c r="C61418"/>
      <c r="M61418"/>
    </row>
    <row r="61421" spans="3:13" ht="12.75" customHeight="1" x14ac:dyDescent="0.2">
      <c r="C61421"/>
      <c r="M61421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4" spans="3:13" ht="12.75" customHeight="1" x14ac:dyDescent="0.2">
      <c r="C61424"/>
      <c r="M61424"/>
    </row>
    <row r="61426" spans="3:13" ht="12.75" customHeight="1" x14ac:dyDescent="0.2">
      <c r="C61426"/>
      <c r="M61426"/>
    </row>
    <row r="61434" spans="3:13" ht="12.75" customHeight="1" x14ac:dyDescent="0.2">
      <c r="C61434"/>
      <c r="M61434"/>
    </row>
    <row r="61435" spans="3:13" ht="12.75" customHeight="1" x14ac:dyDescent="0.2">
      <c r="C61435"/>
      <c r="M61435"/>
    </row>
    <row r="61437" spans="3:13" ht="12.75" customHeight="1" x14ac:dyDescent="0.2">
      <c r="C61437"/>
      <c r="M61437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2" spans="3:13" ht="12.75" customHeight="1" x14ac:dyDescent="0.2">
      <c r="C61442"/>
      <c r="M61442"/>
    </row>
    <row r="61450" spans="3:13" ht="12.75" customHeight="1" x14ac:dyDescent="0.2">
      <c r="C61450"/>
      <c r="M61450"/>
    </row>
    <row r="61451" spans="3:13" ht="12.75" customHeight="1" x14ac:dyDescent="0.2">
      <c r="C61451"/>
      <c r="M61451"/>
    </row>
    <row r="61452" spans="3:13" ht="12.75" customHeight="1" x14ac:dyDescent="0.2">
      <c r="C61452"/>
      <c r="M61452"/>
    </row>
    <row r="61453" spans="3:13" ht="12.75" customHeight="1" x14ac:dyDescent="0.2">
      <c r="C61453"/>
      <c r="M61453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8" spans="3:13" ht="12.75" customHeight="1" x14ac:dyDescent="0.2">
      <c r="C61458"/>
      <c r="M61458"/>
    </row>
    <row r="61466" spans="3:13" ht="12.75" customHeight="1" x14ac:dyDescent="0.2">
      <c r="C61466"/>
      <c r="M61466"/>
    </row>
    <row r="61467" spans="3:13" ht="12.75" customHeight="1" x14ac:dyDescent="0.2">
      <c r="C61467"/>
      <c r="M61467"/>
    </row>
    <row r="61468" spans="3:13" ht="12.75" customHeight="1" x14ac:dyDescent="0.2">
      <c r="C61468"/>
      <c r="M61468"/>
    </row>
    <row r="61469" spans="3:13" ht="12.75" customHeight="1" x14ac:dyDescent="0.2">
      <c r="C61469"/>
      <c r="M61469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4" spans="3:13" ht="12.75" customHeight="1" x14ac:dyDescent="0.2">
      <c r="C61474"/>
      <c r="M61474"/>
    </row>
    <row r="61480" spans="3:13" ht="12.75" customHeight="1" x14ac:dyDescent="0.2">
      <c r="C61480"/>
      <c r="M61480"/>
    </row>
    <row r="61481" spans="3:13" ht="12.75" customHeight="1" x14ac:dyDescent="0.2">
      <c r="C61481"/>
      <c r="M61481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  <row r="65302" spans="3:13" ht="12.75" customHeight="1" x14ac:dyDescent="0.2">
      <c r="C65302"/>
      <c r="M65302"/>
    </row>
    <row r="65303" spans="3:13" ht="12.75" customHeight="1" x14ac:dyDescent="0.2">
      <c r="C65303"/>
      <c r="M65303"/>
    </row>
    <row r="65304" spans="3:13" ht="12.75" customHeight="1" x14ac:dyDescent="0.2">
      <c r="C65304"/>
      <c r="M65304"/>
    </row>
    <row r="65305" spans="3:13" ht="12.75" customHeight="1" x14ac:dyDescent="0.2">
      <c r="C65305"/>
      <c r="M65305"/>
    </row>
    <row r="65306" spans="3:13" ht="12.75" customHeight="1" x14ac:dyDescent="0.2">
      <c r="C65306"/>
      <c r="M65306"/>
    </row>
    <row r="65307" spans="3:13" ht="12.75" customHeight="1" x14ac:dyDescent="0.2">
      <c r="C65307"/>
      <c r="M65307"/>
    </row>
    <row r="65308" spans="3:13" ht="12.75" customHeight="1" x14ac:dyDescent="0.2">
      <c r="C65308"/>
      <c r="M65308"/>
    </row>
    <row r="65309" spans="3:13" ht="12.75" customHeight="1" x14ac:dyDescent="0.2">
      <c r="C65309"/>
      <c r="M65309"/>
    </row>
    <row r="65310" spans="3:13" ht="12.75" customHeight="1" x14ac:dyDescent="0.2">
      <c r="C65310"/>
      <c r="M65310"/>
    </row>
    <row r="65311" spans="3:13" ht="12.75" customHeight="1" x14ac:dyDescent="0.2">
      <c r="C65311"/>
      <c r="M65311"/>
    </row>
    <row r="65312" spans="3:13" ht="12.75" customHeight="1" x14ac:dyDescent="0.2">
      <c r="C65312"/>
      <c r="M65312"/>
    </row>
    <row r="65313" spans="3:13" ht="12.75" customHeight="1" x14ac:dyDescent="0.2">
      <c r="C65313"/>
      <c r="M65313"/>
    </row>
    <row r="65314" spans="3:13" ht="12.75" customHeight="1" x14ac:dyDescent="0.2">
      <c r="C65314"/>
      <c r="M65314"/>
    </row>
    <row r="65315" spans="3:13" ht="12.75" customHeight="1" x14ac:dyDescent="0.2">
      <c r="C65315"/>
      <c r="M65315"/>
    </row>
    <row r="65316" spans="3:13" ht="12.75" customHeight="1" x14ac:dyDescent="0.2">
      <c r="C65316"/>
      <c r="M65316"/>
    </row>
    <row r="65317" spans="3:13" ht="12.75" customHeight="1" x14ac:dyDescent="0.2">
      <c r="C65317"/>
      <c r="M65317"/>
    </row>
    <row r="65318" spans="3:13" ht="12.75" customHeight="1" x14ac:dyDescent="0.2">
      <c r="C65318"/>
      <c r="M65318"/>
    </row>
    <row r="65319" spans="3:13" ht="12.75" customHeight="1" x14ac:dyDescent="0.2">
      <c r="C65319"/>
      <c r="M65319"/>
    </row>
    <row r="65320" spans="3:13" ht="12.75" customHeight="1" x14ac:dyDescent="0.2">
      <c r="C65320"/>
      <c r="M65320"/>
    </row>
    <row r="65321" spans="3:13" ht="12.75" customHeight="1" x14ac:dyDescent="0.2">
      <c r="C65321"/>
      <c r="M65321"/>
    </row>
    <row r="65322" spans="3:13" ht="12.75" customHeight="1" x14ac:dyDescent="0.2">
      <c r="C65322"/>
      <c r="M65322"/>
    </row>
    <row r="65323" spans="3:13" ht="12.75" customHeight="1" x14ac:dyDescent="0.2">
      <c r="C65323"/>
      <c r="M65323"/>
    </row>
    <row r="65324" spans="3:13" ht="12.75" customHeight="1" x14ac:dyDescent="0.2">
      <c r="C65324"/>
      <c r="M65324"/>
    </row>
    <row r="65325" spans="3:13" ht="12.75" customHeight="1" x14ac:dyDescent="0.2">
      <c r="C65325"/>
      <c r="M65325"/>
    </row>
    <row r="65326" spans="3:13" ht="12.75" customHeight="1" x14ac:dyDescent="0.2">
      <c r="C65326"/>
      <c r="M65326"/>
    </row>
    <row r="65327" spans="3:13" ht="12.75" customHeight="1" x14ac:dyDescent="0.2">
      <c r="C65327"/>
      <c r="M65327"/>
    </row>
    <row r="65328" spans="3:13" ht="12.75" customHeight="1" x14ac:dyDescent="0.2">
      <c r="C65328"/>
      <c r="M65328"/>
    </row>
    <row r="65329" spans="3:13" ht="12.75" customHeight="1" x14ac:dyDescent="0.2">
      <c r="C65329"/>
      <c r="M65329"/>
    </row>
    <row r="65330" spans="3:13" ht="12.75" customHeight="1" x14ac:dyDescent="0.2">
      <c r="C65330"/>
      <c r="M65330"/>
    </row>
    <row r="65331" spans="3:13" ht="12.75" customHeight="1" x14ac:dyDescent="0.2">
      <c r="C65331"/>
      <c r="M65331"/>
    </row>
    <row r="65332" spans="3:13" ht="12.75" customHeight="1" x14ac:dyDescent="0.2">
      <c r="C65332"/>
      <c r="M65332"/>
    </row>
    <row r="65333" spans="3:13" ht="12.75" customHeight="1" x14ac:dyDescent="0.2">
      <c r="C65333"/>
      <c r="M65333"/>
    </row>
    <row r="65334" spans="3:13" ht="12.75" customHeight="1" x14ac:dyDescent="0.2">
      <c r="C65334"/>
      <c r="M65334"/>
    </row>
    <row r="65335" spans="3:13" ht="12.75" customHeight="1" x14ac:dyDescent="0.2">
      <c r="C65335"/>
      <c r="M65335"/>
    </row>
    <row r="65336" spans="3:13" ht="12.75" customHeight="1" x14ac:dyDescent="0.2">
      <c r="C65336"/>
      <c r="M65336"/>
    </row>
    <row r="65337" spans="3:13" ht="12.75" customHeight="1" x14ac:dyDescent="0.2">
      <c r="C65337"/>
      <c r="M65337"/>
    </row>
    <row r="65338" spans="3:13" ht="12.75" customHeight="1" x14ac:dyDescent="0.2">
      <c r="C65338"/>
      <c r="M65338"/>
    </row>
    <row r="65339" spans="3:13" ht="12.75" customHeight="1" x14ac:dyDescent="0.2">
      <c r="C65339"/>
      <c r="M65339"/>
    </row>
    <row r="65340" spans="3:13" ht="12.75" customHeight="1" x14ac:dyDescent="0.2">
      <c r="C65340"/>
      <c r="M65340"/>
    </row>
    <row r="65341" spans="3:13" ht="12.75" customHeight="1" x14ac:dyDescent="0.2">
      <c r="C65341"/>
      <c r="M65341"/>
    </row>
    <row r="65342" spans="3:13" ht="12.75" customHeight="1" x14ac:dyDescent="0.2">
      <c r="C65342"/>
      <c r="M65342"/>
    </row>
    <row r="65343" spans="3:13" ht="12.75" customHeight="1" x14ac:dyDescent="0.2">
      <c r="C65343"/>
      <c r="M65343"/>
    </row>
    <row r="65344" spans="3:13" ht="12.75" customHeight="1" x14ac:dyDescent="0.2">
      <c r="C65344"/>
      <c r="M65344"/>
    </row>
    <row r="65345" spans="3:13" ht="12.75" customHeight="1" x14ac:dyDescent="0.2">
      <c r="C65345"/>
      <c r="M65345"/>
    </row>
    <row r="65346" spans="3:13" ht="12.75" customHeight="1" x14ac:dyDescent="0.2">
      <c r="C65346"/>
      <c r="M65346"/>
    </row>
    <row r="65347" spans="3:13" ht="12.75" customHeight="1" x14ac:dyDescent="0.2">
      <c r="C65347"/>
      <c r="M65347"/>
    </row>
    <row r="65348" spans="3:13" ht="12.75" customHeight="1" x14ac:dyDescent="0.2">
      <c r="C65348"/>
      <c r="M65348"/>
    </row>
    <row r="65349" spans="3:13" ht="12.75" customHeight="1" x14ac:dyDescent="0.2">
      <c r="C65349"/>
      <c r="M65349"/>
    </row>
    <row r="65350" spans="3:13" ht="12.75" customHeight="1" x14ac:dyDescent="0.2">
      <c r="C65350"/>
      <c r="M65350"/>
    </row>
    <row r="65351" spans="3:13" ht="12.75" customHeight="1" x14ac:dyDescent="0.2">
      <c r="C65351"/>
      <c r="M65351"/>
    </row>
    <row r="65352" spans="3:13" ht="12.75" customHeight="1" x14ac:dyDescent="0.2">
      <c r="C65352"/>
      <c r="M65352"/>
    </row>
    <row r="65353" spans="3:13" ht="12.75" customHeight="1" x14ac:dyDescent="0.2">
      <c r="C65353"/>
      <c r="M65353"/>
    </row>
    <row r="65354" spans="3:13" ht="12.75" customHeight="1" x14ac:dyDescent="0.2">
      <c r="C65354"/>
      <c r="M65354"/>
    </row>
    <row r="65355" spans="3:13" ht="12.75" customHeight="1" x14ac:dyDescent="0.2">
      <c r="C65355"/>
      <c r="M65355"/>
    </row>
    <row r="65356" spans="3:13" ht="12.75" customHeight="1" x14ac:dyDescent="0.2">
      <c r="C65356"/>
      <c r="M65356"/>
    </row>
    <row r="65357" spans="3:13" ht="12.75" customHeight="1" x14ac:dyDescent="0.2">
      <c r="C65357"/>
      <c r="M65357"/>
    </row>
    <row r="65358" spans="3:13" ht="12.75" customHeight="1" x14ac:dyDescent="0.2">
      <c r="C65358"/>
      <c r="M65358"/>
    </row>
    <row r="65359" spans="3:13" ht="12.75" customHeight="1" x14ac:dyDescent="0.2">
      <c r="C65359"/>
      <c r="M65359"/>
    </row>
    <row r="65360" spans="3:13" ht="12.75" customHeight="1" x14ac:dyDescent="0.2">
      <c r="C65360"/>
      <c r="M65360"/>
    </row>
    <row r="65361" spans="3:13" ht="12.75" customHeight="1" x14ac:dyDescent="0.2">
      <c r="C65361"/>
      <c r="M65361"/>
    </row>
    <row r="65362" spans="3:13" ht="12.75" customHeight="1" x14ac:dyDescent="0.2">
      <c r="C65362"/>
      <c r="M65362"/>
    </row>
    <row r="65363" spans="3:13" ht="12.75" customHeight="1" x14ac:dyDescent="0.2">
      <c r="C65363"/>
      <c r="M65363"/>
    </row>
    <row r="65364" spans="3:13" ht="12.75" customHeight="1" x14ac:dyDescent="0.2">
      <c r="C65364"/>
      <c r="M65364"/>
    </row>
    <row r="65365" spans="3:13" ht="12.75" customHeight="1" x14ac:dyDescent="0.2">
      <c r="C65365"/>
      <c r="M65365"/>
    </row>
    <row r="65366" spans="3:13" ht="12.75" customHeight="1" x14ac:dyDescent="0.2">
      <c r="C65366"/>
      <c r="M65366"/>
    </row>
    <row r="65367" spans="3:13" ht="12.75" customHeight="1" x14ac:dyDescent="0.2">
      <c r="C65367"/>
      <c r="M65367"/>
    </row>
    <row r="65368" spans="3:13" ht="12.75" customHeight="1" x14ac:dyDescent="0.2">
      <c r="C65368"/>
      <c r="M65368"/>
    </row>
    <row r="65369" spans="3:13" ht="12.75" customHeight="1" x14ac:dyDescent="0.2">
      <c r="C65369"/>
      <c r="M65369"/>
    </row>
    <row r="65370" spans="3:13" ht="12.75" customHeight="1" x14ac:dyDescent="0.2">
      <c r="C65370"/>
      <c r="M65370"/>
    </row>
    <row r="65371" spans="3:13" ht="12.75" customHeight="1" x14ac:dyDescent="0.2">
      <c r="C65371"/>
      <c r="M65371"/>
    </row>
    <row r="65372" spans="3:13" ht="12.75" customHeight="1" x14ac:dyDescent="0.2">
      <c r="C65372"/>
      <c r="M65372"/>
    </row>
    <row r="65373" spans="3:13" ht="12.75" customHeight="1" x14ac:dyDescent="0.2">
      <c r="C65373"/>
      <c r="M65373"/>
    </row>
    <row r="65374" spans="3:13" ht="12.75" customHeight="1" x14ac:dyDescent="0.2">
      <c r="C65374"/>
      <c r="M65374"/>
    </row>
    <row r="65375" spans="3:13" ht="12.75" customHeight="1" x14ac:dyDescent="0.2">
      <c r="C65375"/>
      <c r="M65375"/>
    </row>
    <row r="65376" spans="3:13" ht="12.75" customHeight="1" x14ac:dyDescent="0.2">
      <c r="C65376"/>
      <c r="M65376"/>
    </row>
    <row r="65377" spans="3:13" ht="12.75" customHeight="1" x14ac:dyDescent="0.2">
      <c r="C65377"/>
      <c r="M65377"/>
    </row>
    <row r="65378" spans="3:13" ht="12.75" customHeight="1" x14ac:dyDescent="0.2">
      <c r="C65378"/>
      <c r="M65378"/>
    </row>
    <row r="65379" spans="3:13" ht="12.75" customHeight="1" x14ac:dyDescent="0.2">
      <c r="C65379"/>
      <c r="M65379"/>
    </row>
    <row r="65380" spans="3:13" ht="12.75" customHeight="1" x14ac:dyDescent="0.2">
      <c r="C65380"/>
      <c r="M65380"/>
    </row>
    <row r="65381" spans="3:13" ht="12.75" customHeight="1" x14ac:dyDescent="0.2">
      <c r="C65381"/>
      <c r="M65381"/>
    </row>
    <row r="65382" spans="3:13" ht="12.75" customHeight="1" x14ac:dyDescent="0.2">
      <c r="C65382"/>
      <c r="M65382"/>
    </row>
    <row r="65383" spans="3:13" ht="12.75" customHeight="1" x14ac:dyDescent="0.2">
      <c r="C65383"/>
      <c r="M65383"/>
    </row>
    <row r="65384" spans="3:13" ht="12.75" customHeight="1" x14ac:dyDescent="0.2">
      <c r="C65384"/>
      <c r="M65384"/>
    </row>
    <row r="65385" spans="3:13" ht="12.75" customHeight="1" x14ac:dyDescent="0.2">
      <c r="C65385"/>
      <c r="M65385"/>
    </row>
    <row r="65386" spans="3:13" ht="12.75" customHeight="1" x14ac:dyDescent="0.2">
      <c r="C65386"/>
      <c r="M65386"/>
    </row>
    <row r="65387" spans="3:13" ht="12.75" customHeight="1" x14ac:dyDescent="0.2">
      <c r="C65387"/>
      <c r="M65387"/>
    </row>
    <row r="65388" spans="3:13" ht="12.75" customHeight="1" x14ac:dyDescent="0.2">
      <c r="C65388"/>
      <c r="M65388"/>
    </row>
    <row r="65389" spans="3:13" ht="12.75" customHeight="1" x14ac:dyDescent="0.2">
      <c r="C65389"/>
      <c r="M65389"/>
    </row>
    <row r="65390" spans="3:13" ht="12.75" customHeight="1" x14ac:dyDescent="0.2">
      <c r="C65390"/>
      <c r="M65390"/>
    </row>
    <row r="65391" spans="3:13" ht="12.75" customHeight="1" x14ac:dyDescent="0.2">
      <c r="C65391"/>
      <c r="M65391"/>
    </row>
    <row r="65392" spans="3:13" ht="12.75" customHeight="1" x14ac:dyDescent="0.2">
      <c r="C65392"/>
      <c r="M65392"/>
    </row>
    <row r="65393" spans="3:13" ht="12.75" customHeight="1" x14ac:dyDescent="0.2">
      <c r="C65393"/>
      <c r="M65393"/>
    </row>
    <row r="65394" spans="3:13" ht="12.75" customHeight="1" x14ac:dyDescent="0.2">
      <c r="C65394"/>
      <c r="M65394"/>
    </row>
    <row r="65395" spans="3:13" ht="12.75" customHeight="1" x14ac:dyDescent="0.2">
      <c r="C65395"/>
      <c r="M65395"/>
    </row>
    <row r="65396" spans="3:13" ht="12.75" customHeight="1" x14ac:dyDescent="0.2">
      <c r="C65396"/>
      <c r="M65396"/>
    </row>
    <row r="65397" spans="3:13" ht="12.75" customHeight="1" x14ac:dyDescent="0.2">
      <c r="C65397"/>
      <c r="M65397"/>
    </row>
    <row r="65398" spans="3:13" ht="12.75" customHeight="1" x14ac:dyDescent="0.2">
      <c r="C65398"/>
      <c r="M65398"/>
    </row>
    <row r="65399" spans="3:13" ht="12.75" customHeight="1" x14ac:dyDescent="0.2">
      <c r="C65399"/>
      <c r="M65399"/>
    </row>
    <row r="65400" spans="3:13" ht="12.75" customHeight="1" x14ac:dyDescent="0.2">
      <c r="C65400"/>
      <c r="M65400"/>
    </row>
    <row r="65401" spans="3:13" ht="12.75" customHeight="1" x14ac:dyDescent="0.2">
      <c r="C65401"/>
      <c r="M65401"/>
    </row>
    <row r="65402" spans="3:13" ht="12.75" customHeight="1" x14ac:dyDescent="0.2">
      <c r="C65402"/>
      <c r="M65402"/>
    </row>
    <row r="65403" spans="3:13" ht="12.75" customHeight="1" x14ac:dyDescent="0.2">
      <c r="C65403"/>
      <c r="M65403"/>
    </row>
    <row r="65404" spans="3:13" ht="12.75" customHeight="1" x14ac:dyDescent="0.2">
      <c r="C65404"/>
      <c r="M65404"/>
    </row>
    <row r="65405" spans="3:13" ht="12.75" customHeight="1" x14ac:dyDescent="0.2">
      <c r="C65405"/>
      <c r="M65405"/>
    </row>
    <row r="65406" spans="3:13" ht="12.75" customHeight="1" x14ac:dyDescent="0.2">
      <c r="C65406"/>
      <c r="M65406"/>
    </row>
    <row r="65407" spans="3:13" ht="12.75" customHeight="1" x14ac:dyDescent="0.2">
      <c r="C65407"/>
      <c r="M65407"/>
    </row>
    <row r="65408" spans="3:13" ht="12.75" customHeight="1" x14ac:dyDescent="0.2">
      <c r="C65408"/>
      <c r="M65408"/>
    </row>
    <row r="65409" spans="3:13" ht="12.75" customHeight="1" x14ac:dyDescent="0.2">
      <c r="C65409"/>
      <c r="M65409"/>
    </row>
    <row r="65410" spans="3:13" ht="12.75" customHeight="1" x14ac:dyDescent="0.2">
      <c r="C65410"/>
      <c r="M65410"/>
    </row>
    <row r="65411" spans="3:13" ht="12.75" customHeight="1" x14ac:dyDescent="0.2">
      <c r="C65411"/>
      <c r="M65411"/>
    </row>
    <row r="65412" spans="3:13" ht="12.75" customHeight="1" x14ac:dyDescent="0.2">
      <c r="C65412"/>
      <c r="M65412"/>
    </row>
    <row r="65413" spans="3:13" ht="12.75" customHeight="1" x14ac:dyDescent="0.2">
      <c r="C65413"/>
      <c r="M65413"/>
    </row>
    <row r="65414" spans="3:13" ht="12.75" customHeight="1" x14ac:dyDescent="0.2">
      <c r="C65414"/>
      <c r="M65414"/>
    </row>
    <row r="65415" spans="3:13" ht="12.75" customHeight="1" x14ac:dyDescent="0.2">
      <c r="C65415"/>
      <c r="M65415"/>
    </row>
    <row r="65416" spans="3:13" ht="12.75" customHeight="1" x14ac:dyDescent="0.2">
      <c r="C65416"/>
      <c r="M65416"/>
    </row>
    <row r="65417" spans="3:13" ht="12.75" customHeight="1" x14ac:dyDescent="0.2">
      <c r="C65417"/>
      <c r="M65417"/>
    </row>
    <row r="65418" spans="3:13" ht="12.75" customHeight="1" x14ac:dyDescent="0.2">
      <c r="C65418"/>
      <c r="M65418"/>
    </row>
    <row r="65419" spans="3:13" ht="12.75" customHeight="1" x14ac:dyDescent="0.2">
      <c r="C65419"/>
      <c r="M65419"/>
    </row>
    <row r="65420" spans="3:13" ht="12.75" customHeight="1" x14ac:dyDescent="0.2">
      <c r="C65420"/>
      <c r="M65420"/>
    </row>
    <row r="65421" spans="3:13" ht="12.75" customHeight="1" x14ac:dyDescent="0.2">
      <c r="C65421"/>
      <c r="M65421"/>
    </row>
    <row r="65422" spans="3:13" ht="12.75" customHeight="1" x14ac:dyDescent="0.2">
      <c r="C65422"/>
      <c r="M65422"/>
    </row>
    <row r="65423" spans="3:13" ht="12.75" customHeight="1" x14ac:dyDescent="0.2">
      <c r="C65423"/>
      <c r="M65423"/>
    </row>
    <row r="65424" spans="3:13" ht="12.75" customHeight="1" x14ac:dyDescent="0.2">
      <c r="C65424"/>
      <c r="M65424"/>
    </row>
    <row r="65425" spans="3:13" ht="12.75" customHeight="1" x14ac:dyDescent="0.2">
      <c r="C65425"/>
      <c r="M65425"/>
    </row>
    <row r="65426" spans="3:13" ht="12.75" customHeight="1" x14ac:dyDescent="0.2">
      <c r="C65426"/>
      <c r="M65426"/>
    </row>
    <row r="65427" spans="3:13" ht="12.75" customHeight="1" x14ac:dyDescent="0.2">
      <c r="C65427"/>
      <c r="M65427"/>
    </row>
    <row r="65428" spans="3:13" ht="12.75" customHeight="1" x14ac:dyDescent="0.2">
      <c r="C65428"/>
      <c r="M65428"/>
    </row>
    <row r="65429" spans="3:13" ht="12.75" customHeight="1" x14ac:dyDescent="0.2">
      <c r="C65429"/>
      <c r="M65429"/>
    </row>
    <row r="65430" spans="3:13" ht="12.75" customHeight="1" x14ac:dyDescent="0.2">
      <c r="C65430"/>
      <c r="M65430"/>
    </row>
    <row r="65431" spans="3:13" ht="12.75" customHeight="1" x14ac:dyDescent="0.2">
      <c r="C65431"/>
      <c r="M65431"/>
    </row>
    <row r="65432" spans="3:13" ht="12.75" customHeight="1" x14ac:dyDescent="0.2">
      <c r="C65432"/>
      <c r="M65432"/>
    </row>
    <row r="65433" spans="3:13" ht="12.75" customHeight="1" x14ac:dyDescent="0.2">
      <c r="C65433"/>
      <c r="M65433"/>
    </row>
    <row r="65434" spans="3:13" ht="12.75" customHeight="1" x14ac:dyDescent="0.2">
      <c r="C65434"/>
      <c r="M65434"/>
    </row>
    <row r="65435" spans="3:13" ht="12.75" customHeight="1" x14ac:dyDescent="0.2">
      <c r="C65435"/>
      <c r="M65435"/>
    </row>
    <row r="65436" spans="3:13" ht="12.75" customHeight="1" x14ac:dyDescent="0.2">
      <c r="C65436"/>
      <c r="M65436"/>
    </row>
    <row r="65437" spans="3:13" ht="12.75" customHeight="1" x14ac:dyDescent="0.2">
      <c r="C65437"/>
      <c r="M65437"/>
    </row>
    <row r="65438" spans="3:13" ht="12.75" customHeight="1" x14ac:dyDescent="0.2">
      <c r="C65438"/>
      <c r="M65438"/>
    </row>
    <row r="65439" spans="3:13" ht="12.75" customHeight="1" x14ac:dyDescent="0.2">
      <c r="C65439"/>
      <c r="M65439"/>
    </row>
    <row r="65440" spans="3:13" ht="12.75" customHeight="1" x14ac:dyDescent="0.2">
      <c r="C65440"/>
      <c r="M65440"/>
    </row>
    <row r="65441" spans="3:13" ht="12.75" customHeight="1" x14ac:dyDescent="0.2">
      <c r="C65441"/>
      <c r="M65441"/>
    </row>
    <row r="65442" spans="3:13" ht="12.75" customHeight="1" x14ac:dyDescent="0.2">
      <c r="C65442"/>
      <c r="M65442"/>
    </row>
    <row r="65443" spans="3:13" ht="12.75" customHeight="1" x14ac:dyDescent="0.2">
      <c r="C65443"/>
      <c r="M65443"/>
    </row>
    <row r="65444" spans="3:13" ht="12.75" customHeight="1" x14ac:dyDescent="0.2">
      <c r="C65444"/>
      <c r="M65444"/>
    </row>
    <row r="65445" spans="3:13" ht="12.75" customHeight="1" x14ac:dyDescent="0.2">
      <c r="C65445"/>
      <c r="M65445"/>
    </row>
    <row r="65446" spans="3:13" ht="12.75" customHeight="1" x14ac:dyDescent="0.2">
      <c r="C65446"/>
      <c r="M65446"/>
    </row>
    <row r="65447" spans="3:13" ht="12.75" customHeight="1" x14ac:dyDescent="0.2">
      <c r="C65447"/>
      <c r="M65447"/>
    </row>
    <row r="65448" spans="3:13" ht="12.75" customHeight="1" x14ac:dyDescent="0.2">
      <c r="C65448"/>
      <c r="M65448"/>
    </row>
    <row r="65449" spans="3:13" ht="12.75" customHeight="1" x14ac:dyDescent="0.2">
      <c r="C65449"/>
      <c r="M65449"/>
    </row>
    <row r="65450" spans="3:13" ht="12.75" customHeight="1" x14ac:dyDescent="0.2">
      <c r="C65450"/>
      <c r="M65450"/>
    </row>
    <row r="65451" spans="3:13" ht="12.75" customHeight="1" x14ac:dyDescent="0.2">
      <c r="C65451"/>
      <c r="M65451"/>
    </row>
    <row r="65452" spans="3:13" ht="12.75" customHeight="1" x14ac:dyDescent="0.2">
      <c r="C65452"/>
      <c r="M65452"/>
    </row>
    <row r="65453" spans="3:13" ht="12.75" customHeight="1" x14ac:dyDescent="0.2">
      <c r="C65453"/>
      <c r="M65453"/>
    </row>
    <row r="65454" spans="3:13" ht="12.75" customHeight="1" x14ac:dyDescent="0.2">
      <c r="C65454"/>
      <c r="M65454"/>
    </row>
    <row r="65455" spans="3:13" ht="12.75" customHeight="1" x14ac:dyDescent="0.2">
      <c r="C65455"/>
      <c r="M65455"/>
    </row>
    <row r="65456" spans="3:13" ht="12.75" customHeight="1" x14ac:dyDescent="0.2">
      <c r="C65456"/>
      <c r="M65456"/>
    </row>
    <row r="65457" spans="3:13" ht="12.75" customHeight="1" x14ac:dyDescent="0.2">
      <c r="C65457"/>
      <c r="M65457"/>
    </row>
    <row r="65458" spans="3:13" ht="12.75" customHeight="1" x14ac:dyDescent="0.2">
      <c r="C65458"/>
      <c r="M65458"/>
    </row>
    <row r="65459" spans="3:13" ht="12.75" customHeight="1" x14ac:dyDescent="0.2">
      <c r="C65459"/>
      <c r="M65459"/>
    </row>
    <row r="65460" spans="3:13" ht="12.75" customHeight="1" x14ac:dyDescent="0.2">
      <c r="C65460"/>
      <c r="M65460"/>
    </row>
    <row r="65461" spans="3:13" ht="12.75" customHeight="1" x14ac:dyDescent="0.2">
      <c r="C65461"/>
      <c r="M65461"/>
    </row>
    <row r="65462" spans="3:13" ht="12.75" customHeight="1" x14ac:dyDescent="0.2">
      <c r="C65462"/>
      <c r="M65462"/>
    </row>
    <row r="65463" spans="3:13" ht="12.75" customHeight="1" x14ac:dyDescent="0.2">
      <c r="C65463"/>
      <c r="M65463"/>
    </row>
    <row r="65464" spans="3:13" ht="12.75" customHeight="1" x14ac:dyDescent="0.2">
      <c r="C65464"/>
      <c r="M65464"/>
    </row>
    <row r="65465" spans="3:13" ht="12.75" customHeight="1" x14ac:dyDescent="0.2">
      <c r="C65465"/>
      <c r="M65465"/>
    </row>
    <row r="65466" spans="3:13" ht="12.75" customHeight="1" x14ac:dyDescent="0.2">
      <c r="C65466"/>
      <c r="M65466"/>
    </row>
    <row r="65467" spans="3:13" ht="12.75" customHeight="1" x14ac:dyDescent="0.2">
      <c r="C65467"/>
      <c r="M65467"/>
    </row>
    <row r="65468" spans="3:13" ht="12.75" customHeight="1" x14ac:dyDescent="0.2">
      <c r="C65468"/>
      <c r="M65468"/>
    </row>
    <row r="65469" spans="3:13" ht="12.75" customHeight="1" x14ac:dyDescent="0.2">
      <c r="C65469"/>
      <c r="M65469"/>
    </row>
    <row r="65470" spans="3:13" ht="12.75" customHeight="1" x14ac:dyDescent="0.2">
      <c r="C65470"/>
      <c r="M65470"/>
    </row>
    <row r="65471" spans="3:13" ht="12.75" customHeight="1" x14ac:dyDescent="0.2">
      <c r="C65471"/>
      <c r="M65471"/>
    </row>
    <row r="65472" spans="3:13" ht="12.75" customHeight="1" x14ac:dyDescent="0.2">
      <c r="C65472"/>
      <c r="M65472"/>
    </row>
    <row r="65473" spans="3:13" ht="12.75" customHeight="1" x14ac:dyDescent="0.2">
      <c r="C65473"/>
      <c r="M65473"/>
    </row>
    <row r="65474" spans="3:13" ht="12.75" customHeight="1" x14ac:dyDescent="0.2">
      <c r="C65474"/>
      <c r="M65474"/>
    </row>
    <row r="65475" spans="3:13" ht="12.75" customHeight="1" x14ac:dyDescent="0.2">
      <c r="C65475"/>
      <c r="M65475"/>
    </row>
    <row r="65476" spans="3:13" ht="12.75" customHeight="1" x14ac:dyDescent="0.2">
      <c r="C65476"/>
      <c r="M65476"/>
    </row>
    <row r="65477" spans="3:13" ht="12.75" customHeight="1" x14ac:dyDescent="0.2">
      <c r="C65477"/>
      <c r="M65477"/>
    </row>
    <row r="65478" spans="3:13" ht="12.75" customHeight="1" x14ac:dyDescent="0.2">
      <c r="C65478"/>
      <c r="M65478"/>
    </row>
    <row r="65479" spans="3:13" ht="12.75" customHeight="1" x14ac:dyDescent="0.2">
      <c r="C65479"/>
      <c r="M65479"/>
    </row>
    <row r="65480" spans="3:13" ht="12.75" customHeight="1" x14ac:dyDescent="0.2">
      <c r="C65480"/>
      <c r="M65480"/>
    </row>
    <row r="65481" spans="3:13" ht="12.75" customHeight="1" x14ac:dyDescent="0.2">
      <c r="C65481"/>
      <c r="M65481"/>
    </row>
    <row r="65482" spans="3:13" ht="12.75" customHeight="1" x14ac:dyDescent="0.2">
      <c r="C65482"/>
      <c r="M65482"/>
    </row>
    <row r="65483" spans="3:13" ht="12.75" customHeight="1" x14ac:dyDescent="0.2">
      <c r="C65483"/>
      <c r="M65483"/>
    </row>
    <row r="65484" spans="3:13" ht="12.75" customHeight="1" x14ac:dyDescent="0.2">
      <c r="C65484"/>
      <c r="M65484"/>
    </row>
    <row r="65485" spans="3:13" ht="12.75" customHeight="1" x14ac:dyDescent="0.2">
      <c r="C65485"/>
      <c r="M65485"/>
    </row>
    <row r="65486" spans="3:13" ht="12.75" customHeight="1" x14ac:dyDescent="0.2">
      <c r="C65486"/>
      <c r="M65486"/>
    </row>
    <row r="65487" spans="3:13" ht="12.75" customHeight="1" x14ac:dyDescent="0.2">
      <c r="C65487"/>
      <c r="M65487"/>
    </row>
    <row r="65488" spans="3:13" ht="12.75" customHeight="1" x14ac:dyDescent="0.2">
      <c r="C65488"/>
      <c r="M65488"/>
    </row>
    <row r="65489" spans="3:13" ht="12.75" customHeight="1" x14ac:dyDescent="0.2">
      <c r="C65489"/>
      <c r="M65489"/>
    </row>
    <row r="65490" spans="3:13" ht="12.75" customHeight="1" x14ac:dyDescent="0.2">
      <c r="C65490"/>
      <c r="M65490"/>
    </row>
    <row r="65491" spans="3:13" ht="12.75" customHeight="1" x14ac:dyDescent="0.2">
      <c r="C65491"/>
      <c r="M65491"/>
    </row>
    <row r="65492" spans="3:13" ht="12.75" customHeight="1" x14ac:dyDescent="0.2">
      <c r="C65492"/>
      <c r="M65492"/>
    </row>
    <row r="65493" spans="3:13" ht="12.75" customHeight="1" x14ac:dyDescent="0.2">
      <c r="C65493"/>
      <c r="M65493"/>
    </row>
    <row r="65494" spans="3:13" ht="12.75" customHeight="1" x14ac:dyDescent="0.2">
      <c r="C65494"/>
      <c r="M65494"/>
    </row>
    <row r="65495" spans="3:13" ht="12.75" customHeight="1" x14ac:dyDescent="0.2">
      <c r="C65495"/>
      <c r="M65495"/>
    </row>
    <row r="65496" spans="3:13" ht="12.75" customHeight="1" x14ac:dyDescent="0.2">
      <c r="C65496"/>
      <c r="M65496"/>
    </row>
    <row r="65497" spans="3:13" ht="12.75" customHeight="1" x14ac:dyDescent="0.2">
      <c r="C65497"/>
      <c r="M65497"/>
    </row>
    <row r="65498" spans="3:13" ht="12.75" customHeight="1" x14ac:dyDescent="0.2">
      <c r="C65498"/>
      <c r="M65498"/>
    </row>
    <row r="65499" spans="3:13" ht="12.75" customHeight="1" x14ac:dyDescent="0.2">
      <c r="C65499"/>
      <c r="M65499"/>
    </row>
    <row r="65500" spans="3:13" ht="12.75" customHeight="1" x14ac:dyDescent="0.2">
      <c r="C65500"/>
      <c r="M65500"/>
    </row>
    <row r="65501" spans="3:13" ht="12.75" customHeight="1" x14ac:dyDescent="0.2">
      <c r="C65501"/>
      <c r="M65501"/>
    </row>
    <row r="65502" spans="3:13" ht="12.75" customHeight="1" x14ac:dyDescent="0.2">
      <c r="C65502"/>
      <c r="M65502"/>
    </row>
    <row r="65503" spans="3:13" ht="12.75" customHeight="1" x14ac:dyDescent="0.2">
      <c r="C65503"/>
      <c r="M65503"/>
    </row>
    <row r="65504" spans="3:13" ht="12.75" customHeight="1" x14ac:dyDescent="0.2">
      <c r="C65504"/>
      <c r="M65504"/>
    </row>
    <row r="65505" spans="3:13" ht="12.75" customHeight="1" x14ac:dyDescent="0.2">
      <c r="C65505"/>
      <c r="M65505"/>
    </row>
    <row r="65506" spans="3:13" ht="12.75" customHeight="1" x14ac:dyDescent="0.2">
      <c r="C65506"/>
      <c r="M65506"/>
    </row>
    <row r="65507" spans="3:13" ht="12.75" customHeight="1" x14ac:dyDescent="0.2">
      <c r="C65507"/>
      <c r="M65507"/>
    </row>
    <row r="65508" spans="3:13" ht="12.75" customHeight="1" x14ac:dyDescent="0.2">
      <c r="C65508"/>
      <c r="M65508"/>
    </row>
    <row r="65509" spans="3:13" ht="12.75" customHeight="1" x14ac:dyDescent="0.2">
      <c r="C65509"/>
      <c r="M65509"/>
    </row>
    <row r="65510" spans="3:13" ht="12.75" customHeight="1" x14ac:dyDescent="0.2">
      <c r="C65510"/>
      <c r="M65510"/>
    </row>
    <row r="65511" spans="3:13" ht="12.75" customHeight="1" x14ac:dyDescent="0.2">
      <c r="C65511"/>
      <c r="M65511"/>
    </row>
    <row r="65512" spans="3:13" ht="12.75" customHeight="1" x14ac:dyDescent="0.2">
      <c r="C65512"/>
      <c r="M65512"/>
    </row>
    <row r="65513" spans="3:13" ht="12.75" customHeight="1" x14ac:dyDescent="0.2">
      <c r="C65513"/>
      <c r="M65513"/>
    </row>
    <row r="65514" spans="3:13" ht="12.75" customHeight="1" x14ac:dyDescent="0.2">
      <c r="C65514"/>
      <c r="M65514"/>
    </row>
    <row r="65515" spans="3:13" ht="12.75" customHeight="1" x14ac:dyDescent="0.2">
      <c r="C65515"/>
      <c r="M65515"/>
    </row>
    <row r="65516" spans="3:13" ht="12.75" customHeight="1" x14ac:dyDescent="0.2">
      <c r="C65516"/>
      <c r="M65516"/>
    </row>
    <row r="65517" spans="3:13" ht="12.75" customHeight="1" x14ac:dyDescent="0.2">
      <c r="C65517"/>
      <c r="M65517"/>
    </row>
    <row r="65518" spans="3:13" ht="12.75" customHeight="1" x14ac:dyDescent="0.2">
      <c r="C65518"/>
      <c r="M65518"/>
    </row>
    <row r="65519" spans="3:13" ht="12.75" customHeight="1" x14ac:dyDescent="0.2">
      <c r="C65519"/>
      <c r="M65519"/>
    </row>
    <row r="65520" spans="3:13" ht="12.75" customHeight="1" x14ac:dyDescent="0.2">
      <c r="C65520"/>
      <c r="M65520"/>
    </row>
    <row r="65521" spans="3:13" ht="12.75" customHeight="1" x14ac:dyDescent="0.2">
      <c r="C65521"/>
      <c r="M65521"/>
    </row>
    <row r="65522" spans="3:13" ht="12.75" customHeight="1" x14ac:dyDescent="0.2">
      <c r="C65522"/>
      <c r="M65522"/>
    </row>
    <row r="65523" spans="3:13" ht="12.75" customHeight="1" x14ac:dyDescent="0.2">
      <c r="C65523"/>
      <c r="M65523"/>
    </row>
    <row r="65524" spans="3:13" ht="12.75" customHeight="1" x14ac:dyDescent="0.2">
      <c r="C65524"/>
      <c r="M65524"/>
    </row>
    <row r="65525" spans="3:13" ht="12.75" customHeight="1" x14ac:dyDescent="0.2">
      <c r="C65525"/>
      <c r="M65525"/>
    </row>
    <row r="65526" spans="3:13" ht="12.75" customHeight="1" x14ac:dyDescent="0.2">
      <c r="C65526"/>
      <c r="M65526"/>
    </row>
    <row r="65527" spans="3:13" ht="12.75" customHeight="1" x14ac:dyDescent="0.2">
      <c r="C65527"/>
      <c r="M65527"/>
    </row>
    <row r="65528" spans="3:13" ht="12.75" customHeight="1" x14ac:dyDescent="0.2">
      <c r="C65528"/>
      <c r="M65528"/>
    </row>
    <row r="65529" spans="3:13" ht="12.75" customHeight="1" x14ac:dyDescent="0.2">
      <c r="C65529"/>
      <c r="M65529"/>
    </row>
    <row r="65530" spans="3:13" ht="12.75" customHeight="1" x14ac:dyDescent="0.2">
      <c r="C65530"/>
      <c r="M65530"/>
    </row>
    <row r="65531" spans="3:13" ht="12.75" customHeight="1" x14ac:dyDescent="0.2">
      <c r="C65531"/>
      <c r="M65531"/>
    </row>
    <row r="65532" spans="3:13" ht="12.75" customHeight="1" x14ac:dyDescent="0.2">
      <c r="C65532"/>
      <c r="M65532"/>
    </row>
    <row r="65533" spans="3:13" ht="12.75" customHeight="1" x14ac:dyDescent="0.2">
      <c r="C65533"/>
      <c r="M65533"/>
    </row>
    <row r="65534" spans="3:13" ht="12.75" customHeight="1" x14ac:dyDescent="0.2">
      <c r="C65534"/>
      <c r="M65534"/>
    </row>
    <row r="65535" spans="3:13" ht="12.75" customHeight="1" x14ac:dyDescent="0.2">
      <c r="C65535"/>
      <c r="M65535"/>
    </row>
    <row r="65536" spans="3:13" ht="12.75" customHeight="1" x14ac:dyDescent="0.2">
      <c r="C65536"/>
      <c r="M65536"/>
    </row>
    <row r="65537" spans="3:13" ht="12.75" customHeight="1" x14ac:dyDescent="0.2">
      <c r="C65537"/>
      <c r="M65537"/>
    </row>
    <row r="65538" spans="3:13" ht="12.75" customHeight="1" x14ac:dyDescent="0.2">
      <c r="C65538"/>
      <c r="M65538"/>
    </row>
    <row r="65539" spans="3:13" ht="12.75" customHeight="1" x14ac:dyDescent="0.2">
      <c r="C65539"/>
      <c r="M65539"/>
    </row>
    <row r="65540" spans="3:13" ht="12.75" customHeight="1" x14ac:dyDescent="0.2">
      <c r="C65540"/>
      <c r="M65540"/>
    </row>
    <row r="65541" spans="3:13" ht="12.75" customHeight="1" x14ac:dyDescent="0.2">
      <c r="C65541"/>
      <c r="M65541"/>
    </row>
    <row r="65542" spans="3:13" ht="12.75" customHeight="1" x14ac:dyDescent="0.2">
      <c r="C65542"/>
      <c r="M65542"/>
    </row>
    <row r="65543" spans="3:13" ht="12.75" customHeight="1" x14ac:dyDescent="0.2">
      <c r="C65543"/>
      <c r="M65543"/>
    </row>
    <row r="65544" spans="3:13" ht="12.75" customHeight="1" x14ac:dyDescent="0.2">
      <c r="C65544"/>
      <c r="M65544"/>
    </row>
    <row r="65545" spans="3:13" ht="12.75" customHeight="1" x14ac:dyDescent="0.2">
      <c r="C65545"/>
      <c r="M65545"/>
    </row>
    <row r="65546" spans="3:13" ht="12.75" customHeight="1" x14ac:dyDescent="0.2">
      <c r="C65546"/>
      <c r="M65546"/>
    </row>
    <row r="65547" spans="3:13" ht="12.75" customHeight="1" x14ac:dyDescent="0.2">
      <c r="C65547"/>
      <c r="M65547"/>
    </row>
    <row r="65548" spans="3:13" ht="12.75" customHeight="1" x14ac:dyDescent="0.2">
      <c r="C65548"/>
      <c r="M65548"/>
    </row>
    <row r="65549" spans="3:13" ht="12.75" customHeight="1" x14ac:dyDescent="0.2">
      <c r="C65549"/>
      <c r="M65549"/>
    </row>
    <row r="65550" spans="3:13" ht="12.75" customHeight="1" x14ac:dyDescent="0.2">
      <c r="C65550"/>
      <c r="M65550"/>
    </row>
    <row r="65551" spans="3:13" ht="12.75" customHeight="1" x14ac:dyDescent="0.2">
      <c r="C65551"/>
      <c r="M65551"/>
    </row>
    <row r="65552" spans="3:13" ht="12.75" customHeight="1" x14ac:dyDescent="0.2">
      <c r="C65552"/>
      <c r="M65552"/>
    </row>
    <row r="65553" spans="3:13" ht="12.75" customHeight="1" x14ac:dyDescent="0.2">
      <c r="C65553"/>
      <c r="M65553"/>
    </row>
    <row r="65554" spans="3:13" ht="12.75" customHeight="1" x14ac:dyDescent="0.2">
      <c r="C65554"/>
      <c r="M65554"/>
    </row>
    <row r="65555" spans="3:13" ht="12.75" customHeight="1" x14ac:dyDescent="0.2">
      <c r="C65555"/>
      <c r="M65555"/>
    </row>
    <row r="65556" spans="3:13" ht="12.75" customHeight="1" x14ac:dyDescent="0.2">
      <c r="C65556"/>
      <c r="M65556"/>
    </row>
    <row r="65557" spans="3:13" ht="12.75" customHeight="1" x14ac:dyDescent="0.2">
      <c r="C65557"/>
      <c r="M65557"/>
    </row>
    <row r="65558" spans="3:13" ht="12.75" customHeight="1" x14ac:dyDescent="0.2">
      <c r="C65558"/>
      <c r="M65558"/>
    </row>
  </sheetData>
  <sheetProtection algorithmName="SHA-512" hashValue="FeiIalXJAk6FnB/DB8MijjtrB9yCBfPUhfS6UxNog/RNPvZI97SJztqYE1S01xjY9gGlKxw8srfiz9a97wKmmQ==" saltValue="eo1sCnLYrj9H2jef6KGxfg==" spinCount="100000" sheet="1" objects="1" scenarios="1" autoFilter="0"/>
  <autoFilter ref="C15:C290" xr:uid="{00000000-0009-0000-0000-000005000000}"/>
  <mergeCells count="15">
    <mergeCell ref="E15:H15"/>
    <mergeCell ref="E4:F4"/>
    <mergeCell ref="G4:H4"/>
    <mergeCell ref="S4:T4"/>
    <mergeCell ref="U4:Z4"/>
    <mergeCell ref="E5:F5"/>
    <mergeCell ref="G5:H5"/>
    <mergeCell ref="S5:T5"/>
    <mergeCell ref="U5:Z5"/>
    <mergeCell ref="F1:H1"/>
    <mergeCell ref="Q1:R1"/>
    <mergeCell ref="Y1:Z1"/>
    <mergeCell ref="F2:H2"/>
    <mergeCell ref="Q2:R2"/>
    <mergeCell ref="Y2:Z2"/>
  </mergeCells>
  <phoneticPr fontId="38" type="noConversion"/>
  <conditionalFormatting sqref="D14:I14 D39:I41 D62:I65 D43:I47 D23:I24 D86:I86 D208:I209 D218:I225 D235:I237 D239:I243 D245:I247">
    <cfRule type="expression" dxfId="688" priority="5556" stopIfTrue="1">
      <formula>$B14=1</formula>
    </cfRule>
    <cfRule type="expression" dxfId="687" priority="5557" stopIfTrue="1">
      <formula>OR($B14=0,$B14=2,$B14=3,$B14=4)</formula>
    </cfRule>
  </conditionalFormatting>
  <conditionalFormatting sqref="M12:N15 M290:N290 M39:N41 M62:N65 M43:N47 M23:N24 M86:N86 M208:N209 M218:N225 M235:N237 M239:N243 M245:N247">
    <cfRule type="expression" dxfId="686" priority="5558" stopIfTrue="1">
      <formula>ACOMPANHAMENTO="BM"</formula>
    </cfRule>
    <cfRule type="expression" dxfId="685" priority="5559" stopIfTrue="1">
      <formula>OR($B12=0,$B12=2,$B12=3,$B12=4)</formula>
    </cfRule>
    <cfRule type="expression" dxfId="684" priority="5560" stopIfTrue="1">
      <formula>$B12=1</formula>
    </cfRule>
  </conditionalFormatting>
  <conditionalFormatting sqref="K12:K15 K23:K82 K85:K129 K159:K162 K168:K173 K164:K166 K177:K205 K131:K157 K208:K237 K239:K290">
    <cfRule type="expression" dxfId="683" priority="5561" stopIfTrue="1">
      <formula>OR(ACOMPANHAMENTO="BM",$A$12&lt;&gt;"Manual")</formula>
    </cfRule>
    <cfRule type="expression" dxfId="682" priority="5562" stopIfTrue="1">
      <formula>$B12=1</formula>
    </cfRule>
    <cfRule type="expression" dxfId="681" priority="5563" stopIfTrue="1">
      <formula>OR($B12=2,$B12=3,$B12=4,$B12=0)</formula>
    </cfRule>
  </conditionalFormatting>
  <conditionalFormatting sqref="O12:AA15 O23:AA82 O85:AA129 O159:AA162 O168:AA173 O164:AA166 O177:AA205 O131:AA157 O208:AA237 O239:AA290">
    <cfRule type="expression" dxfId="680" priority="5564" stopIfTrue="1">
      <formula>ACOMPANHAMENTO="BM"</formula>
    </cfRule>
    <cfRule type="expression" dxfId="679" priority="5565" stopIfTrue="1">
      <formula>AND(O$12&lt;&gt;".",OR($B12=0,$B12=2,$B12=3,$B12=4,AND(O$12="",$B12&lt;&gt;"Empty"),OFFSET(O$12,0,-1)=""))</formula>
    </cfRule>
    <cfRule type="expression" dxfId="678" priority="5566" stopIfTrue="1">
      <formula>AND($B12=1,O$12&lt;&gt;".")</formula>
    </cfRule>
  </conditionalFormatting>
  <conditionalFormatting sqref="D16:I20 D25:I27 D22:I22">
    <cfRule type="expression" dxfId="677" priority="540" stopIfTrue="1">
      <formula>$B16=1</formula>
    </cfRule>
    <cfRule type="expression" dxfId="676" priority="541" stopIfTrue="1">
      <formula>OR($B16=0,$B16=2,$B16=3,$B16=4)</formula>
    </cfRule>
  </conditionalFormatting>
  <conditionalFormatting sqref="M16:N20 M25:N27 M22:N22">
    <cfRule type="expression" dxfId="675" priority="542" stopIfTrue="1">
      <formula>ACOMPANHAMENTO="BM"</formula>
    </cfRule>
    <cfRule type="expression" dxfId="674" priority="543" stopIfTrue="1">
      <formula>OR($B16=0,$B16=2,$B16=3,$B16=4)</formula>
    </cfRule>
    <cfRule type="expression" dxfId="673" priority="544" stopIfTrue="1">
      <formula>$B16=1</formula>
    </cfRule>
  </conditionalFormatting>
  <conditionalFormatting sqref="K16:K20 K22">
    <cfRule type="expression" dxfId="672" priority="545" stopIfTrue="1">
      <formula>OR(ACOMPANHAMENTO="BM",$A$12&lt;&gt;"Manual")</formula>
    </cfRule>
    <cfRule type="expression" dxfId="671" priority="546" stopIfTrue="1">
      <formula>$B16=1</formula>
    </cfRule>
    <cfRule type="expression" dxfId="670" priority="547" stopIfTrue="1">
      <formula>OR($B16=2,$B16=3,$B16=4,$B16=0)</formula>
    </cfRule>
  </conditionalFormatting>
  <conditionalFormatting sqref="O16:AA20 O22:AA22">
    <cfRule type="expression" dxfId="669" priority="548" stopIfTrue="1">
      <formula>ACOMPANHAMENTO="BM"</formula>
    </cfRule>
    <cfRule type="expression" dxfId="668" priority="549" stopIfTrue="1">
      <formula>AND(O$12&lt;&gt;".",OR($B16=0,$B16=2,$B16=3,$B16=4,AND(O$12="",$B16&lt;&gt;"Empty"),OFFSET(O$12,0,-1)=""))</formula>
    </cfRule>
    <cfRule type="expression" dxfId="667" priority="550" stopIfTrue="1">
      <formula>AND($B16=1,O$12&lt;&gt;".")</formula>
    </cfRule>
  </conditionalFormatting>
  <conditionalFormatting sqref="D28:I34 D37:I38">
    <cfRule type="expression" dxfId="666" priority="529" stopIfTrue="1">
      <formula>$B28=1</formula>
    </cfRule>
    <cfRule type="expression" dxfId="665" priority="530" stopIfTrue="1">
      <formula>OR($B28=0,$B28=2,$B28=3,$B28=4)</formula>
    </cfRule>
  </conditionalFormatting>
  <conditionalFormatting sqref="M28:N34 M37:N38">
    <cfRule type="expression" dxfId="664" priority="531" stopIfTrue="1">
      <formula>ACOMPANHAMENTO="BM"</formula>
    </cfRule>
    <cfRule type="expression" dxfId="663" priority="532" stopIfTrue="1">
      <formula>OR($B28=0,$B28=2,$B28=3,$B28=4)</formula>
    </cfRule>
    <cfRule type="expression" dxfId="662" priority="533" stopIfTrue="1">
      <formula>$B28=1</formula>
    </cfRule>
  </conditionalFormatting>
  <conditionalFormatting sqref="D48:I56">
    <cfRule type="expression" dxfId="661" priority="507" stopIfTrue="1">
      <formula>$B48=1</formula>
    </cfRule>
    <cfRule type="expression" dxfId="660" priority="508" stopIfTrue="1">
      <formula>OR($B48=0,$B48=2,$B48=3,$B48=4)</formula>
    </cfRule>
  </conditionalFormatting>
  <conditionalFormatting sqref="M48:N56">
    <cfRule type="expression" dxfId="659" priority="509" stopIfTrue="1">
      <formula>ACOMPANHAMENTO="BM"</formula>
    </cfRule>
    <cfRule type="expression" dxfId="658" priority="510" stopIfTrue="1">
      <formula>OR($B48=0,$B48=2,$B48=3,$B48=4)</formula>
    </cfRule>
    <cfRule type="expression" dxfId="657" priority="511" stopIfTrue="1">
      <formula>$B48=1</formula>
    </cfRule>
  </conditionalFormatting>
  <conditionalFormatting sqref="D57:I60">
    <cfRule type="expression" dxfId="656" priority="496" stopIfTrue="1">
      <formula>$B57=1</formula>
    </cfRule>
    <cfRule type="expression" dxfId="655" priority="497" stopIfTrue="1">
      <formula>OR($B57=0,$B57=2,$B57=3,$B57=4)</formula>
    </cfRule>
  </conditionalFormatting>
  <conditionalFormatting sqref="M57:N60">
    <cfRule type="expression" dxfId="654" priority="498" stopIfTrue="1">
      <formula>ACOMPANHAMENTO="BM"</formula>
    </cfRule>
    <cfRule type="expression" dxfId="653" priority="499" stopIfTrue="1">
      <formula>OR($B57=0,$B57=2,$B57=3,$B57=4)</formula>
    </cfRule>
    <cfRule type="expression" dxfId="652" priority="500" stopIfTrue="1">
      <formula>$B57=1</formula>
    </cfRule>
  </conditionalFormatting>
  <conditionalFormatting sqref="D66:I74">
    <cfRule type="expression" dxfId="651" priority="485" stopIfTrue="1">
      <formula>$B66=1</formula>
    </cfRule>
    <cfRule type="expression" dxfId="650" priority="486" stopIfTrue="1">
      <formula>OR($B66=0,$B66=2,$B66=3,$B66=4)</formula>
    </cfRule>
  </conditionalFormatting>
  <conditionalFormatting sqref="M66:N74">
    <cfRule type="expression" dxfId="649" priority="487" stopIfTrue="1">
      <formula>ACOMPANHAMENTO="BM"</formula>
    </cfRule>
    <cfRule type="expression" dxfId="648" priority="488" stopIfTrue="1">
      <formula>OR($B66=0,$B66=2,$B66=3,$B66=4)</formula>
    </cfRule>
    <cfRule type="expression" dxfId="647" priority="489" stopIfTrue="1">
      <formula>$B66=1</formula>
    </cfRule>
  </conditionalFormatting>
  <conditionalFormatting sqref="D75:I82 D85:I85">
    <cfRule type="expression" dxfId="646" priority="474" stopIfTrue="1">
      <formula>$B75=1</formula>
    </cfRule>
    <cfRule type="expression" dxfId="645" priority="475" stopIfTrue="1">
      <formula>OR($B75=0,$B75=2,$B75=3,$B75=4)</formula>
    </cfRule>
  </conditionalFormatting>
  <conditionalFormatting sqref="M75:N82 M85:N85">
    <cfRule type="expression" dxfId="644" priority="476" stopIfTrue="1">
      <formula>ACOMPANHAMENTO="BM"</formula>
    </cfRule>
    <cfRule type="expression" dxfId="643" priority="477" stopIfTrue="1">
      <formula>OR($B75=0,$B75=2,$B75=3,$B75=4)</formula>
    </cfRule>
    <cfRule type="expression" dxfId="642" priority="478" stopIfTrue="1">
      <formula>$B75=1</formula>
    </cfRule>
  </conditionalFormatting>
  <conditionalFormatting sqref="D88:I94">
    <cfRule type="expression" dxfId="641" priority="463" stopIfTrue="1">
      <formula>$B88=1</formula>
    </cfRule>
    <cfRule type="expression" dxfId="640" priority="464" stopIfTrue="1">
      <formula>OR($B88=0,$B88=2,$B88=3,$B88=4)</formula>
    </cfRule>
  </conditionalFormatting>
  <conditionalFormatting sqref="M88:N94">
    <cfRule type="expression" dxfId="639" priority="465" stopIfTrue="1">
      <formula>ACOMPANHAMENTO="BM"</formula>
    </cfRule>
    <cfRule type="expression" dxfId="638" priority="466" stopIfTrue="1">
      <formula>OR($B88=0,$B88=2,$B88=3,$B88=4)</formula>
    </cfRule>
    <cfRule type="expression" dxfId="637" priority="467" stopIfTrue="1">
      <formula>$B88=1</formula>
    </cfRule>
  </conditionalFormatting>
  <conditionalFormatting sqref="D95:I103">
    <cfRule type="expression" dxfId="636" priority="452" stopIfTrue="1">
      <formula>$B95=1</formula>
    </cfRule>
    <cfRule type="expression" dxfId="635" priority="453" stopIfTrue="1">
      <formula>OR($B95=0,$B95=2,$B95=3,$B95=4)</formula>
    </cfRule>
  </conditionalFormatting>
  <conditionalFormatting sqref="M95:N103">
    <cfRule type="expression" dxfId="634" priority="454" stopIfTrue="1">
      <formula>ACOMPANHAMENTO="BM"</formula>
    </cfRule>
    <cfRule type="expression" dxfId="633" priority="455" stopIfTrue="1">
      <formula>OR($B95=0,$B95=2,$B95=3,$B95=4)</formula>
    </cfRule>
    <cfRule type="expression" dxfId="632" priority="456" stopIfTrue="1">
      <formula>$B95=1</formula>
    </cfRule>
  </conditionalFormatting>
  <conditionalFormatting sqref="D104:I110 D114:I115">
    <cfRule type="expression" dxfId="631" priority="441" stopIfTrue="1">
      <formula>$B104=1</formula>
    </cfRule>
    <cfRule type="expression" dxfId="630" priority="442" stopIfTrue="1">
      <formula>OR($B104=0,$B104=2,$B104=3,$B104=4)</formula>
    </cfRule>
  </conditionalFormatting>
  <conditionalFormatting sqref="M104:N110 M114:N115">
    <cfRule type="expression" dxfId="629" priority="443" stopIfTrue="1">
      <formula>ACOMPANHAMENTO="BM"</formula>
    </cfRule>
    <cfRule type="expression" dxfId="628" priority="444" stopIfTrue="1">
      <formula>OR($B104=0,$B104=2,$B104=3,$B104=4)</formula>
    </cfRule>
    <cfRule type="expression" dxfId="627" priority="445" stopIfTrue="1">
      <formula>$B104=1</formula>
    </cfRule>
  </conditionalFormatting>
  <conditionalFormatting sqref="D116:I124">
    <cfRule type="expression" dxfId="626" priority="430" stopIfTrue="1">
      <formula>$B116=1</formula>
    </cfRule>
    <cfRule type="expression" dxfId="625" priority="431" stopIfTrue="1">
      <formula>OR($B116=0,$B116=2,$B116=3,$B116=4)</formula>
    </cfRule>
  </conditionalFormatting>
  <conditionalFormatting sqref="M116:N124">
    <cfRule type="expression" dxfId="624" priority="432" stopIfTrue="1">
      <formula>ACOMPANHAMENTO="BM"</formula>
    </cfRule>
    <cfRule type="expression" dxfId="623" priority="433" stopIfTrue="1">
      <formula>OR($B116=0,$B116=2,$B116=3,$B116=4)</formula>
    </cfRule>
    <cfRule type="expression" dxfId="622" priority="434" stopIfTrue="1">
      <formula>$B116=1</formula>
    </cfRule>
  </conditionalFormatting>
  <conditionalFormatting sqref="D125:I129 D131:I134">
    <cfRule type="expression" dxfId="621" priority="419" stopIfTrue="1">
      <formula>$B125=1</formula>
    </cfRule>
    <cfRule type="expression" dxfId="620" priority="420" stopIfTrue="1">
      <formula>OR($B125=0,$B125=2,$B125=3,$B125=4)</formula>
    </cfRule>
  </conditionalFormatting>
  <conditionalFormatting sqref="M125:N129 M131:N134">
    <cfRule type="expression" dxfId="619" priority="421" stopIfTrue="1">
      <formula>ACOMPANHAMENTO="BM"</formula>
    </cfRule>
    <cfRule type="expression" dxfId="618" priority="422" stopIfTrue="1">
      <formula>OR($B125=0,$B125=2,$B125=3,$B125=4)</formula>
    </cfRule>
    <cfRule type="expression" dxfId="617" priority="423" stopIfTrue="1">
      <formula>$B125=1</formula>
    </cfRule>
  </conditionalFormatting>
  <conditionalFormatting sqref="D135:I143">
    <cfRule type="expression" dxfId="616" priority="408" stopIfTrue="1">
      <formula>$B135=1</formula>
    </cfRule>
    <cfRule type="expression" dxfId="615" priority="409" stopIfTrue="1">
      <formula>OR($B135=0,$B135=2,$B135=3,$B135=4)</formula>
    </cfRule>
  </conditionalFormatting>
  <conditionalFormatting sqref="M135:N143">
    <cfRule type="expression" dxfId="614" priority="410" stopIfTrue="1">
      <formula>ACOMPANHAMENTO="BM"</formula>
    </cfRule>
    <cfRule type="expression" dxfId="613" priority="411" stopIfTrue="1">
      <formula>OR($B135=0,$B135=2,$B135=3,$B135=4)</formula>
    </cfRule>
    <cfRule type="expression" dxfId="612" priority="412" stopIfTrue="1">
      <formula>$B135=1</formula>
    </cfRule>
  </conditionalFormatting>
  <conditionalFormatting sqref="D144:I147 D149:I153">
    <cfRule type="expression" dxfId="611" priority="397" stopIfTrue="1">
      <formula>$B144=1</formula>
    </cfRule>
    <cfRule type="expression" dxfId="610" priority="398" stopIfTrue="1">
      <formula>OR($B144=0,$B144=2,$B144=3,$B144=4)</formula>
    </cfRule>
  </conditionalFormatting>
  <conditionalFormatting sqref="M144:N147 M149:N153">
    <cfRule type="expression" dxfId="609" priority="399" stopIfTrue="1">
      <formula>ACOMPANHAMENTO="BM"</formula>
    </cfRule>
    <cfRule type="expression" dxfId="608" priority="400" stopIfTrue="1">
      <formula>OR($B144=0,$B144=2,$B144=3,$B144=4)</formula>
    </cfRule>
    <cfRule type="expression" dxfId="607" priority="401" stopIfTrue="1">
      <formula>$B144=1</formula>
    </cfRule>
  </conditionalFormatting>
  <conditionalFormatting sqref="D154:I157 D159:I162 D164:I164">
    <cfRule type="expression" dxfId="606" priority="386" stopIfTrue="1">
      <formula>$B154=1</formula>
    </cfRule>
    <cfRule type="expression" dxfId="605" priority="387" stopIfTrue="1">
      <formula>OR($B154=0,$B154=2,$B154=3,$B154=4)</formula>
    </cfRule>
  </conditionalFormatting>
  <conditionalFormatting sqref="M154:N157 M159:N162 M164:N164">
    <cfRule type="expression" dxfId="604" priority="388" stopIfTrue="1">
      <formula>ACOMPANHAMENTO="BM"</formula>
    </cfRule>
    <cfRule type="expression" dxfId="603" priority="389" stopIfTrue="1">
      <formula>OR($B154=0,$B154=2,$B154=3,$B154=4)</formula>
    </cfRule>
    <cfRule type="expression" dxfId="602" priority="390" stopIfTrue="1">
      <formula>$B154=1</formula>
    </cfRule>
  </conditionalFormatting>
  <conditionalFormatting sqref="D165:I166 D168:I173 D177:I177">
    <cfRule type="expression" dxfId="601" priority="375" stopIfTrue="1">
      <formula>$B165=1</formula>
    </cfRule>
    <cfRule type="expression" dxfId="600" priority="376" stopIfTrue="1">
      <formula>OR($B165=0,$B165=2,$B165=3,$B165=4)</formula>
    </cfRule>
  </conditionalFormatting>
  <conditionalFormatting sqref="M165:N166 M168:N173 M177:N177">
    <cfRule type="expression" dxfId="599" priority="377" stopIfTrue="1">
      <formula>ACOMPANHAMENTO="BM"</formula>
    </cfRule>
    <cfRule type="expression" dxfId="598" priority="378" stopIfTrue="1">
      <formula>OR($B165=0,$B165=2,$B165=3,$B165=4)</formula>
    </cfRule>
    <cfRule type="expression" dxfId="597" priority="379" stopIfTrue="1">
      <formula>$B165=1</formula>
    </cfRule>
  </conditionalFormatting>
  <conditionalFormatting sqref="D178:I186">
    <cfRule type="expression" dxfId="596" priority="364" stopIfTrue="1">
      <formula>$B178=1</formula>
    </cfRule>
    <cfRule type="expression" dxfId="595" priority="365" stopIfTrue="1">
      <formula>OR($B178=0,$B178=2,$B178=3,$B178=4)</formula>
    </cfRule>
  </conditionalFormatting>
  <conditionalFormatting sqref="M178:N186">
    <cfRule type="expression" dxfId="594" priority="366" stopIfTrue="1">
      <formula>ACOMPANHAMENTO="BM"</formula>
    </cfRule>
    <cfRule type="expression" dxfId="593" priority="367" stopIfTrue="1">
      <formula>OR($B178=0,$B178=2,$B178=3,$B178=4)</formula>
    </cfRule>
    <cfRule type="expression" dxfId="592" priority="368" stopIfTrue="1">
      <formula>$B178=1</formula>
    </cfRule>
  </conditionalFormatting>
  <conditionalFormatting sqref="D187:I195">
    <cfRule type="expression" dxfId="591" priority="353" stopIfTrue="1">
      <formula>$B187=1</formula>
    </cfRule>
    <cfRule type="expression" dxfId="590" priority="354" stopIfTrue="1">
      <formula>OR($B187=0,$B187=2,$B187=3,$B187=4)</formula>
    </cfRule>
  </conditionalFormatting>
  <conditionalFormatting sqref="M187:N195">
    <cfRule type="expression" dxfId="589" priority="355" stopIfTrue="1">
      <formula>ACOMPANHAMENTO="BM"</formula>
    </cfRule>
    <cfRule type="expression" dxfId="588" priority="356" stopIfTrue="1">
      <formula>OR($B187=0,$B187=2,$B187=3,$B187=4)</formula>
    </cfRule>
    <cfRule type="expression" dxfId="587" priority="357" stopIfTrue="1">
      <formula>$B187=1</formula>
    </cfRule>
  </conditionalFormatting>
  <conditionalFormatting sqref="D196:I204">
    <cfRule type="expression" dxfId="586" priority="342" stopIfTrue="1">
      <formula>$B196=1</formula>
    </cfRule>
    <cfRule type="expression" dxfId="585" priority="343" stopIfTrue="1">
      <formula>OR($B196=0,$B196=2,$B196=3,$B196=4)</formula>
    </cfRule>
  </conditionalFormatting>
  <conditionalFormatting sqref="M196:N204">
    <cfRule type="expression" dxfId="584" priority="344" stopIfTrue="1">
      <formula>ACOMPANHAMENTO="BM"</formula>
    </cfRule>
    <cfRule type="expression" dxfId="583" priority="345" stopIfTrue="1">
      <formula>OR($B196=0,$B196=2,$B196=3,$B196=4)</formula>
    </cfRule>
    <cfRule type="expression" dxfId="582" priority="346" stopIfTrue="1">
      <formula>$B196=1</formula>
    </cfRule>
  </conditionalFormatting>
  <conditionalFormatting sqref="D205:I205 D210:I217">
    <cfRule type="expression" dxfId="581" priority="331" stopIfTrue="1">
      <formula>$B205=1</formula>
    </cfRule>
    <cfRule type="expression" dxfId="580" priority="332" stopIfTrue="1">
      <formula>OR($B205=0,$B205=2,$B205=3,$B205=4)</formula>
    </cfRule>
  </conditionalFormatting>
  <conditionalFormatting sqref="M205:N205 M210:N217">
    <cfRule type="expression" dxfId="579" priority="333" stopIfTrue="1">
      <formula>ACOMPANHAMENTO="BM"</formula>
    </cfRule>
    <cfRule type="expression" dxfId="578" priority="334" stopIfTrue="1">
      <formula>OR($B205=0,$B205=2,$B205=3,$B205=4)</formula>
    </cfRule>
    <cfRule type="expression" dxfId="577" priority="335" stopIfTrue="1">
      <formula>$B205=1</formula>
    </cfRule>
  </conditionalFormatting>
  <conditionalFormatting sqref="D226:I234">
    <cfRule type="expression" dxfId="576" priority="309" stopIfTrue="1">
      <formula>$B226=1</formula>
    </cfRule>
    <cfRule type="expression" dxfId="575" priority="310" stopIfTrue="1">
      <formula>OR($B226=0,$B226=2,$B226=3,$B226=4)</formula>
    </cfRule>
  </conditionalFormatting>
  <conditionalFormatting sqref="M226:N234">
    <cfRule type="expression" dxfId="574" priority="311" stopIfTrue="1">
      <formula>ACOMPANHAMENTO="BM"</formula>
    </cfRule>
    <cfRule type="expression" dxfId="573" priority="312" stopIfTrue="1">
      <formula>OR($B226=0,$B226=2,$B226=3,$B226=4)</formula>
    </cfRule>
    <cfRule type="expression" dxfId="572" priority="313" stopIfTrue="1">
      <formula>$B226=1</formula>
    </cfRule>
  </conditionalFormatting>
  <conditionalFormatting sqref="D244:I244 D248:I255">
    <cfRule type="expression" dxfId="571" priority="287" stopIfTrue="1">
      <formula>$B244=1</formula>
    </cfRule>
    <cfRule type="expression" dxfId="570" priority="288" stopIfTrue="1">
      <formula>OR($B244=0,$B244=2,$B244=3,$B244=4)</formula>
    </cfRule>
  </conditionalFormatting>
  <conditionalFormatting sqref="M244:N244 M248:N255">
    <cfRule type="expression" dxfId="569" priority="289" stopIfTrue="1">
      <formula>ACOMPANHAMENTO="BM"</formula>
    </cfRule>
    <cfRule type="expression" dxfId="568" priority="290" stopIfTrue="1">
      <formula>OR($B244=0,$B244=2,$B244=3,$B244=4)</formula>
    </cfRule>
    <cfRule type="expression" dxfId="567" priority="291" stopIfTrue="1">
      <formula>$B244=1</formula>
    </cfRule>
  </conditionalFormatting>
  <conditionalFormatting sqref="D256:I264">
    <cfRule type="expression" dxfId="566" priority="276" stopIfTrue="1">
      <formula>$B256=1</formula>
    </cfRule>
    <cfRule type="expression" dxfId="565" priority="277" stopIfTrue="1">
      <formula>OR($B256=0,$B256=2,$B256=3,$B256=4)</formula>
    </cfRule>
  </conditionalFormatting>
  <conditionalFormatting sqref="M256:N264">
    <cfRule type="expression" dxfId="564" priority="278" stopIfTrue="1">
      <formula>ACOMPANHAMENTO="BM"</formula>
    </cfRule>
    <cfRule type="expression" dxfId="563" priority="279" stopIfTrue="1">
      <formula>OR($B256=0,$B256=2,$B256=3,$B256=4)</formula>
    </cfRule>
    <cfRule type="expression" dxfId="562" priority="280" stopIfTrue="1">
      <formula>$B256=1</formula>
    </cfRule>
  </conditionalFormatting>
  <conditionalFormatting sqref="D265:I273">
    <cfRule type="expression" dxfId="561" priority="265" stopIfTrue="1">
      <formula>$B265=1</formula>
    </cfRule>
    <cfRule type="expression" dxfId="560" priority="266" stopIfTrue="1">
      <formula>OR($B265=0,$B265=2,$B265=3,$B265=4)</formula>
    </cfRule>
  </conditionalFormatting>
  <conditionalFormatting sqref="M265:N273">
    <cfRule type="expression" dxfId="559" priority="267" stopIfTrue="1">
      <formula>ACOMPANHAMENTO="BM"</formula>
    </cfRule>
    <cfRule type="expression" dxfId="558" priority="268" stopIfTrue="1">
      <formula>OR($B265=0,$B265=2,$B265=3,$B265=4)</formula>
    </cfRule>
    <cfRule type="expression" dxfId="557" priority="269" stopIfTrue="1">
      <formula>$B265=1</formula>
    </cfRule>
  </conditionalFormatting>
  <conditionalFormatting sqref="D274:I282">
    <cfRule type="expression" dxfId="556" priority="254" stopIfTrue="1">
      <formula>$B274=1</formula>
    </cfRule>
    <cfRule type="expression" dxfId="555" priority="255" stopIfTrue="1">
      <formula>OR($B274=0,$B274=2,$B274=3,$B274=4)</formula>
    </cfRule>
  </conditionalFormatting>
  <conditionalFormatting sqref="M274:N282">
    <cfRule type="expression" dxfId="554" priority="256" stopIfTrue="1">
      <formula>ACOMPANHAMENTO="BM"</formula>
    </cfRule>
    <cfRule type="expression" dxfId="553" priority="257" stopIfTrue="1">
      <formula>OR($B274=0,$B274=2,$B274=3,$B274=4)</formula>
    </cfRule>
    <cfRule type="expression" dxfId="552" priority="258" stopIfTrue="1">
      <formula>$B274=1</formula>
    </cfRule>
  </conditionalFormatting>
  <conditionalFormatting sqref="D283:I289">
    <cfRule type="expression" dxfId="551" priority="243" stopIfTrue="1">
      <formula>$B283=1</formula>
    </cfRule>
    <cfRule type="expression" dxfId="550" priority="244" stopIfTrue="1">
      <formula>OR($B283=0,$B283=2,$B283=3,$B283=4)</formula>
    </cfRule>
  </conditionalFormatting>
  <conditionalFormatting sqref="M283:N289">
    <cfRule type="expression" dxfId="549" priority="245" stopIfTrue="1">
      <formula>ACOMPANHAMENTO="BM"</formula>
    </cfRule>
    <cfRule type="expression" dxfId="548" priority="246" stopIfTrue="1">
      <formula>OR($B283=0,$B283=2,$B283=3,$B283=4)</formula>
    </cfRule>
    <cfRule type="expression" dxfId="547" priority="247" stopIfTrue="1">
      <formula>$B283=1</formula>
    </cfRule>
  </conditionalFormatting>
  <conditionalFormatting sqref="D61:I61">
    <cfRule type="expression" dxfId="546" priority="232" stopIfTrue="1">
      <formula>$B61=1</formula>
    </cfRule>
    <cfRule type="expression" dxfId="545" priority="233" stopIfTrue="1">
      <formula>OR($B61=0,$B61=2,$B61=3,$B61=4)</formula>
    </cfRule>
  </conditionalFormatting>
  <conditionalFormatting sqref="M61:N61">
    <cfRule type="expression" dxfId="544" priority="234" stopIfTrue="1">
      <formula>ACOMPANHAMENTO="BM"</formula>
    </cfRule>
    <cfRule type="expression" dxfId="543" priority="235" stopIfTrue="1">
      <formula>OR($B61=0,$B61=2,$B61=3,$B61=4)</formula>
    </cfRule>
    <cfRule type="expression" dxfId="542" priority="236" stopIfTrue="1">
      <formula>$B61=1</formula>
    </cfRule>
  </conditionalFormatting>
  <conditionalFormatting sqref="D42:I42">
    <cfRule type="expression" dxfId="541" priority="221" stopIfTrue="1">
      <formula>$B42=1</formula>
    </cfRule>
    <cfRule type="expression" dxfId="540" priority="222" stopIfTrue="1">
      <formula>OR($B42=0,$B42=2,$B42=3,$B42=4)</formula>
    </cfRule>
  </conditionalFormatting>
  <conditionalFormatting sqref="M42:N42">
    <cfRule type="expression" dxfId="539" priority="223" stopIfTrue="1">
      <formula>ACOMPANHAMENTO="BM"</formula>
    </cfRule>
    <cfRule type="expression" dxfId="538" priority="224" stopIfTrue="1">
      <formula>OR($B42=0,$B42=2,$B42=3,$B42=4)</formula>
    </cfRule>
    <cfRule type="expression" dxfId="537" priority="225" stopIfTrue="1">
      <formula>$B42=1</formula>
    </cfRule>
  </conditionalFormatting>
  <conditionalFormatting sqref="D35:I35">
    <cfRule type="expression" dxfId="536" priority="210" stopIfTrue="1">
      <formula>$B35=1</formula>
    </cfRule>
    <cfRule type="expression" dxfId="535" priority="211" stopIfTrue="1">
      <formula>OR($B35=0,$B35=2,$B35=3,$B35=4)</formula>
    </cfRule>
  </conditionalFormatting>
  <conditionalFormatting sqref="M35:N35">
    <cfRule type="expression" dxfId="534" priority="212" stopIfTrue="1">
      <formula>ACOMPANHAMENTO="BM"</formula>
    </cfRule>
    <cfRule type="expression" dxfId="533" priority="213" stopIfTrue="1">
      <formula>OR($B35=0,$B35=2,$B35=3,$B35=4)</formula>
    </cfRule>
    <cfRule type="expression" dxfId="532" priority="214" stopIfTrue="1">
      <formula>$B35=1</formula>
    </cfRule>
  </conditionalFormatting>
  <conditionalFormatting sqref="D36:I36">
    <cfRule type="expression" dxfId="531" priority="199" stopIfTrue="1">
      <formula>$B36=1</formula>
    </cfRule>
    <cfRule type="expression" dxfId="530" priority="200" stopIfTrue="1">
      <formula>OR($B36=0,$B36=2,$B36=3,$B36=4)</formula>
    </cfRule>
  </conditionalFormatting>
  <conditionalFormatting sqref="M36:N36">
    <cfRule type="expression" dxfId="529" priority="201" stopIfTrue="1">
      <formula>ACOMPANHAMENTO="BM"</formula>
    </cfRule>
    <cfRule type="expression" dxfId="528" priority="202" stopIfTrue="1">
      <formula>OR($B36=0,$B36=2,$B36=3,$B36=4)</formula>
    </cfRule>
    <cfRule type="expression" dxfId="527" priority="203" stopIfTrue="1">
      <formula>$B36=1</formula>
    </cfRule>
  </conditionalFormatting>
  <conditionalFormatting sqref="D83:I84">
    <cfRule type="expression" dxfId="526" priority="177" stopIfTrue="1">
      <formula>$B83=1</formula>
    </cfRule>
    <cfRule type="expression" dxfId="525" priority="178" stopIfTrue="1">
      <formula>OR($B83=0,$B83=2,$B83=3,$B83=4)</formula>
    </cfRule>
  </conditionalFormatting>
  <conditionalFormatting sqref="M83:N84">
    <cfRule type="expression" dxfId="524" priority="179" stopIfTrue="1">
      <formula>ACOMPANHAMENTO="BM"</formula>
    </cfRule>
    <cfRule type="expression" dxfId="523" priority="180" stopIfTrue="1">
      <formula>OR($B83=0,$B83=2,$B83=3,$B83=4)</formula>
    </cfRule>
    <cfRule type="expression" dxfId="522" priority="181" stopIfTrue="1">
      <formula>$B83=1</formula>
    </cfRule>
  </conditionalFormatting>
  <conditionalFormatting sqref="K83:K84">
    <cfRule type="expression" dxfId="521" priority="182" stopIfTrue="1">
      <formula>OR(ACOMPANHAMENTO="BM",$A$12&lt;&gt;"Manual")</formula>
    </cfRule>
    <cfRule type="expression" dxfId="520" priority="183" stopIfTrue="1">
      <formula>$B83=1</formula>
    </cfRule>
    <cfRule type="expression" dxfId="519" priority="184" stopIfTrue="1">
      <formula>OR($B83=2,$B83=3,$B83=4,$B83=0)</formula>
    </cfRule>
  </conditionalFormatting>
  <conditionalFormatting sqref="O83:AA84">
    <cfRule type="expression" dxfId="518" priority="185" stopIfTrue="1">
      <formula>ACOMPANHAMENTO="BM"</formula>
    </cfRule>
    <cfRule type="expression" dxfId="517" priority="186" stopIfTrue="1">
      <formula>AND(O$12&lt;&gt;".",OR($B83=0,$B83=2,$B83=3,$B83=4,AND(O$12="",$B83&lt;&gt;"Empty"),OFFSET(O$12,0,-1)=""))</formula>
    </cfRule>
    <cfRule type="expression" dxfId="516" priority="187" stopIfTrue="1">
      <formula>AND($B83=1,O$12&lt;&gt;".")</formula>
    </cfRule>
  </conditionalFormatting>
  <conditionalFormatting sqref="D87:I87">
    <cfRule type="expression" dxfId="515" priority="166" stopIfTrue="1">
      <formula>$B87=1</formula>
    </cfRule>
    <cfRule type="expression" dxfId="514" priority="167" stopIfTrue="1">
      <formula>OR($B87=0,$B87=2,$B87=3,$B87=4)</formula>
    </cfRule>
  </conditionalFormatting>
  <conditionalFormatting sqref="M87:N87">
    <cfRule type="expression" dxfId="513" priority="168" stopIfTrue="1">
      <formula>ACOMPANHAMENTO="BM"</formula>
    </cfRule>
    <cfRule type="expression" dxfId="512" priority="169" stopIfTrue="1">
      <formula>OR($B87=0,$B87=2,$B87=3,$B87=4)</formula>
    </cfRule>
    <cfRule type="expression" dxfId="511" priority="170" stopIfTrue="1">
      <formula>$B87=1</formula>
    </cfRule>
  </conditionalFormatting>
  <conditionalFormatting sqref="D111:I113">
    <cfRule type="expression" dxfId="510" priority="155" stopIfTrue="1">
      <formula>$B111=1</formula>
    </cfRule>
    <cfRule type="expression" dxfId="509" priority="156" stopIfTrue="1">
      <formula>OR($B111=0,$B111=2,$B111=3,$B111=4)</formula>
    </cfRule>
  </conditionalFormatting>
  <conditionalFormatting sqref="M111:N113">
    <cfRule type="expression" dxfId="508" priority="157" stopIfTrue="1">
      <formula>ACOMPANHAMENTO="BM"</formula>
    </cfRule>
    <cfRule type="expression" dxfId="507" priority="158" stopIfTrue="1">
      <formula>OR($B111=0,$B111=2,$B111=3,$B111=4)</formula>
    </cfRule>
    <cfRule type="expression" dxfId="506" priority="159" stopIfTrue="1">
      <formula>$B111=1</formula>
    </cfRule>
  </conditionalFormatting>
  <conditionalFormatting sqref="D148:I148">
    <cfRule type="expression" dxfId="505" priority="133" stopIfTrue="1">
      <formula>$B148=1</formula>
    </cfRule>
    <cfRule type="expression" dxfId="504" priority="134" stopIfTrue="1">
      <formula>OR($B148=0,$B148=2,$B148=3,$B148=4)</formula>
    </cfRule>
  </conditionalFormatting>
  <conditionalFormatting sqref="M148:N148">
    <cfRule type="expression" dxfId="503" priority="135" stopIfTrue="1">
      <formula>ACOMPANHAMENTO="BM"</formula>
    </cfRule>
    <cfRule type="expression" dxfId="502" priority="136" stopIfTrue="1">
      <formula>OR($B148=0,$B148=2,$B148=3,$B148=4)</formula>
    </cfRule>
    <cfRule type="expression" dxfId="501" priority="137" stopIfTrue="1">
      <formula>$B148=1</formula>
    </cfRule>
  </conditionalFormatting>
  <conditionalFormatting sqref="D158:I158">
    <cfRule type="expression" dxfId="500" priority="122" stopIfTrue="1">
      <formula>$B158=1</formula>
    </cfRule>
    <cfRule type="expression" dxfId="499" priority="123" stopIfTrue="1">
      <formula>OR($B158=0,$B158=2,$B158=3,$B158=4)</formula>
    </cfRule>
  </conditionalFormatting>
  <conditionalFormatting sqref="M158:N158">
    <cfRule type="expression" dxfId="498" priority="124" stopIfTrue="1">
      <formula>ACOMPANHAMENTO="BM"</formula>
    </cfRule>
    <cfRule type="expression" dxfId="497" priority="125" stopIfTrue="1">
      <formula>OR($B158=0,$B158=2,$B158=3,$B158=4)</formula>
    </cfRule>
    <cfRule type="expression" dxfId="496" priority="126" stopIfTrue="1">
      <formula>$B158=1</formula>
    </cfRule>
  </conditionalFormatting>
  <conditionalFormatting sqref="K158">
    <cfRule type="expression" dxfId="495" priority="127" stopIfTrue="1">
      <formula>OR(ACOMPANHAMENTO="BM",$A$12&lt;&gt;"Manual")</formula>
    </cfRule>
    <cfRule type="expression" dxfId="494" priority="128" stopIfTrue="1">
      <formula>$B158=1</formula>
    </cfRule>
    <cfRule type="expression" dxfId="493" priority="129" stopIfTrue="1">
      <formula>OR($B158=2,$B158=3,$B158=4,$B158=0)</formula>
    </cfRule>
  </conditionalFormatting>
  <conditionalFormatting sqref="O158:AA158">
    <cfRule type="expression" dxfId="492" priority="130" stopIfTrue="1">
      <formula>ACOMPANHAMENTO="BM"</formula>
    </cfRule>
    <cfRule type="expression" dxfId="491" priority="131" stopIfTrue="1">
      <formula>AND(O$12&lt;&gt;".",OR($B158=0,$B158=2,$B158=3,$B158=4,AND(O$12="",$B158&lt;&gt;"Empty"),OFFSET(O$12,0,-1)=""))</formula>
    </cfRule>
    <cfRule type="expression" dxfId="490" priority="132" stopIfTrue="1">
      <formula>AND($B158=1,O$12&lt;&gt;".")</formula>
    </cfRule>
  </conditionalFormatting>
  <conditionalFormatting sqref="D167:I167">
    <cfRule type="expression" dxfId="489" priority="111" stopIfTrue="1">
      <formula>$B167=1</formula>
    </cfRule>
    <cfRule type="expression" dxfId="488" priority="112" stopIfTrue="1">
      <formula>OR($B167=0,$B167=2,$B167=3,$B167=4)</formula>
    </cfRule>
  </conditionalFormatting>
  <conditionalFormatting sqref="M167:N167">
    <cfRule type="expression" dxfId="487" priority="113" stopIfTrue="1">
      <formula>ACOMPANHAMENTO="BM"</formula>
    </cfRule>
    <cfRule type="expression" dxfId="486" priority="114" stopIfTrue="1">
      <formula>OR($B167=0,$B167=2,$B167=3,$B167=4)</formula>
    </cfRule>
    <cfRule type="expression" dxfId="485" priority="115" stopIfTrue="1">
      <formula>$B167=1</formula>
    </cfRule>
  </conditionalFormatting>
  <conditionalFormatting sqref="K167">
    <cfRule type="expression" dxfId="484" priority="116" stopIfTrue="1">
      <formula>OR(ACOMPANHAMENTO="BM",$A$12&lt;&gt;"Manual")</formula>
    </cfRule>
    <cfRule type="expression" dxfId="483" priority="117" stopIfTrue="1">
      <formula>$B167=1</formula>
    </cfRule>
    <cfRule type="expression" dxfId="482" priority="118" stopIfTrue="1">
      <formula>OR($B167=2,$B167=3,$B167=4,$B167=0)</formula>
    </cfRule>
  </conditionalFormatting>
  <conditionalFormatting sqref="O167:AA167">
    <cfRule type="expression" dxfId="481" priority="119" stopIfTrue="1">
      <formula>ACOMPANHAMENTO="BM"</formula>
    </cfRule>
    <cfRule type="expression" dxfId="480" priority="120" stopIfTrue="1">
      <formula>AND(O$12&lt;&gt;".",OR($B167=0,$B167=2,$B167=3,$B167=4,AND(O$12="",$B167&lt;&gt;"Empty"),OFFSET(O$12,0,-1)=""))</formula>
    </cfRule>
    <cfRule type="expression" dxfId="479" priority="121" stopIfTrue="1">
      <formula>AND($B167=1,O$12&lt;&gt;".")</formula>
    </cfRule>
  </conditionalFormatting>
  <conditionalFormatting sqref="D163:I163">
    <cfRule type="expression" dxfId="478" priority="100" stopIfTrue="1">
      <formula>$B163=1</formula>
    </cfRule>
    <cfRule type="expression" dxfId="477" priority="101" stopIfTrue="1">
      <formula>OR($B163=0,$B163=2,$B163=3,$B163=4)</formula>
    </cfRule>
  </conditionalFormatting>
  <conditionalFormatting sqref="M163:N163">
    <cfRule type="expression" dxfId="476" priority="102" stopIfTrue="1">
      <formula>ACOMPANHAMENTO="BM"</formula>
    </cfRule>
    <cfRule type="expression" dxfId="475" priority="103" stopIfTrue="1">
      <formula>OR($B163=0,$B163=2,$B163=3,$B163=4)</formula>
    </cfRule>
    <cfRule type="expression" dxfId="474" priority="104" stopIfTrue="1">
      <formula>$B163=1</formula>
    </cfRule>
  </conditionalFormatting>
  <conditionalFormatting sqref="K163">
    <cfRule type="expression" dxfId="473" priority="105" stopIfTrue="1">
      <formula>OR(ACOMPANHAMENTO="BM",$A$12&lt;&gt;"Manual")</formula>
    </cfRule>
    <cfRule type="expression" dxfId="472" priority="106" stopIfTrue="1">
      <formula>$B163=1</formula>
    </cfRule>
    <cfRule type="expression" dxfId="471" priority="107" stopIfTrue="1">
      <formula>OR($B163=2,$B163=3,$B163=4,$B163=0)</formula>
    </cfRule>
  </conditionalFormatting>
  <conditionalFormatting sqref="O163:AA163">
    <cfRule type="expression" dxfId="470" priority="108" stopIfTrue="1">
      <formula>ACOMPANHAMENTO="BM"</formula>
    </cfRule>
    <cfRule type="expression" dxfId="469" priority="109" stopIfTrue="1">
      <formula>AND(O$12&lt;&gt;".",OR($B163=0,$B163=2,$B163=3,$B163=4,AND(O$12="",$B163&lt;&gt;"Empty"),OFFSET(O$12,0,-1)=""))</formula>
    </cfRule>
    <cfRule type="expression" dxfId="468" priority="110" stopIfTrue="1">
      <formula>AND($B163=1,O$12&lt;&gt;".")</formula>
    </cfRule>
  </conditionalFormatting>
  <conditionalFormatting sqref="D174:I175">
    <cfRule type="expression" dxfId="467" priority="89" stopIfTrue="1">
      <formula>$B174=1</formula>
    </cfRule>
    <cfRule type="expression" dxfId="466" priority="90" stopIfTrue="1">
      <formula>OR($B174=0,$B174=2,$B174=3,$B174=4)</formula>
    </cfRule>
  </conditionalFormatting>
  <conditionalFormatting sqref="M174:N175">
    <cfRule type="expression" dxfId="465" priority="91" stopIfTrue="1">
      <formula>ACOMPANHAMENTO="BM"</formula>
    </cfRule>
    <cfRule type="expression" dxfId="464" priority="92" stopIfTrue="1">
      <formula>OR($B174=0,$B174=2,$B174=3,$B174=4)</formula>
    </cfRule>
    <cfRule type="expression" dxfId="463" priority="93" stopIfTrue="1">
      <formula>$B174=1</formula>
    </cfRule>
  </conditionalFormatting>
  <conditionalFormatting sqref="K174:K175">
    <cfRule type="expression" dxfId="462" priority="94" stopIfTrue="1">
      <formula>OR(ACOMPANHAMENTO="BM",$A$12&lt;&gt;"Manual")</formula>
    </cfRule>
    <cfRule type="expression" dxfId="461" priority="95" stopIfTrue="1">
      <formula>$B174=1</formula>
    </cfRule>
    <cfRule type="expression" dxfId="460" priority="96" stopIfTrue="1">
      <formula>OR($B174=2,$B174=3,$B174=4,$B174=0)</formula>
    </cfRule>
  </conditionalFormatting>
  <conditionalFormatting sqref="O174:AA175">
    <cfRule type="expression" dxfId="459" priority="97" stopIfTrue="1">
      <formula>ACOMPANHAMENTO="BM"</formula>
    </cfRule>
    <cfRule type="expression" dxfId="458" priority="98" stopIfTrue="1">
      <formula>AND(O$12&lt;&gt;".",OR($B174=0,$B174=2,$B174=3,$B174=4,AND(O$12="",$B174&lt;&gt;"Empty"),OFFSET(O$12,0,-1)=""))</formula>
    </cfRule>
    <cfRule type="expression" dxfId="457" priority="99" stopIfTrue="1">
      <formula>AND($B174=1,O$12&lt;&gt;".")</formula>
    </cfRule>
  </conditionalFormatting>
  <conditionalFormatting sqref="D176:I176">
    <cfRule type="expression" dxfId="456" priority="78" stopIfTrue="1">
      <formula>$B176=1</formula>
    </cfRule>
    <cfRule type="expression" dxfId="455" priority="79" stopIfTrue="1">
      <formula>OR($B176=0,$B176=2,$B176=3,$B176=4)</formula>
    </cfRule>
  </conditionalFormatting>
  <conditionalFormatting sqref="M176:N176">
    <cfRule type="expression" dxfId="454" priority="80" stopIfTrue="1">
      <formula>ACOMPANHAMENTO="BM"</formula>
    </cfRule>
    <cfRule type="expression" dxfId="453" priority="81" stopIfTrue="1">
      <formula>OR($B176=0,$B176=2,$B176=3,$B176=4)</formula>
    </cfRule>
    <cfRule type="expression" dxfId="452" priority="82" stopIfTrue="1">
      <formula>$B176=1</formula>
    </cfRule>
  </conditionalFormatting>
  <conditionalFormatting sqref="K176">
    <cfRule type="expression" dxfId="451" priority="83" stopIfTrue="1">
      <formula>OR(ACOMPANHAMENTO="BM",$A$12&lt;&gt;"Manual")</formula>
    </cfRule>
    <cfRule type="expression" dxfId="450" priority="84" stopIfTrue="1">
      <formula>$B176=1</formula>
    </cfRule>
    <cfRule type="expression" dxfId="449" priority="85" stopIfTrue="1">
      <formula>OR($B176=2,$B176=3,$B176=4,$B176=0)</formula>
    </cfRule>
  </conditionalFormatting>
  <conditionalFormatting sqref="O176:AA176">
    <cfRule type="expression" dxfId="448" priority="86" stopIfTrue="1">
      <formula>ACOMPANHAMENTO="BM"</formula>
    </cfRule>
    <cfRule type="expression" dxfId="447" priority="87" stopIfTrue="1">
      <formula>AND(O$12&lt;&gt;".",OR($B176=0,$B176=2,$B176=3,$B176=4,AND(O$12="",$B176&lt;&gt;"Empty"),OFFSET(O$12,0,-1)=""))</formula>
    </cfRule>
    <cfRule type="expression" dxfId="446" priority="88" stopIfTrue="1">
      <formula>AND($B176=1,O$12&lt;&gt;".")</formula>
    </cfRule>
  </conditionalFormatting>
  <conditionalFormatting sqref="D130:I130">
    <cfRule type="expression" dxfId="445" priority="67" stopIfTrue="1">
      <formula>$B130=1</formula>
    </cfRule>
    <cfRule type="expression" dxfId="444" priority="68" stopIfTrue="1">
      <formula>OR($B130=0,$B130=2,$B130=3,$B130=4)</formula>
    </cfRule>
  </conditionalFormatting>
  <conditionalFormatting sqref="M130:N130">
    <cfRule type="expression" dxfId="443" priority="69" stopIfTrue="1">
      <formula>ACOMPANHAMENTO="BM"</formula>
    </cfRule>
    <cfRule type="expression" dxfId="442" priority="70" stopIfTrue="1">
      <formula>OR($B130=0,$B130=2,$B130=3,$B130=4)</formula>
    </cfRule>
    <cfRule type="expression" dxfId="441" priority="71" stopIfTrue="1">
      <formula>$B130=1</formula>
    </cfRule>
  </conditionalFormatting>
  <conditionalFormatting sqref="K130">
    <cfRule type="expression" dxfId="440" priority="72" stopIfTrue="1">
      <formula>OR(ACOMPANHAMENTO="BM",$A$12&lt;&gt;"Manual")</formula>
    </cfRule>
    <cfRule type="expression" dxfId="439" priority="73" stopIfTrue="1">
      <formula>$B130=1</formula>
    </cfRule>
    <cfRule type="expression" dxfId="438" priority="74" stopIfTrue="1">
      <formula>OR($B130=2,$B130=3,$B130=4,$B130=0)</formula>
    </cfRule>
  </conditionalFormatting>
  <conditionalFormatting sqref="O130:AA130">
    <cfRule type="expression" dxfId="437" priority="75" stopIfTrue="1">
      <formula>ACOMPANHAMENTO="BM"</formula>
    </cfRule>
    <cfRule type="expression" dxfId="436" priority="76" stopIfTrue="1">
      <formula>AND(O$12&lt;&gt;".",OR($B130=0,$B130=2,$B130=3,$B130=4,AND(O$12="",$B130&lt;&gt;"Empty"),OFFSET(O$12,0,-1)=""))</formula>
    </cfRule>
    <cfRule type="expression" dxfId="435" priority="77" stopIfTrue="1">
      <formula>AND($B130=1,O$12&lt;&gt;".")</formula>
    </cfRule>
  </conditionalFormatting>
  <conditionalFormatting sqref="D21:I21">
    <cfRule type="expression" dxfId="434" priority="56" stopIfTrue="1">
      <formula>$B21=1</formula>
    </cfRule>
    <cfRule type="expression" dxfId="433" priority="57" stopIfTrue="1">
      <formula>OR($B21=0,$B21=2,$B21=3,$B21=4)</formula>
    </cfRule>
  </conditionalFormatting>
  <conditionalFormatting sqref="M21:N21">
    <cfRule type="expression" dxfId="432" priority="58" stopIfTrue="1">
      <formula>ACOMPANHAMENTO="BM"</formula>
    </cfRule>
    <cfRule type="expression" dxfId="431" priority="59" stopIfTrue="1">
      <formula>OR($B21=0,$B21=2,$B21=3,$B21=4)</formula>
    </cfRule>
    <cfRule type="expression" dxfId="430" priority="60" stopIfTrue="1">
      <formula>$B21=1</formula>
    </cfRule>
  </conditionalFormatting>
  <conditionalFormatting sqref="K21">
    <cfRule type="expression" dxfId="429" priority="61" stopIfTrue="1">
      <formula>OR(ACOMPANHAMENTO="BM",$A$12&lt;&gt;"Manual")</formula>
    </cfRule>
    <cfRule type="expression" dxfId="428" priority="62" stopIfTrue="1">
      <formula>$B21=1</formula>
    </cfRule>
    <cfRule type="expression" dxfId="427" priority="63" stopIfTrue="1">
      <formula>OR($B21=2,$B21=3,$B21=4,$B21=0)</formula>
    </cfRule>
  </conditionalFormatting>
  <conditionalFormatting sqref="O21:AA21">
    <cfRule type="expression" dxfId="426" priority="64" stopIfTrue="1">
      <formula>ACOMPANHAMENTO="BM"</formula>
    </cfRule>
    <cfRule type="expression" dxfId="425" priority="65" stopIfTrue="1">
      <formula>AND(O$12&lt;&gt;".",OR($B21=0,$B21=2,$B21=3,$B21=4,AND(O$12="",$B21&lt;&gt;"Empty"),OFFSET(O$12,0,-1)=""))</formula>
    </cfRule>
    <cfRule type="expression" dxfId="424" priority="66" stopIfTrue="1">
      <formula>AND($B21=1,O$12&lt;&gt;".")</formula>
    </cfRule>
  </conditionalFormatting>
  <conditionalFormatting sqref="D206:I206">
    <cfRule type="expression" dxfId="423" priority="45" stopIfTrue="1">
      <formula>$B206=1</formula>
    </cfRule>
    <cfRule type="expression" dxfId="422" priority="46" stopIfTrue="1">
      <formula>OR($B206=0,$B206=2,$B206=3,$B206=4)</formula>
    </cfRule>
  </conditionalFormatting>
  <conditionalFormatting sqref="M206:N206">
    <cfRule type="expression" dxfId="421" priority="47" stopIfTrue="1">
      <formula>ACOMPANHAMENTO="BM"</formula>
    </cfRule>
    <cfRule type="expression" dxfId="420" priority="48" stopIfTrue="1">
      <formula>OR($B206=0,$B206=2,$B206=3,$B206=4)</formula>
    </cfRule>
    <cfRule type="expression" dxfId="419" priority="49" stopIfTrue="1">
      <formula>$B206=1</formula>
    </cfRule>
  </conditionalFormatting>
  <conditionalFormatting sqref="K206">
    <cfRule type="expression" dxfId="418" priority="50" stopIfTrue="1">
      <formula>OR(ACOMPANHAMENTO="BM",$A$12&lt;&gt;"Manual")</formula>
    </cfRule>
    <cfRule type="expression" dxfId="417" priority="51" stopIfTrue="1">
      <formula>$B206=1</formula>
    </cfRule>
    <cfRule type="expression" dxfId="416" priority="52" stopIfTrue="1">
      <formula>OR($B206=2,$B206=3,$B206=4,$B206=0)</formula>
    </cfRule>
  </conditionalFormatting>
  <conditionalFormatting sqref="O206:AA206">
    <cfRule type="expression" dxfId="415" priority="53" stopIfTrue="1">
      <formula>ACOMPANHAMENTO="BM"</formula>
    </cfRule>
    <cfRule type="expression" dxfId="414" priority="54" stopIfTrue="1">
      <formula>AND(O$12&lt;&gt;".",OR($B206=0,$B206=2,$B206=3,$B206=4,AND(O$12="",$B206&lt;&gt;"Empty"),OFFSET(O$12,0,-1)=""))</formula>
    </cfRule>
    <cfRule type="expression" dxfId="413" priority="55" stopIfTrue="1">
      <formula>AND($B206=1,O$12&lt;&gt;".")</formula>
    </cfRule>
  </conditionalFormatting>
  <conditionalFormatting sqref="D207:I207">
    <cfRule type="expression" dxfId="412" priority="34" stopIfTrue="1">
      <formula>$B207=1</formula>
    </cfRule>
    <cfRule type="expression" dxfId="411" priority="35" stopIfTrue="1">
      <formula>OR($B207=0,$B207=2,$B207=3,$B207=4)</formula>
    </cfRule>
  </conditionalFormatting>
  <conditionalFormatting sqref="M207:N207">
    <cfRule type="expression" dxfId="410" priority="36" stopIfTrue="1">
      <formula>ACOMPANHAMENTO="BM"</formula>
    </cfRule>
    <cfRule type="expression" dxfId="409" priority="37" stopIfTrue="1">
      <formula>OR($B207=0,$B207=2,$B207=3,$B207=4)</formula>
    </cfRule>
    <cfRule type="expression" dxfId="408" priority="38" stopIfTrue="1">
      <formula>$B207=1</formula>
    </cfRule>
  </conditionalFormatting>
  <conditionalFormatting sqref="K207">
    <cfRule type="expression" dxfId="407" priority="39" stopIfTrue="1">
      <formula>OR(ACOMPANHAMENTO="BM",$A$12&lt;&gt;"Manual")</formula>
    </cfRule>
    <cfRule type="expression" dxfId="406" priority="40" stopIfTrue="1">
      <formula>$B207=1</formula>
    </cfRule>
    <cfRule type="expression" dxfId="405" priority="41" stopIfTrue="1">
      <formula>OR($B207=2,$B207=3,$B207=4,$B207=0)</formula>
    </cfRule>
  </conditionalFormatting>
  <conditionalFormatting sqref="O207:AA207">
    <cfRule type="expression" dxfId="404" priority="42" stopIfTrue="1">
      <formula>ACOMPANHAMENTO="BM"</formula>
    </cfRule>
    <cfRule type="expression" dxfId="403" priority="43" stopIfTrue="1">
      <formula>AND(O$12&lt;&gt;".",OR($B207=0,$B207=2,$B207=3,$B207=4,AND(O$12="",$B207&lt;&gt;"Empty"),OFFSET(O$12,0,-1)=""))</formula>
    </cfRule>
    <cfRule type="expression" dxfId="402" priority="44" stopIfTrue="1">
      <formula>AND($B207=1,O$12&lt;&gt;".")</formula>
    </cfRule>
  </conditionalFormatting>
  <conditionalFormatting sqref="D238:I238">
    <cfRule type="expression" dxfId="401" priority="12" stopIfTrue="1">
      <formula>$B238=1</formula>
    </cfRule>
    <cfRule type="expression" dxfId="400" priority="13" stopIfTrue="1">
      <formula>OR($B238=0,$B238=2,$B238=3,$B238=4)</formula>
    </cfRule>
  </conditionalFormatting>
  <conditionalFormatting sqref="M238:N238">
    <cfRule type="expression" dxfId="399" priority="14" stopIfTrue="1">
      <formula>ACOMPANHAMENTO="BM"</formula>
    </cfRule>
    <cfRule type="expression" dxfId="398" priority="15" stopIfTrue="1">
      <formula>OR($B238=0,$B238=2,$B238=3,$B238=4)</formula>
    </cfRule>
    <cfRule type="expression" dxfId="397" priority="16" stopIfTrue="1">
      <formula>$B238=1</formula>
    </cfRule>
  </conditionalFormatting>
  <conditionalFormatting sqref="K238">
    <cfRule type="expression" dxfId="396" priority="17" stopIfTrue="1">
      <formula>OR(ACOMPANHAMENTO="BM",$A$12&lt;&gt;"Manual")</formula>
    </cfRule>
    <cfRule type="expression" dxfId="395" priority="18" stopIfTrue="1">
      <formula>$B238=1</formula>
    </cfRule>
    <cfRule type="expression" dxfId="394" priority="19" stopIfTrue="1">
      <formula>OR($B238=2,$B238=3,$B238=4,$B238=0)</formula>
    </cfRule>
  </conditionalFormatting>
  <conditionalFormatting sqref="O238:AA238">
    <cfRule type="expression" dxfId="393" priority="20" stopIfTrue="1">
      <formula>ACOMPANHAMENTO="BM"</formula>
    </cfRule>
    <cfRule type="expression" dxfId="392" priority="21" stopIfTrue="1">
      <formula>AND(O$12&lt;&gt;".",OR($B238=0,$B238=2,$B238=3,$B238=4,AND(O$12="",$B238&lt;&gt;"Empty"),OFFSET(O$12,0,-1)=""))</formula>
    </cfRule>
    <cfRule type="expression" dxfId="391" priority="22" stopIfTrue="1">
      <formula>AND($B238=1,O$12&lt;&gt;".")</formula>
    </cfRule>
  </conditionalFormatting>
  <dataValidations count="4">
    <dataValidation type="decimal" operator="greaterThan" allowBlank="1" showErrorMessage="1" error="Apenas números decimais maiores que zero." sqref="O14 Q14:Z14 Q16:Z289 O16:O289" xr:uid="{00000000-0002-0000-0500-000000000000}">
      <formula1>0</formula1>
      <formula2>0</formula2>
    </dataValidation>
    <dataValidation type="list" allowBlank="1" showErrorMessage="1" sqref="K14 K16:K289" xr:uid="{00000000-0002-0000-0500-000001000000}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289" xr:uid="{00000000-0002-0000-0500-000002000000}"/>
    <dataValidation allowBlank="1" showInputMessage="1" showErrorMessage="1" prompt="A frente de obra é uma porção física da obra. Exemplos: Única; Rua A; Rua B; Trecho 01; Trecho 02; 1º Andar; 2º Andar; Copa; Banheiro" sqref="Q12" xr:uid="{00000000-0002-0000-0500-000003000000}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8">
    <pageSetUpPr fitToPage="1"/>
  </sheetPr>
  <dimension ref="B2:F65"/>
  <sheetViews>
    <sheetView showGridLines="0" zoomScale="90" zoomScaleNormal="90" workbookViewId="0">
      <pane ySplit="14" topLeftCell="A15" activePane="bottomLeft" state="frozen"/>
      <selection pane="bottomLeft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83" t="s">
        <v>264</v>
      </c>
    </row>
    <row r="4" spans="2:6" x14ac:dyDescent="0.2">
      <c r="C4" t="s">
        <v>265</v>
      </c>
    </row>
    <row r="6" spans="2:6" x14ac:dyDescent="0.2">
      <c r="C6" s="628" t="s">
        <v>408</v>
      </c>
      <c r="D6" s="628"/>
      <c r="E6" s="628"/>
      <c r="F6" s="628"/>
    </row>
    <row r="8" spans="2:6" ht="33.75" customHeight="1" x14ac:dyDescent="0.2"/>
    <row r="9" spans="2:6" ht="12" customHeight="1" x14ac:dyDescent="0.2">
      <c r="C9" s="629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629"/>
      <c r="E9" s="629"/>
      <c r="F9" s="629"/>
    </row>
    <row r="10" spans="2:6" ht="12" customHeight="1" x14ac:dyDescent="0.2">
      <c r="C10" s="629"/>
      <c r="D10" s="629"/>
      <c r="E10" s="629"/>
      <c r="F10" s="629"/>
    </row>
    <row r="11" spans="2:6" ht="12" customHeight="1" x14ac:dyDescent="0.2">
      <c r="C11" s="629"/>
      <c r="D11" s="629"/>
      <c r="E11" s="629"/>
      <c r="F11" s="629"/>
    </row>
    <row r="12" spans="2:6" ht="12" customHeight="1" x14ac:dyDescent="0.2"/>
    <row r="13" spans="2:6" ht="15" x14ac:dyDescent="0.25">
      <c r="C13" s="196" t="s">
        <v>266</v>
      </c>
      <c r="D13" s="630" t="s">
        <v>267</v>
      </c>
      <c r="E13" s="630"/>
      <c r="F13" s="197" t="s">
        <v>268</v>
      </c>
    </row>
    <row r="14" spans="2:6" hidden="1" x14ac:dyDescent="0.2">
      <c r="B14" t="e">
        <f ca="1">CONCATENATE(C14,".",D14)</f>
        <v>#VALUE!</v>
      </c>
      <c r="C14" s="198" t="e">
        <f ca="1">OFFSET(C14,-1,0)+1</f>
        <v>#VALUE!</v>
      </c>
      <c r="D14" s="627"/>
      <c r="E14" s="627"/>
      <c r="F14" s="199">
        <f ca="1">IF(AUTOEVENTO="Manual",ROUND(SUMPRODUCT((CÁLCULO!$M$15:$M$290=EVENTOS!$C14)*(OFFSET(CÁLCULO!$AA$15,0,1):OFFSET(CÁLCULO!$AL$290,0,-1))),2),0)</f>
        <v>0</v>
      </c>
    </row>
    <row r="15" spans="2:6" x14ac:dyDescent="0.2">
      <c r="B15" t="str">
        <f>CONCATENATE(C15,".",D15)</f>
        <v>1.Administração Local</v>
      </c>
      <c r="C15" s="200">
        <v>1</v>
      </c>
      <c r="D15" s="631" t="s">
        <v>269</v>
      </c>
      <c r="E15" s="631"/>
      <c r="F15" s="201">
        <f ca="1">IF(AUTOEVENTO="Manual",ROUND(SUMIF(CÁLCULO!$M$15:$M$290,1,ORÇAMENTO!$X$15:$X$290),2),0)</f>
        <v>0</v>
      </c>
    </row>
    <row r="16" spans="2:6" x14ac:dyDescent="0.2">
      <c r="B16" t="str">
        <f t="shared" ref="B16:B64" ca="1" si="0">CONCATENATE(C16,".",D16)</f>
        <v>2.</v>
      </c>
      <c r="C16" s="198">
        <f t="shared" ref="C16:C64" ca="1" si="1">OFFSET(C16,-1,0)+1</f>
        <v>2</v>
      </c>
      <c r="D16" s="627"/>
      <c r="E16" s="627"/>
      <c r="F16" s="199">
        <f ca="1">IF(AUTOEVENTO="Manual",ROUND(SUMPRODUCT((CÁLCULO!$M$15:$M$290=EVENTOS!$C16)*(OFFSET(CÁLCULO!$AA$15,0,1):OFFSET(CÁLCULO!$AL$290,0,-1))),2),0)</f>
        <v>0</v>
      </c>
    </row>
    <row r="17" spans="2:6" x14ac:dyDescent="0.2">
      <c r="B17" t="str">
        <f t="shared" ca="1" si="0"/>
        <v>3.</v>
      </c>
      <c r="C17" s="198">
        <f t="shared" ca="1" si="1"/>
        <v>3</v>
      </c>
      <c r="D17" s="627"/>
      <c r="E17" s="627"/>
      <c r="F17" s="199">
        <f ca="1">IF(AUTOEVENTO="Manual",ROUND(SUMPRODUCT((CÁLCULO!$M$15:$M$290=EVENTOS!$C17)*(OFFSET(CÁLCULO!$AA$15,0,1):OFFSET(CÁLCULO!$AL$290,0,-1))),2),0)</f>
        <v>0</v>
      </c>
    </row>
    <row r="18" spans="2:6" x14ac:dyDescent="0.2">
      <c r="B18" t="str">
        <f t="shared" ca="1" si="0"/>
        <v>4.</v>
      </c>
      <c r="C18" s="198">
        <f t="shared" ca="1" si="1"/>
        <v>4</v>
      </c>
      <c r="D18" s="627"/>
      <c r="E18" s="627"/>
      <c r="F18" s="199">
        <f ca="1">IF(AUTOEVENTO="Manual",ROUND(SUMPRODUCT((CÁLCULO!$M$15:$M$290=EVENTOS!$C18)*(OFFSET(CÁLCULO!$AA$15,0,1):OFFSET(CÁLCULO!$AL$290,0,-1))),2),0)</f>
        <v>0</v>
      </c>
    </row>
    <row r="19" spans="2:6" x14ac:dyDescent="0.2">
      <c r="B19" t="str">
        <f t="shared" ca="1" si="0"/>
        <v>5.</v>
      </c>
      <c r="C19" s="198">
        <f t="shared" ca="1" si="1"/>
        <v>5</v>
      </c>
      <c r="D19" s="627"/>
      <c r="E19" s="627"/>
      <c r="F19" s="199">
        <f ca="1">IF(AUTOEVENTO="Manual",ROUND(SUMPRODUCT((CÁLCULO!$M$15:$M$290=EVENTOS!$C19)*(OFFSET(CÁLCULO!$AA$15,0,1):OFFSET(CÁLCULO!$AL$290,0,-1))),2),0)</f>
        <v>0</v>
      </c>
    </row>
    <row r="20" spans="2:6" x14ac:dyDescent="0.2">
      <c r="B20" t="str">
        <f t="shared" ca="1" si="0"/>
        <v>6.</v>
      </c>
      <c r="C20" s="198">
        <f t="shared" ca="1" si="1"/>
        <v>6</v>
      </c>
      <c r="D20" s="627"/>
      <c r="E20" s="627"/>
      <c r="F20" s="199">
        <f ca="1">IF(AUTOEVENTO="Manual",ROUND(SUMPRODUCT((CÁLCULO!$M$15:$M$290=EVENTOS!$C20)*(OFFSET(CÁLCULO!$AA$15,0,1):OFFSET(CÁLCULO!$AL$290,0,-1))),2),0)</f>
        <v>0</v>
      </c>
    </row>
    <row r="21" spans="2:6" x14ac:dyDescent="0.2">
      <c r="B21" t="str">
        <f t="shared" ca="1" si="0"/>
        <v>7.</v>
      </c>
      <c r="C21" s="198">
        <f t="shared" ca="1" si="1"/>
        <v>7</v>
      </c>
      <c r="D21" s="627"/>
      <c r="E21" s="627"/>
      <c r="F21" s="199">
        <f ca="1">IF(AUTOEVENTO="Manual",ROUND(SUMPRODUCT((CÁLCULO!$M$15:$M$290=EVENTOS!$C21)*(OFFSET(CÁLCULO!$AA$15,0,1):OFFSET(CÁLCULO!$AL$290,0,-1))),2),0)</f>
        <v>0</v>
      </c>
    </row>
    <row r="22" spans="2:6" x14ac:dyDescent="0.2">
      <c r="B22" t="str">
        <f t="shared" ca="1" si="0"/>
        <v>8.</v>
      </c>
      <c r="C22" s="198">
        <f t="shared" ca="1" si="1"/>
        <v>8</v>
      </c>
      <c r="D22" s="627"/>
      <c r="E22" s="627"/>
      <c r="F22" s="199">
        <f ca="1">IF(AUTOEVENTO="Manual",ROUND(SUMPRODUCT((CÁLCULO!$M$15:$M$290=EVENTOS!$C22)*(OFFSET(CÁLCULO!$AA$15,0,1):OFFSET(CÁLCULO!$AL$290,0,-1))),2),0)</f>
        <v>0</v>
      </c>
    </row>
    <row r="23" spans="2:6" x14ac:dyDescent="0.2">
      <c r="B23" t="str">
        <f t="shared" ca="1" si="0"/>
        <v>9.</v>
      </c>
      <c r="C23" s="198">
        <f t="shared" ca="1" si="1"/>
        <v>9</v>
      </c>
      <c r="D23" s="627"/>
      <c r="E23" s="627"/>
      <c r="F23" s="199">
        <f ca="1">IF(AUTOEVENTO="Manual",ROUND(SUMPRODUCT((CÁLCULO!$M$15:$M$290=EVENTOS!$C23)*(OFFSET(CÁLCULO!$AA$15,0,1):OFFSET(CÁLCULO!$AL$290,0,-1))),2),0)</f>
        <v>0</v>
      </c>
    </row>
    <row r="24" spans="2:6" x14ac:dyDescent="0.2">
      <c r="B24" t="str">
        <f t="shared" ca="1" si="0"/>
        <v>10.</v>
      </c>
      <c r="C24" s="198">
        <f t="shared" ca="1" si="1"/>
        <v>10</v>
      </c>
      <c r="D24" s="627"/>
      <c r="E24" s="627"/>
      <c r="F24" s="199">
        <f ca="1">IF(AUTOEVENTO="Manual",ROUND(SUMPRODUCT((CÁLCULO!$M$15:$M$290=EVENTOS!$C24)*(OFFSET(CÁLCULO!$AA$15,0,1):OFFSET(CÁLCULO!$AL$290,0,-1))),2),0)</f>
        <v>0</v>
      </c>
    </row>
    <row r="25" spans="2:6" x14ac:dyDescent="0.2">
      <c r="B25" t="str">
        <f t="shared" ca="1" si="0"/>
        <v>11.</v>
      </c>
      <c r="C25" s="198">
        <f t="shared" ca="1" si="1"/>
        <v>11</v>
      </c>
      <c r="D25" s="627"/>
      <c r="E25" s="627"/>
      <c r="F25" s="199">
        <f ca="1">IF(AUTOEVENTO="Manual",ROUND(SUMPRODUCT((CÁLCULO!$M$15:$M$290=EVENTOS!$C25)*(OFFSET(CÁLCULO!$AA$15,0,1):OFFSET(CÁLCULO!$AL$290,0,-1))),2),0)</f>
        <v>0</v>
      </c>
    </row>
    <row r="26" spans="2:6" x14ac:dyDescent="0.2">
      <c r="B26" t="str">
        <f t="shared" ca="1" si="0"/>
        <v>12.</v>
      </c>
      <c r="C26" s="198">
        <f t="shared" ca="1" si="1"/>
        <v>12</v>
      </c>
      <c r="D26" s="627"/>
      <c r="E26" s="627"/>
      <c r="F26" s="199">
        <f ca="1">IF(AUTOEVENTO="Manual",ROUND(SUMPRODUCT((CÁLCULO!$M$15:$M$290=EVENTOS!$C26)*(OFFSET(CÁLCULO!$AA$15,0,1):OFFSET(CÁLCULO!$AL$290,0,-1))),2),0)</f>
        <v>0</v>
      </c>
    </row>
    <row r="27" spans="2:6" x14ac:dyDescent="0.2">
      <c r="B27" t="str">
        <f t="shared" ca="1" si="0"/>
        <v>13.</v>
      </c>
      <c r="C27" s="198">
        <f t="shared" ca="1" si="1"/>
        <v>13</v>
      </c>
      <c r="D27" s="627"/>
      <c r="E27" s="627"/>
      <c r="F27" s="199">
        <f ca="1">IF(AUTOEVENTO="Manual",ROUND(SUMPRODUCT((CÁLCULO!$M$15:$M$290=EVENTOS!$C27)*(OFFSET(CÁLCULO!$AA$15,0,1):OFFSET(CÁLCULO!$AL$290,0,-1))),2),0)</f>
        <v>0</v>
      </c>
    </row>
    <row r="28" spans="2:6" x14ac:dyDescent="0.2">
      <c r="B28" t="str">
        <f t="shared" ca="1" si="0"/>
        <v>14.</v>
      </c>
      <c r="C28" s="198">
        <f t="shared" ca="1" si="1"/>
        <v>14</v>
      </c>
      <c r="D28" s="627"/>
      <c r="E28" s="627"/>
      <c r="F28" s="199">
        <f ca="1">IF(AUTOEVENTO="Manual",ROUND(SUMPRODUCT((CÁLCULO!$M$15:$M$290=EVENTOS!$C28)*(OFFSET(CÁLCULO!$AA$15,0,1):OFFSET(CÁLCULO!$AL$290,0,-1))),2),0)</f>
        <v>0</v>
      </c>
    </row>
    <row r="29" spans="2:6" x14ac:dyDescent="0.2">
      <c r="B29" t="str">
        <f t="shared" ca="1" si="0"/>
        <v>15.</v>
      </c>
      <c r="C29" s="198">
        <f t="shared" ca="1" si="1"/>
        <v>15</v>
      </c>
      <c r="D29" s="627"/>
      <c r="E29" s="627"/>
      <c r="F29" s="199">
        <f ca="1">IF(AUTOEVENTO="Manual",ROUND(SUMPRODUCT((CÁLCULO!$M$15:$M$290=EVENTOS!$C29)*(OFFSET(CÁLCULO!$AA$15,0,1):OFFSET(CÁLCULO!$AL$290,0,-1))),2),0)</f>
        <v>0</v>
      </c>
    </row>
    <row r="30" spans="2:6" x14ac:dyDescent="0.2">
      <c r="B30" t="str">
        <f t="shared" ca="1" si="0"/>
        <v>16.</v>
      </c>
      <c r="C30" s="198">
        <f t="shared" ca="1" si="1"/>
        <v>16</v>
      </c>
      <c r="D30" s="627"/>
      <c r="E30" s="627"/>
      <c r="F30" s="199">
        <f ca="1">IF(AUTOEVENTO="Manual",ROUND(SUMPRODUCT((CÁLCULO!$M$15:$M$290=EVENTOS!$C30)*(OFFSET(CÁLCULO!$AA$15,0,1):OFFSET(CÁLCULO!$AL$290,0,-1))),2),0)</f>
        <v>0</v>
      </c>
    </row>
    <row r="31" spans="2:6" x14ac:dyDescent="0.2">
      <c r="B31" t="str">
        <f t="shared" ca="1" si="0"/>
        <v>17.</v>
      </c>
      <c r="C31" s="198">
        <f t="shared" ca="1" si="1"/>
        <v>17</v>
      </c>
      <c r="D31" s="627"/>
      <c r="E31" s="627"/>
      <c r="F31" s="199">
        <f ca="1">IF(AUTOEVENTO="Manual",ROUND(SUMPRODUCT((CÁLCULO!$M$15:$M$290=EVENTOS!$C31)*(OFFSET(CÁLCULO!$AA$15,0,1):OFFSET(CÁLCULO!$AL$290,0,-1))),2),0)</f>
        <v>0</v>
      </c>
    </row>
    <row r="32" spans="2:6" x14ac:dyDescent="0.2">
      <c r="B32" t="str">
        <f t="shared" ca="1" si="0"/>
        <v>18.</v>
      </c>
      <c r="C32" s="198">
        <f t="shared" ca="1" si="1"/>
        <v>18</v>
      </c>
      <c r="D32" s="627"/>
      <c r="E32" s="627"/>
      <c r="F32" s="199">
        <f ca="1">IF(AUTOEVENTO="Manual",ROUND(SUMPRODUCT((CÁLCULO!$M$15:$M$290=EVENTOS!$C32)*(OFFSET(CÁLCULO!$AA$15,0,1):OFFSET(CÁLCULO!$AL$290,0,-1))),2),0)</f>
        <v>0</v>
      </c>
    </row>
    <row r="33" spans="2:6" x14ac:dyDescent="0.2">
      <c r="B33" t="str">
        <f t="shared" ca="1" si="0"/>
        <v>19.</v>
      </c>
      <c r="C33" s="198">
        <f t="shared" ca="1" si="1"/>
        <v>19</v>
      </c>
      <c r="D33" s="627"/>
      <c r="E33" s="627"/>
      <c r="F33" s="199">
        <f ca="1">IF(AUTOEVENTO="Manual",ROUND(SUMPRODUCT((CÁLCULO!$M$15:$M$290=EVENTOS!$C33)*(OFFSET(CÁLCULO!$AA$15,0,1):OFFSET(CÁLCULO!$AL$290,0,-1))),2),0)</f>
        <v>0</v>
      </c>
    </row>
    <row r="34" spans="2:6" x14ac:dyDescent="0.2">
      <c r="B34" t="str">
        <f t="shared" ca="1" si="0"/>
        <v>20.</v>
      </c>
      <c r="C34" s="198">
        <f t="shared" ca="1" si="1"/>
        <v>20</v>
      </c>
      <c r="D34" s="627"/>
      <c r="E34" s="627"/>
      <c r="F34" s="199">
        <f ca="1">IF(AUTOEVENTO="Manual",ROUND(SUMPRODUCT((CÁLCULO!$M$15:$M$290=EVENTOS!$C34)*(OFFSET(CÁLCULO!$AA$15,0,1):OFFSET(CÁLCULO!$AL$290,0,-1))),2),0)</f>
        <v>0</v>
      </c>
    </row>
    <row r="35" spans="2:6" x14ac:dyDescent="0.2">
      <c r="B35" t="str">
        <f t="shared" ca="1" si="0"/>
        <v>21.</v>
      </c>
      <c r="C35" s="198">
        <f t="shared" ca="1" si="1"/>
        <v>21</v>
      </c>
      <c r="D35" s="627"/>
      <c r="E35" s="627"/>
      <c r="F35" s="199">
        <f ca="1">IF(AUTOEVENTO="Manual",ROUND(SUMPRODUCT((CÁLCULO!$M$15:$M$290=EVENTOS!$C35)*(OFFSET(CÁLCULO!$AA$15,0,1):OFFSET(CÁLCULO!$AL$290,0,-1))),2),0)</f>
        <v>0</v>
      </c>
    </row>
    <row r="36" spans="2:6" x14ac:dyDescent="0.2">
      <c r="B36" t="str">
        <f t="shared" ca="1" si="0"/>
        <v>22.</v>
      </c>
      <c r="C36" s="198">
        <f t="shared" ca="1" si="1"/>
        <v>22</v>
      </c>
      <c r="D36" s="627"/>
      <c r="E36" s="627"/>
      <c r="F36" s="199">
        <f ca="1">IF(AUTOEVENTO="Manual",ROUND(SUMPRODUCT((CÁLCULO!$M$15:$M$290=EVENTOS!$C36)*(OFFSET(CÁLCULO!$AA$15,0,1):OFFSET(CÁLCULO!$AL$290,0,-1))),2),0)</f>
        <v>0</v>
      </c>
    </row>
    <row r="37" spans="2:6" x14ac:dyDescent="0.2">
      <c r="B37" t="str">
        <f t="shared" ca="1" si="0"/>
        <v>23.</v>
      </c>
      <c r="C37" s="198">
        <f t="shared" ca="1" si="1"/>
        <v>23</v>
      </c>
      <c r="D37" s="627"/>
      <c r="E37" s="627"/>
      <c r="F37" s="199">
        <f ca="1">IF(AUTOEVENTO="Manual",ROUND(SUMPRODUCT((CÁLCULO!$M$15:$M$290=EVENTOS!$C37)*(OFFSET(CÁLCULO!$AA$15,0,1):OFFSET(CÁLCULO!$AL$290,0,-1))),2),0)</f>
        <v>0</v>
      </c>
    </row>
    <row r="38" spans="2:6" x14ac:dyDescent="0.2">
      <c r="B38" t="str">
        <f t="shared" ca="1" si="0"/>
        <v>24.</v>
      </c>
      <c r="C38" s="198">
        <f t="shared" ca="1" si="1"/>
        <v>24</v>
      </c>
      <c r="D38" s="627"/>
      <c r="E38" s="627"/>
      <c r="F38" s="199">
        <f ca="1">IF(AUTOEVENTO="Manual",ROUND(SUMPRODUCT((CÁLCULO!$M$15:$M$290=EVENTOS!$C38)*(OFFSET(CÁLCULO!$AA$15,0,1):OFFSET(CÁLCULO!$AL$290,0,-1))),2),0)</f>
        <v>0</v>
      </c>
    </row>
    <row r="39" spans="2:6" x14ac:dyDescent="0.2">
      <c r="B39" t="str">
        <f t="shared" ca="1" si="0"/>
        <v>25.</v>
      </c>
      <c r="C39" s="198">
        <f t="shared" ca="1" si="1"/>
        <v>25</v>
      </c>
      <c r="D39" s="627"/>
      <c r="E39" s="627"/>
      <c r="F39" s="199">
        <f ca="1">IF(AUTOEVENTO="Manual",ROUND(SUMPRODUCT((CÁLCULO!$M$15:$M$290=EVENTOS!$C39)*(OFFSET(CÁLCULO!$AA$15,0,1):OFFSET(CÁLCULO!$AL$290,0,-1))),2),0)</f>
        <v>0</v>
      </c>
    </row>
    <row r="40" spans="2:6" x14ac:dyDescent="0.2">
      <c r="B40" t="str">
        <f t="shared" ca="1" si="0"/>
        <v>26.</v>
      </c>
      <c r="C40" s="198">
        <f t="shared" ca="1" si="1"/>
        <v>26</v>
      </c>
      <c r="D40" s="627"/>
      <c r="E40" s="627"/>
      <c r="F40" s="199">
        <f ca="1">IF(AUTOEVENTO="Manual",ROUND(SUMPRODUCT((CÁLCULO!$M$15:$M$290=EVENTOS!$C40)*(OFFSET(CÁLCULO!$AA$15,0,1):OFFSET(CÁLCULO!$AL$290,0,-1))),2),0)</f>
        <v>0</v>
      </c>
    </row>
    <row r="41" spans="2:6" x14ac:dyDescent="0.2">
      <c r="B41" t="str">
        <f t="shared" ca="1" si="0"/>
        <v>27.</v>
      </c>
      <c r="C41" s="198">
        <f t="shared" ca="1" si="1"/>
        <v>27</v>
      </c>
      <c r="D41" s="627"/>
      <c r="E41" s="627"/>
      <c r="F41" s="199">
        <f ca="1">IF(AUTOEVENTO="Manual",ROUND(SUMPRODUCT((CÁLCULO!$M$15:$M$290=EVENTOS!$C41)*(OFFSET(CÁLCULO!$AA$15,0,1):OFFSET(CÁLCULO!$AL$290,0,-1))),2),0)</f>
        <v>0</v>
      </c>
    </row>
    <row r="42" spans="2:6" x14ac:dyDescent="0.2">
      <c r="B42" t="str">
        <f t="shared" ca="1" si="0"/>
        <v>28.</v>
      </c>
      <c r="C42" s="198">
        <f t="shared" ca="1" si="1"/>
        <v>28</v>
      </c>
      <c r="D42" s="627"/>
      <c r="E42" s="627"/>
      <c r="F42" s="199">
        <f ca="1">IF(AUTOEVENTO="Manual",ROUND(SUMPRODUCT((CÁLCULO!$M$15:$M$290=EVENTOS!$C42)*(OFFSET(CÁLCULO!$AA$15,0,1):OFFSET(CÁLCULO!$AL$290,0,-1))),2),0)</f>
        <v>0</v>
      </c>
    </row>
    <row r="43" spans="2:6" x14ac:dyDescent="0.2">
      <c r="B43" t="str">
        <f t="shared" ca="1" si="0"/>
        <v>29.</v>
      </c>
      <c r="C43" s="198">
        <f t="shared" ca="1" si="1"/>
        <v>29</v>
      </c>
      <c r="D43" s="627"/>
      <c r="E43" s="627"/>
      <c r="F43" s="199">
        <f ca="1">IF(AUTOEVENTO="Manual",ROUND(SUMPRODUCT((CÁLCULO!$M$15:$M$290=EVENTOS!$C43)*(OFFSET(CÁLCULO!$AA$15,0,1):OFFSET(CÁLCULO!$AL$290,0,-1))),2),0)</f>
        <v>0</v>
      </c>
    </row>
    <row r="44" spans="2:6" x14ac:dyDescent="0.2">
      <c r="B44" t="str">
        <f t="shared" ca="1" si="0"/>
        <v>30.</v>
      </c>
      <c r="C44" s="198">
        <f t="shared" ca="1" si="1"/>
        <v>30</v>
      </c>
      <c r="D44" s="627"/>
      <c r="E44" s="627"/>
      <c r="F44" s="199">
        <f ca="1">IF(AUTOEVENTO="Manual",ROUND(SUMPRODUCT((CÁLCULO!$M$15:$M$290=EVENTOS!$C44)*(OFFSET(CÁLCULO!$AA$15,0,1):OFFSET(CÁLCULO!$AL$290,0,-1))),2),0)</f>
        <v>0</v>
      </c>
    </row>
    <row r="45" spans="2:6" x14ac:dyDescent="0.2">
      <c r="B45" t="str">
        <f t="shared" ca="1" si="0"/>
        <v>31.</v>
      </c>
      <c r="C45" s="198">
        <f t="shared" ca="1" si="1"/>
        <v>31</v>
      </c>
      <c r="D45" s="627"/>
      <c r="E45" s="627"/>
      <c r="F45" s="199">
        <f ca="1">IF(AUTOEVENTO="Manual",ROUND(SUMPRODUCT((CÁLCULO!$M$15:$M$290=EVENTOS!$C45)*(OFFSET(CÁLCULO!$AA$15,0,1):OFFSET(CÁLCULO!$AL$290,0,-1))),2),0)</f>
        <v>0</v>
      </c>
    </row>
    <row r="46" spans="2:6" x14ac:dyDescent="0.2">
      <c r="B46" t="str">
        <f t="shared" ca="1" si="0"/>
        <v>32.</v>
      </c>
      <c r="C46" s="198">
        <f t="shared" ca="1" si="1"/>
        <v>32</v>
      </c>
      <c r="D46" s="627"/>
      <c r="E46" s="627"/>
      <c r="F46" s="199">
        <f ca="1">IF(AUTOEVENTO="Manual",ROUND(SUMPRODUCT((CÁLCULO!$M$15:$M$290=EVENTOS!$C46)*(OFFSET(CÁLCULO!$AA$15,0,1):OFFSET(CÁLCULO!$AL$290,0,-1))),2),0)</f>
        <v>0</v>
      </c>
    </row>
    <row r="47" spans="2:6" x14ac:dyDescent="0.2">
      <c r="B47" t="str">
        <f t="shared" ca="1" si="0"/>
        <v>33.</v>
      </c>
      <c r="C47" s="198">
        <f t="shared" ca="1" si="1"/>
        <v>33</v>
      </c>
      <c r="D47" s="627"/>
      <c r="E47" s="627"/>
      <c r="F47" s="199">
        <f ca="1">IF(AUTOEVENTO="Manual",ROUND(SUMPRODUCT((CÁLCULO!$M$15:$M$290=EVENTOS!$C47)*(OFFSET(CÁLCULO!$AA$15,0,1):OFFSET(CÁLCULO!$AL$290,0,-1))),2),0)</f>
        <v>0</v>
      </c>
    </row>
    <row r="48" spans="2:6" x14ac:dyDescent="0.2">
      <c r="B48" t="str">
        <f t="shared" ca="1" si="0"/>
        <v>34.</v>
      </c>
      <c r="C48" s="198">
        <f t="shared" ca="1" si="1"/>
        <v>34</v>
      </c>
      <c r="D48" s="627"/>
      <c r="E48" s="627"/>
      <c r="F48" s="199">
        <f ca="1">IF(AUTOEVENTO="Manual",ROUND(SUMPRODUCT((CÁLCULO!$M$15:$M$290=EVENTOS!$C48)*(OFFSET(CÁLCULO!$AA$15,0,1):OFFSET(CÁLCULO!$AL$290,0,-1))),2),0)</f>
        <v>0</v>
      </c>
    </row>
    <row r="49" spans="2:6" x14ac:dyDescent="0.2">
      <c r="B49" t="str">
        <f t="shared" ca="1" si="0"/>
        <v>35.</v>
      </c>
      <c r="C49" s="198">
        <f t="shared" ca="1" si="1"/>
        <v>35</v>
      </c>
      <c r="D49" s="627"/>
      <c r="E49" s="627"/>
      <c r="F49" s="199">
        <f ca="1">IF(AUTOEVENTO="Manual",ROUND(SUMPRODUCT((CÁLCULO!$M$15:$M$290=EVENTOS!$C49)*(OFFSET(CÁLCULO!$AA$15,0,1):OFFSET(CÁLCULO!$AL$290,0,-1))),2),0)</f>
        <v>0</v>
      </c>
    </row>
    <row r="50" spans="2:6" x14ac:dyDescent="0.2">
      <c r="B50" t="str">
        <f t="shared" ca="1" si="0"/>
        <v>36.</v>
      </c>
      <c r="C50" s="198">
        <f t="shared" ca="1" si="1"/>
        <v>36</v>
      </c>
      <c r="D50" s="627"/>
      <c r="E50" s="627"/>
      <c r="F50" s="199">
        <f ca="1">IF(AUTOEVENTO="Manual",ROUND(SUMPRODUCT((CÁLCULO!$M$15:$M$290=EVENTOS!$C50)*(OFFSET(CÁLCULO!$AA$15,0,1):OFFSET(CÁLCULO!$AL$290,0,-1))),2),0)</f>
        <v>0</v>
      </c>
    </row>
    <row r="51" spans="2:6" x14ac:dyDescent="0.2">
      <c r="B51" t="str">
        <f t="shared" ca="1" si="0"/>
        <v>37.</v>
      </c>
      <c r="C51" s="198">
        <f t="shared" ca="1" si="1"/>
        <v>37</v>
      </c>
      <c r="D51" s="627"/>
      <c r="E51" s="627"/>
      <c r="F51" s="199">
        <f ca="1">IF(AUTOEVENTO="Manual",ROUND(SUMPRODUCT((CÁLCULO!$M$15:$M$290=EVENTOS!$C51)*(OFFSET(CÁLCULO!$AA$15,0,1):OFFSET(CÁLCULO!$AL$290,0,-1))),2),0)</f>
        <v>0</v>
      </c>
    </row>
    <row r="52" spans="2:6" x14ac:dyDescent="0.2">
      <c r="B52" t="str">
        <f t="shared" ca="1" si="0"/>
        <v>38.</v>
      </c>
      <c r="C52" s="198">
        <f t="shared" ca="1" si="1"/>
        <v>38</v>
      </c>
      <c r="D52" s="627"/>
      <c r="E52" s="627"/>
      <c r="F52" s="199">
        <f ca="1">IF(AUTOEVENTO="Manual",ROUND(SUMPRODUCT((CÁLCULO!$M$15:$M$290=EVENTOS!$C52)*(OFFSET(CÁLCULO!$AA$15,0,1):OFFSET(CÁLCULO!$AL$290,0,-1))),2),0)</f>
        <v>0</v>
      </c>
    </row>
    <row r="53" spans="2:6" x14ac:dyDescent="0.2">
      <c r="B53" t="str">
        <f t="shared" ca="1" si="0"/>
        <v>39.</v>
      </c>
      <c r="C53" s="198">
        <f t="shared" ca="1" si="1"/>
        <v>39</v>
      </c>
      <c r="D53" s="627"/>
      <c r="E53" s="627"/>
      <c r="F53" s="199">
        <f ca="1">IF(AUTOEVENTO="Manual",ROUND(SUMPRODUCT((CÁLCULO!$M$15:$M$290=EVENTOS!$C53)*(OFFSET(CÁLCULO!$AA$15,0,1):OFFSET(CÁLCULO!$AL$290,0,-1))),2),0)</f>
        <v>0</v>
      </c>
    </row>
    <row r="54" spans="2:6" x14ac:dyDescent="0.2">
      <c r="B54" t="str">
        <f t="shared" ca="1" si="0"/>
        <v>40.</v>
      </c>
      <c r="C54" s="198">
        <f t="shared" ca="1" si="1"/>
        <v>40</v>
      </c>
      <c r="D54" s="627"/>
      <c r="E54" s="627"/>
      <c r="F54" s="199">
        <f ca="1">IF(AUTOEVENTO="Manual",ROUND(SUMPRODUCT((CÁLCULO!$M$15:$M$290=EVENTOS!$C54)*(OFFSET(CÁLCULO!$AA$15,0,1):OFFSET(CÁLCULO!$AL$290,0,-1))),2),0)</f>
        <v>0</v>
      </c>
    </row>
    <row r="55" spans="2:6" x14ac:dyDescent="0.2">
      <c r="B55" t="str">
        <f t="shared" ca="1" si="0"/>
        <v>41.</v>
      </c>
      <c r="C55" s="198">
        <f t="shared" ca="1" si="1"/>
        <v>41</v>
      </c>
      <c r="D55" s="627"/>
      <c r="E55" s="627"/>
      <c r="F55" s="199">
        <f ca="1">IF(AUTOEVENTO="Manual",ROUND(SUMPRODUCT((CÁLCULO!$M$15:$M$290=EVENTOS!$C55)*(OFFSET(CÁLCULO!$AA$15,0,1):OFFSET(CÁLCULO!$AL$290,0,-1))),2),0)</f>
        <v>0</v>
      </c>
    </row>
    <row r="56" spans="2:6" x14ac:dyDescent="0.2">
      <c r="B56" t="str">
        <f t="shared" ca="1" si="0"/>
        <v>42.</v>
      </c>
      <c r="C56" s="198">
        <f t="shared" ca="1" si="1"/>
        <v>42</v>
      </c>
      <c r="D56" s="627"/>
      <c r="E56" s="627"/>
      <c r="F56" s="199">
        <f ca="1">IF(AUTOEVENTO="Manual",ROUND(SUMPRODUCT((CÁLCULO!$M$15:$M$290=EVENTOS!$C56)*(OFFSET(CÁLCULO!$AA$15,0,1):OFFSET(CÁLCULO!$AL$290,0,-1))),2),0)</f>
        <v>0</v>
      </c>
    </row>
    <row r="57" spans="2:6" x14ac:dyDescent="0.2">
      <c r="B57" t="str">
        <f t="shared" ca="1" si="0"/>
        <v>43.</v>
      </c>
      <c r="C57" s="198">
        <f t="shared" ca="1" si="1"/>
        <v>43</v>
      </c>
      <c r="D57" s="627"/>
      <c r="E57" s="627"/>
      <c r="F57" s="199">
        <f ca="1">IF(AUTOEVENTO="Manual",ROUND(SUMPRODUCT((CÁLCULO!$M$15:$M$290=EVENTOS!$C57)*(OFFSET(CÁLCULO!$AA$15,0,1):OFFSET(CÁLCULO!$AL$290,0,-1))),2),0)</f>
        <v>0</v>
      </c>
    </row>
    <row r="58" spans="2:6" x14ac:dyDescent="0.2">
      <c r="B58" t="str">
        <f t="shared" ca="1" si="0"/>
        <v>44.</v>
      </c>
      <c r="C58" s="198">
        <f t="shared" ca="1" si="1"/>
        <v>44</v>
      </c>
      <c r="D58" s="627"/>
      <c r="E58" s="627"/>
      <c r="F58" s="199">
        <f ca="1">IF(AUTOEVENTO="Manual",ROUND(SUMPRODUCT((CÁLCULO!$M$15:$M$290=EVENTOS!$C58)*(OFFSET(CÁLCULO!$AA$15,0,1):OFFSET(CÁLCULO!$AL$290,0,-1))),2),0)</f>
        <v>0</v>
      </c>
    </row>
    <row r="59" spans="2:6" x14ac:dyDescent="0.2">
      <c r="B59" t="str">
        <f t="shared" ca="1" si="0"/>
        <v>45.</v>
      </c>
      <c r="C59" s="198">
        <f t="shared" ca="1" si="1"/>
        <v>45</v>
      </c>
      <c r="D59" s="627"/>
      <c r="E59" s="627"/>
      <c r="F59" s="199">
        <f ca="1">IF(AUTOEVENTO="Manual",ROUND(SUMPRODUCT((CÁLCULO!$M$15:$M$290=EVENTOS!$C59)*(OFFSET(CÁLCULO!$AA$15,0,1):OFFSET(CÁLCULO!$AL$290,0,-1))),2),0)</f>
        <v>0</v>
      </c>
    </row>
    <row r="60" spans="2:6" x14ac:dyDescent="0.2">
      <c r="B60" t="str">
        <f t="shared" ca="1" si="0"/>
        <v>46.</v>
      </c>
      <c r="C60" s="198">
        <f t="shared" ca="1" si="1"/>
        <v>46</v>
      </c>
      <c r="D60" s="627"/>
      <c r="E60" s="627"/>
      <c r="F60" s="199">
        <f ca="1">IF(AUTOEVENTO="Manual",ROUND(SUMPRODUCT((CÁLCULO!$M$15:$M$290=EVENTOS!$C60)*(OFFSET(CÁLCULO!$AA$15,0,1):OFFSET(CÁLCULO!$AL$290,0,-1))),2),0)</f>
        <v>0</v>
      </c>
    </row>
    <row r="61" spans="2:6" x14ac:dyDescent="0.2">
      <c r="B61" t="str">
        <f t="shared" ca="1" si="0"/>
        <v>47.</v>
      </c>
      <c r="C61" s="198">
        <f t="shared" ca="1" si="1"/>
        <v>47</v>
      </c>
      <c r="D61" s="627"/>
      <c r="E61" s="627"/>
      <c r="F61" s="199">
        <f ca="1">IF(AUTOEVENTO="Manual",ROUND(SUMPRODUCT((CÁLCULO!$M$15:$M$290=EVENTOS!$C61)*(OFFSET(CÁLCULO!$AA$15,0,1):OFFSET(CÁLCULO!$AL$290,0,-1))),2),0)</f>
        <v>0</v>
      </c>
    </row>
    <row r="62" spans="2:6" x14ac:dyDescent="0.2">
      <c r="B62" t="str">
        <f t="shared" ca="1" si="0"/>
        <v>48.</v>
      </c>
      <c r="C62" s="198">
        <f t="shared" ca="1" si="1"/>
        <v>48</v>
      </c>
      <c r="D62" s="627"/>
      <c r="E62" s="627"/>
      <c r="F62" s="199">
        <f ca="1">IF(AUTOEVENTO="Manual",ROUND(SUMPRODUCT((CÁLCULO!$M$15:$M$290=EVENTOS!$C62)*(OFFSET(CÁLCULO!$AA$15,0,1):OFFSET(CÁLCULO!$AL$290,0,-1))),2),0)</f>
        <v>0</v>
      </c>
    </row>
    <row r="63" spans="2:6" x14ac:dyDescent="0.2">
      <c r="B63" t="str">
        <f t="shared" ca="1" si="0"/>
        <v>49.</v>
      </c>
      <c r="C63" s="198">
        <f t="shared" ca="1" si="1"/>
        <v>49</v>
      </c>
      <c r="D63" s="627"/>
      <c r="E63" s="627"/>
      <c r="F63" s="199">
        <f ca="1">IF(AUTOEVENTO="Manual",ROUND(SUMPRODUCT((CÁLCULO!$M$15:$M$290=EVENTOS!$C63)*(OFFSET(CÁLCULO!$AA$15,0,1):OFFSET(CÁLCULO!$AL$290,0,-1))),2),0)</f>
        <v>0</v>
      </c>
    </row>
    <row r="64" spans="2:6" x14ac:dyDescent="0.2">
      <c r="B64" t="str">
        <f t="shared" ca="1" si="0"/>
        <v>50.</v>
      </c>
      <c r="C64" s="198">
        <f t="shared" ca="1" si="1"/>
        <v>50</v>
      </c>
      <c r="D64" s="627"/>
      <c r="E64" s="627"/>
      <c r="F64" s="199">
        <f ca="1">IF(AUTOEVENTO="Manual",ROUND(SUMPRODUCT((CÁLCULO!$M$15:$M$290=EVENTOS!$C64)*(OFFSET(CÁLCULO!$AA$15,0,1):OFFSET(CÁLCULO!$AL$290,0,-1))),2),0)</f>
        <v>0</v>
      </c>
    </row>
    <row r="65" spans="3:6" ht="5.0999999999999996" customHeight="1" x14ac:dyDescent="0.2">
      <c r="C65" s="191"/>
      <c r="D65" s="202"/>
      <c r="E65" s="202"/>
      <c r="F65" s="203"/>
    </row>
  </sheetData>
  <sheetProtection algorithmName="SHA-512" hashValue="ZgL7kARA2cJOGv+gJe6Z3EZ6JMUHTovamIojrPBuKEXng10SJVTzgW5TPK1KuMxzAcLzEC+yEIEfD7K9ZKWyDA==" saltValue="eaUCOfEWXc9dL0JA29s+EQ==" spinCount="100000" sheet="1" objects="1" scenarios="1" autoFilter="0"/>
  <mergeCells count="54">
    <mergeCell ref="D62:E62"/>
    <mergeCell ref="D63:E63"/>
    <mergeCell ref="D64:E64"/>
    <mergeCell ref="D44:E44"/>
    <mergeCell ref="D45:E45"/>
    <mergeCell ref="D46:E46"/>
    <mergeCell ref="D56:E56"/>
    <mergeCell ref="D57:E57"/>
    <mergeCell ref="D58:E58"/>
    <mergeCell ref="D59:E59"/>
    <mergeCell ref="D51:E51"/>
    <mergeCell ref="D49:E49"/>
    <mergeCell ref="D50:E50"/>
    <mergeCell ref="D48:E48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  <mergeCell ref="D26:E26"/>
    <mergeCell ref="D27:E27"/>
    <mergeCell ref="D30:E30"/>
    <mergeCell ref="D33:E33"/>
    <mergeCell ref="D21:E21"/>
    <mergeCell ref="D22:E22"/>
    <mergeCell ref="D34:E34"/>
    <mergeCell ref="D47:E47"/>
    <mergeCell ref="D42:E42"/>
    <mergeCell ref="D20:E20"/>
    <mergeCell ref="D23:E23"/>
    <mergeCell ref="D24:E24"/>
    <mergeCell ref="D25:E25"/>
    <mergeCell ref="D28:E28"/>
    <mergeCell ref="D29:E29"/>
    <mergeCell ref="D31:E31"/>
    <mergeCell ref="D32:E32"/>
    <mergeCell ref="D35:E35"/>
    <mergeCell ref="D36:E36"/>
    <mergeCell ref="D37:E37"/>
    <mergeCell ref="D38:E38"/>
    <mergeCell ref="D39:E39"/>
    <mergeCell ref="D40:E40"/>
    <mergeCell ref="D61:E61"/>
    <mergeCell ref="D52:E52"/>
    <mergeCell ref="D53:E53"/>
    <mergeCell ref="D54:E54"/>
    <mergeCell ref="D55:E55"/>
    <mergeCell ref="D60:E60"/>
    <mergeCell ref="D41:E41"/>
    <mergeCell ref="D43:E43"/>
  </mergeCells>
  <phoneticPr fontId="38" type="noConversion"/>
  <conditionalFormatting sqref="C13:F15 C65:F65">
    <cfRule type="expression" dxfId="390" priority="112" stopIfTrue="1">
      <formula>OR(AUTOEVENTO&lt;&gt;"Manual",ACOMPANHAMENTO="BM")</formula>
    </cfRule>
  </conditionalFormatting>
  <conditionalFormatting sqref="C16:F24">
    <cfRule type="expression" dxfId="389" priority="6" stopIfTrue="1">
      <formula>OR(AUTOEVENTO&lt;&gt;"Manual",ACOMPANHAMENTO="BM")</formula>
    </cfRule>
  </conditionalFormatting>
  <conditionalFormatting sqref="C25:F33">
    <cfRule type="expression" dxfId="388" priority="5" stopIfTrue="1">
      <formula>OR(AUTOEVENTO&lt;&gt;"Manual",ACOMPANHAMENTO="BM")</formula>
    </cfRule>
  </conditionalFormatting>
  <conditionalFormatting sqref="C34:F42">
    <cfRule type="expression" dxfId="387" priority="4" stopIfTrue="1">
      <formula>OR(AUTOEVENTO&lt;&gt;"Manual",ACOMPANHAMENTO="BM")</formula>
    </cfRule>
  </conditionalFormatting>
  <conditionalFormatting sqref="C43:F51">
    <cfRule type="expression" dxfId="386" priority="3" stopIfTrue="1">
      <formula>OR(AUTOEVENTO&lt;&gt;"Manual",ACOMPANHAMENTO="BM")</formula>
    </cfRule>
  </conditionalFormatting>
  <conditionalFormatting sqref="C52:F60">
    <cfRule type="expression" dxfId="385" priority="2" stopIfTrue="1">
      <formula>OR(AUTOEVENTO&lt;&gt;"Manual",ACOMPANHAMENTO="BM")</formula>
    </cfRule>
  </conditionalFormatting>
  <conditionalFormatting sqref="C61:F64">
    <cfRule type="expression" dxfId="384" priority="1" stopIfTrue="1">
      <formula>OR(AUTOEVENTO&lt;&gt;"Manual",ACOMPANHAMENTO="BM")</formula>
    </cfRule>
  </conditionalFormatting>
  <dataValidations count="1">
    <dataValidation type="list" allowBlank="1" showErrorMessage="1" sqref="C6" xr:uid="{00000000-0002-0000-0600-000000000000}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 filterMode="1"/>
  <dimension ref="A1:AF132"/>
  <sheetViews>
    <sheetView showGridLines="0" zoomScale="90" zoomScaleNormal="90" zoomScaleSheetLayoutView="90" workbookViewId="0">
      <pane xSplit="19" ySplit="13" topLeftCell="T68" activePane="bottomRight" state="frozen"/>
      <selection activeCell="F4" sqref="F4"/>
      <selection pane="topRight" activeCell="T4" sqref="T4"/>
      <selection pane="bottomLeft" activeCell="F14" sqref="F14"/>
      <selection pane="bottomRight" activeCell="AB29" sqref="AB29"/>
    </sheetView>
  </sheetViews>
  <sheetFormatPr defaultColWidth="9.140625" defaultRowHeight="12.75" x14ac:dyDescent="0.2"/>
  <cols>
    <col min="1" max="3" width="9.140625" style="204" hidden="1" customWidth="1"/>
    <col min="4" max="4" width="11" style="205" hidden="1" customWidth="1"/>
    <col min="5" max="5" width="19" style="204" hidden="1" customWidth="1"/>
    <col min="6" max="6" width="3.7109375" style="205" customWidth="1"/>
    <col min="7" max="7" width="12.7109375" style="204" customWidth="1"/>
    <col min="8" max="8" width="7.140625" style="205" customWidth="1"/>
    <col min="9" max="9" width="14.570312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2578125" style="206" customWidth="1"/>
    <col min="19" max="19" width="10.7109375" style="206" customWidth="1"/>
    <col min="20" max="31" width="11" style="205" customWidth="1"/>
    <col min="32" max="32" width="0.140625" style="205" customWidth="1"/>
    <col min="33" max="16384" width="9.140625" style="205"/>
  </cols>
  <sheetData>
    <row r="1" spans="1:32" hidden="1" x14ac:dyDescent="0.2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IF($E2=-1,0,IF(M$13&lt;=$L1,IF(ISERROR(MATCH(M$13,OFFSET($L1,1,0,ROW($L$116)-ROW($L1)-1),0)),ROW($L$116)-ROW($L1)-1,MATCH(M$13,OFFSET($L1,1,0,ROW($L$116)-ROW($L1)-1),0)-1),0))</f>
        <v>#REF!</v>
      </c>
      <c r="N1" s="212" t="e">
        <f ca="1">IF($E2=-1,0,IF(N$13&lt;=$L1,IF(ISERROR(MATCH(N$13,OFFSET($L1,1,0,ROW($L$116)-ROW($L1)-1),0)),ROW($L$116)-ROW($L1)-1,MATCH(N$13,OFFSET($L1,1,0,ROW($L$116)-ROW($L1)-1),0)-1),0))</f>
        <v>#REF!</v>
      </c>
      <c r="O1" s="212" t="e">
        <f ca="1">IF($E2=-1,0,IF(O$13&lt;=$L1,IF(ISERROR(MATCH(O$13,OFFSET($L1,1,0,ROW($L$116)-ROW($L1)-1),0)),ROW($L$116)-ROW($L1)-1,MATCH(O$13,OFFSET($L1,1,0,ROW($L$116)-ROW($L1)-1),0)-1),0))</f>
        <v>#REF!</v>
      </c>
      <c r="P1" s="212" t="e">
        <f ca="1">IF($E2=-1,0,IF(P$13&lt;=$L1,IF(ISERROR(MATCH(P$13,OFFSET($L1,1,0,ROW($L$116)-ROW($L1)-1),0)),ROW($L$116)-ROW($L1)-1,MATCH(P$13,OFFSET($L1,1,0,ROW($L$116)-ROW($L1)-1),0)-1),0))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">
      <c r="D2" s="569"/>
      <c r="E2" s="204" t="e">
        <f ca="1">IF(ISERROR(E1),IF(1+COUNTIF($L$13:OFFSET(L1,-1,0),1)&lt;=MAX(QCI!$D$13:$D$24),1+COUNTIF($L$13:OFFSET(L1,-1,0),1),-1),0)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2" hidden="1" customHeight="1" x14ac:dyDescent="0.2">
      <c r="D3" s="22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$290,"="&amp;CRONO!D$12,CÁLCULO!$AB$15:$AL$290)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$290,"&lt;="&amp;CRONO!T$12,CÁLCULO!$AB$15:$AL$290)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$290,"="&amp;CRONO!U$12,CÁLCULO!$AB$15:$AL$290)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$290,"="&amp;CRONO!V$12,CÁLCULO!$AB$15:$AL$290)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$290,"="&amp;CRONO!W$12,CÁLCULO!$AB$15:$AL$290)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$290,"="&amp;CRONO!X$12,CÁLCULO!$AB$15:$AL$290)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$290,"="&amp;CRONO!Y$12,CÁLCULO!$AB$15:$AL$290)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$290,"="&amp;CRONO!Z$12,CÁLCULO!$AB$15:$AL$290)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$290,"="&amp;CRONO!AA$12,CÁLCULO!$AB$15:$AL$290)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$290,"="&amp;CRONO!AB$12,CÁLCULO!$AB$15:$AL$290)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$290,"="&amp;CRONO!AC$12,CÁLCULO!$AB$15:$AL$290)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$290,"="&amp;CRONO!AD$12,CÁLCULO!$AB$15:$AL$290)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$290,"="&amp;CRONO!AE$12,CÁLCULO!$AB$15:$AL$290)/(ORÇAMENTO!$X$15-CÁLCULO.TotalAdmLocal)*CRONO!$E3,0),AE2*$R1),SUMIF(OFFSET($R3,1,0,$Q1-2),($L1+1)&amp;"$",OFFSET(AE3,1,0,$Q1-2)))</f>
        <v>#REF!</v>
      </c>
    </row>
    <row r="4" spans="1:32" ht="15" customHeight="1" x14ac:dyDescent="0.25">
      <c r="R4" s="229" t="str">
        <f>IF(TIPOORCAMENTO="licitado","CRONOGRAMA FÍSICO-FINANCEIRO LICITADO","CRONOGRAMA FÍSICO-FINANCEIRO")</f>
        <v>CRONOGRAMA FÍSICO-FINANCEIRO</v>
      </c>
      <c r="AD4" s="581" t="s">
        <v>140</v>
      </c>
      <c r="AE4" s="581"/>
    </row>
    <row r="5" spans="1:32" ht="15" x14ac:dyDescent="0.2">
      <c r="R5" s="84" t="str">
        <f>import.recurso</f>
        <v>OGU</v>
      </c>
      <c r="AD5" s="582" t="s">
        <v>143</v>
      </c>
      <c r="AE5" s="582"/>
    </row>
    <row r="6" spans="1:32" ht="12.75" customHeight="1" x14ac:dyDescent="0.2"/>
    <row r="7" spans="1:32" ht="12.75" customHeight="1" x14ac:dyDescent="0.2">
      <c r="E7" s="230"/>
      <c r="G7" s="633" t="s">
        <v>271</v>
      </c>
      <c r="H7" s="231" t="s">
        <v>146</v>
      </c>
      <c r="I7" s="232"/>
      <c r="J7" s="233" t="s">
        <v>447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DESCRIÇÃO DO LOTE</v>
      </c>
      <c r="AE7" s="236" t="str">
        <f>IF(TIPOORCAMENTO="Licitado","Nº CTEF","")</f>
        <v/>
      </c>
    </row>
    <row r="8" spans="1:32" x14ac:dyDescent="0.2">
      <c r="D8" s="204"/>
      <c r="E8" s="116"/>
      <c r="F8" s="609" t="s">
        <v>209</v>
      </c>
      <c r="G8" s="633"/>
      <c r="H8" s="632">
        <f>Import.CR</f>
        <v>0</v>
      </c>
      <c r="I8" s="632"/>
      <c r="J8" s="237">
        <f>Import.TransfereGOV</f>
        <v>0</v>
      </c>
      <c r="K8" s="642" t="str">
        <f>Import.Proponente</f>
        <v>MUNICÍPIO DE RONDINHA</v>
      </c>
      <c r="L8" s="642"/>
      <c r="M8" s="642"/>
      <c r="N8" s="642"/>
      <c r="O8" s="642"/>
      <c r="P8" s="642"/>
      <c r="Q8" s="642"/>
      <c r="R8" s="642"/>
      <c r="S8" s="642"/>
      <c r="T8" s="632" t="str">
        <f>Import.Apelido</f>
        <v>PRAÇA PÚBLICA - BAIRRO N. S. APARECIDA</v>
      </c>
      <c r="U8" s="632"/>
      <c r="V8" s="632"/>
      <c r="W8" s="632"/>
      <c r="X8" s="632"/>
      <c r="Y8" s="639" t="str">
        <f>IF(TIPOORCAMENTO="Licitado",Import.empresa,Import.DescLote)</f>
        <v>PRAÇA PÚBLICA - BAIRRO N. S. APARECIDA</v>
      </c>
      <c r="Z8" s="639"/>
      <c r="AA8" s="639"/>
      <c r="AB8" s="639"/>
      <c r="AC8" s="639"/>
      <c r="AD8" s="639"/>
      <c r="AE8" s="224" t="str">
        <f>IF(TIPOORCAMENTO="Licitado",Import.CTEF,"")</f>
        <v/>
      </c>
    </row>
    <row r="9" spans="1:32" x14ac:dyDescent="0.2">
      <c r="E9" s="116"/>
      <c r="F9" s="609"/>
      <c r="G9" s="633"/>
    </row>
    <row r="10" spans="1:32" x14ac:dyDescent="0.2">
      <c r="E10" s="230"/>
      <c r="F10" s="609"/>
      <c r="G10" s="238">
        <v>3</v>
      </c>
      <c r="J10" s="643" t="str">
        <f ca="1">IF(MAX($A$13:$A$116)&lt;CRONO.LinhasNecessarias,"ERRO: NÚMERO DE LINHAS DO CRONOGRAMA INSUFICIENTE. CLIQUE EM ATUALIZAR LINHAS.",IF(AND(ACOMPANHAMENTO="PLE",ROUND(OFFSET($AF$126,0,-1),2)=0),"CRONOGRAMA DEVE SER PREENCHIDO POR EVENTOS",IF(ROUND(OFFSET($AF$126,0,-1),2)&lt;&gt;$Q$117,"ERRO: CRONOGRAMA NÃO FECHA 100%","")))</f>
        <v/>
      </c>
      <c r="K10" s="643"/>
      <c r="L10" s="643"/>
      <c r="M10" s="643"/>
      <c r="N10" s="643"/>
      <c r="O10" s="643"/>
      <c r="P10" s="643"/>
      <c r="Q10" s="643"/>
      <c r="R10" s="643"/>
      <c r="S10" s="643"/>
    </row>
    <row r="11" spans="1:32" ht="12.75" customHeight="1" x14ac:dyDescent="0.2">
      <c r="F11" s="609"/>
      <c r="H11" s="239"/>
      <c r="I11" s="239"/>
      <c r="J11" s="643"/>
      <c r="K11" s="643"/>
      <c r="L11" s="643"/>
      <c r="M11" s="643"/>
      <c r="N11" s="643"/>
      <c r="O11" s="643"/>
      <c r="P11" s="643"/>
      <c r="Q11" s="643"/>
      <c r="R11" s="643"/>
      <c r="S11" s="643"/>
    </row>
    <row r="12" spans="1:32" ht="12.75" customHeight="1" x14ac:dyDescent="0.2">
      <c r="D12" s="240">
        <f ca="1">OFFSET(D12,0,-1)+1</f>
        <v>1</v>
      </c>
      <c r="F12" s="108" t="s">
        <v>217</v>
      </c>
      <c r="G12" s="635" t="s">
        <v>274</v>
      </c>
      <c r="H12" s="636" t="s">
        <v>231</v>
      </c>
      <c r="I12" s="637" t="s">
        <v>234</v>
      </c>
      <c r="J12" s="241"/>
      <c r="K12" s="241"/>
      <c r="L12" s="242"/>
      <c r="M12" s="242"/>
      <c r="N12" s="242"/>
      <c r="O12" s="242"/>
      <c r="P12" s="242"/>
      <c r="Q12" s="242"/>
      <c r="R12" s="640" t="s">
        <v>275</v>
      </c>
      <c r="S12" s="641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5" customHeight="1" x14ac:dyDescent="0.2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35"/>
      <c r="H13" s="636"/>
      <c r="I13" s="637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40"/>
      <c r="S13" s="641"/>
      <c r="T13" s="250">
        <v>45444</v>
      </c>
      <c r="U13" s="246">
        <f ca="1">OFFSET(U13,0,-1)+41-DAY(OFFSET(U13,0,-1)+40)</f>
        <v>45474</v>
      </c>
      <c r="V13" s="246">
        <f ca="1">OFFSET(V13,0,-1)+41-DAY(OFFSET(V13,0,-1)+40)</f>
        <v>45505</v>
      </c>
      <c r="W13" s="246">
        <f t="shared" ref="W13:AE13" ca="1" si="2">OFFSET(W13,0,-1)+41-DAY(OFFSET(W13,0,-1)+40)</f>
        <v>45536</v>
      </c>
      <c r="X13" s="246">
        <f t="shared" ca="1" si="2"/>
        <v>45566</v>
      </c>
      <c r="Y13" s="246">
        <f t="shared" ca="1" si="2"/>
        <v>45597</v>
      </c>
      <c r="Z13" s="246">
        <f t="shared" ca="1" si="2"/>
        <v>45627</v>
      </c>
      <c r="AA13" s="246">
        <f t="shared" ca="1" si="2"/>
        <v>45658</v>
      </c>
      <c r="AB13" s="246">
        <f t="shared" ca="1" si="2"/>
        <v>45689</v>
      </c>
      <c r="AC13" s="246">
        <f t="shared" ca="1" si="2"/>
        <v>45717</v>
      </c>
      <c r="AD13" s="246">
        <f t="shared" ca="1" si="2"/>
        <v>45748</v>
      </c>
      <c r="AE13" s="251">
        <f t="shared" ca="1" si="2"/>
        <v>45778</v>
      </c>
    </row>
    <row r="14" spans="1:32" x14ac:dyDescent="0.2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</v>
      </c>
      <c r="C14" s="204">
        <f ca="1">IF($Q14&lt;&gt;2,0,IF($R14=0,1,IF(E15&gt;0,OFFSET(QCI!$N$13,SUBSTITUTE(E15,".",""),0),OFFSET(ORÇAMENTO!$AB$15,CRONO!$E14,0))/$R14))</f>
        <v>0</v>
      </c>
      <c r="D14" s="207">
        <f ca="1">IF(AND($Q14=2,ACOMPANHAMENTO="BM"),D15,D16/$R14)</f>
        <v>0</v>
      </c>
      <c r="E14" s="204">
        <f ca="1">IF(A14&lt;=ORÇAMENTO.MáximoListaCrono,MATCH(A14,ORÇAMENTO.ListaCrono,0),NA())</f>
        <v>1</v>
      </c>
      <c r="F14" s="204" t="str">
        <f t="shared" ref="F14" ca="1" si="4">IF(AND($E15&lt;&gt;-1,$R14&gt;0),"F","")</f>
        <v>F</v>
      </c>
      <c r="G14" s="208" t="str">
        <f ca="1">IF(OR(R14=0,R14=""),"Linha",IF(AND(OR(ACOMPANHAMENTO="PLE",$Q14&lt;&gt;2),$E15=0),"Linha",1-SUM(T14:AF14)))</f>
        <v>Linha</v>
      </c>
      <c r="H14" s="209" t="str">
        <f ca="1">IF($E15=0,OFFSET(ORÇAMENTO!O$15,$E14,0),IF($E15&lt;&gt;-1,OFFSET(QCI!$D$13,$E15,0),""))</f>
        <v>1.</v>
      </c>
      <c r="I14" s="210" t="str">
        <f ca="1">IF($E15=0,OFFSET(ORÇAMENTO!R$15,$E14,0),IF($E15&lt;&gt;-1,OFFSET(QCI!$G$13,$E15,0),""))</f>
        <v>PRAÇA PÚBLICA - BAIRRO N. S. APARECIDA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IF($E15=-1,0,IF(M$13&lt;=$L14,IF(ISERROR(MATCH(M$13,OFFSET($L14,1,0,ROW($L$116)-ROW($L14)-1),0)),ROW($L$116)-ROW($L14)-1,MATCH(M$13,OFFSET($L14,1,0,ROW($L$116)-ROW($L14)-1),0)-1),0))</f>
        <v>101</v>
      </c>
      <c r="N14" s="212">
        <f ca="1">IF($E15=-1,0,IF(N$13&lt;=$L14,IF(ISERROR(MATCH(N$13,OFFSET($L14,1,0,ROW($L$116)-ROW($L14)-1),0)),ROW($L$116)-ROW($L14)-1,MATCH(N$13,OFFSET($L14,1,0,ROW($L$116)-ROW($L14)-1),0)-1),0))</f>
        <v>0</v>
      </c>
      <c r="O14" s="212">
        <f ca="1">IF($E15=-1,0,IF(O$13&lt;=$L14,IF(ISERROR(MATCH(O$13,OFFSET($L14,1,0,ROW($L$116)-ROW($L14)-1),0)),ROW($L$116)-ROW($L14)-1,MATCH(O$13,OFFSET($L14,1,0,ROW($L$116)-ROW($L14)-1),0)-1),0))</f>
        <v>0</v>
      </c>
      <c r="P14" s="212">
        <f ca="1">IF($E15=-1,0,IF(P$13&lt;=$L14,IF(ISERROR(MATCH(P$13,OFFSET($L14,1,0,ROW($L$116)-ROW($L14)-1),0)),ROW($L$116)-ROW($L14)-1,MATCH(P$13,OFFSET($L14,1,0,ROW($L$116)-ROW($L14)-1),0)-1),0))</f>
        <v>0</v>
      </c>
      <c r="Q14" s="212">
        <f t="shared" ref="Q14" ca="1" si="5">MIN(OFFSET(L14,0,1,,L14))</f>
        <v>101</v>
      </c>
      <c r="R14" s="213">
        <f ca="1">IF($E15=0,OFFSET(ORÇAMENTO!X$15,$E14,0),IF($E15&lt;&gt;-1,OFFSET(QCI!$O$13,$E15,0),""))</f>
        <v>291001.64</v>
      </c>
      <c r="S14" s="214" t="s">
        <v>270</v>
      </c>
      <c r="T14" s="215">
        <f t="shared" ref="T14:AE14" ca="1" si="6">IF(AND($Q14=2,ACOMPANHAMENTO="BM"),T15,T16/$R14)</f>
        <v>1.9869991110703016E-2</v>
      </c>
      <c r="U14" s="207">
        <f t="shared" ca="1" si="6"/>
        <v>6.8294735383621893E-2</v>
      </c>
      <c r="V14" s="207">
        <f t="shared" ca="1" si="6"/>
        <v>0.22304320174965339</v>
      </c>
      <c r="W14" s="207">
        <f t="shared" ca="1" si="6"/>
        <v>0.23115037255460144</v>
      </c>
      <c r="X14" s="207">
        <f t="shared" ca="1" si="6"/>
        <v>0.28042457939412296</v>
      </c>
      <c r="Y14" s="207">
        <f t="shared" ca="1" si="6"/>
        <v>0.17721711980729729</v>
      </c>
      <c r="Z14" s="207">
        <f t="shared" ca="1" si="6"/>
        <v>0</v>
      </c>
      <c r="AA14" s="207">
        <f t="shared" ca="1" si="6"/>
        <v>0</v>
      </c>
      <c r="AB14" s="207">
        <f t="shared" ca="1" si="6"/>
        <v>0</v>
      </c>
      <c r="AC14" s="207">
        <f t="shared" ca="1" si="6"/>
        <v>0</v>
      </c>
      <c r="AD14" s="207">
        <f t="shared" ca="1" si="6"/>
        <v>0</v>
      </c>
      <c r="AE14" s="216">
        <f t="shared" ca="1" si="6"/>
        <v>0</v>
      </c>
    </row>
    <row r="15" spans="1:32" ht="12.75" customHeight="1" x14ac:dyDescent="0.2">
      <c r="D15" s="569"/>
      <c r="E15" s="204">
        <f ca="1">IF(ISERROR(E14),IF(1+COUNTIF($L$13:OFFSET(L14,-1,0),1)&lt;=MAX(QCI!$D$13:$D$24),1+COUNTIF($L$13:OFFSET(L14,-1,0),1),-1),0)</f>
        <v>0</v>
      </c>
      <c r="F15" s="204" t="str">
        <f t="shared" ref="F15" ca="1" si="7">IF(AND($E15&lt;&gt;-1,$R14&gt;0),"F","")</f>
        <v>F</v>
      </c>
      <c r="G15" s="217" t="str">
        <f ca="1">IF(OR(R14=0,R14=""),"vazia",IF(AND(OR(ACOMPANHAMENTO="PLE",$Q14&lt;&gt;2),$E15=0),"calculada","--&gt;"))</f>
        <v>calculada</v>
      </c>
      <c r="H15" s="218"/>
      <c r="I15" s="219" t="str">
        <f t="shared" ref="I15" ca="1" si="8">IF(AND(G14&lt;&gt;0,ISNUMBER(G14)),"PREENCHA ESTA LINHA --&gt;","")</f>
        <v/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2" hidden="1" customHeight="1" x14ac:dyDescent="0.2">
      <c r="D16" s="22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$290,"="&amp;CRONO!D$12,CÁLCULO!$AB$15:$AL$290)/(ORÇAMENTO!$X$15-CÁLCULO.TotalAdmLocal)*CRONO!$E16,0),D15*$R14),SUMIF(OFFSET($R16,1,0,$Q14-2),($L14+1)&amp;"$",OFFSET(D16,1,0,$Q14-2)))</f>
        <v>0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$290,"&lt;="&amp;CRONO!T$12,CÁLCULO!$AB$15:$AL$290)/(ORÇAMENTO!$X$15-CÁLCULO.TotalAdmLocal)*CRONO!$E16,0),T15*$R14),SUMIF(OFFSET($R16,1,0,$Q14-2),($L14+1)&amp;"$",OFFSET(T16,1,0,$Q14-2)))</f>
        <v>5782.2</v>
      </c>
      <c r="U16" s="22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$290,"="&amp;CRONO!U$12,CÁLCULO!$AB$15:$AL$290)/(ORÇAMENTO!$X$15-CÁLCULO.TotalAdmLocal)*CRONO!$E16,0),U15*$R14),SUMIF(OFFSET($R16,1,0,$Q14-2),($L14+1)&amp;"$",OFFSET(U16,1,0,$Q14-2)))</f>
        <v>19873.88</v>
      </c>
      <c r="V16" s="22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$290,"="&amp;CRONO!V$12,CÁLCULO!$AB$15:$AL$290)/(ORÇAMENTO!$X$15-CÁLCULO.TotalAdmLocal)*CRONO!$E16,0),V15*$R14),SUMIF(OFFSET($R16,1,0,$Q14-2),($L14+1)&amp;"$",OFFSET(V16,1,0,$Q14-2)))</f>
        <v>64905.937500000007</v>
      </c>
      <c r="W16" s="22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$290,"="&amp;CRONO!W$12,CÁLCULO!$AB$15:$AL$290)/(ORÇAMENTO!$X$15-CÁLCULO.TotalAdmLocal)*CRONO!$E16,0),W15*$R14),SUMIF(OFFSET($R16,1,0,$Q14-2),($L14+1)&amp;"$",OFFSET(W16,1,0,$Q14-2)))</f>
        <v>67265.137500000012</v>
      </c>
      <c r="X16" s="22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$290,"="&amp;CRONO!X$12,CÁLCULO!$AB$15:$AL$290)/(ORÇAMENTO!$X$15-CÁLCULO.TotalAdmLocal)*CRONO!$E16,0),X15*$R14),SUMIF(OFFSET($R16,1,0,$Q14-2),($L14+1)&amp;"$",OFFSET(X16,1,0,$Q14-2)))</f>
        <v>81604.012499999997</v>
      </c>
      <c r="Y16" s="22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$290,"="&amp;CRONO!Y$12,CÁLCULO!$AB$15:$AL$290)/(ORÇAMENTO!$X$15-CÁLCULO.TotalAdmLocal)*CRONO!$E16,0),Y15*$R14),SUMIF(OFFSET($R16,1,0,$Q14-2),($L14+1)&amp;"$",OFFSET(Y16,1,0,$Q14-2)))</f>
        <v>51570.472499999996</v>
      </c>
      <c r="Z16" s="22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$290,"="&amp;CRONO!Z$12,CÁLCULO!$AB$15:$AL$290)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$290,"="&amp;CRONO!AA$12,CÁLCULO!$AB$15:$AL$290)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$290,"="&amp;CRONO!AB$12,CÁLCULO!$AB$15:$AL$290)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$290,"="&amp;CRONO!AC$12,CÁLCULO!$AB$15:$AL$290)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$290,"="&amp;CRONO!AD$12,CÁLCULO!$AB$15:$AL$290)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$290,"="&amp;CRONO!AE$12,CÁLCULO!$AB$15:$AL$290)/(ORÇAMENTO!$X$15-CÁLCULO.TotalAdmLocal)*CRONO!$E16,0),AE15*$R14),SUMIF(OFFSET($R16,1,0,$Q14-2),($L14+1)&amp;"$",OFFSET(AE16,1,0,$Q14-2)))</f>
        <v>0</v>
      </c>
    </row>
    <row r="17" spans="1:32" x14ac:dyDescent="0.2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1</v>
      </c>
      <c r="C17" s="204">
        <f ca="1">IF($Q17&lt;&gt;2,0,IF($R17=0,1,IF(E18&gt;0,OFFSET(QCI!$N$13,SUBSTITUTE(E18,".",""),0),OFFSET(ORÇAMENTO!$AB$15,CRONO!$E17,0))/$R17))</f>
        <v>0</v>
      </c>
      <c r="D17" s="207">
        <f ca="1">IF(AND($Q17=2,ACOMPANHAMENTO="BM"),D18,D19/$R17)</f>
        <v>0</v>
      </c>
      <c r="E17" s="204">
        <f ca="1">IF(A17&lt;=ORÇAMENTO.MáximoListaCrono,MATCH(A17,ORÇAMENTO.ListaCrono,0),NA())</f>
        <v>2</v>
      </c>
      <c r="F17" s="204" t="str">
        <f t="shared" ref="F17" ca="1" si="11">IF(AND($E18&lt;&gt;-1,$R17&gt;0),"F","")</f>
        <v>F</v>
      </c>
      <c r="G17" s="208">
        <f ca="1">IF(OR(R17=0,R17=""),"Linha",IF(AND(OR(ACOMPANHAMENTO="PLE",$Q17&lt;&gt;2),$E18=0),"Linha",1-SUM(T17:AF17)))</f>
        <v>0</v>
      </c>
      <c r="H17" s="209" t="str">
        <f ca="1">IF($E18=0,OFFSET(ORÇAMENTO!O$15,$E17,0),IF($E18&lt;&gt;-1,OFFSET(QCI!$D$13,$E18,0),""))</f>
        <v>1.1.</v>
      </c>
      <c r="I17" s="210" t="str">
        <f ca="1">IF($E18=0,OFFSET(ORÇAMENTO!R$15,$E17,0),IF($E18&lt;&gt;-1,OFFSET(QCI!$G$13,$E18,0),""))</f>
        <v>SERVIÇOS INICIAIS E DRENO DE ÁGUAS PLUVIAIS</v>
      </c>
      <c r="J17" s="210"/>
      <c r="K17" s="210"/>
      <c r="L17" s="211">
        <f ca="1">IF($E18=0,OFFSET(ORÇAMENTO!C$15,$E17,0),1)</f>
        <v>2</v>
      </c>
      <c r="M17" s="212">
        <f ca="1">IF($E18=-1,0,IF(M$13&lt;=$L17,IF(ISERROR(MATCH(M$13,OFFSET($L17,1,0,ROW($L$116)-ROW($L17)-1),0)),ROW($L$116)-ROW($L17)-1,MATCH(M$13,OFFSET($L17,1,0,ROW($L$116)-ROW($L17)-1),0)-1),0))</f>
        <v>98</v>
      </c>
      <c r="N17" s="212">
        <f ca="1">IF($E18=-1,0,IF(N$13&lt;=$L17,IF(ISERROR(MATCH(N$13,OFFSET($L17,1,0,ROW($L$116)-ROW($L17)-1),0)),ROW($L$116)-ROW($L17)-1,MATCH(N$13,OFFSET($L17,1,0,ROW($L$116)-ROW($L17)-1),0)-1),0))</f>
        <v>2</v>
      </c>
      <c r="O17" s="212">
        <f ca="1">IF($E18=-1,0,IF(O$13&lt;=$L17,IF(ISERROR(MATCH(O$13,OFFSET($L17,1,0,ROW($L$116)-ROW($L17)-1),0)),ROW($L$116)-ROW($L17)-1,MATCH(O$13,OFFSET($L17,1,0,ROW($L$116)-ROW($L17)-1),0)-1),0))</f>
        <v>0</v>
      </c>
      <c r="P17" s="212">
        <f ca="1">IF($E18=-1,0,IF(P$13&lt;=$L17,IF(ISERROR(MATCH(P$13,OFFSET($L17,1,0,ROW($L$116)-ROW($L17)-1),0)),ROW($L$116)-ROW($L17)-1,MATCH(P$13,OFFSET($L17,1,0,ROW($L$116)-ROW($L17)-1),0)-1),0))</f>
        <v>0</v>
      </c>
      <c r="Q17" s="212">
        <f t="shared" ref="Q17" ca="1" si="12">MIN(OFFSET(L17,0,1,,L17))</f>
        <v>2</v>
      </c>
      <c r="R17" s="213">
        <f ca="1">IF($E18=0,OFFSET(ORÇAMENTO!X$15,$E17,0),IF($E18&lt;&gt;-1,OFFSET(QCI!$O$13,$E18,0),""))</f>
        <v>2076.06</v>
      </c>
      <c r="S17" s="214" t="s">
        <v>270</v>
      </c>
      <c r="T17" s="215">
        <f t="shared" ref="T17:AE17" ca="1" si="13">IF(AND($Q17=2,ACOMPANHAMENTO="BM"),T18,T19/$R17)</f>
        <v>1</v>
      </c>
      <c r="U17" s="207">
        <f t="shared" ca="1" si="13"/>
        <v>0</v>
      </c>
      <c r="V17" s="207">
        <f t="shared" ca="1" si="13"/>
        <v>0</v>
      </c>
      <c r="W17" s="207">
        <f t="shared" ca="1" si="13"/>
        <v>0</v>
      </c>
      <c r="X17" s="207">
        <f t="shared" ca="1" si="13"/>
        <v>0</v>
      </c>
      <c r="Y17" s="207">
        <f t="shared" ca="1" si="13"/>
        <v>0</v>
      </c>
      <c r="Z17" s="207">
        <f t="shared" ca="1" si="13"/>
        <v>0</v>
      </c>
      <c r="AA17" s="207">
        <f t="shared" ca="1" si="13"/>
        <v>0</v>
      </c>
      <c r="AB17" s="207">
        <f t="shared" ca="1" si="13"/>
        <v>0</v>
      </c>
      <c r="AC17" s="207">
        <f t="shared" ca="1" si="13"/>
        <v>0</v>
      </c>
      <c r="AD17" s="207">
        <f t="shared" ca="1" si="13"/>
        <v>0</v>
      </c>
      <c r="AE17" s="216">
        <f t="shared" ca="1" si="13"/>
        <v>0</v>
      </c>
    </row>
    <row r="18" spans="1:32" ht="12.75" customHeight="1" x14ac:dyDescent="0.2">
      <c r="D18" s="569"/>
      <c r="E18" s="204">
        <f ca="1">IF(ISERROR(E17),IF(1+COUNTIF($L$13:OFFSET(L17,-1,0),1)&lt;=MAX(QCI!$D$13:$D$24),1+COUNTIF($L$13:OFFSET(L17,-1,0),1),-1),0)</f>
        <v>0</v>
      </c>
      <c r="F18" s="204" t="str">
        <f t="shared" ref="F18" ca="1" si="14">IF(AND($E18&lt;&gt;-1,$R17&gt;0),"F","")</f>
        <v>F</v>
      </c>
      <c r="G18" s="217" t="str">
        <f ca="1">IF(OR(R17=0,R17=""),"vazia",IF(AND(OR(ACOMPANHAMENTO="PLE",$Q17&lt;&gt;2),$E18=0),"calculada","--&gt;"))</f>
        <v>--&gt;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>
        <v>1</v>
      </c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2" hidden="1" customHeight="1" x14ac:dyDescent="0.2">
      <c r="D19" s="22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$290,"="&amp;CRONO!D$12,CÁLCULO!$AB$15:$AL$290)/(ORÇAMENTO!$X$15-CÁLCULO.TotalAdmLocal)*CRONO!$E19,0),D18*$R17),SUMIF(OFFSET($R19,1,0,$Q17-2),($L17+1)&amp;"$",OFFSET(D19,1,0,$Q17-2)))</f>
        <v>0</v>
      </c>
      <c r="E19" s="20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224"/>
      <c r="R19" s="225" t="str">
        <f t="shared" ref="R19" ca="1" si="16">L17&amp;"$"</f>
        <v>2$</v>
      </c>
      <c r="S19" s="226"/>
      <c r="T19" s="22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$290,"&lt;="&amp;CRONO!T$12,CÁLCULO!$AB$15:$AL$290)/(ORÇAMENTO!$X$15-CÁLCULO.TotalAdmLocal)*CRONO!$E19,0),T18*$R17),SUMIF(OFFSET($R19,1,0,$Q17-2),($L17+1)&amp;"$",OFFSET(T19,1,0,$Q17-2)))</f>
        <v>2076.06</v>
      </c>
      <c r="U19" s="22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$290,"="&amp;CRONO!U$12,CÁLCULO!$AB$15:$AL$290)/(ORÇAMENTO!$X$15-CÁLCULO.TotalAdmLocal)*CRONO!$E19,0),U18*$R17),SUMIF(OFFSET($R19,1,0,$Q17-2),($L17+1)&amp;"$",OFFSET(U19,1,0,$Q17-2)))</f>
        <v>0</v>
      </c>
      <c r="V19" s="22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$290,"="&amp;CRONO!V$12,CÁLCULO!$AB$15:$AL$290)/(ORÇAMENTO!$X$15-CÁLCULO.TotalAdmLocal)*CRONO!$E19,0),V18*$R17),SUMIF(OFFSET($R19,1,0,$Q17-2),($L17+1)&amp;"$",OFFSET(V19,1,0,$Q17-2)))</f>
        <v>0</v>
      </c>
      <c r="W19" s="22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$290,"="&amp;CRONO!W$12,CÁLCULO!$AB$15:$AL$290)/(ORÇAMENTO!$X$15-CÁLCULO.TotalAdmLocal)*CRONO!$E19,0),W18*$R17),SUMIF(OFFSET($R19,1,0,$Q17-2),($L17+1)&amp;"$",OFFSET(W19,1,0,$Q17-2)))</f>
        <v>0</v>
      </c>
      <c r="X19" s="22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$290,"="&amp;CRONO!X$12,CÁLCULO!$AB$15:$AL$290)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$290,"="&amp;CRONO!Y$12,CÁLCULO!$AB$15:$AL$290)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$290,"="&amp;CRONO!Z$12,CÁLCULO!$AB$15:$AL$290)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$290,"="&amp;CRONO!AA$12,CÁLCULO!$AB$15:$AL$290)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$290,"="&amp;CRONO!AB$12,CÁLCULO!$AB$15:$AL$290)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$290,"="&amp;CRONO!AC$12,CÁLCULO!$AB$15:$AL$290)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$290,"="&amp;CRONO!AD$12,CÁLCULO!$AB$15:$AL$290)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$290,"="&amp;CRONO!AE$12,CÁLCULO!$AB$15:$AL$290)/(ORÇAMENTO!$X$15-CÁLCULO.TotalAdmLocal)*CRONO!$E19,0),AE18*$R17),SUMIF(OFFSET($R19,1,0,$Q17-2),($L17+1)&amp;"$",OFFSET(AE19,1,0,$Q17-2)))</f>
        <v>0</v>
      </c>
    </row>
    <row r="20" spans="1:32" x14ac:dyDescent="0.2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0.99999999999999978</v>
      </c>
      <c r="C20" s="204">
        <f ca="1">IF($Q20&lt;&gt;2,0,IF($R20=0,1,IF(E21&gt;0,OFFSET(QCI!$N$13,SUBSTITUTE(E21,".",""),0),OFFSET(ORÇAMENTO!$AB$15,CRONO!$E20,0))/$R20))</f>
        <v>0</v>
      </c>
      <c r="D20" s="207">
        <f ca="1">IF(AND($Q20=2,ACOMPANHAMENTO="BM"),D21,D22/$R20)</f>
        <v>0</v>
      </c>
      <c r="E20" s="204">
        <f ca="1">IF(A20&lt;=ORÇAMENTO.MáximoListaCrono,MATCH(A20,ORÇAMENTO.ListaCrono,0),NA())</f>
        <v>10</v>
      </c>
      <c r="F20" s="204" t="str">
        <f t="shared" ref="F20" ca="1" si="18">IF(AND($E21&lt;&gt;-1,$R20&gt;0),"F","")</f>
        <v>F</v>
      </c>
      <c r="G20" s="208">
        <f ca="1">IF(OR(R20=0,R20=""),"Linha",IF(AND(OR(ACOMPANHAMENTO="PLE",$Q20&lt;&gt;2),$E21=0),"Linha",1-SUM(T20:AF20)))</f>
        <v>0</v>
      </c>
      <c r="H20" s="209" t="str">
        <f ca="1">IF($E21=0,OFFSET(ORÇAMENTO!O$15,$E20,0),IF($E21&lt;&gt;-1,OFFSET(QCI!$D$13,$E21,0),""))</f>
        <v>1.2.</v>
      </c>
      <c r="I20" s="210" t="str">
        <f ca="1">IF($E21=0,OFFSET(ORÇAMENTO!R$15,$E20,0),IF($E21&lt;&gt;-1,OFFSET(QCI!$G$13,$E21,0),""))</f>
        <v>INSTALAÇÕES HIDRÁULICAS - ENTRADA INDIVIDUALIZADA DE ÁGUA POTÁVEL E REDE ENTERRADA</v>
      </c>
      <c r="J20" s="210"/>
      <c r="K20" s="210"/>
      <c r="L20" s="211">
        <f ca="1">IF($E21=0,OFFSET(ORÇAMENTO!C$15,$E20,0),1)</f>
        <v>2</v>
      </c>
      <c r="M20" s="212">
        <f ca="1">IF($E21=-1,0,IF(M$13&lt;=$L20,IF(ISERROR(MATCH(M$13,OFFSET($L20,1,0,ROW($L$116)-ROW($L20)-1),0)),ROW($L$116)-ROW($L20)-1,MATCH(M$13,OFFSET($L20,1,0,ROW($L$116)-ROW($L20)-1),0)-1),0))</f>
        <v>95</v>
      </c>
      <c r="N20" s="212">
        <f ca="1">IF($E21=-1,0,IF(N$13&lt;=$L20,IF(ISERROR(MATCH(N$13,OFFSET($L20,1,0,ROW($L$116)-ROW($L20)-1),0)),ROW($L$116)-ROW($L20)-1,MATCH(N$13,OFFSET($L20,1,0,ROW($L$116)-ROW($L20)-1),0)-1),0))</f>
        <v>2</v>
      </c>
      <c r="O20" s="212">
        <f ca="1">IF($E21=-1,0,IF(O$13&lt;=$L20,IF(ISERROR(MATCH(O$13,OFFSET($L20,1,0,ROW($L$116)-ROW($L20)-1),0)),ROW($L$116)-ROW($L20)-1,MATCH(O$13,OFFSET($L20,1,0,ROW($L$116)-ROW($L20)-1),0)-1),0))</f>
        <v>0</v>
      </c>
      <c r="P20" s="212">
        <f ca="1">IF($E21=-1,0,IF(P$13&lt;=$L20,IF(ISERROR(MATCH(P$13,OFFSET($L20,1,0,ROW($L$116)-ROW($L20)-1),0)),ROW($L$116)-ROW($L20)-1,MATCH(P$13,OFFSET($L20,1,0,ROW($L$116)-ROW($L20)-1),0)-1),0))</f>
        <v>0</v>
      </c>
      <c r="Q20" s="212">
        <f t="shared" ref="Q20" ca="1" si="19">MIN(OFFSET(L20,0,1,,L20))</f>
        <v>2</v>
      </c>
      <c r="R20" s="213">
        <f ca="1">IF($E21=0,OFFSET(ORÇAMENTO!X$15,$E20,0),IF($E21&lt;&gt;-1,OFFSET(QCI!$O$13,$E21,0),""))</f>
        <v>1353.13</v>
      </c>
      <c r="S20" s="214" t="s">
        <v>270</v>
      </c>
      <c r="T20" s="215">
        <f t="shared" ref="T20:AE20" ca="1" si="20">IF(AND($Q20=2,ACOMPANHAMENTO="BM"),T21,T22/$R20)</f>
        <v>0.5</v>
      </c>
      <c r="U20" s="207">
        <f t="shared" ca="1" si="20"/>
        <v>0.5</v>
      </c>
      <c r="V20" s="207">
        <f t="shared" ca="1" si="20"/>
        <v>0</v>
      </c>
      <c r="W20" s="207">
        <f t="shared" ca="1" si="20"/>
        <v>0</v>
      </c>
      <c r="X20" s="207">
        <f t="shared" ca="1" si="20"/>
        <v>0</v>
      </c>
      <c r="Y20" s="207">
        <f t="shared" ca="1" si="20"/>
        <v>0</v>
      </c>
      <c r="Z20" s="207">
        <f t="shared" ca="1" si="20"/>
        <v>0</v>
      </c>
      <c r="AA20" s="207">
        <f t="shared" ca="1" si="20"/>
        <v>0</v>
      </c>
      <c r="AB20" s="207">
        <f t="shared" ca="1" si="20"/>
        <v>0</v>
      </c>
      <c r="AC20" s="207">
        <f t="shared" ca="1" si="20"/>
        <v>0</v>
      </c>
      <c r="AD20" s="207">
        <f t="shared" ca="1" si="20"/>
        <v>0</v>
      </c>
      <c r="AE20" s="216">
        <f t="shared" ca="1" si="20"/>
        <v>0</v>
      </c>
    </row>
    <row r="21" spans="1:32" ht="12.75" customHeight="1" x14ac:dyDescent="0.2">
      <c r="D21" s="569"/>
      <c r="E21" s="204">
        <f ca="1">IF(ISERROR(E20),IF(1+COUNTIF($L$13:OFFSET(L20,-1,0),1)&lt;=MAX(QCI!$D$13:$D$24),1+COUNTIF($L$13:OFFSET(L20,-1,0),1),-1),0)</f>
        <v>0</v>
      </c>
      <c r="F21" s="204" t="str">
        <f t="shared" ref="F21" ca="1" si="21">IF(AND($E21&lt;&gt;-1,$R20&gt;0),"F","")</f>
        <v>F</v>
      </c>
      <c r="G21" s="217" t="str">
        <f ca="1">IF(OR(R20=0,R20=""),"vazia",IF(AND(OR(ACOMPANHAMENTO="PLE",$Q20&lt;&gt;2),$E21=0),"calculada","--&gt;"))</f>
        <v>--&gt;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>
        <v>0.5</v>
      </c>
      <c r="U21" s="569">
        <v>0.5</v>
      </c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2" hidden="1" customHeight="1" x14ac:dyDescent="0.2">
      <c r="D22" s="22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$290,"="&amp;CRONO!D$12,CÁLCULO!$AB$15:$AL$290)/(ORÇAMENTO!$X$15-CÁLCULO.TotalAdmLocal)*CRONO!$E22,0),D21*$R20),SUMIF(OFFSET($R22,1,0,$Q20-2),($L20+1)&amp;"$",OFFSET(D22,1,0,$Q20-2)))</f>
        <v>0</v>
      </c>
      <c r="E22" s="20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224"/>
      <c r="R22" s="225" t="str">
        <f t="shared" ref="R22" ca="1" si="23">L20&amp;"$"</f>
        <v>2$</v>
      </c>
      <c r="S22" s="226"/>
      <c r="T22" s="22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$290,"&lt;="&amp;CRONO!T$12,CÁLCULO!$AB$15:$AL$290)/(ORÇAMENTO!$X$15-CÁLCULO.TotalAdmLocal)*CRONO!$E22,0),T21*$R20),SUMIF(OFFSET($R22,1,0,$Q20-2),($L20+1)&amp;"$",OFFSET(T22,1,0,$Q20-2)))</f>
        <v>676.56500000000005</v>
      </c>
      <c r="U22" s="22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$290,"="&amp;CRONO!U$12,CÁLCULO!$AB$15:$AL$290)/(ORÇAMENTO!$X$15-CÁLCULO.TotalAdmLocal)*CRONO!$E22,0),U21*$R20),SUMIF(OFFSET($R22,1,0,$Q20-2),($L20+1)&amp;"$",OFFSET(U22,1,0,$Q20-2)))</f>
        <v>676.56500000000005</v>
      </c>
      <c r="V22" s="22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$290,"="&amp;CRONO!V$12,CÁLCULO!$AB$15:$AL$290)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$290,"="&amp;CRONO!W$12,CÁLCULO!$AB$15:$AL$290)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$290,"="&amp;CRONO!X$12,CÁLCULO!$AB$15:$AL$290)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$290,"="&amp;CRONO!Y$12,CÁLCULO!$AB$15:$AL$290)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$290,"="&amp;CRONO!Z$12,CÁLCULO!$AB$15:$AL$290)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$290,"="&amp;CRONO!AA$12,CÁLCULO!$AB$15:$AL$290)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$290,"="&amp;CRONO!AB$12,CÁLCULO!$AB$15:$AL$290)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$290,"="&amp;CRONO!AC$12,CÁLCULO!$AB$15:$AL$290)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$290,"="&amp;CRONO!AD$12,CÁLCULO!$AB$15:$AL$290)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$290,"="&amp;CRONO!AE$12,CÁLCULO!$AB$15:$AL$290)/(ORÇAMENTO!$X$15-CÁLCULO.TotalAdmLocal)*CRONO!$E22,0),AE21*$R20),SUMIF(OFFSET($R22,1,0,$Q20-2),($L20+1)&amp;"$",OFFSET(AE22,1,0,$Q20-2)))</f>
        <v>0</v>
      </c>
    </row>
    <row r="23" spans="1:32" x14ac:dyDescent="0.2">
      <c r="A23" s="204">
        <f t="shared" ref="A23" ca="1" si="24">OFFSET(A23,-3,0)+1</f>
        <v>4</v>
      </c>
      <c r="B23" s="204">
        <f ca="1">IF($Q23&lt;&gt;2,0,IF($R23=0,1,IF(E24&gt;0,OFFSET(QCI!$M$13,SUBSTITUTE(E24,".",""),0),OFFSET(ORÇAMENTO!$AA$15,CRONO!$E23,0))/$R23))</f>
        <v>0</v>
      </c>
      <c r="C23" s="204">
        <f ca="1">IF($Q23&lt;&gt;2,0,IF($R23=0,1,IF(E24&gt;0,OFFSET(QCI!$N$13,SUBSTITUTE(E24,".",""),0),OFFSET(ORÇAMENTO!$AB$15,CRONO!$E23,0))/$R23))</f>
        <v>0</v>
      </c>
      <c r="D23" s="207">
        <f ca="1">IF(AND($Q23=2,ACOMPANHAMENTO="BM"),D24,D25/$R23)</f>
        <v>0</v>
      </c>
      <c r="E23" s="204">
        <f ca="1">IF(A23&lt;=ORÇAMENTO.MáximoListaCrono,MATCH(A23,ORÇAMENTO.ListaCrono,0),NA())</f>
        <v>26</v>
      </c>
      <c r="F23" s="204" t="str">
        <f t="shared" ref="F23" ca="1" si="25">IF(AND($E24&lt;&gt;-1,$R23&gt;0),"F","")</f>
        <v>F</v>
      </c>
      <c r="G23" s="208" t="str">
        <f ca="1">IF(OR(R23=0,R23=""),"Linha",IF(AND(OR(ACOMPANHAMENTO="PLE",$Q23&lt;&gt;2),$E24=0),"Linha",1-SUM(T23:AF23)))</f>
        <v>Linha</v>
      </c>
      <c r="H23" s="209" t="str">
        <f ca="1">IF($E24=0,OFFSET(ORÇAMENTO!O$15,$E23,0),IF($E24&lt;&gt;-1,OFFSET(QCI!$D$13,$E24,0),""))</f>
        <v>1.3.</v>
      </c>
      <c r="I23" s="210" t="str">
        <f ca="1">IF($E24=0,OFFSET(ORÇAMENTO!R$15,$E23,0),IF($E24&lt;&gt;-1,OFFSET(QCI!$G$13,$E24,0),""))</f>
        <v>ENTRADA DE ENERGIA PADRÃO, MURETA E QGBT</v>
      </c>
      <c r="J23" s="210"/>
      <c r="K23" s="210"/>
      <c r="L23" s="211">
        <f ca="1">IF($E24=0,OFFSET(ORÇAMENTO!C$15,$E23,0),1)</f>
        <v>2</v>
      </c>
      <c r="M23" s="212">
        <f ca="1">IF($E24=-1,0,IF(M$13&lt;=$L23,IF(ISERROR(MATCH(M$13,OFFSET($L23,1,0,ROW($L$116)-ROW($L23)-1),0)),ROW($L$116)-ROW($L23)-1,MATCH(M$13,OFFSET($L23,1,0,ROW($L$116)-ROW($L23)-1),0)-1),0))</f>
        <v>92</v>
      </c>
      <c r="N23" s="212">
        <f ca="1">IF($E24=-1,0,IF(N$13&lt;=$L23,IF(ISERROR(MATCH(N$13,OFFSET($L23,1,0,ROW($L$116)-ROW($L23)-1),0)),ROW($L$116)-ROW($L23)-1,MATCH(N$13,OFFSET($L23,1,0,ROW($L$116)-ROW($L23)-1),0)-1),0))</f>
        <v>8</v>
      </c>
      <c r="O23" s="212">
        <f ca="1">IF($E24=-1,0,IF(O$13&lt;=$L23,IF(ISERROR(MATCH(O$13,OFFSET($L23,1,0,ROW($L$116)-ROW($L23)-1),0)),ROW($L$116)-ROW($L23)-1,MATCH(O$13,OFFSET($L23,1,0,ROW($L$116)-ROW($L23)-1),0)-1),0))</f>
        <v>0</v>
      </c>
      <c r="P23" s="212">
        <f ca="1">IF($E24=-1,0,IF(P$13&lt;=$L23,IF(ISERROR(MATCH(P$13,OFFSET($L23,1,0,ROW($L$116)-ROW($L23)-1),0)),ROW($L$116)-ROW($L23)-1,MATCH(P$13,OFFSET($L23,1,0,ROW($L$116)-ROW($L23)-1),0)-1),0))</f>
        <v>0</v>
      </c>
      <c r="Q23" s="212">
        <f t="shared" ref="Q23" ca="1" si="26">MIN(OFFSET(L23,0,1,,L23))</f>
        <v>8</v>
      </c>
      <c r="R23" s="213">
        <f ca="1">IF($E24=0,OFFSET(ORÇAMENTO!X$15,$E23,0),IF($E24&lt;&gt;-1,OFFSET(QCI!$O$13,$E24,0),""))</f>
        <v>7842.77</v>
      </c>
      <c r="S23" s="214" t="s">
        <v>270</v>
      </c>
      <c r="T23" s="215">
        <f t="shared" ref="T23:AE23" ca="1" si="27">IF(AND($Q23=2,ACOMPANHAMENTO="BM"),T24,T25/$R23)</f>
        <v>0.38628890047776482</v>
      </c>
      <c r="U23" s="207">
        <f t="shared" ca="1" si="27"/>
        <v>0.49999999999999994</v>
      </c>
      <c r="V23" s="207">
        <f t="shared" ca="1" si="27"/>
        <v>0.11371109952223511</v>
      </c>
      <c r="W23" s="207">
        <f t="shared" ca="1" si="27"/>
        <v>0</v>
      </c>
      <c r="X23" s="207">
        <f t="shared" ca="1" si="27"/>
        <v>0</v>
      </c>
      <c r="Y23" s="207">
        <f t="shared" ca="1" si="27"/>
        <v>0</v>
      </c>
      <c r="Z23" s="207">
        <f t="shared" ca="1" si="27"/>
        <v>0</v>
      </c>
      <c r="AA23" s="207">
        <f t="shared" ca="1" si="27"/>
        <v>0</v>
      </c>
      <c r="AB23" s="207">
        <f t="shared" ca="1" si="27"/>
        <v>0</v>
      </c>
      <c r="AC23" s="207">
        <f t="shared" ca="1" si="27"/>
        <v>0</v>
      </c>
      <c r="AD23" s="207">
        <f t="shared" ca="1" si="27"/>
        <v>0</v>
      </c>
      <c r="AE23" s="216">
        <f t="shared" ca="1" si="27"/>
        <v>0</v>
      </c>
    </row>
    <row r="24" spans="1:32" ht="12.75" customHeight="1" x14ac:dyDescent="0.2">
      <c r="D24" s="569"/>
      <c r="E24" s="204">
        <f ca="1">IF(ISERROR(E23),IF(1+COUNTIF($L$13:OFFSET(L23,-1,0),1)&lt;=MAX(QCI!$D$13:$D$24),1+COUNTIF($L$13:OFFSET(L23,-1,0),1),-1),0)</f>
        <v>0</v>
      </c>
      <c r="F24" s="204" t="str">
        <f t="shared" ref="F24" ca="1" si="28">IF(AND($E24&lt;&gt;-1,$R23&gt;0),"F","")</f>
        <v>F</v>
      </c>
      <c r="G24" s="217" t="str">
        <f ca="1">IF(OR(R23=0,R23=""),"vazia",IF(AND(OR(ACOMPANHAMENTO="PLE",$Q23&lt;&gt;2),$E24=0),"calculada","--&gt;"))</f>
        <v>calculada</v>
      </c>
      <c r="H24" s="218"/>
      <c r="I24" s="219" t="str">
        <f t="shared" ref="I24" ca="1" si="29">IF(AND(G23&lt;&gt;0,ISNUMBER(G23)),"PREENCHA ESTA LINHA --&gt;","")</f>
        <v/>
      </c>
      <c r="J24" s="219"/>
      <c r="K24" s="219"/>
      <c r="L24" s="220"/>
      <c r="M24" s="220"/>
      <c r="N24" s="220"/>
      <c r="O24" s="220"/>
      <c r="P24" s="220"/>
      <c r="Q24" s="220"/>
      <c r="R24" s="221"/>
      <c r="S24" s="222"/>
      <c r="T24" s="570"/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71"/>
      <c r="AF24" s="533"/>
    </row>
    <row r="25" spans="1:32" ht="0.2" hidden="1" customHeight="1" x14ac:dyDescent="0.2">
      <c r="D25" s="223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$290,"="&amp;CRONO!D$12,CÁLCULO!$AB$15:$AL$290)/(ORÇAMENTO!$X$15-CÁLCULO.TotalAdmLocal)*CRONO!$E25,0),D24*$R23),SUMIF(OFFSET($R25,1,0,$Q23-2),($L23+1)&amp;"$",OFFSET(D25,1,0,$Q23-2)))</f>
        <v>0</v>
      </c>
      <c r="E25" s="204" t="str">
        <f ca="1">IF(OR($Q23&lt;&gt;2,AUTOEVENTO&lt;&gt;"manual",$E24&gt;0),"",SUMIF(OFFSET(CÁLCULO!$M$15,CRONO!$E23,0,OFFSET(ORÇAMENTO!$D$15,CRONO!$E23,0)),1,OFFSET(ORÇAMENTO!$X$15,CRONO!$E23,0,OFFSET(ORÇAMENTO!$D$15,CRONO!$E23,0))))</f>
        <v/>
      </c>
      <c r="G25" s="224"/>
      <c r="R25" s="225" t="str">
        <f t="shared" ref="R25" ca="1" si="30">L23&amp;"$"</f>
        <v>2$</v>
      </c>
      <c r="S25" s="226"/>
      <c r="T25" s="227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$290,"&lt;="&amp;CRONO!T$12,CÁLCULO!$AB$15:$AL$290)/(ORÇAMENTO!$X$15-CÁLCULO.TotalAdmLocal)*CRONO!$E25,0),T24*$R23),SUMIF(OFFSET($R25,1,0,$Q23-2),($L23+1)&amp;"$",OFFSET(T25,1,0,$Q23-2)))</f>
        <v>3029.5749999999998</v>
      </c>
      <c r="U25" s="223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$290,"="&amp;CRONO!U$12,CÁLCULO!$AB$15:$AL$290)/(ORÇAMENTO!$X$15-CÁLCULO.TotalAdmLocal)*CRONO!$E25,0),U24*$R23),SUMIF(OFFSET($R25,1,0,$Q23-2),($L23+1)&amp;"$",OFFSET(U25,1,0,$Q23-2)))</f>
        <v>3921.3849999999998</v>
      </c>
      <c r="V25" s="223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$290,"="&amp;CRONO!V$12,CÁLCULO!$AB$15:$AL$290)/(ORÇAMENTO!$X$15-CÁLCULO.TotalAdmLocal)*CRONO!$E25,0),V24*$R23),SUMIF(OFFSET($R25,1,0,$Q23-2),($L23+1)&amp;"$",OFFSET(V25,1,0,$Q23-2)))</f>
        <v>891.81</v>
      </c>
      <c r="W25" s="223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$290,"="&amp;CRONO!W$12,CÁLCULO!$AB$15:$AL$290)/(ORÇAMENTO!$X$15-CÁLCULO.TotalAdmLocal)*CRONO!$E25,0),W24*$R23),SUMIF(OFFSET($R25,1,0,$Q23-2),($L23+1)&amp;"$",OFFSET(W25,1,0,$Q23-2)))</f>
        <v>0</v>
      </c>
      <c r="X25" s="223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$290,"="&amp;CRONO!X$12,CÁLCULO!$AB$15:$AL$290)/(ORÇAMENTO!$X$15-CÁLCULO.TotalAdmLocal)*CRONO!$E25,0),X24*$R23),SUMIF(OFFSET($R25,1,0,$Q23-2),($L23+1)&amp;"$",OFFSET(X25,1,0,$Q23-2)))</f>
        <v>0</v>
      </c>
      <c r="Y25" s="223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$290,"="&amp;CRONO!Y$12,CÁLCULO!$AB$15:$AL$290)/(ORÇAMENTO!$X$15-CÁLCULO.TotalAdmLocal)*CRONO!$E25,0),Y24*$R23),SUMIF(OFFSET($R25,1,0,$Q23-2),($L23+1)&amp;"$",OFFSET(Y25,1,0,$Q23-2)))</f>
        <v>0</v>
      </c>
      <c r="Z25" s="223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$290,"="&amp;CRONO!Z$12,CÁLCULO!$AB$15:$AL$290)/(ORÇAMENTO!$X$15-CÁLCULO.TotalAdmLocal)*CRONO!$E25,0),Z24*$R23),SUMIF(OFFSET($R25,1,0,$Q23-2),($L23+1)&amp;"$",OFFSET(Z25,1,0,$Q23-2)))</f>
        <v>0</v>
      </c>
      <c r="AA25" s="223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$290,"="&amp;CRONO!AA$12,CÁLCULO!$AB$15:$AL$290)/(ORÇAMENTO!$X$15-CÁLCULO.TotalAdmLocal)*CRONO!$E25,0),AA24*$R23),SUMIF(OFFSET($R25,1,0,$Q23-2),($L23+1)&amp;"$",OFFSET(AA25,1,0,$Q23-2)))</f>
        <v>0</v>
      </c>
      <c r="AB25" s="223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$290,"="&amp;CRONO!AB$12,CÁLCULO!$AB$15:$AL$290)/(ORÇAMENTO!$X$15-CÁLCULO.TotalAdmLocal)*CRONO!$E25,0),AB24*$R23),SUMIF(OFFSET($R25,1,0,$Q23-2),($L23+1)&amp;"$",OFFSET(AB25,1,0,$Q23-2)))</f>
        <v>0</v>
      </c>
      <c r="AC25" s="223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$290,"="&amp;CRONO!AC$12,CÁLCULO!$AB$15:$AL$290)/(ORÇAMENTO!$X$15-CÁLCULO.TotalAdmLocal)*CRONO!$E25,0),AC24*$R23),SUMIF(OFFSET($R25,1,0,$Q23-2),($L23+1)&amp;"$",OFFSET(AC25,1,0,$Q23-2)))</f>
        <v>0</v>
      </c>
      <c r="AD25" s="223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$290,"="&amp;CRONO!AD$12,CÁLCULO!$AB$15:$AL$290)/(ORÇAMENTO!$X$15-CÁLCULO.TotalAdmLocal)*CRONO!$E25,0),AD24*$R23),SUMIF(OFFSET($R25,1,0,$Q23-2),($L23+1)&amp;"$",OFFSET(AD25,1,0,$Q23-2)))</f>
        <v>0</v>
      </c>
      <c r="AE25" s="228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$290,"="&amp;CRONO!AE$12,CÁLCULO!$AB$15:$AL$290)/(ORÇAMENTO!$X$15-CÁLCULO.TotalAdmLocal)*CRONO!$E25,0),AE24*$R23),SUMIF(OFFSET($R25,1,0,$Q23-2),($L23+1)&amp;"$",OFFSET(AE25,1,0,$Q23-2)))</f>
        <v>0</v>
      </c>
    </row>
    <row r="26" spans="1:32" x14ac:dyDescent="0.2">
      <c r="A26" s="204">
        <f t="shared" ref="A26" ca="1" si="31">OFFSET(A26,-3,0)+1</f>
        <v>5</v>
      </c>
      <c r="B26" s="204">
        <f ca="1">IF($Q26&lt;&gt;2,0,IF($R26=0,1,IF(E27&gt;0,OFFSET(QCI!$M$13,SUBSTITUTE(E27,".",""),0),OFFSET(ORÇAMENTO!$AA$15,CRONO!$E26,0))/$R26))</f>
        <v>1</v>
      </c>
      <c r="C26" s="204">
        <f ca="1">IF($Q26&lt;&gt;2,0,IF($R26=0,1,IF(E27&gt;0,OFFSET(QCI!$N$13,SUBSTITUTE(E27,".",""),0),OFFSET(ORÇAMENTO!$AB$15,CRONO!$E26,0))/$R26))</f>
        <v>0</v>
      </c>
      <c r="D26" s="207">
        <f ca="1">IF(AND($Q26=2,ACOMPANHAMENTO="BM"),D27,D28/$R26)</f>
        <v>0</v>
      </c>
      <c r="E26" s="204">
        <f ca="1">IF(A26&lt;=ORÇAMENTO.MáximoListaCrono,MATCH(A26,ORÇAMENTO.ListaCrono,0),NA())</f>
        <v>27</v>
      </c>
      <c r="F26" s="204" t="str">
        <f t="shared" ref="F26" ca="1" si="32">IF(AND($E27&lt;&gt;-1,$R26&gt;0),"F","")</f>
        <v>F</v>
      </c>
      <c r="G26" s="208">
        <f ca="1">IF(OR(R26=0,R26=""),"Linha",IF(AND(OR(ACOMPANHAMENTO="PLE",$Q26&lt;&gt;2),$E27=0),"Linha",1-SUM(T26:AF26)))</f>
        <v>0</v>
      </c>
      <c r="H26" s="209" t="str">
        <f ca="1">IF($E27=0,OFFSET(ORÇAMENTO!O$15,$E26,0),IF($E27&lt;&gt;-1,OFFSET(QCI!$D$13,$E27,0),""))</f>
        <v>1.3.1.</v>
      </c>
      <c r="I26" s="210" t="str">
        <f ca="1">IF($E27=0,OFFSET(ORÇAMENTO!R$15,$E26,0),IF($E27&lt;&gt;-1,OFFSET(QCI!$G$13,$E27,0),""))</f>
        <v>PADRÃO E MURETA</v>
      </c>
      <c r="J26" s="210"/>
      <c r="K26" s="210"/>
      <c r="L26" s="211">
        <f ca="1">IF($E27=0,OFFSET(ORÇAMENTO!C$15,$E26,0),1)</f>
        <v>3</v>
      </c>
      <c r="M26" s="212">
        <f ca="1">IF($E27=-1,0,IF(M$13&lt;=$L26,IF(ISERROR(MATCH(M$13,OFFSET($L26,1,0,ROW($L$116)-ROW($L26)-1),0)),ROW($L$116)-ROW($L26)-1,MATCH(M$13,OFFSET($L26,1,0,ROW($L$116)-ROW($L26)-1),0)-1),0))</f>
        <v>89</v>
      </c>
      <c r="N26" s="212">
        <f ca="1">IF($E27=-1,0,IF(N$13&lt;=$L26,IF(ISERROR(MATCH(N$13,OFFSET($L26,1,0,ROW($L$116)-ROW($L26)-1),0)),ROW($L$116)-ROW($L26)-1,MATCH(N$13,OFFSET($L26,1,0,ROW($L$116)-ROW($L26)-1),0)-1),0))</f>
        <v>5</v>
      </c>
      <c r="O26" s="212">
        <f ca="1">IF($E27=-1,0,IF(O$13&lt;=$L26,IF(ISERROR(MATCH(O$13,OFFSET($L26,1,0,ROW($L$116)-ROW($L26)-1),0)),ROW($L$116)-ROW($L26)-1,MATCH(O$13,OFFSET($L26,1,0,ROW($L$116)-ROW($L26)-1),0)-1),0))</f>
        <v>2</v>
      </c>
      <c r="P26" s="212">
        <f ca="1">IF($E27=-1,0,IF(P$13&lt;=$L26,IF(ISERROR(MATCH(P$13,OFFSET($L26,1,0,ROW($L$116)-ROW($L26)-1),0)),ROW($L$116)-ROW($L26)-1,MATCH(P$13,OFFSET($L26,1,0,ROW($L$116)-ROW($L26)-1),0)-1),0))</f>
        <v>0</v>
      </c>
      <c r="Q26" s="212">
        <f t="shared" ref="Q26" ca="1" si="33">MIN(OFFSET(L26,0,1,,L26))</f>
        <v>2</v>
      </c>
      <c r="R26" s="213">
        <f ca="1">IF($E27=0,OFFSET(ORÇAMENTO!X$15,$E26,0),IF($E27&lt;&gt;-1,OFFSET(QCI!$O$13,$E27,0),""))</f>
        <v>6059.15</v>
      </c>
      <c r="S26" s="214" t="s">
        <v>270</v>
      </c>
      <c r="T26" s="215">
        <f t="shared" ref="T26:AE26" ca="1" si="34">IF(AND($Q26=2,ACOMPANHAMENTO="BM"),T27,T28/$R26)</f>
        <v>0.5</v>
      </c>
      <c r="U26" s="207">
        <f t="shared" ca="1" si="34"/>
        <v>0.5</v>
      </c>
      <c r="V26" s="207">
        <f t="shared" ca="1" si="34"/>
        <v>0</v>
      </c>
      <c r="W26" s="207">
        <f t="shared" ca="1" si="34"/>
        <v>0</v>
      </c>
      <c r="X26" s="207">
        <f t="shared" ca="1" si="34"/>
        <v>0</v>
      </c>
      <c r="Y26" s="207">
        <f t="shared" ca="1" si="34"/>
        <v>0</v>
      </c>
      <c r="Z26" s="207">
        <f t="shared" ca="1" si="34"/>
        <v>0</v>
      </c>
      <c r="AA26" s="207">
        <f t="shared" ca="1" si="34"/>
        <v>0</v>
      </c>
      <c r="AB26" s="207">
        <f t="shared" ca="1" si="34"/>
        <v>0</v>
      </c>
      <c r="AC26" s="207">
        <f t="shared" ca="1" si="34"/>
        <v>0</v>
      </c>
      <c r="AD26" s="207">
        <f t="shared" ca="1" si="34"/>
        <v>0</v>
      </c>
      <c r="AE26" s="216">
        <f t="shared" ca="1" si="34"/>
        <v>0</v>
      </c>
    </row>
    <row r="27" spans="1:32" ht="12.75" customHeight="1" x14ac:dyDescent="0.2">
      <c r="D27" s="569"/>
      <c r="E27" s="204">
        <f ca="1">IF(ISERROR(E26),IF(1+COUNTIF($L$13:OFFSET(L26,-1,0),1)&lt;=MAX(QCI!$D$13:$D$24),1+COUNTIF($L$13:OFFSET(L26,-1,0),1),-1),0)</f>
        <v>0</v>
      </c>
      <c r="F27" s="204" t="str">
        <f t="shared" ref="F27" ca="1" si="35">IF(AND($E27&lt;&gt;-1,$R26&gt;0),"F","")</f>
        <v>F</v>
      </c>
      <c r="G27" s="217" t="str">
        <f ca="1">IF(OR(R26=0,R26=""),"vazia",IF(AND(OR(ACOMPANHAMENTO="PLE",$Q26&lt;&gt;2),$E27=0),"calculada","--&gt;"))</f>
        <v>--&gt;</v>
      </c>
      <c r="H27" s="218"/>
      <c r="I27" s="219" t="str">
        <f t="shared" ref="I27" ca="1" si="36">IF(AND(G26&lt;&gt;0,ISNUMBER(G26)),"PREENCHA ESTA LINHA --&gt;","")</f>
        <v/>
      </c>
      <c r="J27" s="219"/>
      <c r="K27" s="219"/>
      <c r="L27" s="220"/>
      <c r="M27" s="220"/>
      <c r="N27" s="220"/>
      <c r="O27" s="220"/>
      <c r="P27" s="220"/>
      <c r="Q27" s="220"/>
      <c r="R27" s="221"/>
      <c r="S27" s="222"/>
      <c r="T27" s="570">
        <v>0.5</v>
      </c>
      <c r="U27" s="569">
        <v>0.5</v>
      </c>
      <c r="V27" s="569"/>
      <c r="W27" s="569"/>
      <c r="X27" s="569"/>
      <c r="Y27" s="569"/>
      <c r="Z27" s="569"/>
      <c r="AA27" s="569"/>
      <c r="AB27" s="569"/>
      <c r="AC27" s="569"/>
      <c r="AD27" s="569"/>
      <c r="AE27" s="571"/>
      <c r="AF27" s="533"/>
    </row>
    <row r="28" spans="1:32" ht="0.2" hidden="1" customHeight="1" x14ac:dyDescent="0.2">
      <c r="D28" s="223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$290,"="&amp;CRONO!D$12,CÁLCULO!$AB$15:$AL$290)/(ORÇAMENTO!$X$15-CÁLCULO.TotalAdmLocal)*CRONO!$E28,0),D27*$R26),SUMIF(OFFSET($R28,1,0,$Q26-2),($L26+1)&amp;"$",OFFSET(D28,1,0,$Q26-2)))</f>
        <v>0</v>
      </c>
      <c r="E28" s="204" t="str">
        <f ca="1">IF(OR($Q26&lt;&gt;2,AUTOEVENTO&lt;&gt;"manual",$E27&gt;0),"",SUMIF(OFFSET(CÁLCULO!$M$15,CRONO!$E26,0,OFFSET(ORÇAMENTO!$D$15,CRONO!$E26,0)),1,OFFSET(ORÇAMENTO!$X$15,CRONO!$E26,0,OFFSET(ORÇAMENTO!$D$15,CRONO!$E26,0))))</f>
        <v/>
      </c>
      <c r="G28" s="224"/>
      <c r="R28" s="225" t="str">
        <f t="shared" ref="R28" ca="1" si="37">L26&amp;"$"</f>
        <v>3$</v>
      </c>
      <c r="S28" s="226"/>
      <c r="T28" s="227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$290,"&lt;="&amp;CRONO!T$12,CÁLCULO!$AB$15:$AL$290)/(ORÇAMENTO!$X$15-CÁLCULO.TotalAdmLocal)*CRONO!$E28,0),T27*$R26),SUMIF(OFFSET($R28,1,0,$Q26-2),($L26+1)&amp;"$",OFFSET(T28,1,0,$Q26-2)))</f>
        <v>3029.5749999999998</v>
      </c>
      <c r="U28" s="223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$290,"="&amp;CRONO!U$12,CÁLCULO!$AB$15:$AL$290)/(ORÇAMENTO!$X$15-CÁLCULO.TotalAdmLocal)*CRONO!$E28,0),U27*$R26),SUMIF(OFFSET($R28,1,0,$Q26-2),($L26+1)&amp;"$",OFFSET(U28,1,0,$Q26-2)))</f>
        <v>3029.5749999999998</v>
      </c>
      <c r="V28" s="223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$290,"="&amp;CRONO!V$12,CÁLCULO!$AB$15:$AL$290)/(ORÇAMENTO!$X$15-CÁLCULO.TotalAdmLocal)*CRONO!$E28,0),V27*$R26),SUMIF(OFFSET($R28,1,0,$Q26-2),($L26+1)&amp;"$",OFFSET(V28,1,0,$Q26-2)))</f>
        <v>0</v>
      </c>
      <c r="W28" s="223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$290,"="&amp;CRONO!W$12,CÁLCULO!$AB$15:$AL$290)/(ORÇAMENTO!$X$15-CÁLCULO.TotalAdmLocal)*CRONO!$E28,0),W27*$R26),SUMIF(OFFSET($R28,1,0,$Q26-2),($L26+1)&amp;"$",OFFSET(W28,1,0,$Q26-2)))</f>
        <v>0</v>
      </c>
      <c r="X28" s="223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$290,"="&amp;CRONO!X$12,CÁLCULO!$AB$15:$AL$290)/(ORÇAMENTO!$X$15-CÁLCULO.TotalAdmLocal)*CRONO!$E28,0),X27*$R26),SUMIF(OFFSET($R28,1,0,$Q26-2),($L26+1)&amp;"$",OFFSET(X28,1,0,$Q26-2)))</f>
        <v>0</v>
      </c>
      <c r="Y28" s="223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$290,"="&amp;CRONO!Y$12,CÁLCULO!$AB$15:$AL$290)/(ORÇAMENTO!$X$15-CÁLCULO.TotalAdmLocal)*CRONO!$E28,0),Y27*$R26),SUMIF(OFFSET($R28,1,0,$Q26-2),($L26+1)&amp;"$",OFFSET(Y28,1,0,$Q26-2)))</f>
        <v>0</v>
      </c>
      <c r="Z28" s="223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$290,"="&amp;CRONO!Z$12,CÁLCULO!$AB$15:$AL$290)/(ORÇAMENTO!$X$15-CÁLCULO.TotalAdmLocal)*CRONO!$E28,0),Z27*$R26),SUMIF(OFFSET($R28,1,0,$Q26-2),($L26+1)&amp;"$",OFFSET(Z28,1,0,$Q26-2)))</f>
        <v>0</v>
      </c>
      <c r="AA28" s="223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$290,"="&amp;CRONO!AA$12,CÁLCULO!$AB$15:$AL$290)/(ORÇAMENTO!$X$15-CÁLCULO.TotalAdmLocal)*CRONO!$E28,0),AA27*$R26),SUMIF(OFFSET($R28,1,0,$Q26-2),($L26+1)&amp;"$",OFFSET(AA28,1,0,$Q26-2)))</f>
        <v>0</v>
      </c>
      <c r="AB28" s="223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$290,"="&amp;CRONO!AB$12,CÁLCULO!$AB$15:$AL$290)/(ORÇAMENTO!$X$15-CÁLCULO.TotalAdmLocal)*CRONO!$E28,0),AB27*$R26),SUMIF(OFFSET($R28,1,0,$Q26-2),($L26+1)&amp;"$",OFFSET(AB28,1,0,$Q26-2)))</f>
        <v>0</v>
      </c>
      <c r="AC28" s="223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$290,"="&amp;CRONO!AC$12,CÁLCULO!$AB$15:$AL$290)/(ORÇAMENTO!$X$15-CÁLCULO.TotalAdmLocal)*CRONO!$E28,0),AC27*$R26),SUMIF(OFFSET($R28,1,0,$Q26-2),($L26+1)&amp;"$",OFFSET(AC28,1,0,$Q26-2)))</f>
        <v>0</v>
      </c>
      <c r="AD28" s="223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$290,"="&amp;CRONO!AD$12,CÁLCULO!$AB$15:$AL$290)/(ORÇAMENTO!$X$15-CÁLCULO.TotalAdmLocal)*CRONO!$E28,0),AD27*$R26),SUMIF(OFFSET($R28,1,0,$Q26-2),($L26+1)&amp;"$",OFFSET(AD28,1,0,$Q26-2)))</f>
        <v>0</v>
      </c>
      <c r="AE28" s="228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$290,"="&amp;CRONO!AE$12,CÁLCULO!$AB$15:$AL$290)/(ORÇAMENTO!$X$15-CÁLCULO.TotalAdmLocal)*CRONO!$E28,0),AE27*$R26),SUMIF(OFFSET($R28,1,0,$Q26-2),($L26+1)&amp;"$",OFFSET(AE28,1,0,$Q26-2)))</f>
        <v>0</v>
      </c>
    </row>
    <row r="29" spans="1:32" x14ac:dyDescent="0.2">
      <c r="A29" s="204">
        <f t="shared" ref="A29" ca="1" si="38">OFFSET(A29,-3,0)+1</f>
        <v>6</v>
      </c>
      <c r="B29" s="204">
        <f ca="1">IF($Q29&lt;&gt;2,0,IF($R29=0,1,IF(E30&gt;0,OFFSET(QCI!$M$13,SUBSTITUTE(E30,".",""),0),OFFSET(ORÇAMENTO!$AA$15,CRONO!$E29,0))/$R29))</f>
        <v>1</v>
      </c>
      <c r="C29" s="204">
        <f ca="1">IF($Q29&lt;&gt;2,0,IF($R29=0,1,IF(E30&gt;0,OFFSET(QCI!$N$13,SUBSTITUTE(E30,".",""),0),OFFSET(ORÇAMENTO!$AB$15,CRONO!$E29,0))/$R29))</f>
        <v>0</v>
      </c>
      <c r="D29" s="207">
        <f ca="1">IF(AND($Q29=2,ACOMPANHAMENTO="BM"),D30,D31/$R29)</f>
        <v>0</v>
      </c>
      <c r="E29" s="204">
        <f ca="1">IF(A29&lt;=ORÇAMENTO.MáximoListaCrono,MATCH(A29,ORÇAMENTO.ListaCrono,0),NA())</f>
        <v>49</v>
      </c>
      <c r="F29" s="204" t="str">
        <f t="shared" ref="F29" ca="1" si="39">IF(AND($E30&lt;&gt;-1,$R29&gt;0),"F","")</f>
        <v>F</v>
      </c>
      <c r="G29" s="208">
        <f ca="1">IF(OR(R29=0,R29=""),"Linha",IF(AND(OR(ACOMPANHAMENTO="PLE",$Q29&lt;&gt;2),$E30=0),"Linha",1-SUM(T29:AF29)))</f>
        <v>0</v>
      </c>
      <c r="H29" s="209" t="str">
        <f ca="1">IF($E30=0,OFFSET(ORÇAMENTO!O$15,$E29,0),IF($E30&lt;&gt;-1,OFFSET(QCI!$D$13,$E30,0),""))</f>
        <v>1.3.2.</v>
      </c>
      <c r="I29" s="210" t="str">
        <f ca="1">IF($E30=0,OFFSET(ORÇAMENTO!R$15,$E29,0),IF($E30&lt;&gt;-1,OFFSET(QCI!$G$13,$E30,0),""))</f>
        <v>ATERRAMENTO</v>
      </c>
      <c r="J29" s="210"/>
      <c r="K29" s="210"/>
      <c r="L29" s="211">
        <f ca="1">IF($E30=0,OFFSET(ORÇAMENTO!C$15,$E29,0),1)</f>
        <v>3</v>
      </c>
      <c r="M29" s="212">
        <f ca="1">IF($E30=-1,0,IF(M$13&lt;=$L29,IF(ISERROR(MATCH(M$13,OFFSET($L29,1,0,ROW($L$116)-ROW($L29)-1),0)),ROW($L$116)-ROW($L29)-1,MATCH(M$13,OFFSET($L29,1,0,ROW($L$116)-ROW($L29)-1),0)-1),0))</f>
        <v>86</v>
      </c>
      <c r="N29" s="212">
        <f ca="1">IF($E30=-1,0,IF(N$13&lt;=$L29,IF(ISERROR(MATCH(N$13,OFFSET($L29,1,0,ROW($L$116)-ROW($L29)-1),0)),ROW($L$116)-ROW($L29)-1,MATCH(N$13,OFFSET($L29,1,0,ROW($L$116)-ROW($L29)-1),0)-1),0))</f>
        <v>2</v>
      </c>
      <c r="O29" s="212">
        <f ca="1">IF($E30=-1,0,IF(O$13&lt;=$L29,IF(ISERROR(MATCH(O$13,OFFSET($L29,1,0,ROW($L$116)-ROW($L29)-1),0)),ROW($L$116)-ROW($L29)-1,MATCH(O$13,OFFSET($L29,1,0,ROW($L$116)-ROW($L29)-1),0)-1),0))</f>
        <v>11</v>
      </c>
      <c r="P29" s="212">
        <f ca="1">IF($E30=-1,0,IF(P$13&lt;=$L29,IF(ISERROR(MATCH(P$13,OFFSET($L29,1,0,ROW($L$116)-ROW($L29)-1),0)),ROW($L$116)-ROW($L29)-1,MATCH(P$13,OFFSET($L29,1,0,ROW($L$116)-ROW($L29)-1),0)-1),0))</f>
        <v>0</v>
      </c>
      <c r="Q29" s="212">
        <f t="shared" ref="Q29" ca="1" si="40">MIN(OFFSET(L29,0,1,,L29))</f>
        <v>2</v>
      </c>
      <c r="R29" s="213">
        <f ca="1">IF($E30=0,OFFSET(ORÇAMENTO!X$15,$E29,0),IF($E30&lt;&gt;-1,OFFSET(QCI!$O$13,$E30,0),""))</f>
        <v>1783.62</v>
      </c>
      <c r="S29" s="214" t="s">
        <v>270</v>
      </c>
      <c r="T29" s="215">
        <f t="shared" ref="T29:AE29" ca="1" si="41">IF(AND($Q29=2,ACOMPANHAMENTO="BM"),T30,T31/$R29)</f>
        <v>0</v>
      </c>
      <c r="U29" s="207">
        <f t="shared" ca="1" si="41"/>
        <v>0.5</v>
      </c>
      <c r="V29" s="207">
        <f t="shared" ca="1" si="41"/>
        <v>0.5</v>
      </c>
      <c r="W29" s="207">
        <f t="shared" ca="1" si="41"/>
        <v>0</v>
      </c>
      <c r="X29" s="207">
        <f t="shared" ca="1" si="41"/>
        <v>0</v>
      </c>
      <c r="Y29" s="207">
        <f t="shared" ca="1" si="41"/>
        <v>0</v>
      </c>
      <c r="Z29" s="207">
        <f t="shared" ca="1" si="41"/>
        <v>0</v>
      </c>
      <c r="AA29" s="207">
        <f t="shared" ca="1" si="41"/>
        <v>0</v>
      </c>
      <c r="AB29" s="207">
        <f t="shared" ca="1" si="41"/>
        <v>0</v>
      </c>
      <c r="AC29" s="207">
        <f t="shared" ca="1" si="41"/>
        <v>0</v>
      </c>
      <c r="AD29" s="207">
        <f t="shared" ca="1" si="41"/>
        <v>0</v>
      </c>
      <c r="AE29" s="216">
        <f t="shared" ca="1" si="41"/>
        <v>0</v>
      </c>
    </row>
    <row r="30" spans="1:32" ht="12.75" customHeight="1" x14ac:dyDescent="0.2">
      <c r="D30" s="569"/>
      <c r="E30" s="204">
        <f ca="1">IF(ISERROR(E29),IF(1+COUNTIF($L$13:OFFSET(L29,-1,0),1)&lt;=MAX(QCI!$D$13:$D$24),1+COUNTIF($L$13:OFFSET(L29,-1,0),1),-1),0)</f>
        <v>0</v>
      </c>
      <c r="F30" s="204" t="str">
        <f t="shared" ref="F30" ca="1" si="42">IF(AND($E30&lt;&gt;-1,$R29&gt;0),"F","")</f>
        <v>F</v>
      </c>
      <c r="G30" s="217" t="str">
        <f ca="1">IF(OR(R29=0,R29=""),"vazia",IF(AND(OR(ACOMPANHAMENTO="PLE",$Q29&lt;&gt;2),$E30=0),"calculada","--&gt;"))</f>
        <v>--&gt;</v>
      </c>
      <c r="H30" s="218"/>
      <c r="I30" s="219" t="str">
        <f t="shared" ref="I30" ca="1" si="43">IF(AND(G29&lt;&gt;0,ISNUMBER(G29)),"PREENCHA ESTA LINHA --&gt;","")</f>
        <v/>
      </c>
      <c r="J30" s="219"/>
      <c r="K30" s="219"/>
      <c r="L30" s="220"/>
      <c r="M30" s="220"/>
      <c r="N30" s="220"/>
      <c r="O30" s="220"/>
      <c r="P30" s="220"/>
      <c r="Q30" s="220"/>
      <c r="R30" s="221"/>
      <c r="S30" s="222"/>
      <c r="T30" s="570"/>
      <c r="U30" s="569">
        <v>0.5</v>
      </c>
      <c r="V30" s="569">
        <v>0.5</v>
      </c>
      <c r="W30" s="569"/>
      <c r="X30" s="569"/>
      <c r="Y30" s="569"/>
      <c r="Z30" s="569"/>
      <c r="AA30" s="569"/>
      <c r="AB30" s="569"/>
      <c r="AC30" s="569"/>
      <c r="AD30" s="569"/>
      <c r="AE30" s="571"/>
      <c r="AF30" s="533"/>
    </row>
    <row r="31" spans="1:32" ht="0.2" hidden="1" customHeight="1" x14ac:dyDescent="0.2">
      <c r="D31" s="223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$290,"="&amp;CRONO!D$12,CÁLCULO!$AB$15:$AL$290)/(ORÇAMENTO!$X$15-CÁLCULO.TotalAdmLocal)*CRONO!$E31,0),D30*$R29),SUMIF(OFFSET($R31,1,0,$Q29-2),($L29+1)&amp;"$",OFFSET(D31,1,0,$Q29-2)))</f>
        <v>0</v>
      </c>
      <c r="E31" s="204" t="str">
        <f ca="1">IF(OR($Q29&lt;&gt;2,AUTOEVENTO&lt;&gt;"manual",$E30&gt;0),"",SUMIF(OFFSET(CÁLCULO!$M$15,CRONO!$E29,0,OFFSET(ORÇAMENTO!$D$15,CRONO!$E29,0)),1,OFFSET(ORÇAMENTO!$X$15,CRONO!$E29,0,OFFSET(ORÇAMENTO!$D$15,CRONO!$E29,0))))</f>
        <v/>
      </c>
      <c r="G31" s="224"/>
      <c r="R31" s="225" t="str">
        <f t="shared" ref="R31" ca="1" si="44">L29&amp;"$"</f>
        <v>3$</v>
      </c>
      <c r="S31" s="226"/>
      <c r="T31" s="227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$290,"&lt;="&amp;CRONO!T$12,CÁLCULO!$AB$15:$AL$290)/(ORÇAMENTO!$X$15-CÁLCULO.TotalAdmLocal)*CRONO!$E31,0),T30*$R29),SUMIF(OFFSET($R31,1,0,$Q29-2),($L29+1)&amp;"$",OFFSET(T31,1,0,$Q29-2)))</f>
        <v>0</v>
      </c>
      <c r="U31" s="223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$290,"="&amp;CRONO!U$12,CÁLCULO!$AB$15:$AL$290)/(ORÇAMENTO!$X$15-CÁLCULO.TotalAdmLocal)*CRONO!$E31,0),U30*$R29),SUMIF(OFFSET($R31,1,0,$Q29-2),($L29+1)&amp;"$",OFFSET(U31,1,0,$Q29-2)))</f>
        <v>891.81</v>
      </c>
      <c r="V31" s="223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$290,"="&amp;CRONO!V$12,CÁLCULO!$AB$15:$AL$290)/(ORÇAMENTO!$X$15-CÁLCULO.TotalAdmLocal)*CRONO!$E31,0),V30*$R29),SUMIF(OFFSET($R31,1,0,$Q29-2),($L29+1)&amp;"$",OFFSET(V31,1,0,$Q29-2)))</f>
        <v>891.81</v>
      </c>
      <c r="W31" s="223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$290,"="&amp;CRONO!W$12,CÁLCULO!$AB$15:$AL$290)/(ORÇAMENTO!$X$15-CÁLCULO.TotalAdmLocal)*CRONO!$E31,0),W30*$R29),SUMIF(OFFSET($R31,1,0,$Q29-2),($L29+1)&amp;"$",OFFSET(W31,1,0,$Q29-2)))</f>
        <v>0</v>
      </c>
      <c r="X31" s="223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$290,"="&amp;CRONO!X$12,CÁLCULO!$AB$15:$AL$290)/(ORÇAMENTO!$X$15-CÁLCULO.TotalAdmLocal)*CRONO!$E31,0),X30*$R29),SUMIF(OFFSET($R31,1,0,$Q29-2),($L29+1)&amp;"$",OFFSET(X31,1,0,$Q29-2)))</f>
        <v>0</v>
      </c>
      <c r="Y31" s="223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$290,"="&amp;CRONO!Y$12,CÁLCULO!$AB$15:$AL$290)/(ORÇAMENTO!$X$15-CÁLCULO.TotalAdmLocal)*CRONO!$E31,0),Y30*$R29),SUMIF(OFFSET($R31,1,0,$Q29-2),($L29+1)&amp;"$",OFFSET(Y31,1,0,$Q29-2)))</f>
        <v>0</v>
      </c>
      <c r="Z31" s="223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$290,"="&amp;CRONO!Z$12,CÁLCULO!$AB$15:$AL$290)/(ORÇAMENTO!$X$15-CÁLCULO.TotalAdmLocal)*CRONO!$E31,0),Z30*$R29),SUMIF(OFFSET($R31,1,0,$Q29-2),($L29+1)&amp;"$",OFFSET(Z31,1,0,$Q29-2)))</f>
        <v>0</v>
      </c>
      <c r="AA31" s="223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$290,"="&amp;CRONO!AA$12,CÁLCULO!$AB$15:$AL$290)/(ORÇAMENTO!$X$15-CÁLCULO.TotalAdmLocal)*CRONO!$E31,0),AA30*$R29),SUMIF(OFFSET($R31,1,0,$Q29-2),($L29+1)&amp;"$",OFFSET(AA31,1,0,$Q29-2)))</f>
        <v>0</v>
      </c>
      <c r="AB31" s="223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$290,"="&amp;CRONO!AB$12,CÁLCULO!$AB$15:$AL$290)/(ORÇAMENTO!$X$15-CÁLCULO.TotalAdmLocal)*CRONO!$E31,0),AB30*$R29),SUMIF(OFFSET($R31,1,0,$Q29-2),($L29+1)&amp;"$",OFFSET(AB31,1,0,$Q29-2)))</f>
        <v>0</v>
      </c>
      <c r="AC31" s="223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$290,"="&amp;CRONO!AC$12,CÁLCULO!$AB$15:$AL$290)/(ORÇAMENTO!$X$15-CÁLCULO.TotalAdmLocal)*CRONO!$E31,0),AC30*$R29),SUMIF(OFFSET($R31,1,0,$Q29-2),($L29+1)&amp;"$",OFFSET(AC31,1,0,$Q29-2)))</f>
        <v>0</v>
      </c>
      <c r="AD31" s="223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$290,"="&amp;CRONO!AD$12,CÁLCULO!$AB$15:$AL$290)/(ORÇAMENTO!$X$15-CÁLCULO.TotalAdmLocal)*CRONO!$E31,0),AD30*$R29),SUMIF(OFFSET($R31,1,0,$Q29-2),($L29+1)&amp;"$",OFFSET(AD31,1,0,$Q29-2)))</f>
        <v>0</v>
      </c>
      <c r="AE31" s="228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$290,"="&amp;CRONO!AE$12,CÁLCULO!$AB$15:$AL$290)/(ORÇAMENTO!$X$15-CÁLCULO.TotalAdmLocal)*CRONO!$E31,0),AE30*$R29),SUMIF(OFFSET($R31,1,0,$Q29-2),($L29+1)&amp;"$",OFFSET(AE31,1,0,$Q29-2)))</f>
        <v>0</v>
      </c>
    </row>
    <row r="32" spans="1:32" x14ac:dyDescent="0.2">
      <c r="A32" s="204">
        <f t="shared" ref="A32" ca="1" si="45">OFFSET(A32,-3,0)+1</f>
        <v>7</v>
      </c>
      <c r="B32" s="204">
        <f ca="1">IF($Q32&lt;&gt;2,0,IF($R32=0,1,IF(E33&gt;0,OFFSET(QCI!$M$13,SUBSTITUTE(E33,".",""),0),OFFSET(ORÇAMENTO!$AA$15,CRONO!$E32,0))/$R32))</f>
        <v>0.99999999999999967</v>
      </c>
      <c r="C32" s="204">
        <f ca="1">IF($Q32&lt;&gt;2,0,IF($R32=0,1,IF(E33&gt;0,OFFSET(QCI!$N$13,SUBSTITUTE(E33,".",""),0),OFFSET(ORÇAMENTO!$AB$15,CRONO!$E32,0))/$R32))</f>
        <v>0</v>
      </c>
      <c r="D32" s="207">
        <f ca="1">IF(AND($Q32=2,ACOMPANHAMENTO="BM"),D33,D34/$R32)</f>
        <v>0</v>
      </c>
      <c r="E32" s="204">
        <f ca="1">IF(A32&lt;=ORÇAMENTO.MáximoListaCrono,MATCH(A32,ORÇAMENTO.ListaCrono,0),NA())</f>
        <v>54</v>
      </c>
      <c r="F32" s="204" t="str">
        <f t="shared" ref="F32" ca="1" si="46">IF(AND($E33&lt;&gt;-1,$R32&gt;0),"F","")</f>
        <v>F</v>
      </c>
      <c r="G32" s="208">
        <f ca="1">IF(OR(R32=0,R32=""),"Linha",IF(AND(OR(ACOMPANHAMENTO="PLE",$Q32&lt;&gt;2),$E33=0),"Linha",1-SUM(T32:AF32)))</f>
        <v>0</v>
      </c>
      <c r="H32" s="209" t="str">
        <f ca="1">IF($E33=0,OFFSET(ORÇAMENTO!O$15,$E32,0),IF($E33&lt;&gt;-1,OFFSET(QCI!$D$13,$E33,0),""))</f>
        <v>1.4.</v>
      </c>
      <c r="I32" s="210" t="str">
        <f ca="1">IF($E33=0,OFFSET(ORÇAMENTO!R$15,$E32,0),IF($E33&lt;&gt;-1,OFFSET(QCI!$G$13,$E33,0),""))</f>
        <v>INSTALAÇÕES DE ILUMINAÇÃO COM POSTEAMENTO E LUMINÁRIAS 100W</v>
      </c>
      <c r="J32" s="210"/>
      <c r="K32" s="210"/>
      <c r="L32" s="211">
        <f ca="1">IF($E33=0,OFFSET(ORÇAMENTO!C$15,$E32,0),1)</f>
        <v>2</v>
      </c>
      <c r="M32" s="212">
        <f ca="1">IF($E33=-1,0,IF(M$13&lt;=$L32,IF(ISERROR(MATCH(M$13,OFFSET($L32,1,0,ROW($L$116)-ROW($L32)-1),0)),ROW($L$116)-ROW($L32)-1,MATCH(M$13,OFFSET($L32,1,0,ROW($L$116)-ROW($L32)-1),0)-1),0))</f>
        <v>83</v>
      </c>
      <c r="N32" s="212">
        <f ca="1">IF($E33=-1,0,IF(N$13&lt;=$L32,IF(ISERROR(MATCH(N$13,OFFSET($L32,1,0,ROW($L$116)-ROW($L32)-1),0)),ROW($L$116)-ROW($L32)-1,MATCH(N$13,OFFSET($L32,1,0,ROW($L$116)-ROW($L32)-1),0)-1),0))</f>
        <v>2</v>
      </c>
      <c r="O32" s="212">
        <f ca="1">IF($E33=-1,0,IF(O$13&lt;=$L32,IF(ISERROR(MATCH(O$13,OFFSET($L32,1,0,ROW($L$116)-ROW($L32)-1),0)),ROW($L$116)-ROW($L32)-1,MATCH(O$13,OFFSET($L32,1,0,ROW($L$116)-ROW($L32)-1),0)-1),0))</f>
        <v>0</v>
      </c>
      <c r="P32" s="212">
        <f ca="1">IF($E33=-1,0,IF(P$13&lt;=$L32,IF(ISERROR(MATCH(P$13,OFFSET($L32,1,0,ROW($L$116)-ROW($L32)-1),0)),ROW($L$116)-ROW($L32)-1,MATCH(P$13,OFFSET($L32,1,0,ROW($L$116)-ROW($L32)-1),0)-1),0))</f>
        <v>0</v>
      </c>
      <c r="Q32" s="212">
        <f t="shared" ref="Q32" ca="1" si="47">MIN(OFFSET(L32,0,1,,L32))</f>
        <v>2</v>
      </c>
      <c r="R32" s="213">
        <f ca="1">IF($E33=0,OFFSET(ORÇAMENTO!X$15,$E32,0),IF($E33&lt;&gt;-1,OFFSET(QCI!$O$13,$E33,0),""))</f>
        <v>50681.16</v>
      </c>
      <c r="S32" s="214" t="s">
        <v>270</v>
      </c>
      <c r="T32" s="215">
        <f t="shared" ref="T32:AE32" ca="1" si="48">IF(AND($Q32=2,ACOMPANHAMENTO="BM"),T33,T34/$R32)</f>
        <v>0</v>
      </c>
      <c r="U32" s="207">
        <f t="shared" ca="1" si="48"/>
        <v>0.25</v>
      </c>
      <c r="V32" s="207">
        <f t="shared" ca="1" si="48"/>
        <v>0.25</v>
      </c>
      <c r="W32" s="207">
        <f t="shared" ca="1" si="48"/>
        <v>0.25</v>
      </c>
      <c r="X32" s="207">
        <f t="shared" ca="1" si="48"/>
        <v>0.25</v>
      </c>
      <c r="Y32" s="207">
        <f t="shared" ca="1" si="48"/>
        <v>0</v>
      </c>
      <c r="Z32" s="207">
        <f t="shared" ca="1" si="48"/>
        <v>0</v>
      </c>
      <c r="AA32" s="207">
        <f t="shared" ca="1" si="48"/>
        <v>0</v>
      </c>
      <c r="AB32" s="207">
        <f t="shared" ca="1" si="48"/>
        <v>0</v>
      </c>
      <c r="AC32" s="207">
        <f t="shared" ca="1" si="48"/>
        <v>0</v>
      </c>
      <c r="AD32" s="207">
        <f t="shared" ca="1" si="48"/>
        <v>0</v>
      </c>
      <c r="AE32" s="216">
        <f t="shared" ca="1" si="48"/>
        <v>0</v>
      </c>
    </row>
    <row r="33" spans="1:32" ht="12.75" customHeight="1" x14ac:dyDescent="0.2">
      <c r="D33" s="569"/>
      <c r="E33" s="204">
        <f ca="1">IF(ISERROR(E32),IF(1+COUNTIF($L$13:OFFSET(L32,-1,0),1)&lt;=MAX(QCI!$D$13:$D$24),1+COUNTIF($L$13:OFFSET(L32,-1,0),1),-1),0)</f>
        <v>0</v>
      </c>
      <c r="F33" s="204" t="str">
        <f t="shared" ref="F33" ca="1" si="49">IF(AND($E33&lt;&gt;-1,$R32&gt;0),"F","")</f>
        <v>F</v>
      </c>
      <c r="G33" s="217" t="str">
        <f ca="1">IF(OR(R32=0,R32=""),"vazia",IF(AND(OR(ACOMPANHAMENTO="PLE",$Q32&lt;&gt;2),$E33=0),"calculada","--&gt;"))</f>
        <v>--&gt;</v>
      </c>
      <c r="H33" s="218"/>
      <c r="I33" s="219" t="str">
        <f t="shared" ref="I33" ca="1" si="50">IF(AND(G32&lt;&gt;0,ISNUMBER(G32)),"PREENCHA ESTA LINHA --&gt;","")</f>
        <v/>
      </c>
      <c r="J33" s="219"/>
      <c r="K33" s="219"/>
      <c r="L33" s="220"/>
      <c r="M33" s="220"/>
      <c r="N33" s="220"/>
      <c r="O33" s="220"/>
      <c r="P33" s="220"/>
      <c r="Q33" s="220"/>
      <c r="R33" s="221"/>
      <c r="S33" s="222"/>
      <c r="T33" s="570"/>
      <c r="U33" s="569">
        <v>0.25</v>
      </c>
      <c r="V33" s="569">
        <v>0.25</v>
      </c>
      <c r="W33" s="569">
        <v>0.25</v>
      </c>
      <c r="X33" s="569">
        <v>0.25</v>
      </c>
      <c r="Y33" s="569"/>
      <c r="Z33" s="569"/>
      <c r="AA33" s="569"/>
      <c r="AB33" s="569"/>
      <c r="AC33" s="569"/>
      <c r="AD33" s="569"/>
      <c r="AE33" s="571"/>
      <c r="AF33" s="533"/>
    </row>
    <row r="34" spans="1:32" ht="0.2" hidden="1" customHeight="1" x14ac:dyDescent="0.2">
      <c r="D34" s="223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$290,"="&amp;CRONO!D$12,CÁLCULO!$AB$15:$AL$290)/(ORÇAMENTO!$X$15-CÁLCULO.TotalAdmLocal)*CRONO!$E34,0),D33*$R32),SUMIF(OFFSET($R34,1,0,$Q32-2),($L32+1)&amp;"$",OFFSET(D34,1,0,$Q32-2)))</f>
        <v>0</v>
      </c>
      <c r="E34" s="204" t="str">
        <f ca="1">IF(OR($Q32&lt;&gt;2,AUTOEVENTO&lt;&gt;"manual",$E33&gt;0),"",SUMIF(OFFSET(CÁLCULO!$M$15,CRONO!$E32,0,OFFSET(ORÇAMENTO!$D$15,CRONO!$E32,0)),1,OFFSET(ORÇAMENTO!$X$15,CRONO!$E32,0,OFFSET(ORÇAMENTO!$D$15,CRONO!$E32,0))))</f>
        <v/>
      </c>
      <c r="G34" s="224"/>
      <c r="R34" s="225" t="str">
        <f t="shared" ref="R34" ca="1" si="51">L32&amp;"$"</f>
        <v>2$</v>
      </c>
      <c r="S34" s="226"/>
      <c r="T34" s="227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$290,"&lt;="&amp;CRONO!T$12,CÁLCULO!$AB$15:$AL$290)/(ORÇAMENTO!$X$15-CÁLCULO.TotalAdmLocal)*CRONO!$E34,0),T33*$R32),SUMIF(OFFSET($R34,1,0,$Q32-2),($L32+1)&amp;"$",OFFSET(T34,1,0,$Q32-2)))</f>
        <v>0</v>
      </c>
      <c r="U34" s="223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$290,"="&amp;CRONO!U$12,CÁLCULO!$AB$15:$AL$290)/(ORÇAMENTO!$X$15-CÁLCULO.TotalAdmLocal)*CRONO!$E34,0),U33*$R32),SUMIF(OFFSET($R34,1,0,$Q32-2),($L32+1)&amp;"$",OFFSET(U34,1,0,$Q32-2)))</f>
        <v>12670.29</v>
      </c>
      <c r="V34" s="223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$290,"="&amp;CRONO!V$12,CÁLCULO!$AB$15:$AL$290)/(ORÇAMENTO!$X$15-CÁLCULO.TotalAdmLocal)*CRONO!$E34,0),V33*$R32),SUMIF(OFFSET($R34,1,0,$Q32-2),($L32+1)&amp;"$",OFFSET(V34,1,0,$Q32-2)))</f>
        <v>12670.29</v>
      </c>
      <c r="W34" s="223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$290,"="&amp;CRONO!W$12,CÁLCULO!$AB$15:$AL$290)/(ORÇAMENTO!$X$15-CÁLCULO.TotalAdmLocal)*CRONO!$E34,0),W33*$R32),SUMIF(OFFSET($R34,1,0,$Q32-2),($L32+1)&amp;"$",OFFSET(W34,1,0,$Q32-2)))</f>
        <v>12670.29</v>
      </c>
      <c r="X34" s="223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$290,"="&amp;CRONO!X$12,CÁLCULO!$AB$15:$AL$290)/(ORÇAMENTO!$X$15-CÁLCULO.TotalAdmLocal)*CRONO!$E34,0),X33*$R32),SUMIF(OFFSET($R34,1,0,$Q32-2),($L32+1)&amp;"$",OFFSET(X34,1,0,$Q32-2)))</f>
        <v>12670.29</v>
      </c>
      <c r="Y34" s="223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$290,"="&amp;CRONO!Y$12,CÁLCULO!$AB$15:$AL$290)/(ORÇAMENTO!$X$15-CÁLCULO.TotalAdmLocal)*CRONO!$E34,0),Y33*$R32),SUMIF(OFFSET($R34,1,0,$Q32-2),($L32+1)&amp;"$",OFFSET(Y34,1,0,$Q32-2)))</f>
        <v>0</v>
      </c>
      <c r="Z34" s="223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$290,"="&amp;CRONO!Z$12,CÁLCULO!$AB$15:$AL$290)/(ORÇAMENTO!$X$15-CÁLCULO.TotalAdmLocal)*CRONO!$E34,0),Z33*$R32),SUMIF(OFFSET($R34,1,0,$Q32-2),($L32+1)&amp;"$",OFFSET(Z34,1,0,$Q32-2)))</f>
        <v>0</v>
      </c>
      <c r="AA34" s="223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$290,"="&amp;CRONO!AA$12,CÁLCULO!$AB$15:$AL$290)/(ORÇAMENTO!$X$15-CÁLCULO.TotalAdmLocal)*CRONO!$E34,0),AA33*$R32),SUMIF(OFFSET($R34,1,0,$Q32-2),($L32+1)&amp;"$",OFFSET(AA34,1,0,$Q32-2)))</f>
        <v>0</v>
      </c>
      <c r="AB34" s="223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$290,"="&amp;CRONO!AB$12,CÁLCULO!$AB$15:$AL$290)/(ORÇAMENTO!$X$15-CÁLCULO.TotalAdmLocal)*CRONO!$E34,0),AB33*$R32),SUMIF(OFFSET($R34,1,0,$Q32-2),($L32+1)&amp;"$",OFFSET(AB34,1,0,$Q32-2)))</f>
        <v>0</v>
      </c>
      <c r="AC34" s="223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$290,"="&amp;CRONO!AC$12,CÁLCULO!$AB$15:$AL$290)/(ORÇAMENTO!$X$15-CÁLCULO.TotalAdmLocal)*CRONO!$E34,0),AC33*$R32),SUMIF(OFFSET($R34,1,0,$Q32-2),($L32+1)&amp;"$",OFFSET(AC34,1,0,$Q32-2)))</f>
        <v>0</v>
      </c>
      <c r="AD34" s="223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$290,"="&amp;CRONO!AD$12,CÁLCULO!$AB$15:$AL$290)/(ORÇAMENTO!$X$15-CÁLCULO.TotalAdmLocal)*CRONO!$E34,0),AD33*$R32),SUMIF(OFFSET($R34,1,0,$Q32-2),($L32+1)&amp;"$",OFFSET(AD34,1,0,$Q32-2)))</f>
        <v>0</v>
      </c>
      <c r="AE34" s="228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$290,"="&amp;CRONO!AE$12,CÁLCULO!$AB$15:$AL$290)/(ORÇAMENTO!$X$15-CÁLCULO.TotalAdmLocal)*CRONO!$E34,0),AE33*$R32),SUMIF(OFFSET($R34,1,0,$Q32-2),($L32+1)&amp;"$",OFFSET(AE34,1,0,$Q32-2)))</f>
        <v>0</v>
      </c>
    </row>
    <row r="35" spans="1:32" x14ac:dyDescent="0.2">
      <c r="A35" s="204">
        <f t="shared" ref="A35" ca="1" si="52">OFFSET(A35,-3,0)+1</f>
        <v>8</v>
      </c>
      <c r="B35" s="204">
        <f ca="1">IF($Q35&lt;&gt;2,0,IF($R35=0,1,IF(E36&gt;0,OFFSET(QCI!$M$13,SUBSTITUTE(E36,".",""),0),OFFSET(ORÇAMENTO!$AA$15,CRONO!$E35,0))/$R35))</f>
        <v>1</v>
      </c>
      <c r="C35" s="204">
        <f ca="1">IF($Q35&lt;&gt;2,0,IF($R35=0,1,IF(E36&gt;0,OFFSET(QCI!$N$13,SUBSTITUTE(E36,".",""),0),OFFSET(ORÇAMENTO!$AB$15,CRONO!$E35,0))/$R35))</f>
        <v>0</v>
      </c>
      <c r="D35" s="207">
        <f ca="1">IF(AND($Q35=2,ACOMPANHAMENTO="BM"),D36,D37/$R35)</f>
        <v>0</v>
      </c>
      <c r="E35" s="204">
        <f ca="1">IF(A35&lt;=ORÇAMENTO.MáximoListaCrono,MATCH(A35,ORÇAMENTO.ListaCrono,0),NA())</f>
        <v>66</v>
      </c>
      <c r="F35" s="204" t="str">
        <f t="shared" ref="F35" ca="1" si="53">IF(AND($E36&lt;&gt;-1,$R35&gt;0),"F","")</f>
        <v>F</v>
      </c>
      <c r="G35" s="208">
        <f ca="1">IF(OR(R35=0,R35=""),"Linha",IF(AND(OR(ACOMPANHAMENTO="PLE",$Q35&lt;&gt;2),$E36=0),"Linha",1-SUM(T35:AF35)))</f>
        <v>0</v>
      </c>
      <c r="H35" s="209" t="str">
        <f ca="1">IF($E36=0,OFFSET(ORÇAMENTO!O$15,$E35,0),IF($E36&lt;&gt;-1,OFFSET(QCI!$D$13,$E36,0),""))</f>
        <v>1.5.</v>
      </c>
      <c r="I35" s="210" t="str">
        <f ca="1">IF($E36=0,OFFSET(ORÇAMENTO!R$15,$E35,0),IF($E36&lt;&gt;-1,OFFSET(QCI!$G$13,$E36,0),""))</f>
        <v>MONITORAMENTO EXTERNO, REDE SUBTERRÂNEA (ENTERRADA)</v>
      </c>
      <c r="J35" s="210"/>
      <c r="K35" s="210"/>
      <c r="L35" s="211">
        <f ca="1">IF($E36=0,OFFSET(ORÇAMENTO!C$15,$E35,0),1)</f>
        <v>2</v>
      </c>
      <c r="M35" s="212">
        <f ca="1">IF($E36=-1,0,IF(M$13&lt;=$L35,IF(ISERROR(MATCH(M$13,OFFSET($L35,1,0,ROW($L$116)-ROW($L35)-1),0)),ROW($L$116)-ROW($L35)-1,MATCH(M$13,OFFSET($L35,1,0,ROW($L$116)-ROW($L35)-1),0)-1),0))</f>
        <v>80</v>
      </c>
      <c r="N35" s="212">
        <f ca="1">IF($E36=-1,0,IF(N$13&lt;=$L35,IF(ISERROR(MATCH(N$13,OFFSET($L35,1,0,ROW($L$116)-ROW($L35)-1),0)),ROW($L$116)-ROW($L35)-1,MATCH(N$13,OFFSET($L35,1,0,ROW($L$116)-ROW($L35)-1),0)-1),0))</f>
        <v>2</v>
      </c>
      <c r="O35" s="212">
        <f ca="1">IF($E36=-1,0,IF(O$13&lt;=$L35,IF(ISERROR(MATCH(O$13,OFFSET($L35,1,0,ROW($L$116)-ROW($L35)-1),0)),ROW($L$116)-ROW($L35)-1,MATCH(O$13,OFFSET($L35,1,0,ROW($L$116)-ROW($L35)-1),0)-1),0))</f>
        <v>0</v>
      </c>
      <c r="P35" s="212">
        <f ca="1">IF($E36=-1,0,IF(P$13&lt;=$L35,IF(ISERROR(MATCH(P$13,OFFSET($L35,1,0,ROW($L$116)-ROW($L35)-1),0)),ROW($L$116)-ROW($L35)-1,MATCH(P$13,OFFSET($L35,1,0,ROW($L$116)-ROW($L35)-1),0)-1),0))</f>
        <v>0</v>
      </c>
      <c r="Q35" s="212">
        <f t="shared" ref="Q35" ca="1" si="54">MIN(OFFSET(L35,0,1,,L35))</f>
        <v>2</v>
      </c>
      <c r="R35" s="213">
        <f ca="1">IF($E36=0,OFFSET(ORÇAMENTO!X$15,$E35,0),IF($E36&lt;&gt;-1,OFFSET(QCI!$O$13,$E36,0),""))</f>
        <v>2973.27</v>
      </c>
      <c r="S35" s="214" t="s">
        <v>270</v>
      </c>
      <c r="T35" s="215">
        <f t="shared" ref="T35:AE35" ca="1" si="55">IF(AND($Q35=2,ACOMPANHAMENTO="BM"),T36,T37/$R35)</f>
        <v>0</v>
      </c>
      <c r="U35" s="207">
        <f t="shared" ca="1" si="55"/>
        <v>0</v>
      </c>
      <c r="V35" s="207">
        <f t="shared" ca="1" si="55"/>
        <v>0.5</v>
      </c>
      <c r="W35" s="207">
        <f t="shared" ca="1" si="55"/>
        <v>0.5</v>
      </c>
      <c r="X35" s="207">
        <f t="shared" ca="1" si="55"/>
        <v>0</v>
      </c>
      <c r="Y35" s="207">
        <f t="shared" ca="1" si="55"/>
        <v>0</v>
      </c>
      <c r="Z35" s="207">
        <f t="shared" ca="1" si="55"/>
        <v>0</v>
      </c>
      <c r="AA35" s="207">
        <f t="shared" ca="1" si="55"/>
        <v>0</v>
      </c>
      <c r="AB35" s="207">
        <f t="shared" ca="1" si="55"/>
        <v>0</v>
      </c>
      <c r="AC35" s="207">
        <f t="shared" ca="1" si="55"/>
        <v>0</v>
      </c>
      <c r="AD35" s="207">
        <f t="shared" ca="1" si="55"/>
        <v>0</v>
      </c>
      <c r="AE35" s="216">
        <f t="shared" ca="1" si="55"/>
        <v>0</v>
      </c>
    </row>
    <row r="36" spans="1:32" ht="12.75" customHeight="1" x14ac:dyDescent="0.2">
      <c r="D36" s="569"/>
      <c r="E36" s="204">
        <f ca="1">IF(ISERROR(E35),IF(1+COUNTIF($L$13:OFFSET(L35,-1,0),1)&lt;=MAX(QCI!$D$13:$D$24),1+COUNTIF($L$13:OFFSET(L35,-1,0),1),-1),0)</f>
        <v>0</v>
      </c>
      <c r="F36" s="204" t="str">
        <f t="shared" ref="F36" ca="1" si="56">IF(AND($E36&lt;&gt;-1,$R35&gt;0),"F","")</f>
        <v>F</v>
      </c>
      <c r="G36" s="217" t="str">
        <f ca="1">IF(OR(R35=0,R35=""),"vazia",IF(AND(OR(ACOMPANHAMENTO="PLE",$Q35&lt;&gt;2),$E36=0),"calculada","--&gt;"))</f>
        <v>--&gt;</v>
      </c>
      <c r="H36" s="218"/>
      <c r="I36" s="219" t="str">
        <f t="shared" ref="I36" ca="1" si="57">IF(AND(G35&lt;&gt;0,ISNUMBER(G35)),"PREENCHA ESTA LINHA --&gt;","")</f>
        <v/>
      </c>
      <c r="J36" s="219"/>
      <c r="K36" s="219"/>
      <c r="L36" s="220"/>
      <c r="M36" s="220"/>
      <c r="N36" s="220"/>
      <c r="O36" s="220"/>
      <c r="P36" s="220"/>
      <c r="Q36" s="220"/>
      <c r="R36" s="221"/>
      <c r="S36" s="222"/>
      <c r="T36" s="570"/>
      <c r="U36" s="569"/>
      <c r="V36" s="569">
        <v>0.5</v>
      </c>
      <c r="W36" s="569">
        <v>0.5</v>
      </c>
      <c r="X36" s="569"/>
      <c r="Y36" s="569"/>
      <c r="Z36" s="569"/>
      <c r="AA36" s="569"/>
      <c r="AB36" s="569"/>
      <c r="AC36" s="569"/>
      <c r="AD36" s="569"/>
      <c r="AE36" s="571"/>
      <c r="AF36" s="533"/>
    </row>
    <row r="37" spans="1:32" ht="0.2" hidden="1" customHeight="1" x14ac:dyDescent="0.2">
      <c r="D37" s="223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$290,"="&amp;CRONO!D$12,CÁLCULO!$AB$15:$AL$290)/(ORÇAMENTO!$X$15-CÁLCULO.TotalAdmLocal)*CRONO!$E37,0),D36*$R35),SUMIF(OFFSET($R37,1,0,$Q35-2),($L35+1)&amp;"$",OFFSET(D37,1,0,$Q35-2)))</f>
        <v>0</v>
      </c>
      <c r="E37" s="204" t="str">
        <f ca="1">IF(OR($Q35&lt;&gt;2,AUTOEVENTO&lt;&gt;"manual",$E36&gt;0),"",SUMIF(OFFSET(CÁLCULO!$M$15,CRONO!$E35,0,OFFSET(ORÇAMENTO!$D$15,CRONO!$E35,0)),1,OFFSET(ORÇAMENTO!$X$15,CRONO!$E35,0,OFFSET(ORÇAMENTO!$D$15,CRONO!$E35,0))))</f>
        <v/>
      </c>
      <c r="G37" s="224"/>
      <c r="R37" s="225" t="str">
        <f t="shared" ref="R37" ca="1" si="58">L35&amp;"$"</f>
        <v>2$</v>
      </c>
      <c r="S37" s="226"/>
      <c r="T37" s="227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$290,"&lt;="&amp;CRONO!T$12,CÁLCULO!$AB$15:$AL$290)/(ORÇAMENTO!$X$15-CÁLCULO.TotalAdmLocal)*CRONO!$E37,0),T36*$R35),SUMIF(OFFSET($R37,1,0,$Q35-2),($L35+1)&amp;"$",OFFSET(T37,1,0,$Q35-2)))</f>
        <v>0</v>
      </c>
      <c r="U37" s="223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$290,"="&amp;CRONO!U$12,CÁLCULO!$AB$15:$AL$290)/(ORÇAMENTO!$X$15-CÁLCULO.TotalAdmLocal)*CRONO!$E37,0),U36*$R35),SUMIF(OFFSET($R37,1,0,$Q35-2),($L35+1)&amp;"$",OFFSET(U37,1,0,$Q35-2)))</f>
        <v>0</v>
      </c>
      <c r="V37" s="223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$290,"="&amp;CRONO!V$12,CÁLCULO!$AB$15:$AL$290)/(ORÇAMENTO!$X$15-CÁLCULO.TotalAdmLocal)*CRONO!$E37,0),V36*$R35),SUMIF(OFFSET($R37,1,0,$Q35-2),($L35+1)&amp;"$",OFFSET(V37,1,0,$Q35-2)))</f>
        <v>1486.635</v>
      </c>
      <c r="W37" s="223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$290,"="&amp;CRONO!W$12,CÁLCULO!$AB$15:$AL$290)/(ORÇAMENTO!$X$15-CÁLCULO.TotalAdmLocal)*CRONO!$E37,0),W36*$R35),SUMIF(OFFSET($R37,1,0,$Q35-2),($L35+1)&amp;"$",OFFSET(W37,1,0,$Q35-2)))</f>
        <v>1486.635</v>
      </c>
      <c r="X37" s="223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$290,"="&amp;CRONO!X$12,CÁLCULO!$AB$15:$AL$290)/(ORÇAMENTO!$X$15-CÁLCULO.TotalAdmLocal)*CRONO!$E37,0),X36*$R35),SUMIF(OFFSET($R37,1,0,$Q35-2),($L35+1)&amp;"$",OFFSET(X37,1,0,$Q35-2)))</f>
        <v>0</v>
      </c>
      <c r="Y37" s="223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$290,"="&amp;CRONO!Y$12,CÁLCULO!$AB$15:$AL$290)/(ORÇAMENTO!$X$15-CÁLCULO.TotalAdmLocal)*CRONO!$E37,0),Y36*$R35),SUMIF(OFFSET($R37,1,0,$Q35-2),($L35+1)&amp;"$",OFFSET(Y37,1,0,$Q35-2)))</f>
        <v>0</v>
      </c>
      <c r="Z37" s="223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$290,"="&amp;CRONO!Z$12,CÁLCULO!$AB$15:$AL$290)/(ORÇAMENTO!$X$15-CÁLCULO.TotalAdmLocal)*CRONO!$E37,0),Z36*$R35),SUMIF(OFFSET($R37,1,0,$Q35-2),($L35+1)&amp;"$",OFFSET(Z37,1,0,$Q35-2)))</f>
        <v>0</v>
      </c>
      <c r="AA37" s="223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$290,"="&amp;CRONO!AA$12,CÁLCULO!$AB$15:$AL$290)/(ORÇAMENTO!$X$15-CÁLCULO.TotalAdmLocal)*CRONO!$E37,0),AA36*$R35),SUMIF(OFFSET($R37,1,0,$Q35-2),($L35+1)&amp;"$",OFFSET(AA37,1,0,$Q35-2)))</f>
        <v>0</v>
      </c>
      <c r="AB37" s="223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$290,"="&amp;CRONO!AB$12,CÁLCULO!$AB$15:$AL$290)/(ORÇAMENTO!$X$15-CÁLCULO.TotalAdmLocal)*CRONO!$E37,0),AB36*$R35),SUMIF(OFFSET($R37,1,0,$Q35-2),($L35+1)&amp;"$",OFFSET(AB37,1,0,$Q35-2)))</f>
        <v>0</v>
      </c>
      <c r="AC37" s="223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$290,"="&amp;CRONO!AC$12,CÁLCULO!$AB$15:$AL$290)/(ORÇAMENTO!$X$15-CÁLCULO.TotalAdmLocal)*CRONO!$E37,0),AC36*$R35),SUMIF(OFFSET($R37,1,0,$Q35-2),($L35+1)&amp;"$",OFFSET(AC37,1,0,$Q35-2)))</f>
        <v>0</v>
      </c>
      <c r="AD37" s="223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$290,"="&amp;CRONO!AD$12,CÁLCULO!$AB$15:$AL$290)/(ORÇAMENTO!$X$15-CÁLCULO.TotalAdmLocal)*CRONO!$E37,0),AD36*$R35),SUMIF(OFFSET($R37,1,0,$Q35-2),($L35+1)&amp;"$",OFFSET(AD37,1,0,$Q35-2)))</f>
        <v>0</v>
      </c>
      <c r="AE37" s="228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$290,"="&amp;CRONO!AE$12,CÁLCULO!$AB$15:$AL$290)/(ORÇAMENTO!$X$15-CÁLCULO.TotalAdmLocal)*CRONO!$E37,0),AE36*$R35),SUMIF(OFFSET($R37,1,0,$Q35-2),($L35+1)&amp;"$",OFFSET(AE37,1,0,$Q35-2)))</f>
        <v>0</v>
      </c>
    </row>
    <row r="38" spans="1:32" x14ac:dyDescent="0.2">
      <c r="A38" s="204">
        <f t="shared" ref="A38" ca="1" si="59">OFFSET(A38,-3,0)+1</f>
        <v>9</v>
      </c>
      <c r="B38" s="204">
        <f ca="1">IF($Q38&lt;&gt;2,0,IF($R38=0,1,IF(E39&gt;0,OFFSET(QCI!$M$13,SUBSTITUTE(E39,".",""),0),OFFSET(ORÇAMENTO!$AA$15,CRONO!$E38,0))/$R38))</f>
        <v>0</v>
      </c>
      <c r="C38" s="204">
        <f ca="1">IF($Q38&lt;&gt;2,0,IF($R38=0,1,IF(E39&gt;0,OFFSET(QCI!$N$13,SUBSTITUTE(E39,".",""),0),OFFSET(ORÇAMENTO!$AB$15,CRONO!$E38,0))/$R38))</f>
        <v>0</v>
      </c>
      <c r="D38" s="207">
        <f ca="1">IF(AND($Q38=2,ACOMPANHAMENTO="BM"),D39,D40/$R38)</f>
        <v>0</v>
      </c>
      <c r="E38" s="204">
        <f ca="1">IF(A38&lt;=ORÇAMENTO.MáximoListaCrono,MATCH(A38,ORÇAMENTO.ListaCrono,0),NA())</f>
        <v>71</v>
      </c>
      <c r="F38" s="204" t="str">
        <f t="shared" ref="F38" ca="1" si="60">IF(AND($E39&lt;&gt;-1,$R38&gt;0),"F","")</f>
        <v>F</v>
      </c>
      <c r="G38" s="208" t="str">
        <f ca="1">IF(OR(R38=0,R38=""),"Linha",IF(AND(OR(ACOMPANHAMENTO="PLE",$Q38&lt;&gt;2),$E39=0),"Linha",1-SUM(T38:AF38)))</f>
        <v>Linha</v>
      </c>
      <c r="H38" s="209" t="str">
        <f ca="1">IF($E39=0,OFFSET(ORÇAMENTO!O$15,$E38,0),IF($E39&lt;&gt;-1,OFFSET(QCI!$D$13,$E39,0),""))</f>
        <v>1.6.</v>
      </c>
      <c r="I38" s="210" t="str">
        <f ca="1">IF($E39=0,OFFSET(ORÇAMENTO!R$15,$E38,0),IF($E39&lt;&gt;-1,OFFSET(QCI!$G$13,$E39,0),""))</f>
        <v>SANITÁRIO PÚBLICO ACESSÍVEL</v>
      </c>
      <c r="J38" s="210"/>
      <c r="K38" s="210"/>
      <c r="L38" s="211">
        <f ca="1">IF($E39=0,OFFSET(ORÇAMENTO!C$15,$E38,0),1)</f>
        <v>2</v>
      </c>
      <c r="M38" s="212">
        <f ca="1">IF($E39=-1,0,IF(M$13&lt;=$L38,IF(ISERROR(MATCH(M$13,OFFSET($L38,1,0,ROW($L$116)-ROW($L38)-1),0)),ROW($L$116)-ROW($L38)-1,MATCH(M$13,OFFSET($L38,1,0,ROW($L$116)-ROW($L38)-1),0)-1),0))</f>
        <v>77</v>
      </c>
      <c r="N38" s="212">
        <f ca="1">IF($E39=-1,0,IF(N$13&lt;=$L38,IF(ISERROR(MATCH(N$13,OFFSET($L38,1,0,ROW($L$116)-ROW($L38)-1),0)),ROW($L$116)-ROW($L38)-1,MATCH(N$13,OFFSET($L38,1,0,ROW($L$116)-ROW($L38)-1),0)-1),0))</f>
        <v>56</v>
      </c>
      <c r="O38" s="212">
        <f ca="1">IF($E39=-1,0,IF(O$13&lt;=$L38,IF(ISERROR(MATCH(O$13,OFFSET($L38,1,0,ROW($L$116)-ROW($L38)-1),0)),ROW($L$116)-ROW($L38)-1,MATCH(O$13,OFFSET($L38,1,0,ROW($L$116)-ROW($L38)-1),0)-1),0))</f>
        <v>0</v>
      </c>
      <c r="P38" s="212">
        <f ca="1">IF($E39=-1,0,IF(P$13&lt;=$L38,IF(ISERROR(MATCH(P$13,OFFSET($L38,1,0,ROW($L$116)-ROW($L38)-1),0)),ROW($L$116)-ROW($L38)-1,MATCH(P$13,OFFSET($L38,1,0,ROW($L$116)-ROW($L38)-1),0)-1),0))</f>
        <v>0</v>
      </c>
      <c r="Q38" s="212">
        <f t="shared" ref="Q38" ca="1" si="61">MIN(OFFSET(L38,0,1,,L38))</f>
        <v>56</v>
      </c>
      <c r="R38" s="213">
        <f ca="1">IF($E39=0,OFFSET(ORÇAMENTO!X$15,$E38,0),IF($E39&lt;&gt;-1,OFFSET(QCI!$O$13,$E39,0),""))</f>
        <v>54442.32</v>
      </c>
      <c r="S38" s="214" t="s">
        <v>270</v>
      </c>
      <c r="T38" s="215">
        <f t="shared" ref="T38:AE38" ca="1" si="62">IF(AND($Q38=2,ACOMPANHAMENTO="BM"),T39,T40/$R38)</f>
        <v>0</v>
      </c>
      <c r="U38" s="207">
        <f t="shared" ca="1" si="62"/>
        <v>4.786056141619241E-2</v>
      </c>
      <c r="V38" s="207">
        <f t="shared" ca="1" si="62"/>
        <v>0.2858022031390286</v>
      </c>
      <c r="W38" s="207">
        <f t="shared" ca="1" si="62"/>
        <v>0.3455169618047137</v>
      </c>
      <c r="X38" s="207">
        <f t="shared" ca="1" si="62"/>
        <v>0.32082027364006527</v>
      </c>
      <c r="Y38" s="207">
        <f t="shared" ca="1" si="62"/>
        <v>0</v>
      </c>
      <c r="Z38" s="207">
        <f t="shared" ca="1" si="62"/>
        <v>0</v>
      </c>
      <c r="AA38" s="207">
        <f t="shared" ca="1" si="62"/>
        <v>0</v>
      </c>
      <c r="AB38" s="207">
        <f t="shared" ca="1" si="62"/>
        <v>0</v>
      </c>
      <c r="AC38" s="207">
        <f t="shared" ca="1" si="62"/>
        <v>0</v>
      </c>
      <c r="AD38" s="207">
        <f t="shared" ca="1" si="62"/>
        <v>0</v>
      </c>
      <c r="AE38" s="216">
        <f t="shared" ca="1" si="62"/>
        <v>0</v>
      </c>
    </row>
    <row r="39" spans="1:32" ht="12.75" customHeight="1" x14ac:dyDescent="0.2">
      <c r="D39" s="569"/>
      <c r="E39" s="204">
        <f ca="1">IF(ISERROR(E38),IF(1+COUNTIF($L$13:OFFSET(L38,-1,0),1)&lt;=MAX(QCI!$D$13:$D$24),1+COUNTIF($L$13:OFFSET(L38,-1,0),1),-1),0)</f>
        <v>0</v>
      </c>
      <c r="F39" s="204" t="str">
        <f t="shared" ref="F39" ca="1" si="63">IF(AND($E39&lt;&gt;-1,$R38&gt;0),"F","")</f>
        <v>F</v>
      </c>
      <c r="G39" s="217" t="str">
        <f ca="1">IF(OR(R38=0,R38=""),"vazia",IF(AND(OR(ACOMPANHAMENTO="PLE",$Q38&lt;&gt;2),$E39=0),"calculada","--&gt;"))</f>
        <v>calculada</v>
      </c>
      <c r="H39" s="218"/>
      <c r="I39" s="219" t="str">
        <f t="shared" ref="I39" ca="1" si="64">IF(AND(G38&lt;&gt;0,ISNUMBER(G38)),"PREENCHA ESTA LINHA --&gt;","")</f>
        <v/>
      </c>
      <c r="J39" s="219"/>
      <c r="K39" s="219"/>
      <c r="L39" s="220"/>
      <c r="M39" s="220"/>
      <c r="N39" s="220"/>
      <c r="O39" s="220"/>
      <c r="P39" s="220"/>
      <c r="Q39" s="220"/>
      <c r="R39" s="221"/>
      <c r="S39" s="222"/>
      <c r="T39" s="570"/>
      <c r="U39" s="569"/>
      <c r="V39" s="569"/>
      <c r="W39" s="569"/>
      <c r="X39" s="569"/>
      <c r="Y39" s="569"/>
      <c r="Z39" s="569"/>
      <c r="AA39" s="569"/>
      <c r="AB39" s="569"/>
      <c r="AC39" s="569"/>
      <c r="AD39" s="569"/>
      <c r="AE39" s="571"/>
      <c r="AF39" s="533"/>
    </row>
    <row r="40" spans="1:32" ht="0.2" hidden="1" customHeight="1" x14ac:dyDescent="0.2">
      <c r="D40" s="223">
        <f ca="1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$290,"="&amp;CRONO!D$12,CÁLCULO!$AB$15:$AL$290)/(ORÇAMENTO!$X$15-CÁLCULO.TotalAdmLocal)*CRONO!$E40,0),D39*$R38),SUMIF(OFFSET($R40,1,0,$Q38-2),($L38+1)&amp;"$",OFFSET(D40,1,0,$Q38-2)))</f>
        <v>0</v>
      </c>
      <c r="E40" s="204" t="str">
        <f ca="1">IF(OR($Q38&lt;&gt;2,AUTOEVENTO&lt;&gt;"manual",$E39&gt;0),"",SUMIF(OFFSET(CÁLCULO!$M$15,CRONO!$E38,0,OFFSET(ORÇAMENTO!$D$15,CRONO!$E38,0)),1,OFFSET(ORÇAMENTO!$X$15,CRONO!$E38,0,OFFSET(ORÇAMENTO!$D$15,CRONO!$E38,0))))</f>
        <v/>
      </c>
      <c r="G40" s="224"/>
      <c r="R40" s="225" t="str">
        <f t="shared" ref="R40" ca="1" si="65">L38&amp;"$"</f>
        <v>2$</v>
      </c>
      <c r="S40" s="226"/>
      <c r="T40" s="227">
        <f ca="1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$290,"&lt;="&amp;CRONO!T$12,CÁLCULO!$AB$15:$AL$290)/(ORÇAMENTO!$X$15-CÁLCULO.TotalAdmLocal)*CRONO!$E40,0),T39*$R38),SUMIF(OFFSET($R40,1,0,$Q38-2),($L38+1)&amp;"$",OFFSET(T40,1,0,$Q38-2)))</f>
        <v>0</v>
      </c>
      <c r="U40" s="223">
        <f ca="1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$290,"="&amp;CRONO!U$12,CÁLCULO!$AB$15:$AL$290)/(ORÇAMENTO!$X$15-CÁLCULO.TotalAdmLocal)*CRONO!$E40,0),U39*$R38),SUMIF(OFFSET($R40,1,0,$Q38-2),($L38+1)&amp;"$",OFFSET(U40,1,0,$Q38-2)))</f>
        <v>2605.6400000000003</v>
      </c>
      <c r="V40" s="223">
        <f ca="1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$290,"="&amp;CRONO!V$12,CÁLCULO!$AB$15:$AL$290)/(ORÇAMENTO!$X$15-CÁLCULO.TotalAdmLocal)*CRONO!$E40,0),V39*$R38),SUMIF(OFFSET($R40,1,0,$Q38-2),($L38+1)&amp;"$",OFFSET(V40,1,0,$Q38-2)))</f>
        <v>15559.735000000001</v>
      </c>
      <c r="W40" s="223">
        <f ca="1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$290,"="&amp;CRONO!W$12,CÁLCULO!$AB$15:$AL$290)/(ORÇAMENTO!$X$15-CÁLCULO.TotalAdmLocal)*CRONO!$E40,0),W39*$R38),SUMIF(OFFSET($R40,1,0,$Q38-2),($L38+1)&amp;"$",OFFSET(W40,1,0,$Q38-2)))</f>
        <v>18810.744999999999</v>
      </c>
      <c r="X40" s="223">
        <f ca="1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$290,"="&amp;CRONO!X$12,CÁLCULO!$AB$15:$AL$290)/(ORÇAMENTO!$X$15-CÁLCULO.TotalAdmLocal)*CRONO!$E40,0),X39*$R38),SUMIF(OFFSET($R40,1,0,$Q38-2),($L38+1)&amp;"$",OFFSET(X40,1,0,$Q38-2)))</f>
        <v>17466.199999999997</v>
      </c>
      <c r="Y40" s="223">
        <f ca="1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$290,"="&amp;CRONO!Y$12,CÁLCULO!$AB$15:$AL$290)/(ORÇAMENTO!$X$15-CÁLCULO.TotalAdmLocal)*CRONO!$E40,0),Y39*$R38),SUMIF(OFFSET($R40,1,0,$Q38-2),($L38+1)&amp;"$",OFFSET(Y40,1,0,$Q38-2)))</f>
        <v>0</v>
      </c>
      <c r="Z40" s="223">
        <f ca="1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$290,"="&amp;CRONO!Z$12,CÁLCULO!$AB$15:$AL$290)/(ORÇAMENTO!$X$15-CÁLCULO.TotalAdmLocal)*CRONO!$E40,0),Z39*$R38),SUMIF(OFFSET($R40,1,0,$Q38-2),($L38+1)&amp;"$",OFFSET(Z40,1,0,$Q38-2)))</f>
        <v>0</v>
      </c>
      <c r="AA40" s="223">
        <f ca="1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$290,"="&amp;CRONO!AA$12,CÁLCULO!$AB$15:$AL$290)/(ORÇAMENTO!$X$15-CÁLCULO.TotalAdmLocal)*CRONO!$E40,0),AA39*$R38),SUMIF(OFFSET($R40,1,0,$Q38-2),($L38+1)&amp;"$",OFFSET(AA40,1,0,$Q38-2)))</f>
        <v>0</v>
      </c>
      <c r="AB40" s="223">
        <f ca="1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$290,"="&amp;CRONO!AB$12,CÁLCULO!$AB$15:$AL$290)/(ORÇAMENTO!$X$15-CÁLCULO.TotalAdmLocal)*CRONO!$E40,0),AB39*$R38),SUMIF(OFFSET($R40,1,0,$Q38-2),($L38+1)&amp;"$",OFFSET(AB40,1,0,$Q38-2)))</f>
        <v>0</v>
      </c>
      <c r="AC40" s="223">
        <f ca="1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$290,"="&amp;CRONO!AC$12,CÁLCULO!$AB$15:$AL$290)/(ORÇAMENTO!$X$15-CÁLCULO.TotalAdmLocal)*CRONO!$E40,0),AC39*$R38),SUMIF(OFFSET($R40,1,0,$Q38-2),($L38+1)&amp;"$",OFFSET(AC40,1,0,$Q38-2)))</f>
        <v>0</v>
      </c>
      <c r="AD40" s="223">
        <f ca="1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$290,"="&amp;CRONO!AD$12,CÁLCULO!$AB$15:$AL$290)/(ORÇAMENTO!$X$15-CÁLCULO.TotalAdmLocal)*CRONO!$E40,0),AD39*$R38),SUMIF(OFFSET($R40,1,0,$Q38-2),($L38+1)&amp;"$",OFFSET(AD40,1,0,$Q38-2)))</f>
        <v>0</v>
      </c>
      <c r="AE40" s="228">
        <f ca="1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$290,"="&amp;CRONO!AE$12,CÁLCULO!$AB$15:$AL$290)/(ORÇAMENTO!$X$15-CÁLCULO.TotalAdmLocal)*CRONO!$E40,0),AE39*$R38),SUMIF(OFFSET($R40,1,0,$Q38-2),($L38+1)&amp;"$",OFFSET(AE40,1,0,$Q38-2)))</f>
        <v>0</v>
      </c>
    </row>
    <row r="41" spans="1:32" x14ac:dyDescent="0.2">
      <c r="A41" s="204">
        <f t="shared" ref="A41" ca="1" si="66">OFFSET(A41,-3,0)+1</f>
        <v>10</v>
      </c>
      <c r="B41" s="204">
        <f ca="1">IF($Q41&lt;&gt;2,0,IF($R41=0,1,IF(E42&gt;0,OFFSET(QCI!$M$13,SUBSTITUTE(E42,".",""),0),OFFSET(ORÇAMENTO!$AA$15,CRONO!$E41,0))/$R41))</f>
        <v>1</v>
      </c>
      <c r="C41" s="204">
        <f ca="1">IF($Q41&lt;&gt;2,0,IF($R41=0,1,IF(E42&gt;0,OFFSET(QCI!$N$13,SUBSTITUTE(E42,".",""),0),OFFSET(ORÇAMENTO!$AB$15,CRONO!$E41,0))/$R41))</f>
        <v>0</v>
      </c>
      <c r="D41" s="207">
        <f ca="1">IF(AND($Q41=2,ACOMPANHAMENTO="BM"),D42,D43/$R41)</f>
        <v>0</v>
      </c>
      <c r="E41" s="204">
        <f ca="1">IF(A41&lt;=ORÇAMENTO.MáximoListaCrono,MATCH(A41,ORÇAMENTO.ListaCrono,0),NA())</f>
        <v>72</v>
      </c>
      <c r="F41" s="204" t="str">
        <f t="shared" ref="F41" ca="1" si="67">IF(AND($E42&lt;&gt;-1,$R41&gt;0),"F","")</f>
        <v>F</v>
      </c>
      <c r="G41" s="208">
        <f ca="1">IF(OR(R41=0,R41=""),"Linha",IF(AND(OR(ACOMPANHAMENTO="PLE",$Q41&lt;&gt;2),$E42=0),"Linha",1-SUM(T41:AF41)))</f>
        <v>0</v>
      </c>
      <c r="H41" s="209" t="str">
        <f ca="1">IF($E42=0,OFFSET(ORÇAMENTO!O$15,$E41,0),IF($E42&lt;&gt;-1,OFFSET(QCI!$D$13,$E42,0),""))</f>
        <v>1.6.1.</v>
      </c>
      <c r="I41" s="210" t="str">
        <f ca="1">IF($E42=0,OFFSET(ORÇAMENTO!R$15,$E41,0),IF($E42&lt;&gt;-1,OFFSET(QCI!$G$13,$E42,0),""))</f>
        <v>SAPATAS</v>
      </c>
      <c r="J41" s="210"/>
      <c r="K41" s="210"/>
      <c r="L41" s="211">
        <f ca="1">IF($E42=0,OFFSET(ORÇAMENTO!C$15,$E41,0),1)</f>
        <v>3</v>
      </c>
      <c r="M41" s="212">
        <f ca="1">IF($E42=-1,0,IF(M$13&lt;=$L41,IF(ISERROR(MATCH(M$13,OFFSET($L41,1,0,ROW($L$116)-ROW($L41)-1),0)),ROW($L$116)-ROW($L41)-1,MATCH(M$13,OFFSET($L41,1,0,ROW($L$116)-ROW($L41)-1),0)-1),0))</f>
        <v>74</v>
      </c>
      <c r="N41" s="212">
        <f ca="1">IF($E42=-1,0,IF(N$13&lt;=$L41,IF(ISERROR(MATCH(N$13,OFFSET($L41,1,0,ROW($L$116)-ROW($L41)-1),0)),ROW($L$116)-ROW($L41)-1,MATCH(N$13,OFFSET($L41,1,0,ROW($L$116)-ROW($L41)-1),0)-1),0))</f>
        <v>53</v>
      </c>
      <c r="O41" s="212">
        <f ca="1">IF($E42=-1,0,IF(O$13&lt;=$L41,IF(ISERROR(MATCH(O$13,OFFSET($L41,1,0,ROW($L$116)-ROW($L41)-1),0)),ROW($L$116)-ROW($L41)-1,MATCH(O$13,OFFSET($L41,1,0,ROW($L$116)-ROW($L41)-1),0)-1),0))</f>
        <v>2</v>
      </c>
      <c r="P41" s="212">
        <f ca="1">IF($E42=-1,0,IF(P$13&lt;=$L41,IF(ISERROR(MATCH(P$13,OFFSET($L41,1,0,ROW($L$116)-ROW($L41)-1),0)),ROW($L$116)-ROW($L41)-1,MATCH(P$13,OFFSET($L41,1,0,ROW($L$116)-ROW($L41)-1),0)-1),0))</f>
        <v>0</v>
      </c>
      <c r="Q41" s="212">
        <f t="shared" ref="Q41" ca="1" si="68">MIN(OFFSET(L41,0,1,,L41))</f>
        <v>2</v>
      </c>
      <c r="R41" s="213">
        <f ca="1">IF($E42=0,OFFSET(ORÇAMENTO!X$15,$E41,0),IF($E42&lt;&gt;-1,OFFSET(QCI!$O$13,$E42,0),""))</f>
        <v>772.61</v>
      </c>
      <c r="S41" s="214" t="s">
        <v>270</v>
      </c>
      <c r="T41" s="215">
        <f t="shared" ref="T41:AE41" ca="1" si="69">IF(AND($Q41=2,ACOMPANHAMENTO="BM"),T42,T43/$R41)</f>
        <v>0</v>
      </c>
      <c r="U41" s="207">
        <f t="shared" ca="1" si="69"/>
        <v>1</v>
      </c>
      <c r="V41" s="207">
        <f t="shared" ca="1" si="69"/>
        <v>0</v>
      </c>
      <c r="W41" s="207">
        <f t="shared" ca="1" si="69"/>
        <v>0</v>
      </c>
      <c r="X41" s="207">
        <f t="shared" ca="1" si="69"/>
        <v>0</v>
      </c>
      <c r="Y41" s="207">
        <f t="shared" ca="1" si="69"/>
        <v>0</v>
      </c>
      <c r="Z41" s="207">
        <f t="shared" ca="1" si="69"/>
        <v>0</v>
      </c>
      <c r="AA41" s="207">
        <f t="shared" ca="1" si="69"/>
        <v>0</v>
      </c>
      <c r="AB41" s="207">
        <f t="shared" ca="1" si="69"/>
        <v>0</v>
      </c>
      <c r="AC41" s="207">
        <f t="shared" ca="1" si="69"/>
        <v>0</v>
      </c>
      <c r="AD41" s="207">
        <f t="shared" ca="1" si="69"/>
        <v>0</v>
      </c>
      <c r="AE41" s="216">
        <f t="shared" ca="1" si="69"/>
        <v>0</v>
      </c>
    </row>
    <row r="42" spans="1:32" ht="12.75" customHeight="1" x14ac:dyDescent="0.2">
      <c r="D42" s="569"/>
      <c r="E42" s="204">
        <f ca="1">IF(ISERROR(E41),IF(1+COUNTIF($L$13:OFFSET(L41,-1,0),1)&lt;=MAX(QCI!$D$13:$D$24),1+COUNTIF($L$13:OFFSET(L41,-1,0),1),-1),0)</f>
        <v>0</v>
      </c>
      <c r="F42" s="204" t="str">
        <f t="shared" ref="F42" ca="1" si="70">IF(AND($E42&lt;&gt;-1,$R41&gt;0),"F","")</f>
        <v>F</v>
      </c>
      <c r="G42" s="217" t="str">
        <f ca="1">IF(OR(R41=0,R41=""),"vazia",IF(AND(OR(ACOMPANHAMENTO="PLE",$Q41&lt;&gt;2),$E42=0),"calculada","--&gt;"))</f>
        <v>--&gt;</v>
      </c>
      <c r="H42" s="218"/>
      <c r="I42" s="219" t="str">
        <f t="shared" ref="I42" ca="1" si="71">IF(AND(G41&lt;&gt;0,ISNUMBER(G41)),"PREENCHA ESTA LINHA --&gt;","")</f>
        <v/>
      </c>
      <c r="J42" s="219"/>
      <c r="K42" s="219"/>
      <c r="L42" s="220"/>
      <c r="M42" s="220"/>
      <c r="N42" s="220"/>
      <c r="O42" s="220"/>
      <c r="P42" s="220"/>
      <c r="Q42" s="220"/>
      <c r="R42" s="221"/>
      <c r="S42" s="222"/>
      <c r="T42" s="570"/>
      <c r="U42" s="569">
        <v>1</v>
      </c>
      <c r="V42" s="569"/>
      <c r="W42" s="569"/>
      <c r="X42" s="569"/>
      <c r="Y42" s="569"/>
      <c r="Z42" s="569"/>
      <c r="AA42" s="569"/>
      <c r="AB42" s="569"/>
      <c r="AC42" s="569"/>
      <c r="AD42" s="569"/>
      <c r="AE42" s="571"/>
      <c r="AF42" s="533"/>
    </row>
    <row r="43" spans="1:32" ht="0.2" hidden="1" customHeight="1" x14ac:dyDescent="0.2">
      <c r="D43" s="223">
        <f ca="1">IF($Q41=2,IF(AND(ACOMPANHAMENTO="PLE",ISNUMBER($E41)),SUMIF((OFFSET(CÁLCULO!$AM$15:$AW$15,$E41,0,OFFSET(ORÇAMENTO!$D$15,CRONO!$E41,0))),"="&amp;CRONO!D$12,OFFSET(CÁLCULO!$AB$15:$AL$15,$E41,0,OFFSET(ORÇAMENTO!$D$15,CRONO!$E41,0)))+IF(AND($E43&lt;&gt;"",$E43&lt;&gt;0),SUMIF(CÁLCULO!$AM$15:$AW$290,"="&amp;CRONO!D$12,CÁLCULO!$AB$15:$AL$290)/(ORÇAMENTO!$X$15-CÁLCULO.TotalAdmLocal)*CRONO!$E43,0),D42*$R41),SUMIF(OFFSET($R43,1,0,$Q41-2),($L41+1)&amp;"$",OFFSET(D43,1,0,$Q41-2)))</f>
        <v>0</v>
      </c>
      <c r="E43" s="204" t="str">
        <f ca="1">IF(OR($Q41&lt;&gt;2,AUTOEVENTO&lt;&gt;"manual",$E42&gt;0),"",SUMIF(OFFSET(CÁLCULO!$M$15,CRONO!$E41,0,OFFSET(ORÇAMENTO!$D$15,CRONO!$E41,0)),1,OFFSET(ORÇAMENTO!$X$15,CRONO!$E41,0,OFFSET(ORÇAMENTO!$D$15,CRONO!$E41,0))))</f>
        <v/>
      </c>
      <c r="G43" s="224"/>
      <c r="R43" s="225" t="str">
        <f t="shared" ref="R43" ca="1" si="72">L41&amp;"$"</f>
        <v>3$</v>
      </c>
      <c r="S43" s="226"/>
      <c r="T43" s="227">
        <f ca="1">IF($Q41=2,IF(AND(ACOMPANHAMENTO="PLE",ISNUMBER($E41)),SUMIF((OFFSET(CÁLCULO!$AM$15:$AW$15,$E41,0,OFFSET(ORÇAMENTO!$D$15,CRONO!$E41,0))),"&lt;="&amp;CRONO!T$12,OFFSET(CÁLCULO!$AB$15:$AL$15,$E41,0,OFFSET(ORÇAMENTO!$D$15,CRONO!$E41,0)))+IF(AND($E43&lt;&gt;"",$E43&lt;&gt;0),SUMIF(CÁLCULO!$AM$15:$AW$290,"&lt;="&amp;CRONO!T$12,CÁLCULO!$AB$15:$AL$290)/(ORÇAMENTO!$X$15-CÁLCULO.TotalAdmLocal)*CRONO!$E43,0),T42*$R41),SUMIF(OFFSET($R43,1,0,$Q41-2),($L41+1)&amp;"$",OFFSET(T43,1,0,$Q41-2)))</f>
        <v>0</v>
      </c>
      <c r="U43" s="223">
        <f ca="1">IF($Q41=2,IF(AND(ACOMPANHAMENTO="PLE",ISNUMBER($E41)),SUMIF((OFFSET(CÁLCULO!$AM$15:$AW$15,$E41,0,OFFSET(ORÇAMENTO!$D$15,CRONO!$E41,0))),"="&amp;CRONO!U$12,OFFSET(CÁLCULO!$AB$15:$AL$15,$E41,0,OFFSET(ORÇAMENTO!$D$15,CRONO!$E41,0)))+IF(AND($E43&lt;&gt;"",$E43&lt;&gt;0),SUMIF(CÁLCULO!$AM$15:$AW$290,"="&amp;CRONO!U$12,CÁLCULO!$AB$15:$AL$290)/(ORÇAMENTO!$X$15-CÁLCULO.TotalAdmLocal)*CRONO!$E43,0),U42*$R41),SUMIF(OFFSET($R43,1,0,$Q41-2),($L41+1)&amp;"$",OFFSET(U43,1,0,$Q41-2)))</f>
        <v>772.61</v>
      </c>
      <c r="V43" s="223">
        <f ca="1">IF($Q41=2,IF(AND(ACOMPANHAMENTO="PLE",ISNUMBER($E41)),SUMIF((OFFSET(CÁLCULO!$AM$15:$AW$15,$E41,0,OFFSET(ORÇAMENTO!$D$15,CRONO!$E41,0))),"="&amp;CRONO!V$12,OFFSET(CÁLCULO!$AB$15:$AL$15,$E41,0,OFFSET(ORÇAMENTO!$D$15,CRONO!$E41,0)))+IF(AND($E43&lt;&gt;"",$E43&lt;&gt;0),SUMIF(CÁLCULO!$AM$15:$AW$290,"="&amp;CRONO!V$12,CÁLCULO!$AB$15:$AL$290)/(ORÇAMENTO!$X$15-CÁLCULO.TotalAdmLocal)*CRONO!$E43,0),V42*$R41),SUMIF(OFFSET($R43,1,0,$Q41-2),($L41+1)&amp;"$",OFFSET(V43,1,0,$Q41-2)))</f>
        <v>0</v>
      </c>
      <c r="W43" s="223">
        <f ca="1">IF($Q41=2,IF(AND(ACOMPANHAMENTO="PLE",ISNUMBER($E41)),SUMIF((OFFSET(CÁLCULO!$AM$15:$AW$15,$E41,0,OFFSET(ORÇAMENTO!$D$15,CRONO!$E41,0))),"="&amp;CRONO!W$12,OFFSET(CÁLCULO!$AB$15:$AL$15,$E41,0,OFFSET(ORÇAMENTO!$D$15,CRONO!$E41,0)))+IF(AND($E43&lt;&gt;"",$E43&lt;&gt;0),SUMIF(CÁLCULO!$AM$15:$AW$290,"="&amp;CRONO!W$12,CÁLCULO!$AB$15:$AL$290)/(ORÇAMENTO!$X$15-CÁLCULO.TotalAdmLocal)*CRONO!$E43,0),W42*$R41),SUMIF(OFFSET($R43,1,0,$Q41-2),($L41+1)&amp;"$",OFFSET(W43,1,0,$Q41-2)))</f>
        <v>0</v>
      </c>
      <c r="X43" s="223">
        <f ca="1">IF($Q41=2,IF(AND(ACOMPANHAMENTO="PLE",ISNUMBER($E41)),SUMIF((OFFSET(CÁLCULO!$AM$15:$AW$15,$E41,0,OFFSET(ORÇAMENTO!$D$15,CRONO!$E41,0))),"="&amp;CRONO!X$12,OFFSET(CÁLCULO!$AB$15:$AL$15,$E41,0,OFFSET(ORÇAMENTO!$D$15,CRONO!$E41,0)))+IF(AND($E43&lt;&gt;"",$E43&lt;&gt;0),SUMIF(CÁLCULO!$AM$15:$AW$290,"="&amp;CRONO!X$12,CÁLCULO!$AB$15:$AL$290)/(ORÇAMENTO!$X$15-CÁLCULO.TotalAdmLocal)*CRONO!$E43,0),X42*$R41),SUMIF(OFFSET($R43,1,0,$Q41-2),($L41+1)&amp;"$",OFFSET(X43,1,0,$Q41-2)))</f>
        <v>0</v>
      </c>
      <c r="Y43" s="223">
        <f ca="1">IF($Q41=2,IF(AND(ACOMPANHAMENTO="PLE",ISNUMBER($E41)),SUMIF((OFFSET(CÁLCULO!$AM$15:$AW$15,$E41,0,OFFSET(ORÇAMENTO!$D$15,CRONO!$E41,0))),"="&amp;CRONO!Y$12,OFFSET(CÁLCULO!$AB$15:$AL$15,$E41,0,OFFSET(ORÇAMENTO!$D$15,CRONO!$E41,0)))+IF(AND($E43&lt;&gt;"",$E43&lt;&gt;0),SUMIF(CÁLCULO!$AM$15:$AW$290,"="&amp;CRONO!Y$12,CÁLCULO!$AB$15:$AL$290)/(ORÇAMENTO!$X$15-CÁLCULO.TotalAdmLocal)*CRONO!$E43,0),Y42*$R41),SUMIF(OFFSET($R43,1,0,$Q41-2),($L41+1)&amp;"$",OFFSET(Y43,1,0,$Q41-2)))</f>
        <v>0</v>
      </c>
      <c r="Z43" s="223">
        <f ca="1">IF($Q41=2,IF(AND(ACOMPANHAMENTO="PLE",ISNUMBER($E41)),SUMIF((OFFSET(CÁLCULO!$AM$15:$AW$15,$E41,0,OFFSET(ORÇAMENTO!$D$15,CRONO!$E41,0))),"="&amp;CRONO!Z$12,OFFSET(CÁLCULO!$AB$15:$AL$15,$E41,0,OFFSET(ORÇAMENTO!$D$15,CRONO!$E41,0)))+IF(AND($E43&lt;&gt;"",$E43&lt;&gt;0),SUMIF(CÁLCULO!$AM$15:$AW$290,"="&amp;CRONO!Z$12,CÁLCULO!$AB$15:$AL$290)/(ORÇAMENTO!$X$15-CÁLCULO.TotalAdmLocal)*CRONO!$E43,0),Z42*$R41),SUMIF(OFFSET($R43,1,0,$Q41-2),($L41+1)&amp;"$",OFFSET(Z43,1,0,$Q41-2)))</f>
        <v>0</v>
      </c>
      <c r="AA43" s="223">
        <f ca="1">IF($Q41=2,IF(AND(ACOMPANHAMENTO="PLE",ISNUMBER($E41)),SUMIF((OFFSET(CÁLCULO!$AM$15:$AW$15,$E41,0,OFFSET(ORÇAMENTO!$D$15,CRONO!$E41,0))),"="&amp;CRONO!AA$12,OFFSET(CÁLCULO!$AB$15:$AL$15,$E41,0,OFFSET(ORÇAMENTO!$D$15,CRONO!$E41,0)))+IF(AND($E43&lt;&gt;"",$E43&lt;&gt;0),SUMIF(CÁLCULO!$AM$15:$AW$290,"="&amp;CRONO!AA$12,CÁLCULO!$AB$15:$AL$290)/(ORÇAMENTO!$X$15-CÁLCULO.TotalAdmLocal)*CRONO!$E43,0),AA42*$R41),SUMIF(OFFSET($R43,1,0,$Q41-2),($L41+1)&amp;"$",OFFSET(AA43,1,0,$Q41-2)))</f>
        <v>0</v>
      </c>
      <c r="AB43" s="223">
        <f ca="1">IF($Q41=2,IF(AND(ACOMPANHAMENTO="PLE",ISNUMBER($E41)),SUMIF((OFFSET(CÁLCULO!$AM$15:$AW$15,$E41,0,OFFSET(ORÇAMENTO!$D$15,CRONO!$E41,0))),"="&amp;CRONO!AB$12,OFFSET(CÁLCULO!$AB$15:$AL$15,$E41,0,OFFSET(ORÇAMENTO!$D$15,CRONO!$E41,0)))+IF(AND($E43&lt;&gt;"",$E43&lt;&gt;0),SUMIF(CÁLCULO!$AM$15:$AW$290,"="&amp;CRONO!AB$12,CÁLCULO!$AB$15:$AL$290)/(ORÇAMENTO!$X$15-CÁLCULO.TotalAdmLocal)*CRONO!$E43,0),AB42*$R41),SUMIF(OFFSET($R43,1,0,$Q41-2),($L41+1)&amp;"$",OFFSET(AB43,1,0,$Q41-2)))</f>
        <v>0</v>
      </c>
      <c r="AC43" s="223">
        <f ca="1">IF($Q41=2,IF(AND(ACOMPANHAMENTO="PLE",ISNUMBER($E41)),SUMIF((OFFSET(CÁLCULO!$AM$15:$AW$15,$E41,0,OFFSET(ORÇAMENTO!$D$15,CRONO!$E41,0))),"="&amp;CRONO!AC$12,OFFSET(CÁLCULO!$AB$15:$AL$15,$E41,0,OFFSET(ORÇAMENTO!$D$15,CRONO!$E41,0)))+IF(AND($E43&lt;&gt;"",$E43&lt;&gt;0),SUMIF(CÁLCULO!$AM$15:$AW$290,"="&amp;CRONO!AC$12,CÁLCULO!$AB$15:$AL$290)/(ORÇAMENTO!$X$15-CÁLCULO.TotalAdmLocal)*CRONO!$E43,0),AC42*$R41),SUMIF(OFFSET($R43,1,0,$Q41-2),($L41+1)&amp;"$",OFFSET(AC43,1,0,$Q41-2)))</f>
        <v>0</v>
      </c>
      <c r="AD43" s="223">
        <f ca="1">IF($Q41=2,IF(AND(ACOMPANHAMENTO="PLE",ISNUMBER($E41)),SUMIF((OFFSET(CÁLCULO!$AM$15:$AW$15,$E41,0,OFFSET(ORÇAMENTO!$D$15,CRONO!$E41,0))),"="&amp;CRONO!AD$12,OFFSET(CÁLCULO!$AB$15:$AL$15,$E41,0,OFFSET(ORÇAMENTO!$D$15,CRONO!$E41,0)))+IF(AND($E43&lt;&gt;"",$E43&lt;&gt;0),SUMIF(CÁLCULO!$AM$15:$AW$290,"="&amp;CRONO!AD$12,CÁLCULO!$AB$15:$AL$290)/(ORÇAMENTO!$X$15-CÁLCULO.TotalAdmLocal)*CRONO!$E43,0),AD42*$R41),SUMIF(OFFSET($R43,1,0,$Q41-2),($L41+1)&amp;"$",OFFSET(AD43,1,0,$Q41-2)))</f>
        <v>0</v>
      </c>
      <c r="AE43" s="228">
        <f ca="1">IF($Q41=2,IF(AND(ACOMPANHAMENTO="PLE",ISNUMBER($E41)),SUMIF((OFFSET(CÁLCULO!$AM$15:$AW$15,$E41,0,OFFSET(ORÇAMENTO!$D$15,CRONO!$E41,0))),"="&amp;CRONO!AE$12,OFFSET(CÁLCULO!$AB$15:$AL$15,$E41,0,OFFSET(ORÇAMENTO!$D$15,CRONO!$E41,0)))+IF(AND($E43&lt;&gt;"",$E43&lt;&gt;0),SUMIF(CÁLCULO!$AM$15:$AW$290,"="&amp;CRONO!AE$12,CÁLCULO!$AB$15:$AL$290)/(ORÇAMENTO!$X$15-CÁLCULO.TotalAdmLocal)*CRONO!$E43,0),AE42*$R41),SUMIF(OFFSET($R43,1,0,$Q41-2),($L41+1)&amp;"$",OFFSET(AE43,1,0,$Q41-2)))</f>
        <v>0</v>
      </c>
    </row>
    <row r="44" spans="1:32" x14ac:dyDescent="0.2">
      <c r="A44" s="204">
        <f t="shared" ref="A44" ca="1" si="73">OFFSET(A44,-3,0)+1</f>
        <v>11</v>
      </c>
      <c r="B44" s="204">
        <f ca="1">IF($Q44&lt;&gt;2,0,IF($R44=0,1,IF(E45&gt;0,OFFSET(QCI!$M$13,SUBSTITUTE(E45,".",""),0),OFFSET(ORÇAMENTO!$AA$15,CRONO!$E44,0))/$R44))</f>
        <v>0.99999999999999989</v>
      </c>
      <c r="C44" s="204">
        <f ca="1">IF($Q44&lt;&gt;2,0,IF($R44=0,1,IF(E45&gt;0,OFFSET(QCI!$N$13,SUBSTITUTE(E45,".",""),0),OFFSET(ORÇAMENTO!$AB$15,CRONO!$E44,0))/$R44))</f>
        <v>0</v>
      </c>
      <c r="D44" s="207">
        <f ca="1">IF(AND($Q44=2,ACOMPANHAMENTO="BM"),D45,D46/$R44)</f>
        <v>0</v>
      </c>
      <c r="E44" s="204">
        <f ca="1">IF(A44&lt;=ORÇAMENTO.MáximoListaCrono,MATCH(A44,ORÇAMENTO.ListaCrono,0),NA())</f>
        <v>79</v>
      </c>
      <c r="F44" s="204" t="str">
        <f t="shared" ref="F44" ca="1" si="74">IF(AND($E45&lt;&gt;-1,$R44&gt;0),"F","")</f>
        <v>F</v>
      </c>
      <c r="G44" s="208">
        <f ca="1">IF(OR(R44=0,R44=""),"Linha",IF(AND(OR(ACOMPANHAMENTO="PLE",$Q44&lt;&gt;2),$E45=0),"Linha",1-SUM(T44:AF44)))</f>
        <v>0</v>
      </c>
      <c r="H44" s="209" t="str">
        <f ca="1">IF($E45=0,OFFSET(ORÇAMENTO!O$15,$E44,0),IF($E45&lt;&gt;-1,OFFSET(QCI!$D$13,$E45,0),""))</f>
        <v>1.6.2.</v>
      </c>
      <c r="I44" s="210" t="str">
        <f ca="1">IF($E45=0,OFFSET(ORÇAMENTO!R$15,$E44,0),IF($E45&lt;&gt;-1,OFFSET(QCI!$G$13,$E45,0),""))</f>
        <v>VIGA BALDRAME</v>
      </c>
      <c r="J44" s="210"/>
      <c r="K44" s="210"/>
      <c r="L44" s="211">
        <f ca="1">IF($E45=0,OFFSET(ORÇAMENTO!C$15,$E44,0),1)</f>
        <v>3</v>
      </c>
      <c r="M44" s="212">
        <f ca="1">IF($E45=-1,0,IF(M$13&lt;=$L44,IF(ISERROR(MATCH(M$13,OFFSET($L44,1,0,ROW($L$116)-ROW($L44)-1),0)),ROW($L$116)-ROW($L44)-1,MATCH(M$13,OFFSET($L44,1,0,ROW($L$116)-ROW($L44)-1),0)-1),0))</f>
        <v>71</v>
      </c>
      <c r="N44" s="212">
        <f ca="1">IF($E45=-1,0,IF(N$13&lt;=$L44,IF(ISERROR(MATCH(N$13,OFFSET($L44,1,0,ROW($L$116)-ROW($L44)-1),0)),ROW($L$116)-ROW($L44)-1,MATCH(N$13,OFFSET($L44,1,0,ROW($L$116)-ROW($L44)-1),0)-1),0))</f>
        <v>50</v>
      </c>
      <c r="O44" s="212">
        <f ca="1">IF($E45=-1,0,IF(O$13&lt;=$L44,IF(ISERROR(MATCH(O$13,OFFSET($L44,1,0,ROW($L$116)-ROW($L44)-1),0)),ROW($L$116)-ROW($L44)-1,MATCH(O$13,OFFSET($L44,1,0,ROW($L$116)-ROW($L44)-1),0)-1),0))</f>
        <v>2</v>
      </c>
      <c r="P44" s="212">
        <f ca="1">IF($E45=-1,0,IF(P$13&lt;=$L44,IF(ISERROR(MATCH(P$13,OFFSET($L44,1,0,ROW($L$116)-ROW($L44)-1),0)),ROW($L$116)-ROW($L44)-1,MATCH(P$13,OFFSET($L44,1,0,ROW($L$116)-ROW($L44)-1),0)-1),0))</f>
        <v>0</v>
      </c>
      <c r="Q44" s="212">
        <f t="shared" ref="Q44" ca="1" si="75">MIN(OFFSET(L44,0,1,,L44))</f>
        <v>2</v>
      </c>
      <c r="R44" s="213">
        <f ca="1">IF($E45=0,OFFSET(ORÇAMENTO!X$15,$E44,0),IF($E45&lt;&gt;-1,OFFSET(QCI!$O$13,$E45,0),""))</f>
        <v>1645.38</v>
      </c>
      <c r="S44" s="214" t="s">
        <v>270</v>
      </c>
      <c r="T44" s="215">
        <f t="shared" ref="T44:AE44" ca="1" si="76">IF(AND($Q44=2,ACOMPANHAMENTO="BM"),T45,T46/$R44)</f>
        <v>0</v>
      </c>
      <c r="U44" s="207">
        <f t="shared" ca="1" si="76"/>
        <v>1</v>
      </c>
      <c r="V44" s="207">
        <f t="shared" ca="1" si="76"/>
        <v>0</v>
      </c>
      <c r="W44" s="207">
        <f t="shared" ca="1" si="76"/>
        <v>0</v>
      </c>
      <c r="X44" s="207">
        <f t="shared" ca="1" si="76"/>
        <v>0</v>
      </c>
      <c r="Y44" s="207">
        <f t="shared" ca="1" si="76"/>
        <v>0</v>
      </c>
      <c r="Z44" s="207">
        <f t="shared" ca="1" si="76"/>
        <v>0</v>
      </c>
      <c r="AA44" s="207">
        <f t="shared" ca="1" si="76"/>
        <v>0</v>
      </c>
      <c r="AB44" s="207">
        <f t="shared" ca="1" si="76"/>
        <v>0</v>
      </c>
      <c r="AC44" s="207">
        <f t="shared" ca="1" si="76"/>
        <v>0</v>
      </c>
      <c r="AD44" s="207">
        <f t="shared" ca="1" si="76"/>
        <v>0</v>
      </c>
      <c r="AE44" s="216">
        <f t="shared" ca="1" si="76"/>
        <v>0</v>
      </c>
    </row>
    <row r="45" spans="1:32" ht="12.75" customHeight="1" x14ac:dyDescent="0.2">
      <c r="D45" s="569"/>
      <c r="E45" s="204">
        <f ca="1">IF(ISERROR(E44),IF(1+COUNTIF($L$13:OFFSET(L44,-1,0),1)&lt;=MAX(QCI!$D$13:$D$24),1+COUNTIF($L$13:OFFSET(L44,-1,0),1),-1),0)</f>
        <v>0</v>
      </c>
      <c r="F45" s="204" t="str">
        <f t="shared" ref="F45" ca="1" si="77">IF(AND($E45&lt;&gt;-1,$R44&gt;0),"F","")</f>
        <v>F</v>
      </c>
      <c r="G45" s="217" t="str">
        <f ca="1">IF(OR(R44=0,R44=""),"vazia",IF(AND(OR(ACOMPANHAMENTO="PLE",$Q44&lt;&gt;2),$E45=0),"calculada","--&gt;"))</f>
        <v>--&gt;</v>
      </c>
      <c r="H45" s="218"/>
      <c r="I45" s="219" t="str">
        <f t="shared" ref="I45" ca="1" si="78">IF(AND(G44&lt;&gt;0,ISNUMBER(G44)),"PREENCHA ESTA LINHA --&gt;","")</f>
        <v/>
      </c>
      <c r="J45" s="219"/>
      <c r="K45" s="219"/>
      <c r="L45" s="220"/>
      <c r="M45" s="220"/>
      <c r="N45" s="220"/>
      <c r="O45" s="220"/>
      <c r="P45" s="220"/>
      <c r="Q45" s="220"/>
      <c r="R45" s="221"/>
      <c r="S45" s="222"/>
      <c r="T45" s="570"/>
      <c r="U45" s="569">
        <v>1</v>
      </c>
      <c r="V45" s="569"/>
      <c r="W45" s="569"/>
      <c r="X45" s="569"/>
      <c r="Y45" s="569"/>
      <c r="Z45" s="569"/>
      <c r="AA45" s="569"/>
      <c r="AB45" s="569"/>
      <c r="AC45" s="569"/>
      <c r="AD45" s="569"/>
      <c r="AE45" s="571"/>
      <c r="AF45" s="533"/>
    </row>
    <row r="46" spans="1:32" ht="0.2" hidden="1" customHeight="1" x14ac:dyDescent="0.2">
      <c r="D46" s="223">
        <f ca="1">IF($Q44=2,IF(AND(ACOMPANHAMENTO="PLE",ISNUMBER($E44)),SUMIF((OFFSET(CÁLCULO!$AM$15:$AW$15,$E44,0,OFFSET(ORÇAMENTO!$D$15,CRONO!$E44,0))),"="&amp;CRONO!D$12,OFFSET(CÁLCULO!$AB$15:$AL$15,$E44,0,OFFSET(ORÇAMENTO!$D$15,CRONO!$E44,0)))+IF(AND($E46&lt;&gt;"",$E46&lt;&gt;0),SUMIF(CÁLCULO!$AM$15:$AW$290,"="&amp;CRONO!D$12,CÁLCULO!$AB$15:$AL$290)/(ORÇAMENTO!$X$15-CÁLCULO.TotalAdmLocal)*CRONO!$E46,0),D45*$R44),SUMIF(OFFSET($R46,1,0,$Q44-2),($L44+1)&amp;"$",OFFSET(D46,1,0,$Q44-2)))</f>
        <v>0</v>
      </c>
      <c r="E46" s="204" t="str">
        <f ca="1">IF(OR($Q44&lt;&gt;2,AUTOEVENTO&lt;&gt;"manual",$E45&gt;0),"",SUMIF(OFFSET(CÁLCULO!$M$15,CRONO!$E44,0,OFFSET(ORÇAMENTO!$D$15,CRONO!$E44,0)),1,OFFSET(ORÇAMENTO!$X$15,CRONO!$E44,0,OFFSET(ORÇAMENTO!$D$15,CRONO!$E44,0))))</f>
        <v/>
      </c>
      <c r="G46" s="224"/>
      <c r="R46" s="225" t="str">
        <f t="shared" ref="R46" ca="1" si="79">L44&amp;"$"</f>
        <v>3$</v>
      </c>
      <c r="S46" s="226"/>
      <c r="T46" s="227">
        <f ca="1">IF($Q44=2,IF(AND(ACOMPANHAMENTO="PLE",ISNUMBER($E44)),SUMIF((OFFSET(CÁLCULO!$AM$15:$AW$15,$E44,0,OFFSET(ORÇAMENTO!$D$15,CRONO!$E44,0))),"&lt;="&amp;CRONO!T$12,OFFSET(CÁLCULO!$AB$15:$AL$15,$E44,0,OFFSET(ORÇAMENTO!$D$15,CRONO!$E44,0)))+IF(AND($E46&lt;&gt;"",$E46&lt;&gt;0),SUMIF(CÁLCULO!$AM$15:$AW$290,"&lt;="&amp;CRONO!T$12,CÁLCULO!$AB$15:$AL$290)/(ORÇAMENTO!$X$15-CÁLCULO.TotalAdmLocal)*CRONO!$E46,0),T45*$R44),SUMIF(OFFSET($R46,1,0,$Q44-2),($L44+1)&amp;"$",OFFSET(T46,1,0,$Q44-2)))</f>
        <v>0</v>
      </c>
      <c r="U46" s="223">
        <f ca="1">IF($Q44=2,IF(AND(ACOMPANHAMENTO="PLE",ISNUMBER($E44)),SUMIF((OFFSET(CÁLCULO!$AM$15:$AW$15,$E44,0,OFFSET(ORÇAMENTO!$D$15,CRONO!$E44,0))),"="&amp;CRONO!U$12,OFFSET(CÁLCULO!$AB$15:$AL$15,$E44,0,OFFSET(ORÇAMENTO!$D$15,CRONO!$E44,0)))+IF(AND($E46&lt;&gt;"",$E46&lt;&gt;0),SUMIF(CÁLCULO!$AM$15:$AW$290,"="&amp;CRONO!U$12,CÁLCULO!$AB$15:$AL$290)/(ORÇAMENTO!$X$15-CÁLCULO.TotalAdmLocal)*CRONO!$E46,0),U45*$R44),SUMIF(OFFSET($R46,1,0,$Q44-2),($L44+1)&amp;"$",OFFSET(U46,1,0,$Q44-2)))</f>
        <v>1645.38</v>
      </c>
      <c r="V46" s="223">
        <f ca="1">IF($Q44=2,IF(AND(ACOMPANHAMENTO="PLE",ISNUMBER($E44)),SUMIF((OFFSET(CÁLCULO!$AM$15:$AW$15,$E44,0,OFFSET(ORÇAMENTO!$D$15,CRONO!$E44,0))),"="&amp;CRONO!V$12,OFFSET(CÁLCULO!$AB$15:$AL$15,$E44,0,OFFSET(ORÇAMENTO!$D$15,CRONO!$E44,0)))+IF(AND($E46&lt;&gt;"",$E46&lt;&gt;0),SUMIF(CÁLCULO!$AM$15:$AW$290,"="&amp;CRONO!V$12,CÁLCULO!$AB$15:$AL$290)/(ORÇAMENTO!$X$15-CÁLCULO.TotalAdmLocal)*CRONO!$E46,0),V45*$R44),SUMIF(OFFSET($R46,1,0,$Q44-2),($L44+1)&amp;"$",OFFSET(V46,1,0,$Q44-2)))</f>
        <v>0</v>
      </c>
      <c r="W46" s="223">
        <f ca="1">IF($Q44=2,IF(AND(ACOMPANHAMENTO="PLE",ISNUMBER($E44)),SUMIF((OFFSET(CÁLCULO!$AM$15:$AW$15,$E44,0,OFFSET(ORÇAMENTO!$D$15,CRONO!$E44,0))),"="&amp;CRONO!W$12,OFFSET(CÁLCULO!$AB$15:$AL$15,$E44,0,OFFSET(ORÇAMENTO!$D$15,CRONO!$E44,0)))+IF(AND($E46&lt;&gt;"",$E46&lt;&gt;0),SUMIF(CÁLCULO!$AM$15:$AW$290,"="&amp;CRONO!W$12,CÁLCULO!$AB$15:$AL$290)/(ORÇAMENTO!$X$15-CÁLCULO.TotalAdmLocal)*CRONO!$E46,0),W45*$R44),SUMIF(OFFSET($R46,1,0,$Q44-2),($L44+1)&amp;"$",OFFSET(W46,1,0,$Q44-2)))</f>
        <v>0</v>
      </c>
      <c r="X46" s="223">
        <f ca="1">IF($Q44=2,IF(AND(ACOMPANHAMENTO="PLE",ISNUMBER($E44)),SUMIF((OFFSET(CÁLCULO!$AM$15:$AW$15,$E44,0,OFFSET(ORÇAMENTO!$D$15,CRONO!$E44,0))),"="&amp;CRONO!X$12,OFFSET(CÁLCULO!$AB$15:$AL$15,$E44,0,OFFSET(ORÇAMENTO!$D$15,CRONO!$E44,0)))+IF(AND($E46&lt;&gt;"",$E46&lt;&gt;0),SUMIF(CÁLCULO!$AM$15:$AW$290,"="&amp;CRONO!X$12,CÁLCULO!$AB$15:$AL$290)/(ORÇAMENTO!$X$15-CÁLCULO.TotalAdmLocal)*CRONO!$E46,0),X45*$R44),SUMIF(OFFSET($R46,1,0,$Q44-2),($L44+1)&amp;"$",OFFSET(X46,1,0,$Q44-2)))</f>
        <v>0</v>
      </c>
      <c r="Y46" s="223">
        <f ca="1">IF($Q44=2,IF(AND(ACOMPANHAMENTO="PLE",ISNUMBER($E44)),SUMIF((OFFSET(CÁLCULO!$AM$15:$AW$15,$E44,0,OFFSET(ORÇAMENTO!$D$15,CRONO!$E44,0))),"="&amp;CRONO!Y$12,OFFSET(CÁLCULO!$AB$15:$AL$15,$E44,0,OFFSET(ORÇAMENTO!$D$15,CRONO!$E44,0)))+IF(AND($E46&lt;&gt;"",$E46&lt;&gt;0),SUMIF(CÁLCULO!$AM$15:$AW$290,"="&amp;CRONO!Y$12,CÁLCULO!$AB$15:$AL$290)/(ORÇAMENTO!$X$15-CÁLCULO.TotalAdmLocal)*CRONO!$E46,0),Y45*$R44),SUMIF(OFFSET($R46,1,0,$Q44-2),($L44+1)&amp;"$",OFFSET(Y46,1,0,$Q44-2)))</f>
        <v>0</v>
      </c>
      <c r="Z46" s="223">
        <f ca="1">IF($Q44=2,IF(AND(ACOMPANHAMENTO="PLE",ISNUMBER($E44)),SUMIF((OFFSET(CÁLCULO!$AM$15:$AW$15,$E44,0,OFFSET(ORÇAMENTO!$D$15,CRONO!$E44,0))),"="&amp;CRONO!Z$12,OFFSET(CÁLCULO!$AB$15:$AL$15,$E44,0,OFFSET(ORÇAMENTO!$D$15,CRONO!$E44,0)))+IF(AND($E46&lt;&gt;"",$E46&lt;&gt;0),SUMIF(CÁLCULO!$AM$15:$AW$290,"="&amp;CRONO!Z$12,CÁLCULO!$AB$15:$AL$290)/(ORÇAMENTO!$X$15-CÁLCULO.TotalAdmLocal)*CRONO!$E46,0),Z45*$R44),SUMIF(OFFSET($R46,1,0,$Q44-2),($L44+1)&amp;"$",OFFSET(Z46,1,0,$Q44-2)))</f>
        <v>0</v>
      </c>
      <c r="AA46" s="223">
        <f ca="1">IF($Q44=2,IF(AND(ACOMPANHAMENTO="PLE",ISNUMBER($E44)),SUMIF((OFFSET(CÁLCULO!$AM$15:$AW$15,$E44,0,OFFSET(ORÇAMENTO!$D$15,CRONO!$E44,0))),"="&amp;CRONO!AA$12,OFFSET(CÁLCULO!$AB$15:$AL$15,$E44,0,OFFSET(ORÇAMENTO!$D$15,CRONO!$E44,0)))+IF(AND($E46&lt;&gt;"",$E46&lt;&gt;0),SUMIF(CÁLCULO!$AM$15:$AW$290,"="&amp;CRONO!AA$12,CÁLCULO!$AB$15:$AL$290)/(ORÇAMENTO!$X$15-CÁLCULO.TotalAdmLocal)*CRONO!$E46,0),AA45*$R44),SUMIF(OFFSET($R46,1,0,$Q44-2),($L44+1)&amp;"$",OFFSET(AA46,1,0,$Q44-2)))</f>
        <v>0</v>
      </c>
      <c r="AB46" s="223">
        <f ca="1">IF($Q44=2,IF(AND(ACOMPANHAMENTO="PLE",ISNUMBER($E44)),SUMIF((OFFSET(CÁLCULO!$AM$15:$AW$15,$E44,0,OFFSET(ORÇAMENTO!$D$15,CRONO!$E44,0))),"="&amp;CRONO!AB$12,OFFSET(CÁLCULO!$AB$15:$AL$15,$E44,0,OFFSET(ORÇAMENTO!$D$15,CRONO!$E44,0)))+IF(AND($E46&lt;&gt;"",$E46&lt;&gt;0),SUMIF(CÁLCULO!$AM$15:$AW$290,"="&amp;CRONO!AB$12,CÁLCULO!$AB$15:$AL$290)/(ORÇAMENTO!$X$15-CÁLCULO.TotalAdmLocal)*CRONO!$E46,0),AB45*$R44),SUMIF(OFFSET($R46,1,0,$Q44-2),($L44+1)&amp;"$",OFFSET(AB46,1,0,$Q44-2)))</f>
        <v>0</v>
      </c>
      <c r="AC46" s="223">
        <f ca="1">IF($Q44=2,IF(AND(ACOMPANHAMENTO="PLE",ISNUMBER($E44)),SUMIF((OFFSET(CÁLCULO!$AM$15:$AW$15,$E44,0,OFFSET(ORÇAMENTO!$D$15,CRONO!$E44,0))),"="&amp;CRONO!AC$12,OFFSET(CÁLCULO!$AB$15:$AL$15,$E44,0,OFFSET(ORÇAMENTO!$D$15,CRONO!$E44,0)))+IF(AND($E46&lt;&gt;"",$E46&lt;&gt;0),SUMIF(CÁLCULO!$AM$15:$AW$290,"="&amp;CRONO!AC$12,CÁLCULO!$AB$15:$AL$290)/(ORÇAMENTO!$X$15-CÁLCULO.TotalAdmLocal)*CRONO!$E46,0),AC45*$R44),SUMIF(OFFSET($R46,1,0,$Q44-2),($L44+1)&amp;"$",OFFSET(AC46,1,0,$Q44-2)))</f>
        <v>0</v>
      </c>
      <c r="AD46" s="223">
        <f ca="1">IF($Q44=2,IF(AND(ACOMPANHAMENTO="PLE",ISNUMBER($E44)),SUMIF((OFFSET(CÁLCULO!$AM$15:$AW$15,$E44,0,OFFSET(ORÇAMENTO!$D$15,CRONO!$E44,0))),"="&amp;CRONO!AD$12,OFFSET(CÁLCULO!$AB$15:$AL$15,$E44,0,OFFSET(ORÇAMENTO!$D$15,CRONO!$E44,0)))+IF(AND($E46&lt;&gt;"",$E46&lt;&gt;0),SUMIF(CÁLCULO!$AM$15:$AW$290,"="&amp;CRONO!AD$12,CÁLCULO!$AB$15:$AL$290)/(ORÇAMENTO!$X$15-CÁLCULO.TotalAdmLocal)*CRONO!$E46,0),AD45*$R44),SUMIF(OFFSET($R46,1,0,$Q44-2),($L44+1)&amp;"$",OFFSET(AD46,1,0,$Q44-2)))</f>
        <v>0</v>
      </c>
      <c r="AE46" s="228">
        <f ca="1">IF($Q44=2,IF(AND(ACOMPANHAMENTO="PLE",ISNUMBER($E44)),SUMIF((OFFSET(CÁLCULO!$AM$15:$AW$15,$E44,0,OFFSET(ORÇAMENTO!$D$15,CRONO!$E44,0))),"="&amp;CRONO!AE$12,OFFSET(CÁLCULO!$AB$15:$AL$15,$E44,0,OFFSET(ORÇAMENTO!$D$15,CRONO!$E44,0)))+IF(AND($E46&lt;&gt;"",$E46&lt;&gt;0),SUMIF(CÁLCULO!$AM$15:$AW$290,"="&amp;CRONO!AE$12,CÁLCULO!$AB$15:$AL$290)/(ORÇAMENTO!$X$15-CÁLCULO.TotalAdmLocal)*CRONO!$E46,0),AE45*$R44),SUMIF(OFFSET($R46,1,0,$Q44-2),($L44+1)&amp;"$",OFFSET(AE46,1,0,$Q44-2)))</f>
        <v>0</v>
      </c>
    </row>
    <row r="47" spans="1:32" x14ac:dyDescent="0.2">
      <c r="A47" s="204">
        <f t="shared" ref="A47" ca="1" si="80">OFFSET(A47,-3,0)+1</f>
        <v>12</v>
      </c>
      <c r="B47" s="204">
        <f ca="1">IF($Q47&lt;&gt;2,0,IF($R47=0,1,IF(E48&gt;0,OFFSET(QCI!$M$13,SUBSTITUTE(E48,".",""),0),OFFSET(ORÇAMENTO!$AA$15,CRONO!$E47,0))/$R47))</f>
        <v>1</v>
      </c>
      <c r="C47" s="204">
        <f ca="1">IF($Q47&lt;&gt;2,0,IF($R47=0,1,IF(E48&gt;0,OFFSET(QCI!$N$13,SUBSTITUTE(E48,".",""),0),OFFSET(ORÇAMENTO!$AB$15,CRONO!$E47,0))/$R47))</f>
        <v>0</v>
      </c>
      <c r="D47" s="207">
        <f ca="1">IF(AND($Q47=2,ACOMPANHAMENTO="BM"),D48,D49/$R47)</f>
        <v>0</v>
      </c>
      <c r="E47" s="204">
        <f ca="1">IF(A47&lt;=ORÇAMENTO.MáximoListaCrono,MATCH(A47,ORÇAMENTO.ListaCrono,0),NA())</f>
        <v>87</v>
      </c>
      <c r="F47" s="204" t="str">
        <f t="shared" ref="F47" ca="1" si="81">IF(AND($E48&lt;&gt;-1,$R47&gt;0),"F","")</f>
        <v>F</v>
      </c>
      <c r="G47" s="208">
        <f ca="1">IF(OR(R47=0,R47=""),"Linha",IF(AND(OR(ACOMPANHAMENTO="PLE",$Q47&lt;&gt;2),$E48=0),"Linha",1-SUM(T47:AF47)))</f>
        <v>0</v>
      </c>
      <c r="H47" s="209" t="str">
        <f ca="1">IF($E48=0,OFFSET(ORÇAMENTO!O$15,$E47,0),IF($E48&lt;&gt;-1,OFFSET(QCI!$D$13,$E48,0),""))</f>
        <v>1.6.3.</v>
      </c>
      <c r="I47" s="210" t="str">
        <f ca="1">IF($E48=0,OFFSET(ORÇAMENTO!R$15,$E47,0),IF($E48&lt;&gt;-1,OFFSET(QCI!$G$13,$E48,0),""))</f>
        <v>IMPERMEABILIZAÇÃO</v>
      </c>
      <c r="J47" s="210"/>
      <c r="K47" s="210"/>
      <c r="L47" s="211">
        <f ca="1">IF($E48=0,OFFSET(ORÇAMENTO!C$15,$E47,0),1)</f>
        <v>3</v>
      </c>
      <c r="M47" s="212">
        <f ca="1">IF($E48=-1,0,IF(M$13&lt;=$L47,IF(ISERROR(MATCH(M$13,OFFSET($L47,1,0,ROW($L$116)-ROW($L47)-1),0)),ROW($L$116)-ROW($L47)-1,MATCH(M$13,OFFSET($L47,1,0,ROW($L$116)-ROW($L47)-1),0)-1),0))</f>
        <v>68</v>
      </c>
      <c r="N47" s="212">
        <f ca="1">IF($E48=-1,0,IF(N$13&lt;=$L47,IF(ISERROR(MATCH(N$13,OFFSET($L47,1,0,ROW($L$116)-ROW($L47)-1),0)),ROW($L$116)-ROW($L47)-1,MATCH(N$13,OFFSET($L47,1,0,ROW($L$116)-ROW($L47)-1),0)-1),0))</f>
        <v>47</v>
      </c>
      <c r="O47" s="212">
        <f ca="1">IF($E48=-1,0,IF(O$13&lt;=$L47,IF(ISERROR(MATCH(O$13,OFFSET($L47,1,0,ROW($L$116)-ROW($L47)-1),0)),ROW($L$116)-ROW($L47)-1,MATCH(O$13,OFFSET($L47,1,0,ROW($L$116)-ROW($L47)-1),0)-1),0))</f>
        <v>2</v>
      </c>
      <c r="P47" s="212">
        <f ca="1">IF($E48=-1,0,IF(P$13&lt;=$L47,IF(ISERROR(MATCH(P$13,OFFSET($L47,1,0,ROW($L$116)-ROW($L47)-1),0)),ROW($L$116)-ROW($L47)-1,MATCH(P$13,OFFSET($L47,1,0,ROW($L$116)-ROW($L47)-1),0)-1),0))</f>
        <v>0</v>
      </c>
      <c r="Q47" s="212">
        <f t="shared" ref="Q47" ca="1" si="82">MIN(OFFSET(L47,0,1,,L47))</f>
        <v>2</v>
      </c>
      <c r="R47" s="213">
        <f ca="1">IF($E48=0,OFFSET(ORÇAMENTO!X$15,$E47,0),IF($E48&lt;&gt;-1,OFFSET(QCI!$O$13,$E48,0),""))</f>
        <v>187.65</v>
      </c>
      <c r="S47" s="214" t="s">
        <v>270</v>
      </c>
      <c r="T47" s="215">
        <f t="shared" ref="T47:AE47" ca="1" si="83">IF(AND($Q47=2,ACOMPANHAMENTO="BM"),T48,T49/$R47)</f>
        <v>0</v>
      </c>
      <c r="U47" s="207">
        <f t="shared" ca="1" si="83"/>
        <v>1</v>
      </c>
      <c r="V47" s="207">
        <f t="shared" ca="1" si="83"/>
        <v>0</v>
      </c>
      <c r="W47" s="207">
        <f t="shared" ca="1" si="83"/>
        <v>0</v>
      </c>
      <c r="X47" s="207">
        <f t="shared" ca="1" si="83"/>
        <v>0</v>
      </c>
      <c r="Y47" s="207">
        <f t="shared" ca="1" si="83"/>
        <v>0</v>
      </c>
      <c r="Z47" s="207">
        <f t="shared" ca="1" si="83"/>
        <v>0</v>
      </c>
      <c r="AA47" s="207">
        <f t="shared" ca="1" si="83"/>
        <v>0</v>
      </c>
      <c r="AB47" s="207">
        <f t="shared" ca="1" si="83"/>
        <v>0</v>
      </c>
      <c r="AC47" s="207">
        <f t="shared" ca="1" si="83"/>
        <v>0</v>
      </c>
      <c r="AD47" s="207">
        <f t="shared" ca="1" si="83"/>
        <v>0</v>
      </c>
      <c r="AE47" s="216">
        <f t="shared" ca="1" si="83"/>
        <v>0</v>
      </c>
    </row>
    <row r="48" spans="1:32" ht="12.75" customHeight="1" x14ac:dyDescent="0.2">
      <c r="D48" s="569"/>
      <c r="E48" s="204">
        <f ca="1">IF(ISERROR(E47),IF(1+COUNTIF($L$13:OFFSET(L47,-1,0),1)&lt;=MAX(QCI!$D$13:$D$24),1+COUNTIF($L$13:OFFSET(L47,-1,0),1),-1),0)</f>
        <v>0</v>
      </c>
      <c r="F48" s="204" t="str">
        <f t="shared" ref="F48" ca="1" si="84">IF(AND($E48&lt;&gt;-1,$R47&gt;0),"F","")</f>
        <v>F</v>
      </c>
      <c r="G48" s="217" t="str">
        <f ca="1">IF(OR(R47=0,R47=""),"vazia",IF(AND(OR(ACOMPANHAMENTO="PLE",$Q47&lt;&gt;2),$E48=0),"calculada","--&gt;"))</f>
        <v>--&gt;</v>
      </c>
      <c r="H48" s="218"/>
      <c r="I48" s="219" t="str">
        <f t="shared" ref="I48" ca="1" si="85">IF(AND(G47&lt;&gt;0,ISNUMBER(G47)),"PREENCHA ESTA LINHA --&gt;","")</f>
        <v/>
      </c>
      <c r="J48" s="219"/>
      <c r="K48" s="219"/>
      <c r="L48" s="220"/>
      <c r="M48" s="220"/>
      <c r="N48" s="220"/>
      <c r="O48" s="220"/>
      <c r="P48" s="220"/>
      <c r="Q48" s="220"/>
      <c r="R48" s="221"/>
      <c r="S48" s="222"/>
      <c r="T48" s="570"/>
      <c r="U48" s="569">
        <v>1</v>
      </c>
      <c r="V48" s="569"/>
      <c r="W48" s="569"/>
      <c r="X48" s="569"/>
      <c r="Y48" s="569"/>
      <c r="Z48" s="569"/>
      <c r="AA48" s="569"/>
      <c r="AB48" s="569"/>
      <c r="AC48" s="569"/>
      <c r="AD48" s="569"/>
      <c r="AE48" s="571"/>
      <c r="AF48" s="533"/>
    </row>
    <row r="49" spans="1:32" ht="0.2" hidden="1" customHeight="1" x14ac:dyDescent="0.2">
      <c r="D49" s="223">
        <f ca="1">IF($Q47=2,IF(AND(ACOMPANHAMENTO="PLE",ISNUMBER($E47)),SUMIF((OFFSET(CÁLCULO!$AM$15:$AW$15,$E47,0,OFFSET(ORÇAMENTO!$D$15,CRONO!$E47,0))),"="&amp;CRONO!D$12,OFFSET(CÁLCULO!$AB$15:$AL$15,$E47,0,OFFSET(ORÇAMENTO!$D$15,CRONO!$E47,0)))+IF(AND($E49&lt;&gt;"",$E49&lt;&gt;0),SUMIF(CÁLCULO!$AM$15:$AW$290,"="&amp;CRONO!D$12,CÁLCULO!$AB$15:$AL$290)/(ORÇAMENTO!$X$15-CÁLCULO.TotalAdmLocal)*CRONO!$E49,0),D48*$R47),SUMIF(OFFSET($R49,1,0,$Q47-2),($L47+1)&amp;"$",OFFSET(D49,1,0,$Q47-2)))</f>
        <v>0</v>
      </c>
      <c r="E49" s="204" t="str">
        <f ca="1">IF(OR($Q47&lt;&gt;2,AUTOEVENTO&lt;&gt;"manual",$E48&gt;0),"",SUMIF(OFFSET(CÁLCULO!$M$15,CRONO!$E47,0,OFFSET(ORÇAMENTO!$D$15,CRONO!$E47,0)),1,OFFSET(ORÇAMENTO!$X$15,CRONO!$E47,0,OFFSET(ORÇAMENTO!$D$15,CRONO!$E47,0))))</f>
        <v/>
      </c>
      <c r="G49" s="224"/>
      <c r="R49" s="225" t="str">
        <f t="shared" ref="R49" ca="1" si="86">L47&amp;"$"</f>
        <v>3$</v>
      </c>
      <c r="S49" s="226"/>
      <c r="T49" s="227">
        <f ca="1">IF($Q47=2,IF(AND(ACOMPANHAMENTO="PLE",ISNUMBER($E47)),SUMIF((OFFSET(CÁLCULO!$AM$15:$AW$15,$E47,0,OFFSET(ORÇAMENTO!$D$15,CRONO!$E47,0))),"&lt;="&amp;CRONO!T$12,OFFSET(CÁLCULO!$AB$15:$AL$15,$E47,0,OFFSET(ORÇAMENTO!$D$15,CRONO!$E47,0)))+IF(AND($E49&lt;&gt;"",$E49&lt;&gt;0),SUMIF(CÁLCULO!$AM$15:$AW$290,"&lt;="&amp;CRONO!T$12,CÁLCULO!$AB$15:$AL$290)/(ORÇAMENTO!$X$15-CÁLCULO.TotalAdmLocal)*CRONO!$E49,0),T48*$R47),SUMIF(OFFSET($R49,1,0,$Q47-2),($L47+1)&amp;"$",OFFSET(T49,1,0,$Q47-2)))</f>
        <v>0</v>
      </c>
      <c r="U49" s="223">
        <f ca="1">IF($Q47=2,IF(AND(ACOMPANHAMENTO="PLE",ISNUMBER($E47)),SUMIF((OFFSET(CÁLCULO!$AM$15:$AW$15,$E47,0,OFFSET(ORÇAMENTO!$D$15,CRONO!$E47,0))),"="&amp;CRONO!U$12,OFFSET(CÁLCULO!$AB$15:$AL$15,$E47,0,OFFSET(ORÇAMENTO!$D$15,CRONO!$E47,0)))+IF(AND($E49&lt;&gt;"",$E49&lt;&gt;0),SUMIF(CÁLCULO!$AM$15:$AW$290,"="&amp;CRONO!U$12,CÁLCULO!$AB$15:$AL$290)/(ORÇAMENTO!$X$15-CÁLCULO.TotalAdmLocal)*CRONO!$E49,0),U48*$R47),SUMIF(OFFSET($R49,1,0,$Q47-2),($L47+1)&amp;"$",OFFSET(U49,1,0,$Q47-2)))</f>
        <v>187.65</v>
      </c>
      <c r="V49" s="223">
        <f ca="1">IF($Q47=2,IF(AND(ACOMPANHAMENTO="PLE",ISNUMBER($E47)),SUMIF((OFFSET(CÁLCULO!$AM$15:$AW$15,$E47,0,OFFSET(ORÇAMENTO!$D$15,CRONO!$E47,0))),"="&amp;CRONO!V$12,OFFSET(CÁLCULO!$AB$15:$AL$15,$E47,0,OFFSET(ORÇAMENTO!$D$15,CRONO!$E47,0)))+IF(AND($E49&lt;&gt;"",$E49&lt;&gt;0),SUMIF(CÁLCULO!$AM$15:$AW$290,"="&amp;CRONO!V$12,CÁLCULO!$AB$15:$AL$290)/(ORÇAMENTO!$X$15-CÁLCULO.TotalAdmLocal)*CRONO!$E49,0),V48*$R47),SUMIF(OFFSET($R49,1,0,$Q47-2),($L47+1)&amp;"$",OFFSET(V49,1,0,$Q47-2)))</f>
        <v>0</v>
      </c>
      <c r="W49" s="223">
        <f ca="1">IF($Q47=2,IF(AND(ACOMPANHAMENTO="PLE",ISNUMBER($E47)),SUMIF((OFFSET(CÁLCULO!$AM$15:$AW$15,$E47,0,OFFSET(ORÇAMENTO!$D$15,CRONO!$E47,0))),"="&amp;CRONO!W$12,OFFSET(CÁLCULO!$AB$15:$AL$15,$E47,0,OFFSET(ORÇAMENTO!$D$15,CRONO!$E47,0)))+IF(AND($E49&lt;&gt;"",$E49&lt;&gt;0),SUMIF(CÁLCULO!$AM$15:$AW$290,"="&amp;CRONO!W$12,CÁLCULO!$AB$15:$AL$290)/(ORÇAMENTO!$X$15-CÁLCULO.TotalAdmLocal)*CRONO!$E49,0),W48*$R47),SUMIF(OFFSET($R49,1,0,$Q47-2),($L47+1)&amp;"$",OFFSET(W49,1,0,$Q47-2)))</f>
        <v>0</v>
      </c>
      <c r="X49" s="223">
        <f ca="1">IF($Q47=2,IF(AND(ACOMPANHAMENTO="PLE",ISNUMBER($E47)),SUMIF((OFFSET(CÁLCULO!$AM$15:$AW$15,$E47,0,OFFSET(ORÇAMENTO!$D$15,CRONO!$E47,0))),"="&amp;CRONO!X$12,OFFSET(CÁLCULO!$AB$15:$AL$15,$E47,0,OFFSET(ORÇAMENTO!$D$15,CRONO!$E47,0)))+IF(AND($E49&lt;&gt;"",$E49&lt;&gt;0),SUMIF(CÁLCULO!$AM$15:$AW$290,"="&amp;CRONO!X$12,CÁLCULO!$AB$15:$AL$290)/(ORÇAMENTO!$X$15-CÁLCULO.TotalAdmLocal)*CRONO!$E49,0),X48*$R47),SUMIF(OFFSET($R49,1,0,$Q47-2),($L47+1)&amp;"$",OFFSET(X49,1,0,$Q47-2)))</f>
        <v>0</v>
      </c>
      <c r="Y49" s="223">
        <f ca="1">IF($Q47=2,IF(AND(ACOMPANHAMENTO="PLE",ISNUMBER($E47)),SUMIF((OFFSET(CÁLCULO!$AM$15:$AW$15,$E47,0,OFFSET(ORÇAMENTO!$D$15,CRONO!$E47,0))),"="&amp;CRONO!Y$12,OFFSET(CÁLCULO!$AB$15:$AL$15,$E47,0,OFFSET(ORÇAMENTO!$D$15,CRONO!$E47,0)))+IF(AND($E49&lt;&gt;"",$E49&lt;&gt;0),SUMIF(CÁLCULO!$AM$15:$AW$290,"="&amp;CRONO!Y$12,CÁLCULO!$AB$15:$AL$290)/(ORÇAMENTO!$X$15-CÁLCULO.TotalAdmLocal)*CRONO!$E49,0),Y48*$R47),SUMIF(OFFSET($R49,1,0,$Q47-2),($L47+1)&amp;"$",OFFSET(Y49,1,0,$Q47-2)))</f>
        <v>0</v>
      </c>
      <c r="Z49" s="223">
        <f ca="1">IF($Q47=2,IF(AND(ACOMPANHAMENTO="PLE",ISNUMBER($E47)),SUMIF((OFFSET(CÁLCULO!$AM$15:$AW$15,$E47,0,OFFSET(ORÇAMENTO!$D$15,CRONO!$E47,0))),"="&amp;CRONO!Z$12,OFFSET(CÁLCULO!$AB$15:$AL$15,$E47,0,OFFSET(ORÇAMENTO!$D$15,CRONO!$E47,0)))+IF(AND($E49&lt;&gt;"",$E49&lt;&gt;0),SUMIF(CÁLCULO!$AM$15:$AW$290,"="&amp;CRONO!Z$12,CÁLCULO!$AB$15:$AL$290)/(ORÇAMENTO!$X$15-CÁLCULO.TotalAdmLocal)*CRONO!$E49,0),Z48*$R47),SUMIF(OFFSET($R49,1,0,$Q47-2),($L47+1)&amp;"$",OFFSET(Z49,1,0,$Q47-2)))</f>
        <v>0</v>
      </c>
      <c r="AA49" s="223">
        <f ca="1">IF($Q47=2,IF(AND(ACOMPANHAMENTO="PLE",ISNUMBER($E47)),SUMIF((OFFSET(CÁLCULO!$AM$15:$AW$15,$E47,0,OFFSET(ORÇAMENTO!$D$15,CRONO!$E47,0))),"="&amp;CRONO!AA$12,OFFSET(CÁLCULO!$AB$15:$AL$15,$E47,0,OFFSET(ORÇAMENTO!$D$15,CRONO!$E47,0)))+IF(AND($E49&lt;&gt;"",$E49&lt;&gt;0),SUMIF(CÁLCULO!$AM$15:$AW$290,"="&amp;CRONO!AA$12,CÁLCULO!$AB$15:$AL$290)/(ORÇAMENTO!$X$15-CÁLCULO.TotalAdmLocal)*CRONO!$E49,0),AA48*$R47),SUMIF(OFFSET($R49,1,0,$Q47-2),($L47+1)&amp;"$",OFFSET(AA49,1,0,$Q47-2)))</f>
        <v>0</v>
      </c>
      <c r="AB49" s="223">
        <f ca="1">IF($Q47=2,IF(AND(ACOMPANHAMENTO="PLE",ISNUMBER($E47)),SUMIF((OFFSET(CÁLCULO!$AM$15:$AW$15,$E47,0,OFFSET(ORÇAMENTO!$D$15,CRONO!$E47,0))),"="&amp;CRONO!AB$12,OFFSET(CÁLCULO!$AB$15:$AL$15,$E47,0,OFFSET(ORÇAMENTO!$D$15,CRONO!$E47,0)))+IF(AND($E49&lt;&gt;"",$E49&lt;&gt;0),SUMIF(CÁLCULO!$AM$15:$AW$290,"="&amp;CRONO!AB$12,CÁLCULO!$AB$15:$AL$290)/(ORÇAMENTO!$X$15-CÁLCULO.TotalAdmLocal)*CRONO!$E49,0),AB48*$R47),SUMIF(OFFSET($R49,1,0,$Q47-2),($L47+1)&amp;"$",OFFSET(AB49,1,0,$Q47-2)))</f>
        <v>0</v>
      </c>
      <c r="AC49" s="223">
        <f ca="1">IF($Q47=2,IF(AND(ACOMPANHAMENTO="PLE",ISNUMBER($E47)),SUMIF((OFFSET(CÁLCULO!$AM$15:$AW$15,$E47,0,OFFSET(ORÇAMENTO!$D$15,CRONO!$E47,0))),"="&amp;CRONO!AC$12,OFFSET(CÁLCULO!$AB$15:$AL$15,$E47,0,OFFSET(ORÇAMENTO!$D$15,CRONO!$E47,0)))+IF(AND($E49&lt;&gt;"",$E49&lt;&gt;0),SUMIF(CÁLCULO!$AM$15:$AW$290,"="&amp;CRONO!AC$12,CÁLCULO!$AB$15:$AL$290)/(ORÇAMENTO!$X$15-CÁLCULO.TotalAdmLocal)*CRONO!$E49,0),AC48*$R47),SUMIF(OFFSET($R49,1,0,$Q47-2),($L47+1)&amp;"$",OFFSET(AC49,1,0,$Q47-2)))</f>
        <v>0</v>
      </c>
      <c r="AD49" s="223">
        <f ca="1">IF($Q47=2,IF(AND(ACOMPANHAMENTO="PLE",ISNUMBER($E47)),SUMIF((OFFSET(CÁLCULO!$AM$15:$AW$15,$E47,0,OFFSET(ORÇAMENTO!$D$15,CRONO!$E47,0))),"="&amp;CRONO!AD$12,OFFSET(CÁLCULO!$AB$15:$AL$15,$E47,0,OFFSET(ORÇAMENTO!$D$15,CRONO!$E47,0)))+IF(AND($E49&lt;&gt;"",$E49&lt;&gt;0),SUMIF(CÁLCULO!$AM$15:$AW$290,"="&amp;CRONO!AD$12,CÁLCULO!$AB$15:$AL$290)/(ORÇAMENTO!$X$15-CÁLCULO.TotalAdmLocal)*CRONO!$E49,0),AD48*$R47),SUMIF(OFFSET($R49,1,0,$Q47-2),($L47+1)&amp;"$",OFFSET(AD49,1,0,$Q47-2)))</f>
        <v>0</v>
      </c>
      <c r="AE49" s="228">
        <f ca="1">IF($Q47=2,IF(AND(ACOMPANHAMENTO="PLE",ISNUMBER($E47)),SUMIF((OFFSET(CÁLCULO!$AM$15:$AW$15,$E47,0,OFFSET(ORÇAMENTO!$D$15,CRONO!$E47,0))),"="&amp;CRONO!AE$12,OFFSET(CÁLCULO!$AB$15:$AL$15,$E47,0,OFFSET(ORÇAMENTO!$D$15,CRONO!$E47,0)))+IF(AND($E49&lt;&gt;"",$E49&lt;&gt;0),SUMIF(CÁLCULO!$AM$15:$AW$290,"="&amp;CRONO!AE$12,CÁLCULO!$AB$15:$AL$290)/(ORÇAMENTO!$X$15-CÁLCULO.TotalAdmLocal)*CRONO!$E49,0),AE48*$R47),SUMIF(OFFSET($R49,1,0,$Q47-2),($L47+1)&amp;"$",OFFSET(AE49,1,0,$Q47-2)))</f>
        <v>0</v>
      </c>
    </row>
    <row r="50" spans="1:32" x14ac:dyDescent="0.2">
      <c r="A50" s="204">
        <f t="shared" ref="A50" ca="1" si="87">OFFSET(A50,-3,0)+1</f>
        <v>13</v>
      </c>
      <c r="B50" s="204">
        <f ca="1">IF($Q50&lt;&gt;2,0,IF($R50=0,1,IF(E51&gt;0,OFFSET(QCI!$M$13,SUBSTITUTE(E51,".",""),0),OFFSET(ORÇAMENTO!$AA$15,CRONO!$E50,0))/$R50))</f>
        <v>1</v>
      </c>
      <c r="C50" s="204">
        <f ca="1">IF($Q50&lt;&gt;2,0,IF($R50=0,1,IF(E51&gt;0,OFFSET(QCI!$N$13,SUBSTITUTE(E51,".",""),0),OFFSET(ORÇAMENTO!$AB$15,CRONO!$E50,0))/$R50))</f>
        <v>0</v>
      </c>
      <c r="D50" s="207">
        <f ca="1">IF(AND($Q50=2,ACOMPANHAMENTO="BM"),D51,D52/$R50)</f>
        <v>0</v>
      </c>
      <c r="E50" s="204">
        <f ca="1">IF(A50&lt;=ORÇAMENTO.MáximoListaCrono,MATCH(A50,ORÇAMENTO.ListaCrono,0),NA())</f>
        <v>89</v>
      </c>
      <c r="F50" s="204" t="str">
        <f t="shared" ref="F50" ca="1" si="88">IF(AND($E51&lt;&gt;-1,$R50&gt;0),"F","")</f>
        <v>F</v>
      </c>
      <c r="G50" s="208">
        <f ca="1">IF(OR(R50=0,R50=""),"Linha",IF(AND(OR(ACOMPANHAMENTO="PLE",$Q50&lt;&gt;2),$E51=0),"Linha",1-SUM(T50:AF50)))</f>
        <v>0</v>
      </c>
      <c r="H50" s="209" t="str">
        <f ca="1">IF($E51=0,OFFSET(ORÇAMENTO!O$15,$E50,0),IF($E51&lt;&gt;-1,OFFSET(QCI!$D$13,$E51,0),""))</f>
        <v>1.6.4.</v>
      </c>
      <c r="I50" s="210" t="str">
        <f ca="1">IF($E51=0,OFFSET(ORÇAMENTO!R$15,$E50,0),IF($E51&lt;&gt;-1,OFFSET(QCI!$G$13,$E51,0),""))</f>
        <v>ARRANQUE DE PILARES</v>
      </c>
      <c r="J50" s="210"/>
      <c r="K50" s="210"/>
      <c r="L50" s="211">
        <f ca="1">IF($E51=0,OFFSET(ORÇAMENTO!C$15,$E50,0),1)</f>
        <v>3</v>
      </c>
      <c r="M50" s="212">
        <f ca="1">IF($E51=-1,0,IF(M$13&lt;=$L50,IF(ISERROR(MATCH(M$13,OFFSET($L50,1,0,ROW($L$116)-ROW($L50)-1),0)),ROW($L$116)-ROW($L50)-1,MATCH(M$13,OFFSET($L50,1,0,ROW($L$116)-ROW($L50)-1),0)-1),0))</f>
        <v>65</v>
      </c>
      <c r="N50" s="212">
        <f ca="1">IF($E51=-1,0,IF(N$13&lt;=$L50,IF(ISERROR(MATCH(N$13,OFFSET($L50,1,0,ROW($L$116)-ROW($L50)-1),0)),ROW($L$116)-ROW($L50)-1,MATCH(N$13,OFFSET($L50,1,0,ROW($L$116)-ROW($L50)-1),0)-1),0))</f>
        <v>44</v>
      </c>
      <c r="O50" s="212">
        <f ca="1">IF($E51=-1,0,IF(O$13&lt;=$L50,IF(ISERROR(MATCH(O$13,OFFSET($L50,1,0,ROW($L$116)-ROW($L50)-1),0)),ROW($L$116)-ROW($L50)-1,MATCH(O$13,OFFSET($L50,1,0,ROW($L$116)-ROW($L50)-1),0)-1),0))</f>
        <v>2</v>
      </c>
      <c r="P50" s="212">
        <f ca="1">IF($E51=-1,0,IF(P$13&lt;=$L50,IF(ISERROR(MATCH(P$13,OFFSET($L50,1,0,ROW($L$116)-ROW($L50)-1),0)),ROW($L$116)-ROW($L50)-1,MATCH(P$13,OFFSET($L50,1,0,ROW($L$116)-ROW($L50)-1),0)-1),0))</f>
        <v>0</v>
      </c>
      <c r="Q50" s="212">
        <f t="shared" ref="Q50" ca="1" si="89">MIN(OFFSET(L50,0,1,,L50))</f>
        <v>2</v>
      </c>
      <c r="R50" s="213">
        <f ca="1">IF($E51=0,OFFSET(ORÇAMENTO!X$15,$E50,0),IF($E51&lt;&gt;-1,OFFSET(QCI!$O$13,$E51,0),""))</f>
        <v>530.88</v>
      </c>
      <c r="S50" s="214" t="s">
        <v>270</v>
      </c>
      <c r="T50" s="215">
        <f t="shared" ref="T50:AE50" ca="1" si="90">IF(AND($Q50=2,ACOMPANHAMENTO="BM"),T51,T52/$R50)</f>
        <v>0</v>
      </c>
      <c r="U50" s="207">
        <f t="shared" ca="1" si="90"/>
        <v>0</v>
      </c>
      <c r="V50" s="207">
        <f t="shared" ca="1" si="90"/>
        <v>1</v>
      </c>
      <c r="W50" s="207">
        <f t="shared" ca="1" si="90"/>
        <v>0</v>
      </c>
      <c r="X50" s="207">
        <f t="shared" ca="1" si="90"/>
        <v>0</v>
      </c>
      <c r="Y50" s="207">
        <f t="shared" ca="1" si="90"/>
        <v>0</v>
      </c>
      <c r="Z50" s="207">
        <f t="shared" ca="1" si="90"/>
        <v>0</v>
      </c>
      <c r="AA50" s="207">
        <f t="shared" ca="1" si="90"/>
        <v>0</v>
      </c>
      <c r="AB50" s="207">
        <f t="shared" ca="1" si="90"/>
        <v>0</v>
      </c>
      <c r="AC50" s="207">
        <f t="shared" ca="1" si="90"/>
        <v>0</v>
      </c>
      <c r="AD50" s="207">
        <f t="shared" ca="1" si="90"/>
        <v>0</v>
      </c>
      <c r="AE50" s="216">
        <f t="shared" ca="1" si="90"/>
        <v>0</v>
      </c>
    </row>
    <row r="51" spans="1:32" ht="12.75" customHeight="1" x14ac:dyDescent="0.2">
      <c r="D51" s="569"/>
      <c r="E51" s="204">
        <f ca="1">IF(ISERROR(E50),IF(1+COUNTIF($L$13:OFFSET(L50,-1,0),1)&lt;=MAX(QCI!$D$13:$D$24),1+COUNTIF($L$13:OFFSET(L50,-1,0),1),-1),0)</f>
        <v>0</v>
      </c>
      <c r="F51" s="204" t="str">
        <f t="shared" ref="F51" ca="1" si="91">IF(AND($E51&lt;&gt;-1,$R50&gt;0),"F","")</f>
        <v>F</v>
      </c>
      <c r="G51" s="217" t="str">
        <f ca="1">IF(OR(R50=0,R50=""),"vazia",IF(AND(OR(ACOMPANHAMENTO="PLE",$Q50&lt;&gt;2),$E51=0),"calculada","--&gt;"))</f>
        <v>--&gt;</v>
      </c>
      <c r="H51" s="218"/>
      <c r="I51" s="219" t="str">
        <f t="shared" ref="I51" ca="1" si="92">IF(AND(G50&lt;&gt;0,ISNUMBER(G50)),"PREENCHA ESTA LINHA --&gt;","")</f>
        <v/>
      </c>
      <c r="J51" s="219"/>
      <c r="K51" s="219"/>
      <c r="L51" s="220"/>
      <c r="M51" s="220"/>
      <c r="N51" s="220"/>
      <c r="O51" s="220"/>
      <c r="P51" s="220"/>
      <c r="Q51" s="220"/>
      <c r="R51" s="221"/>
      <c r="S51" s="222"/>
      <c r="T51" s="570"/>
      <c r="U51" s="569"/>
      <c r="V51" s="569">
        <v>1</v>
      </c>
      <c r="W51" s="569"/>
      <c r="X51" s="569"/>
      <c r="Y51" s="569"/>
      <c r="Z51" s="569"/>
      <c r="AA51" s="569"/>
      <c r="AB51" s="569"/>
      <c r="AC51" s="569"/>
      <c r="AD51" s="569"/>
      <c r="AE51" s="571"/>
      <c r="AF51" s="533"/>
    </row>
    <row r="52" spans="1:32" ht="0.2" hidden="1" customHeight="1" x14ac:dyDescent="0.2">
      <c r="D52" s="223">
        <f ca="1">IF($Q50=2,IF(AND(ACOMPANHAMENTO="PLE",ISNUMBER($E50)),SUMIF((OFFSET(CÁLCULO!$AM$15:$AW$15,$E50,0,OFFSET(ORÇAMENTO!$D$15,CRONO!$E50,0))),"="&amp;CRONO!D$12,OFFSET(CÁLCULO!$AB$15:$AL$15,$E50,0,OFFSET(ORÇAMENTO!$D$15,CRONO!$E50,0)))+IF(AND($E52&lt;&gt;"",$E52&lt;&gt;0),SUMIF(CÁLCULO!$AM$15:$AW$290,"="&amp;CRONO!D$12,CÁLCULO!$AB$15:$AL$290)/(ORÇAMENTO!$X$15-CÁLCULO.TotalAdmLocal)*CRONO!$E52,0),D51*$R50),SUMIF(OFFSET($R52,1,0,$Q50-2),($L50+1)&amp;"$",OFFSET(D52,1,0,$Q50-2)))</f>
        <v>0</v>
      </c>
      <c r="E52" s="204" t="str">
        <f ca="1">IF(OR($Q50&lt;&gt;2,AUTOEVENTO&lt;&gt;"manual",$E51&gt;0),"",SUMIF(OFFSET(CÁLCULO!$M$15,CRONO!$E50,0,OFFSET(ORÇAMENTO!$D$15,CRONO!$E50,0)),1,OFFSET(ORÇAMENTO!$X$15,CRONO!$E50,0,OFFSET(ORÇAMENTO!$D$15,CRONO!$E50,0))))</f>
        <v/>
      </c>
      <c r="G52" s="224"/>
      <c r="R52" s="225" t="str">
        <f t="shared" ref="R52" ca="1" si="93">L50&amp;"$"</f>
        <v>3$</v>
      </c>
      <c r="S52" s="226"/>
      <c r="T52" s="227">
        <f ca="1">IF($Q50=2,IF(AND(ACOMPANHAMENTO="PLE",ISNUMBER($E50)),SUMIF((OFFSET(CÁLCULO!$AM$15:$AW$15,$E50,0,OFFSET(ORÇAMENTO!$D$15,CRONO!$E50,0))),"&lt;="&amp;CRONO!T$12,OFFSET(CÁLCULO!$AB$15:$AL$15,$E50,0,OFFSET(ORÇAMENTO!$D$15,CRONO!$E50,0)))+IF(AND($E52&lt;&gt;"",$E52&lt;&gt;0),SUMIF(CÁLCULO!$AM$15:$AW$290,"&lt;="&amp;CRONO!T$12,CÁLCULO!$AB$15:$AL$290)/(ORÇAMENTO!$X$15-CÁLCULO.TotalAdmLocal)*CRONO!$E52,0),T51*$R50),SUMIF(OFFSET($R52,1,0,$Q50-2),($L50+1)&amp;"$",OFFSET(T52,1,0,$Q50-2)))</f>
        <v>0</v>
      </c>
      <c r="U52" s="223">
        <f ca="1">IF($Q50=2,IF(AND(ACOMPANHAMENTO="PLE",ISNUMBER($E50)),SUMIF((OFFSET(CÁLCULO!$AM$15:$AW$15,$E50,0,OFFSET(ORÇAMENTO!$D$15,CRONO!$E50,0))),"="&amp;CRONO!U$12,OFFSET(CÁLCULO!$AB$15:$AL$15,$E50,0,OFFSET(ORÇAMENTO!$D$15,CRONO!$E50,0)))+IF(AND($E52&lt;&gt;"",$E52&lt;&gt;0),SUMIF(CÁLCULO!$AM$15:$AW$290,"="&amp;CRONO!U$12,CÁLCULO!$AB$15:$AL$290)/(ORÇAMENTO!$X$15-CÁLCULO.TotalAdmLocal)*CRONO!$E52,0),U51*$R50),SUMIF(OFFSET($R52,1,0,$Q50-2),($L50+1)&amp;"$",OFFSET(U52,1,0,$Q50-2)))</f>
        <v>0</v>
      </c>
      <c r="V52" s="223">
        <f ca="1">IF($Q50=2,IF(AND(ACOMPANHAMENTO="PLE",ISNUMBER($E50)),SUMIF((OFFSET(CÁLCULO!$AM$15:$AW$15,$E50,0,OFFSET(ORÇAMENTO!$D$15,CRONO!$E50,0))),"="&amp;CRONO!V$12,OFFSET(CÁLCULO!$AB$15:$AL$15,$E50,0,OFFSET(ORÇAMENTO!$D$15,CRONO!$E50,0)))+IF(AND($E52&lt;&gt;"",$E52&lt;&gt;0),SUMIF(CÁLCULO!$AM$15:$AW$290,"="&amp;CRONO!V$12,CÁLCULO!$AB$15:$AL$290)/(ORÇAMENTO!$X$15-CÁLCULO.TotalAdmLocal)*CRONO!$E52,0),V51*$R50),SUMIF(OFFSET($R52,1,0,$Q50-2),($L50+1)&amp;"$",OFFSET(V52,1,0,$Q50-2)))</f>
        <v>530.88</v>
      </c>
      <c r="W52" s="223">
        <f ca="1">IF($Q50=2,IF(AND(ACOMPANHAMENTO="PLE",ISNUMBER($E50)),SUMIF((OFFSET(CÁLCULO!$AM$15:$AW$15,$E50,0,OFFSET(ORÇAMENTO!$D$15,CRONO!$E50,0))),"="&amp;CRONO!W$12,OFFSET(CÁLCULO!$AB$15:$AL$15,$E50,0,OFFSET(ORÇAMENTO!$D$15,CRONO!$E50,0)))+IF(AND($E52&lt;&gt;"",$E52&lt;&gt;0),SUMIF(CÁLCULO!$AM$15:$AW$290,"="&amp;CRONO!W$12,CÁLCULO!$AB$15:$AL$290)/(ORÇAMENTO!$X$15-CÁLCULO.TotalAdmLocal)*CRONO!$E52,0),W51*$R50),SUMIF(OFFSET($R52,1,0,$Q50-2),($L50+1)&amp;"$",OFFSET(W52,1,0,$Q50-2)))</f>
        <v>0</v>
      </c>
      <c r="X52" s="223">
        <f ca="1">IF($Q50=2,IF(AND(ACOMPANHAMENTO="PLE",ISNUMBER($E50)),SUMIF((OFFSET(CÁLCULO!$AM$15:$AW$15,$E50,0,OFFSET(ORÇAMENTO!$D$15,CRONO!$E50,0))),"="&amp;CRONO!X$12,OFFSET(CÁLCULO!$AB$15:$AL$15,$E50,0,OFFSET(ORÇAMENTO!$D$15,CRONO!$E50,0)))+IF(AND($E52&lt;&gt;"",$E52&lt;&gt;0),SUMIF(CÁLCULO!$AM$15:$AW$290,"="&amp;CRONO!X$12,CÁLCULO!$AB$15:$AL$290)/(ORÇAMENTO!$X$15-CÁLCULO.TotalAdmLocal)*CRONO!$E52,0),X51*$R50),SUMIF(OFFSET($R52,1,0,$Q50-2),($L50+1)&amp;"$",OFFSET(X52,1,0,$Q50-2)))</f>
        <v>0</v>
      </c>
      <c r="Y52" s="223">
        <f ca="1">IF($Q50=2,IF(AND(ACOMPANHAMENTO="PLE",ISNUMBER($E50)),SUMIF((OFFSET(CÁLCULO!$AM$15:$AW$15,$E50,0,OFFSET(ORÇAMENTO!$D$15,CRONO!$E50,0))),"="&amp;CRONO!Y$12,OFFSET(CÁLCULO!$AB$15:$AL$15,$E50,0,OFFSET(ORÇAMENTO!$D$15,CRONO!$E50,0)))+IF(AND($E52&lt;&gt;"",$E52&lt;&gt;0),SUMIF(CÁLCULO!$AM$15:$AW$290,"="&amp;CRONO!Y$12,CÁLCULO!$AB$15:$AL$290)/(ORÇAMENTO!$X$15-CÁLCULO.TotalAdmLocal)*CRONO!$E52,0),Y51*$R50),SUMIF(OFFSET($R52,1,0,$Q50-2),($L50+1)&amp;"$",OFFSET(Y52,1,0,$Q50-2)))</f>
        <v>0</v>
      </c>
      <c r="Z52" s="223">
        <f ca="1">IF($Q50=2,IF(AND(ACOMPANHAMENTO="PLE",ISNUMBER($E50)),SUMIF((OFFSET(CÁLCULO!$AM$15:$AW$15,$E50,0,OFFSET(ORÇAMENTO!$D$15,CRONO!$E50,0))),"="&amp;CRONO!Z$12,OFFSET(CÁLCULO!$AB$15:$AL$15,$E50,0,OFFSET(ORÇAMENTO!$D$15,CRONO!$E50,0)))+IF(AND($E52&lt;&gt;"",$E52&lt;&gt;0),SUMIF(CÁLCULO!$AM$15:$AW$290,"="&amp;CRONO!Z$12,CÁLCULO!$AB$15:$AL$290)/(ORÇAMENTO!$X$15-CÁLCULO.TotalAdmLocal)*CRONO!$E52,0),Z51*$R50),SUMIF(OFFSET($R52,1,0,$Q50-2),($L50+1)&amp;"$",OFFSET(Z52,1,0,$Q50-2)))</f>
        <v>0</v>
      </c>
      <c r="AA52" s="223">
        <f ca="1">IF($Q50=2,IF(AND(ACOMPANHAMENTO="PLE",ISNUMBER($E50)),SUMIF((OFFSET(CÁLCULO!$AM$15:$AW$15,$E50,0,OFFSET(ORÇAMENTO!$D$15,CRONO!$E50,0))),"="&amp;CRONO!AA$12,OFFSET(CÁLCULO!$AB$15:$AL$15,$E50,0,OFFSET(ORÇAMENTO!$D$15,CRONO!$E50,0)))+IF(AND($E52&lt;&gt;"",$E52&lt;&gt;0),SUMIF(CÁLCULO!$AM$15:$AW$290,"="&amp;CRONO!AA$12,CÁLCULO!$AB$15:$AL$290)/(ORÇAMENTO!$X$15-CÁLCULO.TotalAdmLocal)*CRONO!$E52,0),AA51*$R50),SUMIF(OFFSET($R52,1,0,$Q50-2),($L50+1)&amp;"$",OFFSET(AA52,1,0,$Q50-2)))</f>
        <v>0</v>
      </c>
      <c r="AB52" s="223">
        <f ca="1">IF($Q50=2,IF(AND(ACOMPANHAMENTO="PLE",ISNUMBER($E50)),SUMIF((OFFSET(CÁLCULO!$AM$15:$AW$15,$E50,0,OFFSET(ORÇAMENTO!$D$15,CRONO!$E50,0))),"="&amp;CRONO!AB$12,OFFSET(CÁLCULO!$AB$15:$AL$15,$E50,0,OFFSET(ORÇAMENTO!$D$15,CRONO!$E50,0)))+IF(AND($E52&lt;&gt;"",$E52&lt;&gt;0),SUMIF(CÁLCULO!$AM$15:$AW$290,"="&amp;CRONO!AB$12,CÁLCULO!$AB$15:$AL$290)/(ORÇAMENTO!$X$15-CÁLCULO.TotalAdmLocal)*CRONO!$E52,0),AB51*$R50),SUMIF(OFFSET($R52,1,0,$Q50-2),($L50+1)&amp;"$",OFFSET(AB52,1,0,$Q50-2)))</f>
        <v>0</v>
      </c>
      <c r="AC52" s="223">
        <f ca="1">IF($Q50=2,IF(AND(ACOMPANHAMENTO="PLE",ISNUMBER($E50)),SUMIF((OFFSET(CÁLCULO!$AM$15:$AW$15,$E50,0,OFFSET(ORÇAMENTO!$D$15,CRONO!$E50,0))),"="&amp;CRONO!AC$12,OFFSET(CÁLCULO!$AB$15:$AL$15,$E50,0,OFFSET(ORÇAMENTO!$D$15,CRONO!$E50,0)))+IF(AND($E52&lt;&gt;"",$E52&lt;&gt;0),SUMIF(CÁLCULO!$AM$15:$AW$290,"="&amp;CRONO!AC$12,CÁLCULO!$AB$15:$AL$290)/(ORÇAMENTO!$X$15-CÁLCULO.TotalAdmLocal)*CRONO!$E52,0),AC51*$R50),SUMIF(OFFSET($R52,1,0,$Q50-2),($L50+1)&amp;"$",OFFSET(AC52,1,0,$Q50-2)))</f>
        <v>0</v>
      </c>
      <c r="AD52" s="223">
        <f ca="1">IF($Q50=2,IF(AND(ACOMPANHAMENTO="PLE",ISNUMBER($E50)),SUMIF((OFFSET(CÁLCULO!$AM$15:$AW$15,$E50,0,OFFSET(ORÇAMENTO!$D$15,CRONO!$E50,0))),"="&amp;CRONO!AD$12,OFFSET(CÁLCULO!$AB$15:$AL$15,$E50,0,OFFSET(ORÇAMENTO!$D$15,CRONO!$E50,0)))+IF(AND($E52&lt;&gt;"",$E52&lt;&gt;0),SUMIF(CÁLCULO!$AM$15:$AW$290,"="&amp;CRONO!AD$12,CÁLCULO!$AB$15:$AL$290)/(ORÇAMENTO!$X$15-CÁLCULO.TotalAdmLocal)*CRONO!$E52,0),AD51*$R50),SUMIF(OFFSET($R52,1,0,$Q50-2),($L50+1)&amp;"$",OFFSET(AD52,1,0,$Q50-2)))</f>
        <v>0</v>
      </c>
      <c r="AE52" s="228">
        <f ca="1">IF($Q50=2,IF(AND(ACOMPANHAMENTO="PLE",ISNUMBER($E50)),SUMIF((OFFSET(CÁLCULO!$AM$15:$AW$15,$E50,0,OFFSET(ORÇAMENTO!$D$15,CRONO!$E50,0))),"="&amp;CRONO!AE$12,OFFSET(CÁLCULO!$AB$15:$AL$15,$E50,0,OFFSET(ORÇAMENTO!$D$15,CRONO!$E50,0)))+IF(AND($E52&lt;&gt;"",$E52&lt;&gt;0),SUMIF(CÁLCULO!$AM$15:$AW$290,"="&amp;CRONO!AE$12,CÁLCULO!$AB$15:$AL$290)/(ORÇAMENTO!$X$15-CÁLCULO.TotalAdmLocal)*CRONO!$E52,0),AE51*$R50),SUMIF(OFFSET($R52,1,0,$Q50-2),($L50+1)&amp;"$",OFFSET(AE52,1,0,$Q50-2)))</f>
        <v>0</v>
      </c>
    </row>
    <row r="53" spans="1:32" x14ac:dyDescent="0.2">
      <c r="A53" s="204">
        <f t="shared" ref="A53" ca="1" si="94">OFFSET(A53,-3,0)+1</f>
        <v>14</v>
      </c>
      <c r="B53" s="204">
        <f ca="1">IF($Q53&lt;&gt;2,0,IF($R53=0,1,IF(E54&gt;0,OFFSET(QCI!$M$13,SUBSTITUTE(E54,".",""),0),OFFSET(ORÇAMENTO!$AA$15,CRONO!$E53,0))/$R53))</f>
        <v>0.99999999999999978</v>
      </c>
      <c r="C53" s="204">
        <f ca="1">IF($Q53&lt;&gt;2,0,IF($R53=0,1,IF(E54&gt;0,OFFSET(QCI!$N$13,SUBSTITUTE(E54,".",""),0),OFFSET(ORÇAMENTO!$AB$15,CRONO!$E53,0))/$R53))</f>
        <v>0</v>
      </c>
      <c r="D53" s="207">
        <f ca="1">IF(AND($Q53=2,ACOMPANHAMENTO="BM"),D54,D55/$R53)</f>
        <v>0</v>
      </c>
      <c r="E53" s="204">
        <f ca="1">IF(A53&lt;=ORÇAMENTO.MáximoListaCrono,MATCH(A53,ORÇAMENTO.ListaCrono,0),NA())</f>
        <v>94</v>
      </c>
      <c r="F53" s="204" t="str">
        <f t="shared" ref="F53" ca="1" si="95">IF(AND($E54&lt;&gt;-1,$R53&gt;0),"F","")</f>
        <v>F</v>
      </c>
      <c r="G53" s="208">
        <f ca="1">IF(OR(R53=0,R53=""),"Linha",IF(AND(OR(ACOMPANHAMENTO="PLE",$Q53&lt;&gt;2),$E54=0),"Linha",1-SUM(T53:AF53)))</f>
        <v>0</v>
      </c>
      <c r="H53" s="209" t="str">
        <f ca="1">IF($E54=0,OFFSET(ORÇAMENTO!O$15,$E53,0),IF($E54&lt;&gt;-1,OFFSET(QCI!$D$13,$E54,0),""))</f>
        <v>1.6.5.</v>
      </c>
      <c r="I53" s="210" t="str">
        <f ca="1">IF($E54=0,OFFSET(ORÇAMENTO!R$15,$E53,0),IF($E54&lt;&gt;-1,OFFSET(QCI!$G$13,$E54,0),""))</f>
        <v>ALVENARIA</v>
      </c>
      <c r="J53" s="210"/>
      <c r="K53" s="210"/>
      <c r="L53" s="211">
        <f ca="1">IF($E54=0,OFFSET(ORÇAMENTO!C$15,$E53,0),1)</f>
        <v>3</v>
      </c>
      <c r="M53" s="212">
        <f ca="1">IF($E54=-1,0,IF(M$13&lt;=$L53,IF(ISERROR(MATCH(M$13,OFFSET($L53,1,0,ROW($L$116)-ROW($L53)-1),0)),ROW($L$116)-ROW($L53)-1,MATCH(M$13,OFFSET($L53,1,0,ROW($L$116)-ROW($L53)-1),0)-1),0))</f>
        <v>62</v>
      </c>
      <c r="N53" s="212">
        <f ca="1">IF($E54=-1,0,IF(N$13&lt;=$L53,IF(ISERROR(MATCH(N$13,OFFSET($L53,1,0,ROW($L$116)-ROW($L53)-1),0)),ROW($L$116)-ROW($L53)-1,MATCH(N$13,OFFSET($L53,1,0,ROW($L$116)-ROW($L53)-1),0)-1),0))</f>
        <v>41</v>
      </c>
      <c r="O53" s="212">
        <f ca="1">IF($E54=-1,0,IF(O$13&lt;=$L53,IF(ISERROR(MATCH(O$13,OFFSET($L53,1,0,ROW($L$116)-ROW($L53)-1),0)),ROW($L$116)-ROW($L53)-1,MATCH(O$13,OFFSET($L53,1,0,ROW($L$116)-ROW($L53)-1),0)-1),0))</f>
        <v>2</v>
      </c>
      <c r="P53" s="212">
        <f ca="1">IF($E54=-1,0,IF(P$13&lt;=$L53,IF(ISERROR(MATCH(P$13,OFFSET($L53,1,0,ROW($L$116)-ROW($L53)-1),0)),ROW($L$116)-ROW($L53)-1,MATCH(P$13,OFFSET($L53,1,0,ROW($L$116)-ROW($L53)-1),0)-1),0))</f>
        <v>0</v>
      </c>
      <c r="Q53" s="212">
        <f t="shared" ref="Q53" ca="1" si="96">MIN(OFFSET(L53,0,1,,L53))</f>
        <v>2</v>
      </c>
      <c r="R53" s="213">
        <f ca="1">IF($E54=0,OFFSET(ORÇAMENTO!X$15,$E53,0),IF($E54&lt;&gt;-1,OFFSET(QCI!$O$13,$E54,0),""))</f>
        <v>5400.38</v>
      </c>
      <c r="S53" s="214" t="s">
        <v>270</v>
      </c>
      <c r="T53" s="215">
        <f t="shared" ref="T53:AE53" ca="1" si="97">IF(AND($Q53=2,ACOMPANHAMENTO="BM"),T54,T55/$R53)</f>
        <v>0</v>
      </c>
      <c r="U53" s="207">
        <f t="shared" ca="1" si="97"/>
        <v>0</v>
      </c>
      <c r="V53" s="207">
        <f t="shared" ca="1" si="97"/>
        <v>1</v>
      </c>
      <c r="W53" s="207">
        <f t="shared" ca="1" si="97"/>
        <v>0</v>
      </c>
      <c r="X53" s="207">
        <f t="shared" ca="1" si="97"/>
        <v>0</v>
      </c>
      <c r="Y53" s="207">
        <f t="shared" ca="1" si="97"/>
        <v>0</v>
      </c>
      <c r="Z53" s="207">
        <f t="shared" ca="1" si="97"/>
        <v>0</v>
      </c>
      <c r="AA53" s="207">
        <f t="shared" ca="1" si="97"/>
        <v>0</v>
      </c>
      <c r="AB53" s="207">
        <f t="shared" ca="1" si="97"/>
        <v>0</v>
      </c>
      <c r="AC53" s="207">
        <f t="shared" ca="1" si="97"/>
        <v>0</v>
      </c>
      <c r="AD53" s="207">
        <f t="shared" ca="1" si="97"/>
        <v>0</v>
      </c>
      <c r="AE53" s="216">
        <f t="shared" ca="1" si="97"/>
        <v>0</v>
      </c>
    </row>
    <row r="54" spans="1:32" ht="12.75" customHeight="1" x14ac:dyDescent="0.2">
      <c r="D54" s="569"/>
      <c r="E54" s="204">
        <f ca="1">IF(ISERROR(E53),IF(1+COUNTIF($L$13:OFFSET(L53,-1,0),1)&lt;=MAX(QCI!$D$13:$D$24),1+COUNTIF($L$13:OFFSET(L53,-1,0),1),-1),0)</f>
        <v>0</v>
      </c>
      <c r="F54" s="204" t="str">
        <f t="shared" ref="F54" ca="1" si="98">IF(AND($E54&lt;&gt;-1,$R53&gt;0),"F","")</f>
        <v>F</v>
      </c>
      <c r="G54" s="217" t="str">
        <f ca="1">IF(OR(R53=0,R53=""),"vazia",IF(AND(OR(ACOMPANHAMENTO="PLE",$Q53&lt;&gt;2),$E54=0),"calculada","--&gt;"))</f>
        <v>--&gt;</v>
      </c>
      <c r="H54" s="218"/>
      <c r="I54" s="219" t="str">
        <f t="shared" ref="I54" ca="1" si="99">IF(AND(G53&lt;&gt;0,ISNUMBER(G53)),"PREENCHA ESTA LINHA --&gt;","")</f>
        <v/>
      </c>
      <c r="J54" s="219"/>
      <c r="K54" s="219"/>
      <c r="L54" s="220"/>
      <c r="M54" s="220"/>
      <c r="N54" s="220"/>
      <c r="O54" s="220"/>
      <c r="P54" s="220"/>
      <c r="Q54" s="220"/>
      <c r="R54" s="221"/>
      <c r="S54" s="222"/>
      <c r="T54" s="570"/>
      <c r="U54" s="569"/>
      <c r="V54" s="569">
        <v>1</v>
      </c>
      <c r="W54" s="569"/>
      <c r="X54" s="569"/>
      <c r="Y54" s="569"/>
      <c r="Z54" s="569"/>
      <c r="AA54" s="569"/>
      <c r="AB54" s="569"/>
      <c r="AC54" s="569"/>
      <c r="AD54" s="569"/>
      <c r="AE54" s="571"/>
      <c r="AF54" s="533"/>
    </row>
    <row r="55" spans="1:32" ht="0.2" hidden="1" customHeight="1" x14ac:dyDescent="0.2">
      <c r="D55" s="223">
        <f ca="1">IF($Q53=2,IF(AND(ACOMPANHAMENTO="PLE",ISNUMBER($E53)),SUMIF((OFFSET(CÁLCULO!$AM$15:$AW$15,$E53,0,OFFSET(ORÇAMENTO!$D$15,CRONO!$E53,0))),"="&amp;CRONO!D$12,OFFSET(CÁLCULO!$AB$15:$AL$15,$E53,0,OFFSET(ORÇAMENTO!$D$15,CRONO!$E53,0)))+IF(AND($E55&lt;&gt;"",$E55&lt;&gt;0),SUMIF(CÁLCULO!$AM$15:$AW$290,"="&amp;CRONO!D$12,CÁLCULO!$AB$15:$AL$290)/(ORÇAMENTO!$X$15-CÁLCULO.TotalAdmLocal)*CRONO!$E55,0),D54*$R53),SUMIF(OFFSET($R55,1,0,$Q53-2),($L53+1)&amp;"$",OFFSET(D55,1,0,$Q53-2)))</f>
        <v>0</v>
      </c>
      <c r="E55" s="204" t="str">
        <f ca="1">IF(OR($Q53&lt;&gt;2,AUTOEVENTO&lt;&gt;"manual",$E54&gt;0),"",SUMIF(OFFSET(CÁLCULO!$M$15,CRONO!$E53,0,OFFSET(ORÇAMENTO!$D$15,CRONO!$E53,0)),1,OFFSET(ORÇAMENTO!$X$15,CRONO!$E53,0,OFFSET(ORÇAMENTO!$D$15,CRONO!$E53,0))))</f>
        <v/>
      </c>
      <c r="G55" s="224"/>
      <c r="R55" s="225" t="str">
        <f t="shared" ref="R55" ca="1" si="100">L53&amp;"$"</f>
        <v>3$</v>
      </c>
      <c r="S55" s="226"/>
      <c r="T55" s="227">
        <f ca="1">IF($Q53=2,IF(AND(ACOMPANHAMENTO="PLE",ISNUMBER($E53)),SUMIF((OFFSET(CÁLCULO!$AM$15:$AW$15,$E53,0,OFFSET(ORÇAMENTO!$D$15,CRONO!$E53,0))),"&lt;="&amp;CRONO!T$12,OFFSET(CÁLCULO!$AB$15:$AL$15,$E53,0,OFFSET(ORÇAMENTO!$D$15,CRONO!$E53,0)))+IF(AND($E55&lt;&gt;"",$E55&lt;&gt;0),SUMIF(CÁLCULO!$AM$15:$AW$290,"&lt;="&amp;CRONO!T$12,CÁLCULO!$AB$15:$AL$290)/(ORÇAMENTO!$X$15-CÁLCULO.TotalAdmLocal)*CRONO!$E55,0),T54*$R53),SUMIF(OFFSET($R55,1,0,$Q53-2),($L53+1)&amp;"$",OFFSET(T55,1,0,$Q53-2)))</f>
        <v>0</v>
      </c>
      <c r="U55" s="223">
        <f ca="1">IF($Q53=2,IF(AND(ACOMPANHAMENTO="PLE",ISNUMBER($E53)),SUMIF((OFFSET(CÁLCULO!$AM$15:$AW$15,$E53,0,OFFSET(ORÇAMENTO!$D$15,CRONO!$E53,0))),"="&amp;CRONO!U$12,OFFSET(CÁLCULO!$AB$15:$AL$15,$E53,0,OFFSET(ORÇAMENTO!$D$15,CRONO!$E53,0)))+IF(AND($E55&lt;&gt;"",$E55&lt;&gt;0),SUMIF(CÁLCULO!$AM$15:$AW$290,"="&amp;CRONO!U$12,CÁLCULO!$AB$15:$AL$290)/(ORÇAMENTO!$X$15-CÁLCULO.TotalAdmLocal)*CRONO!$E55,0),U54*$R53),SUMIF(OFFSET($R55,1,0,$Q53-2),($L53+1)&amp;"$",OFFSET(U55,1,0,$Q53-2)))</f>
        <v>0</v>
      </c>
      <c r="V55" s="223">
        <f ca="1">IF($Q53=2,IF(AND(ACOMPANHAMENTO="PLE",ISNUMBER($E53)),SUMIF((OFFSET(CÁLCULO!$AM$15:$AW$15,$E53,0,OFFSET(ORÇAMENTO!$D$15,CRONO!$E53,0))),"="&amp;CRONO!V$12,OFFSET(CÁLCULO!$AB$15:$AL$15,$E53,0,OFFSET(ORÇAMENTO!$D$15,CRONO!$E53,0)))+IF(AND($E55&lt;&gt;"",$E55&lt;&gt;0),SUMIF(CÁLCULO!$AM$15:$AW$290,"="&amp;CRONO!V$12,CÁLCULO!$AB$15:$AL$290)/(ORÇAMENTO!$X$15-CÁLCULO.TotalAdmLocal)*CRONO!$E55,0),V54*$R53),SUMIF(OFFSET($R55,1,0,$Q53-2),($L53+1)&amp;"$",OFFSET(V55,1,0,$Q53-2)))</f>
        <v>5400.38</v>
      </c>
      <c r="W55" s="223">
        <f ca="1">IF($Q53=2,IF(AND(ACOMPANHAMENTO="PLE",ISNUMBER($E53)),SUMIF((OFFSET(CÁLCULO!$AM$15:$AW$15,$E53,0,OFFSET(ORÇAMENTO!$D$15,CRONO!$E53,0))),"="&amp;CRONO!W$12,OFFSET(CÁLCULO!$AB$15:$AL$15,$E53,0,OFFSET(ORÇAMENTO!$D$15,CRONO!$E53,0)))+IF(AND($E55&lt;&gt;"",$E55&lt;&gt;0),SUMIF(CÁLCULO!$AM$15:$AW$290,"="&amp;CRONO!W$12,CÁLCULO!$AB$15:$AL$290)/(ORÇAMENTO!$X$15-CÁLCULO.TotalAdmLocal)*CRONO!$E55,0),W54*$R53),SUMIF(OFFSET($R55,1,0,$Q53-2),($L53+1)&amp;"$",OFFSET(W55,1,0,$Q53-2)))</f>
        <v>0</v>
      </c>
      <c r="X55" s="223">
        <f ca="1">IF($Q53=2,IF(AND(ACOMPANHAMENTO="PLE",ISNUMBER($E53)),SUMIF((OFFSET(CÁLCULO!$AM$15:$AW$15,$E53,0,OFFSET(ORÇAMENTO!$D$15,CRONO!$E53,0))),"="&amp;CRONO!X$12,OFFSET(CÁLCULO!$AB$15:$AL$15,$E53,0,OFFSET(ORÇAMENTO!$D$15,CRONO!$E53,0)))+IF(AND($E55&lt;&gt;"",$E55&lt;&gt;0),SUMIF(CÁLCULO!$AM$15:$AW$290,"="&amp;CRONO!X$12,CÁLCULO!$AB$15:$AL$290)/(ORÇAMENTO!$X$15-CÁLCULO.TotalAdmLocal)*CRONO!$E55,0),X54*$R53),SUMIF(OFFSET($R55,1,0,$Q53-2),($L53+1)&amp;"$",OFFSET(X55,1,0,$Q53-2)))</f>
        <v>0</v>
      </c>
      <c r="Y55" s="223">
        <f ca="1">IF($Q53=2,IF(AND(ACOMPANHAMENTO="PLE",ISNUMBER($E53)),SUMIF((OFFSET(CÁLCULO!$AM$15:$AW$15,$E53,0,OFFSET(ORÇAMENTO!$D$15,CRONO!$E53,0))),"="&amp;CRONO!Y$12,OFFSET(CÁLCULO!$AB$15:$AL$15,$E53,0,OFFSET(ORÇAMENTO!$D$15,CRONO!$E53,0)))+IF(AND($E55&lt;&gt;"",$E55&lt;&gt;0),SUMIF(CÁLCULO!$AM$15:$AW$290,"="&amp;CRONO!Y$12,CÁLCULO!$AB$15:$AL$290)/(ORÇAMENTO!$X$15-CÁLCULO.TotalAdmLocal)*CRONO!$E55,0),Y54*$R53),SUMIF(OFFSET($R55,1,0,$Q53-2),($L53+1)&amp;"$",OFFSET(Y55,1,0,$Q53-2)))</f>
        <v>0</v>
      </c>
      <c r="Z55" s="223">
        <f ca="1">IF($Q53=2,IF(AND(ACOMPANHAMENTO="PLE",ISNUMBER($E53)),SUMIF((OFFSET(CÁLCULO!$AM$15:$AW$15,$E53,0,OFFSET(ORÇAMENTO!$D$15,CRONO!$E53,0))),"="&amp;CRONO!Z$12,OFFSET(CÁLCULO!$AB$15:$AL$15,$E53,0,OFFSET(ORÇAMENTO!$D$15,CRONO!$E53,0)))+IF(AND($E55&lt;&gt;"",$E55&lt;&gt;0),SUMIF(CÁLCULO!$AM$15:$AW$290,"="&amp;CRONO!Z$12,CÁLCULO!$AB$15:$AL$290)/(ORÇAMENTO!$X$15-CÁLCULO.TotalAdmLocal)*CRONO!$E55,0),Z54*$R53),SUMIF(OFFSET($R55,1,0,$Q53-2),($L53+1)&amp;"$",OFFSET(Z55,1,0,$Q53-2)))</f>
        <v>0</v>
      </c>
      <c r="AA55" s="223">
        <f ca="1">IF($Q53=2,IF(AND(ACOMPANHAMENTO="PLE",ISNUMBER($E53)),SUMIF((OFFSET(CÁLCULO!$AM$15:$AW$15,$E53,0,OFFSET(ORÇAMENTO!$D$15,CRONO!$E53,0))),"="&amp;CRONO!AA$12,OFFSET(CÁLCULO!$AB$15:$AL$15,$E53,0,OFFSET(ORÇAMENTO!$D$15,CRONO!$E53,0)))+IF(AND($E55&lt;&gt;"",$E55&lt;&gt;0),SUMIF(CÁLCULO!$AM$15:$AW$290,"="&amp;CRONO!AA$12,CÁLCULO!$AB$15:$AL$290)/(ORÇAMENTO!$X$15-CÁLCULO.TotalAdmLocal)*CRONO!$E55,0),AA54*$R53),SUMIF(OFFSET($R55,1,0,$Q53-2),($L53+1)&amp;"$",OFFSET(AA55,1,0,$Q53-2)))</f>
        <v>0</v>
      </c>
      <c r="AB55" s="223">
        <f ca="1">IF($Q53=2,IF(AND(ACOMPANHAMENTO="PLE",ISNUMBER($E53)),SUMIF((OFFSET(CÁLCULO!$AM$15:$AW$15,$E53,0,OFFSET(ORÇAMENTO!$D$15,CRONO!$E53,0))),"="&amp;CRONO!AB$12,OFFSET(CÁLCULO!$AB$15:$AL$15,$E53,0,OFFSET(ORÇAMENTO!$D$15,CRONO!$E53,0)))+IF(AND($E55&lt;&gt;"",$E55&lt;&gt;0),SUMIF(CÁLCULO!$AM$15:$AW$290,"="&amp;CRONO!AB$12,CÁLCULO!$AB$15:$AL$290)/(ORÇAMENTO!$X$15-CÁLCULO.TotalAdmLocal)*CRONO!$E55,0),AB54*$R53),SUMIF(OFFSET($R55,1,0,$Q53-2),($L53+1)&amp;"$",OFFSET(AB55,1,0,$Q53-2)))</f>
        <v>0</v>
      </c>
      <c r="AC55" s="223">
        <f ca="1">IF($Q53=2,IF(AND(ACOMPANHAMENTO="PLE",ISNUMBER($E53)),SUMIF((OFFSET(CÁLCULO!$AM$15:$AW$15,$E53,0,OFFSET(ORÇAMENTO!$D$15,CRONO!$E53,0))),"="&amp;CRONO!AC$12,OFFSET(CÁLCULO!$AB$15:$AL$15,$E53,0,OFFSET(ORÇAMENTO!$D$15,CRONO!$E53,0)))+IF(AND($E55&lt;&gt;"",$E55&lt;&gt;0),SUMIF(CÁLCULO!$AM$15:$AW$290,"="&amp;CRONO!AC$12,CÁLCULO!$AB$15:$AL$290)/(ORÇAMENTO!$X$15-CÁLCULO.TotalAdmLocal)*CRONO!$E55,0),AC54*$R53),SUMIF(OFFSET($R55,1,0,$Q53-2),($L53+1)&amp;"$",OFFSET(AC55,1,0,$Q53-2)))</f>
        <v>0</v>
      </c>
      <c r="AD55" s="223">
        <f ca="1">IF($Q53=2,IF(AND(ACOMPANHAMENTO="PLE",ISNUMBER($E53)),SUMIF((OFFSET(CÁLCULO!$AM$15:$AW$15,$E53,0,OFFSET(ORÇAMENTO!$D$15,CRONO!$E53,0))),"="&amp;CRONO!AD$12,OFFSET(CÁLCULO!$AB$15:$AL$15,$E53,0,OFFSET(ORÇAMENTO!$D$15,CRONO!$E53,0)))+IF(AND($E55&lt;&gt;"",$E55&lt;&gt;0),SUMIF(CÁLCULO!$AM$15:$AW$290,"="&amp;CRONO!AD$12,CÁLCULO!$AB$15:$AL$290)/(ORÇAMENTO!$X$15-CÁLCULO.TotalAdmLocal)*CRONO!$E55,0),AD54*$R53),SUMIF(OFFSET($R55,1,0,$Q53-2),($L53+1)&amp;"$",OFFSET(AD55,1,0,$Q53-2)))</f>
        <v>0</v>
      </c>
      <c r="AE55" s="228">
        <f ca="1">IF($Q53=2,IF(AND(ACOMPANHAMENTO="PLE",ISNUMBER($E53)),SUMIF((OFFSET(CÁLCULO!$AM$15:$AW$15,$E53,0,OFFSET(ORÇAMENTO!$D$15,CRONO!$E53,0))),"="&amp;CRONO!AE$12,OFFSET(CÁLCULO!$AB$15:$AL$15,$E53,0,OFFSET(ORÇAMENTO!$D$15,CRONO!$E53,0)))+IF(AND($E55&lt;&gt;"",$E55&lt;&gt;0),SUMIF(CÁLCULO!$AM$15:$AW$290,"="&amp;CRONO!AE$12,CÁLCULO!$AB$15:$AL$290)/(ORÇAMENTO!$X$15-CÁLCULO.TotalAdmLocal)*CRONO!$E55,0),AE54*$R53),SUMIF(OFFSET($R55,1,0,$Q53-2),($L53+1)&amp;"$",OFFSET(AE55,1,0,$Q53-2)))</f>
        <v>0</v>
      </c>
    </row>
    <row r="56" spans="1:32" x14ac:dyDescent="0.2">
      <c r="A56" s="204">
        <f t="shared" ref="A56" ca="1" si="101">OFFSET(A56,-3,0)+1</f>
        <v>15</v>
      </c>
      <c r="B56" s="204">
        <f ca="1">IF($Q56&lt;&gt;2,0,IF($R56=0,1,IF(E57&gt;0,OFFSET(QCI!$M$13,SUBSTITUTE(E57,".",""),0),OFFSET(ORÇAMENTO!$AA$15,CRONO!$E56,0))/$R56))</f>
        <v>1</v>
      </c>
      <c r="C56" s="204">
        <f ca="1">IF($Q56&lt;&gt;2,0,IF($R56=0,1,IF(E57&gt;0,OFFSET(QCI!$N$13,SUBSTITUTE(E57,".",""),0),OFFSET(ORÇAMENTO!$AB$15,CRONO!$E56,0))/$R56))</f>
        <v>0</v>
      </c>
      <c r="D56" s="207">
        <f ca="1">IF(AND($Q56=2,ACOMPANHAMENTO="BM"),D57,D58/$R56)</f>
        <v>0</v>
      </c>
      <c r="E56" s="204">
        <f ca="1">IF(A56&lt;=ORÇAMENTO.MáximoListaCrono,MATCH(A56,ORÇAMENTO.ListaCrono,0),NA())</f>
        <v>99</v>
      </c>
      <c r="F56" s="204" t="str">
        <f t="shared" ref="F56" ca="1" si="102">IF(AND($E57&lt;&gt;-1,$R56&gt;0),"F","")</f>
        <v>F</v>
      </c>
      <c r="G56" s="208">
        <f ca="1">IF(OR(R56=0,R56=""),"Linha",IF(AND(OR(ACOMPANHAMENTO="PLE",$Q56&lt;&gt;2),$E57=0),"Linha",1-SUM(T56:AF56)))</f>
        <v>0</v>
      </c>
      <c r="H56" s="209" t="str">
        <f ca="1">IF($E57=0,OFFSET(ORÇAMENTO!O$15,$E56,0),IF($E57&lt;&gt;-1,OFFSET(QCI!$D$13,$E57,0),""))</f>
        <v>1.6.6.</v>
      </c>
      <c r="I56" s="210" t="str">
        <f ca="1">IF($E57=0,OFFSET(ORÇAMENTO!R$15,$E56,0),IF($E57&lt;&gt;-1,OFFSET(QCI!$G$13,$E57,0),""))</f>
        <v>PILARES</v>
      </c>
      <c r="J56" s="210"/>
      <c r="K56" s="210"/>
      <c r="L56" s="211">
        <f ca="1">IF($E57=0,OFFSET(ORÇAMENTO!C$15,$E56,0),1)</f>
        <v>3</v>
      </c>
      <c r="M56" s="212">
        <f ca="1">IF($E57=-1,0,IF(M$13&lt;=$L56,IF(ISERROR(MATCH(M$13,OFFSET($L56,1,0,ROW($L$116)-ROW($L56)-1),0)),ROW($L$116)-ROW($L56)-1,MATCH(M$13,OFFSET($L56,1,0,ROW($L$116)-ROW($L56)-1),0)-1),0))</f>
        <v>59</v>
      </c>
      <c r="N56" s="212">
        <f ca="1">IF($E57=-1,0,IF(N$13&lt;=$L56,IF(ISERROR(MATCH(N$13,OFFSET($L56,1,0,ROW($L$116)-ROW($L56)-1),0)),ROW($L$116)-ROW($L56)-1,MATCH(N$13,OFFSET($L56,1,0,ROW($L$116)-ROW($L56)-1),0)-1),0))</f>
        <v>38</v>
      </c>
      <c r="O56" s="212">
        <f ca="1">IF($E57=-1,0,IF(O$13&lt;=$L56,IF(ISERROR(MATCH(O$13,OFFSET($L56,1,0,ROW($L$116)-ROW($L56)-1),0)),ROW($L$116)-ROW($L56)-1,MATCH(O$13,OFFSET($L56,1,0,ROW($L$116)-ROW($L56)-1),0)-1),0))</f>
        <v>2</v>
      </c>
      <c r="P56" s="212">
        <f ca="1">IF($E57=-1,0,IF(P$13&lt;=$L56,IF(ISERROR(MATCH(P$13,OFFSET($L56,1,0,ROW($L$116)-ROW($L56)-1),0)),ROW($L$116)-ROW($L56)-1,MATCH(P$13,OFFSET($L56,1,0,ROW($L$116)-ROW($L56)-1),0)-1),0))</f>
        <v>0</v>
      </c>
      <c r="Q56" s="212">
        <f t="shared" ref="Q56" ca="1" si="103">MIN(OFFSET(L56,0,1,,L56))</f>
        <v>2</v>
      </c>
      <c r="R56" s="213">
        <f ca="1">IF($E57=0,OFFSET(ORÇAMENTO!X$15,$E56,0),IF($E57&lt;&gt;-1,OFFSET(QCI!$O$13,$E57,0),""))</f>
        <v>2718.36</v>
      </c>
      <c r="S56" s="214" t="s">
        <v>270</v>
      </c>
      <c r="T56" s="215">
        <f t="shared" ref="T56:AE56" ca="1" si="104">IF(AND($Q56=2,ACOMPANHAMENTO="BM"),T57,T58/$R56)</f>
        <v>0</v>
      </c>
      <c r="U56" s="207">
        <f t="shared" ca="1" si="104"/>
        <v>0</v>
      </c>
      <c r="V56" s="207">
        <f t="shared" ca="1" si="104"/>
        <v>1</v>
      </c>
      <c r="W56" s="207">
        <f t="shared" ca="1" si="104"/>
        <v>0</v>
      </c>
      <c r="X56" s="207">
        <f t="shared" ca="1" si="104"/>
        <v>0</v>
      </c>
      <c r="Y56" s="207">
        <f t="shared" ca="1" si="104"/>
        <v>0</v>
      </c>
      <c r="Z56" s="207">
        <f t="shared" ca="1" si="104"/>
        <v>0</v>
      </c>
      <c r="AA56" s="207">
        <f t="shared" ca="1" si="104"/>
        <v>0</v>
      </c>
      <c r="AB56" s="207">
        <f t="shared" ca="1" si="104"/>
        <v>0</v>
      </c>
      <c r="AC56" s="207">
        <f t="shared" ca="1" si="104"/>
        <v>0</v>
      </c>
      <c r="AD56" s="207">
        <f t="shared" ca="1" si="104"/>
        <v>0</v>
      </c>
      <c r="AE56" s="216">
        <f t="shared" ca="1" si="104"/>
        <v>0</v>
      </c>
    </row>
    <row r="57" spans="1:32" ht="12.75" customHeight="1" x14ac:dyDescent="0.2">
      <c r="D57" s="569"/>
      <c r="E57" s="204">
        <f ca="1">IF(ISERROR(E56),IF(1+COUNTIF($L$13:OFFSET(L56,-1,0),1)&lt;=MAX(QCI!$D$13:$D$24),1+COUNTIF($L$13:OFFSET(L56,-1,0),1),-1),0)</f>
        <v>0</v>
      </c>
      <c r="F57" s="204" t="str">
        <f t="shared" ref="F57" ca="1" si="105">IF(AND($E57&lt;&gt;-1,$R56&gt;0),"F","")</f>
        <v>F</v>
      </c>
      <c r="G57" s="217" t="str">
        <f ca="1">IF(OR(R56=0,R56=""),"vazia",IF(AND(OR(ACOMPANHAMENTO="PLE",$Q56&lt;&gt;2),$E57=0),"calculada","--&gt;"))</f>
        <v>--&gt;</v>
      </c>
      <c r="H57" s="218"/>
      <c r="I57" s="219" t="str">
        <f t="shared" ref="I57" ca="1" si="106">IF(AND(G56&lt;&gt;0,ISNUMBER(G56)),"PREENCHA ESTA LINHA --&gt;","")</f>
        <v/>
      </c>
      <c r="J57" s="219"/>
      <c r="K57" s="219"/>
      <c r="L57" s="220"/>
      <c r="M57" s="220"/>
      <c r="N57" s="220"/>
      <c r="O57" s="220"/>
      <c r="P57" s="220"/>
      <c r="Q57" s="220"/>
      <c r="R57" s="221"/>
      <c r="S57" s="222"/>
      <c r="T57" s="570"/>
      <c r="U57" s="569"/>
      <c r="V57" s="569">
        <v>1</v>
      </c>
      <c r="W57" s="569"/>
      <c r="X57" s="569"/>
      <c r="Y57" s="569"/>
      <c r="Z57" s="569"/>
      <c r="AA57" s="569"/>
      <c r="AB57" s="569"/>
      <c r="AC57" s="569"/>
      <c r="AD57" s="569"/>
      <c r="AE57" s="571"/>
      <c r="AF57" s="533"/>
    </row>
    <row r="58" spans="1:32" ht="0.2" hidden="1" customHeight="1" x14ac:dyDescent="0.2">
      <c r="D58" s="223">
        <f ca="1">IF($Q56=2,IF(AND(ACOMPANHAMENTO="PLE",ISNUMBER($E56)),SUMIF((OFFSET(CÁLCULO!$AM$15:$AW$15,$E56,0,OFFSET(ORÇAMENTO!$D$15,CRONO!$E56,0))),"="&amp;CRONO!D$12,OFFSET(CÁLCULO!$AB$15:$AL$15,$E56,0,OFFSET(ORÇAMENTO!$D$15,CRONO!$E56,0)))+IF(AND($E58&lt;&gt;"",$E58&lt;&gt;0),SUMIF(CÁLCULO!$AM$15:$AW$290,"="&amp;CRONO!D$12,CÁLCULO!$AB$15:$AL$290)/(ORÇAMENTO!$X$15-CÁLCULO.TotalAdmLocal)*CRONO!$E58,0),D57*$R56),SUMIF(OFFSET($R58,1,0,$Q56-2),($L56+1)&amp;"$",OFFSET(D58,1,0,$Q56-2)))</f>
        <v>0</v>
      </c>
      <c r="E58" s="204" t="str">
        <f ca="1">IF(OR($Q56&lt;&gt;2,AUTOEVENTO&lt;&gt;"manual",$E57&gt;0),"",SUMIF(OFFSET(CÁLCULO!$M$15,CRONO!$E56,0,OFFSET(ORÇAMENTO!$D$15,CRONO!$E56,0)),1,OFFSET(ORÇAMENTO!$X$15,CRONO!$E56,0,OFFSET(ORÇAMENTO!$D$15,CRONO!$E56,0))))</f>
        <v/>
      </c>
      <c r="G58" s="224"/>
      <c r="R58" s="225" t="str">
        <f t="shared" ref="R58" ca="1" si="107">L56&amp;"$"</f>
        <v>3$</v>
      </c>
      <c r="S58" s="226"/>
      <c r="T58" s="227">
        <f ca="1">IF($Q56=2,IF(AND(ACOMPANHAMENTO="PLE",ISNUMBER($E56)),SUMIF((OFFSET(CÁLCULO!$AM$15:$AW$15,$E56,0,OFFSET(ORÇAMENTO!$D$15,CRONO!$E56,0))),"&lt;="&amp;CRONO!T$12,OFFSET(CÁLCULO!$AB$15:$AL$15,$E56,0,OFFSET(ORÇAMENTO!$D$15,CRONO!$E56,0)))+IF(AND($E58&lt;&gt;"",$E58&lt;&gt;0),SUMIF(CÁLCULO!$AM$15:$AW$290,"&lt;="&amp;CRONO!T$12,CÁLCULO!$AB$15:$AL$290)/(ORÇAMENTO!$X$15-CÁLCULO.TotalAdmLocal)*CRONO!$E58,0),T57*$R56),SUMIF(OFFSET($R58,1,0,$Q56-2),($L56+1)&amp;"$",OFFSET(T58,1,0,$Q56-2)))</f>
        <v>0</v>
      </c>
      <c r="U58" s="223">
        <f ca="1">IF($Q56=2,IF(AND(ACOMPANHAMENTO="PLE",ISNUMBER($E56)),SUMIF((OFFSET(CÁLCULO!$AM$15:$AW$15,$E56,0,OFFSET(ORÇAMENTO!$D$15,CRONO!$E56,0))),"="&amp;CRONO!U$12,OFFSET(CÁLCULO!$AB$15:$AL$15,$E56,0,OFFSET(ORÇAMENTO!$D$15,CRONO!$E56,0)))+IF(AND($E58&lt;&gt;"",$E58&lt;&gt;0),SUMIF(CÁLCULO!$AM$15:$AW$290,"="&amp;CRONO!U$12,CÁLCULO!$AB$15:$AL$290)/(ORÇAMENTO!$X$15-CÁLCULO.TotalAdmLocal)*CRONO!$E58,0),U57*$R56),SUMIF(OFFSET($R58,1,0,$Q56-2),($L56+1)&amp;"$",OFFSET(U58,1,0,$Q56-2)))</f>
        <v>0</v>
      </c>
      <c r="V58" s="223">
        <f ca="1">IF($Q56=2,IF(AND(ACOMPANHAMENTO="PLE",ISNUMBER($E56)),SUMIF((OFFSET(CÁLCULO!$AM$15:$AW$15,$E56,0,OFFSET(ORÇAMENTO!$D$15,CRONO!$E56,0))),"="&amp;CRONO!V$12,OFFSET(CÁLCULO!$AB$15:$AL$15,$E56,0,OFFSET(ORÇAMENTO!$D$15,CRONO!$E56,0)))+IF(AND($E58&lt;&gt;"",$E58&lt;&gt;0),SUMIF(CÁLCULO!$AM$15:$AW$290,"="&amp;CRONO!V$12,CÁLCULO!$AB$15:$AL$290)/(ORÇAMENTO!$X$15-CÁLCULO.TotalAdmLocal)*CRONO!$E58,0),V57*$R56),SUMIF(OFFSET($R58,1,0,$Q56-2),($L56+1)&amp;"$",OFFSET(V58,1,0,$Q56-2)))</f>
        <v>2718.36</v>
      </c>
      <c r="W58" s="223">
        <f ca="1">IF($Q56=2,IF(AND(ACOMPANHAMENTO="PLE",ISNUMBER($E56)),SUMIF((OFFSET(CÁLCULO!$AM$15:$AW$15,$E56,0,OFFSET(ORÇAMENTO!$D$15,CRONO!$E56,0))),"="&amp;CRONO!W$12,OFFSET(CÁLCULO!$AB$15:$AL$15,$E56,0,OFFSET(ORÇAMENTO!$D$15,CRONO!$E56,0)))+IF(AND($E58&lt;&gt;"",$E58&lt;&gt;0),SUMIF(CÁLCULO!$AM$15:$AW$290,"="&amp;CRONO!W$12,CÁLCULO!$AB$15:$AL$290)/(ORÇAMENTO!$X$15-CÁLCULO.TotalAdmLocal)*CRONO!$E58,0),W57*$R56),SUMIF(OFFSET($R58,1,0,$Q56-2),($L56+1)&amp;"$",OFFSET(W58,1,0,$Q56-2)))</f>
        <v>0</v>
      </c>
      <c r="X58" s="223">
        <f ca="1">IF($Q56=2,IF(AND(ACOMPANHAMENTO="PLE",ISNUMBER($E56)),SUMIF((OFFSET(CÁLCULO!$AM$15:$AW$15,$E56,0,OFFSET(ORÇAMENTO!$D$15,CRONO!$E56,0))),"="&amp;CRONO!X$12,OFFSET(CÁLCULO!$AB$15:$AL$15,$E56,0,OFFSET(ORÇAMENTO!$D$15,CRONO!$E56,0)))+IF(AND($E58&lt;&gt;"",$E58&lt;&gt;0),SUMIF(CÁLCULO!$AM$15:$AW$290,"="&amp;CRONO!X$12,CÁLCULO!$AB$15:$AL$290)/(ORÇAMENTO!$X$15-CÁLCULO.TotalAdmLocal)*CRONO!$E58,0),X57*$R56),SUMIF(OFFSET($R58,1,0,$Q56-2),($L56+1)&amp;"$",OFFSET(X58,1,0,$Q56-2)))</f>
        <v>0</v>
      </c>
      <c r="Y58" s="223">
        <f ca="1">IF($Q56=2,IF(AND(ACOMPANHAMENTO="PLE",ISNUMBER($E56)),SUMIF((OFFSET(CÁLCULO!$AM$15:$AW$15,$E56,0,OFFSET(ORÇAMENTO!$D$15,CRONO!$E56,0))),"="&amp;CRONO!Y$12,OFFSET(CÁLCULO!$AB$15:$AL$15,$E56,0,OFFSET(ORÇAMENTO!$D$15,CRONO!$E56,0)))+IF(AND($E58&lt;&gt;"",$E58&lt;&gt;0),SUMIF(CÁLCULO!$AM$15:$AW$290,"="&amp;CRONO!Y$12,CÁLCULO!$AB$15:$AL$290)/(ORÇAMENTO!$X$15-CÁLCULO.TotalAdmLocal)*CRONO!$E58,0),Y57*$R56),SUMIF(OFFSET($R58,1,0,$Q56-2),($L56+1)&amp;"$",OFFSET(Y58,1,0,$Q56-2)))</f>
        <v>0</v>
      </c>
      <c r="Z58" s="223">
        <f ca="1">IF($Q56=2,IF(AND(ACOMPANHAMENTO="PLE",ISNUMBER($E56)),SUMIF((OFFSET(CÁLCULO!$AM$15:$AW$15,$E56,0,OFFSET(ORÇAMENTO!$D$15,CRONO!$E56,0))),"="&amp;CRONO!Z$12,OFFSET(CÁLCULO!$AB$15:$AL$15,$E56,0,OFFSET(ORÇAMENTO!$D$15,CRONO!$E56,0)))+IF(AND($E58&lt;&gt;"",$E58&lt;&gt;0),SUMIF(CÁLCULO!$AM$15:$AW$290,"="&amp;CRONO!Z$12,CÁLCULO!$AB$15:$AL$290)/(ORÇAMENTO!$X$15-CÁLCULO.TotalAdmLocal)*CRONO!$E58,0),Z57*$R56),SUMIF(OFFSET($R58,1,0,$Q56-2),($L56+1)&amp;"$",OFFSET(Z58,1,0,$Q56-2)))</f>
        <v>0</v>
      </c>
      <c r="AA58" s="223">
        <f ca="1">IF($Q56=2,IF(AND(ACOMPANHAMENTO="PLE",ISNUMBER($E56)),SUMIF((OFFSET(CÁLCULO!$AM$15:$AW$15,$E56,0,OFFSET(ORÇAMENTO!$D$15,CRONO!$E56,0))),"="&amp;CRONO!AA$12,OFFSET(CÁLCULO!$AB$15:$AL$15,$E56,0,OFFSET(ORÇAMENTO!$D$15,CRONO!$E56,0)))+IF(AND($E58&lt;&gt;"",$E58&lt;&gt;0),SUMIF(CÁLCULO!$AM$15:$AW$290,"="&amp;CRONO!AA$12,CÁLCULO!$AB$15:$AL$290)/(ORÇAMENTO!$X$15-CÁLCULO.TotalAdmLocal)*CRONO!$E58,0),AA57*$R56),SUMIF(OFFSET($R58,1,0,$Q56-2),($L56+1)&amp;"$",OFFSET(AA58,1,0,$Q56-2)))</f>
        <v>0</v>
      </c>
      <c r="AB58" s="223">
        <f ca="1">IF($Q56=2,IF(AND(ACOMPANHAMENTO="PLE",ISNUMBER($E56)),SUMIF((OFFSET(CÁLCULO!$AM$15:$AW$15,$E56,0,OFFSET(ORÇAMENTO!$D$15,CRONO!$E56,0))),"="&amp;CRONO!AB$12,OFFSET(CÁLCULO!$AB$15:$AL$15,$E56,0,OFFSET(ORÇAMENTO!$D$15,CRONO!$E56,0)))+IF(AND($E58&lt;&gt;"",$E58&lt;&gt;0),SUMIF(CÁLCULO!$AM$15:$AW$290,"="&amp;CRONO!AB$12,CÁLCULO!$AB$15:$AL$290)/(ORÇAMENTO!$X$15-CÁLCULO.TotalAdmLocal)*CRONO!$E58,0),AB57*$R56),SUMIF(OFFSET($R58,1,0,$Q56-2),($L56+1)&amp;"$",OFFSET(AB58,1,0,$Q56-2)))</f>
        <v>0</v>
      </c>
      <c r="AC58" s="223">
        <f ca="1">IF($Q56=2,IF(AND(ACOMPANHAMENTO="PLE",ISNUMBER($E56)),SUMIF((OFFSET(CÁLCULO!$AM$15:$AW$15,$E56,0,OFFSET(ORÇAMENTO!$D$15,CRONO!$E56,0))),"="&amp;CRONO!AC$12,OFFSET(CÁLCULO!$AB$15:$AL$15,$E56,0,OFFSET(ORÇAMENTO!$D$15,CRONO!$E56,0)))+IF(AND($E58&lt;&gt;"",$E58&lt;&gt;0),SUMIF(CÁLCULO!$AM$15:$AW$290,"="&amp;CRONO!AC$12,CÁLCULO!$AB$15:$AL$290)/(ORÇAMENTO!$X$15-CÁLCULO.TotalAdmLocal)*CRONO!$E58,0),AC57*$R56),SUMIF(OFFSET($R58,1,0,$Q56-2),($L56+1)&amp;"$",OFFSET(AC58,1,0,$Q56-2)))</f>
        <v>0</v>
      </c>
      <c r="AD58" s="223">
        <f ca="1">IF($Q56=2,IF(AND(ACOMPANHAMENTO="PLE",ISNUMBER($E56)),SUMIF((OFFSET(CÁLCULO!$AM$15:$AW$15,$E56,0,OFFSET(ORÇAMENTO!$D$15,CRONO!$E56,0))),"="&amp;CRONO!AD$12,OFFSET(CÁLCULO!$AB$15:$AL$15,$E56,0,OFFSET(ORÇAMENTO!$D$15,CRONO!$E56,0)))+IF(AND($E58&lt;&gt;"",$E58&lt;&gt;0),SUMIF(CÁLCULO!$AM$15:$AW$290,"="&amp;CRONO!AD$12,CÁLCULO!$AB$15:$AL$290)/(ORÇAMENTO!$X$15-CÁLCULO.TotalAdmLocal)*CRONO!$E58,0),AD57*$R56),SUMIF(OFFSET($R58,1,0,$Q56-2),($L56+1)&amp;"$",OFFSET(AD58,1,0,$Q56-2)))</f>
        <v>0</v>
      </c>
      <c r="AE58" s="228">
        <f ca="1">IF($Q56=2,IF(AND(ACOMPANHAMENTO="PLE",ISNUMBER($E56)),SUMIF((OFFSET(CÁLCULO!$AM$15:$AW$15,$E56,0,OFFSET(ORÇAMENTO!$D$15,CRONO!$E56,0))),"="&amp;CRONO!AE$12,OFFSET(CÁLCULO!$AB$15:$AL$15,$E56,0,OFFSET(ORÇAMENTO!$D$15,CRONO!$E56,0)))+IF(AND($E58&lt;&gt;"",$E58&lt;&gt;0),SUMIF(CÁLCULO!$AM$15:$AW$290,"="&amp;CRONO!AE$12,CÁLCULO!$AB$15:$AL$290)/(ORÇAMENTO!$X$15-CÁLCULO.TotalAdmLocal)*CRONO!$E58,0),AE57*$R56),SUMIF(OFFSET($R58,1,0,$Q56-2),($L56+1)&amp;"$",OFFSET(AE58,1,0,$Q56-2)))</f>
        <v>0</v>
      </c>
    </row>
    <row r="59" spans="1:32" x14ac:dyDescent="0.2">
      <c r="A59" s="204">
        <f t="shared" ref="A59" ca="1" si="108">OFFSET(A59,-3,0)+1</f>
        <v>16</v>
      </c>
      <c r="B59" s="204">
        <f ca="1">IF($Q59&lt;&gt;2,0,IF($R59=0,1,IF(E60&gt;0,OFFSET(QCI!$M$13,SUBSTITUTE(E60,".",""),0),OFFSET(ORÇAMENTO!$AA$15,CRONO!$E59,0))/$R59))</f>
        <v>1.0000000000000002</v>
      </c>
      <c r="C59" s="204">
        <f ca="1">IF($Q59&lt;&gt;2,0,IF($R59=0,1,IF(E60&gt;0,OFFSET(QCI!$N$13,SUBSTITUTE(E60,".",""),0),OFFSET(ORÇAMENTO!$AB$15,CRONO!$E59,0))/$R59))</f>
        <v>0</v>
      </c>
      <c r="D59" s="207">
        <f ca="1">IF(AND($Q59=2,ACOMPANHAMENTO="BM"),D60,D61/$R59)</f>
        <v>0</v>
      </c>
      <c r="E59" s="204">
        <f ca="1">IF(A59&lt;=ORÇAMENTO.MáximoListaCrono,MATCH(A59,ORÇAMENTO.ListaCrono,0),NA())</f>
        <v>104</v>
      </c>
      <c r="F59" s="204" t="str">
        <f t="shared" ref="F59" ca="1" si="109">IF(AND($E60&lt;&gt;-1,$R59&gt;0),"F","")</f>
        <v>F</v>
      </c>
      <c r="G59" s="208">
        <f ca="1">IF(OR(R59=0,R59=""),"Linha",IF(AND(OR(ACOMPANHAMENTO="PLE",$Q59&lt;&gt;2),$E60=0),"Linha",1-SUM(T59:AF59)))</f>
        <v>0</v>
      </c>
      <c r="H59" s="209" t="str">
        <f ca="1">IF($E60=0,OFFSET(ORÇAMENTO!O$15,$E59,0),IF($E60&lt;&gt;-1,OFFSET(QCI!$D$13,$E60,0),""))</f>
        <v>1.6.7.</v>
      </c>
      <c r="I59" s="210" t="str">
        <f ca="1">IF($E60=0,OFFSET(ORÇAMENTO!R$15,$E59,0),IF($E60&lt;&gt;-1,OFFSET(QCI!$G$13,$E60,0),""))</f>
        <v>VIGA DE RESPALDO</v>
      </c>
      <c r="J59" s="210"/>
      <c r="K59" s="210"/>
      <c r="L59" s="211">
        <f ca="1">IF($E60=0,OFFSET(ORÇAMENTO!C$15,$E59,0),1)</f>
        <v>3</v>
      </c>
      <c r="M59" s="212">
        <f ca="1">IF($E60=-1,0,IF(M$13&lt;=$L59,IF(ISERROR(MATCH(M$13,OFFSET($L59,1,0,ROW($L$116)-ROW($L59)-1),0)),ROW($L$116)-ROW($L59)-1,MATCH(M$13,OFFSET($L59,1,0,ROW($L$116)-ROW($L59)-1),0)-1),0))</f>
        <v>56</v>
      </c>
      <c r="N59" s="212">
        <f ca="1">IF($E60=-1,0,IF(N$13&lt;=$L59,IF(ISERROR(MATCH(N$13,OFFSET($L59,1,0,ROW($L$116)-ROW($L59)-1),0)),ROW($L$116)-ROW($L59)-1,MATCH(N$13,OFFSET($L59,1,0,ROW($L$116)-ROW($L59)-1),0)-1),0))</f>
        <v>35</v>
      </c>
      <c r="O59" s="212">
        <f ca="1">IF($E60=-1,0,IF(O$13&lt;=$L59,IF(ISERROR(MATCH(O$13,OFFSET($L59,1,0,ROW($L$116)-ROW($L59)-1),0)),ROW($L$116)-ROW($L59)-1,MATCH(O$13,OFFSET($L59,1,0,ROW($L$116)-ROW($L59)-1),0)-1),0))</f>
        <v>2</v>
      </c>
      <c r="P59" s="212">
        <f ca="1">IF($E60=-1,0,IF(P$13&lt;=$L59,IF(ISERROR(MATCH(P$13,OFFSET($L59,1,0,ROW($L$116)-ROW($L59)-1),0)),ROW($L$116)-ROW($L59)-1,MATCH(P$13,OFFSET($L59,1,0,ROW($L$116)-ROW($L59)-1),0)-1),0))</f>
        <v>0</v>
      </c>
      <c r="Q59" s="212">
        <f t="shared" ref="Q59" ca="1" si="110">MIN(OFFSET(L59,0,1,,L59))</f>
        <v>2</v>
      </c>
      <c r="R59" s="213">
        <f ca="1">IF($E60=0,OFFSET(ORÇAMENTO!X$15,$E59,0),IF($E60&lt;&gt;-1,OFFSET(QCI!$O$13,$E60,0),""))</f>
        <v>1785.8</v>
      </c>
      <c r="S59" s="214" t="s">
        <v>270</v>
      </c>
      <c r="T59" s="215">
        <f t="shared" ref="T59:AE59" ca="1" si="111">IF(AND($Q59=2,ACOMPANHAMENTO="BM"),T60,T61/$R59)</f>
        <v>0</v>
      </c>
      <c r="U59" s="207">
        <f t="shared" ca="1" si="111"/>
        <v>0</v>
      </c>
      <c r="V59" s="207">
        <f t="shared" ca="1" si="111"/>
        <v>1</v>
      </c>
      <c r="W59" s="207">
        <f t="shared" ca="1" si="111"/>
        <v>0</v>
      </c>
      <c r="X59" s="207">
        <f t="shared" ca="1" si="111"/>
        <v>0</v>
      </c>
      <c r="Y59" s="207">
        <f t="shared" ca="1" si="111"/>
        <v>0</v>
      </c>
      <c r="Z59" s="207">
        <f t="shared" ca="1" si="111"/>
        <v>0</v>
      </c>
      <c r="AA59" s="207">
        <f t="shared" ca="1" si="111"/>
        <v>0</v>
      </c>
      <c r="AB59" s="207">
        <f t="shared" ca="1" si="111"/>
        <v>0</v>
      </c>
      <c r="AC59" s="207">
        <f t="shared" ca="1" si="111"/>
        <v>0</v>
      </c>
      <c r="AD59" s="207">
        <f t="shared" ca="1" si="111"/>
        <v>0</v>
      </c>
      <c r="AE59" s="216">
        <f t="shared" ca="1" si="111"/>
        <v>0</v>
      </c>
    </row>
    <row r="60" spans="1:32" ht="12.75" customHeight="1" x14ac:dyDescent="0.2">
      <c r="D60" s="569"/>
      <c r="E60" s="204">
        <f ca="1">IF(ISERROR(E59),IF(1+COUNTIF($L$13:OFFSET(L59,-1,0),1)&lt;=MAX(QCI!$D$13:$D$24),1+COUNTIF($L$13:OFFSET(L59,-1,0),1),-1),0)</f>
        <v>0</v>
      </c>
      <c r="F60" s="204" t="str">
        <f t="shared" ref="F60" ca="1" si="112">IF(AND($E60&lt;&gt;-1,$R59&gt;0),"F","")</f>
        <v>F</v>
      </c>
      <c r="G60" s="217" t="str">
        <f ca="1">IF(OR(R59=0,R59=""),"vazia",IF(AND(OR(ACOMPANHAMENTO="PLE",$Q59&lt;&gt;2),$E60=0),"calculada","--&gt;"))</f>
        <v>--&gt;</v>
      </c>
      <c r="H60" s="218"/>
      <c r="I60" s="219" t="str">
        <f t="shared" ref="I60" ca="1" si="113">IF(AND(G59&lt;&gt;0,ISNUMBER(G59)),"PREENCHA ESTA LINHA --&gt;","")</f>
        <v/>
      </c>
      <c r="J60" s="219"/>
      <c r="K60" s="219"/>
      <c r="L60" s="220"/>
      <c r="M60" s="220"/>
      <c r="N60" s="220"/>
      <c r="O60" s="220"/>
      <c r="P60" s="220"/>
      <c r="Q60" s="220"/>
      <c r="R60" s="221"/>
      <c r="S60" s="222"/>
      <c r="T60" s="570"/>
      <c r="U60" s="569"/>
      <c r="V60" s="569">
        <v>1</v>
      </c>
      <c r="W60" s="569"/>
      <c r="X60" s="569"/>
      <c r="Y60" s="569"/>
      <c r="Z60" s="569"/>
      <c r="AA60" s="569"/>
      <c r="AB60" s="569"/>
      <c r="AC60" s="569"/>
      <c r="AD60" s="569"/>
      <c r="AE60" s="571"/>
      <c r="AF60" s="533"/>
    </row>
    <row r="61" spans="1:32" ht="0.2" hidden="1" customHeight="1" x14ac:dyDescent="0.2">
      <c r="D61" s="223">
        <f ca="1">IF($Q59=2,IF(AND(ACOMPANHAMENTO="PLE",ISNUMBER($E59)),SUMIF((OFFSET(CÁLCULO!$AM$15:$AW$15,$E59,0,OFFSET(ORÇAMENTO!$D$15,CRONO!$E59,0))),"="&amp;CRONO!D$12,OFFSET(CÁLCULO!$AB$15:$AL$15,$E59,0,OFFSET(ORÇAMENTO!$D$15,CRONO!$E59,0)))+IF(AND($E61&lt;&gt;"",$E61&lt;&gt;0),SUMIF(CÁLCULO!$AM$15:$AW$290,"="&amp;CRONO!D$12,CÁLCULO!$AB$15:$AL$290)/(ORÇAMENTO!$X$15-CÁLCULO.TotalAdmLocal)*CRONO!$E61,0),D60*$R59),SUMIF(OFFSET($R61,1,0,$Q59-2),($L59+1)&amp;"$",OFFSET(D61,1,0,$Q59-2)))</f>
        <v>0</v>
      </c>
      <c r="E61" s="204" t="str">
        <f ca="1">IF(OR($Q59&lt;&gt;2,AUTOEVENTO&lt;&gt;"manual",$E60&gt;0),"",SUMIF(OFFSET(CÁLCULO!$M$15,CRONO!$E59,0,OFFSET(ORÇAMENTO!$D$15,CRONO!$E59,0)),1,OFFSET(ORÇAMENTO!$X$15,CRONO!$E59,0,OFFSET(ORÇAMENTO!$D$15,CRONO!$E59,0))))</f>
        <v/>
      </c>
      <c r="G61" s="224"/>
      <c r="R61" s="225" t="str">
        <f t="shared" ref="R61" ca="1" si="114">L59&amp;"$"</f>
        <v>3$</v>
      </c>
      <c r="S61" s="226"/>
      <c r="T61" s="227">
        <f ca="1">IF($Q59=2,IF(AND(ACOMPANHAMENTO="PLE",ISNUMBER($E59)),SUMIF((OFFSET(CÁLCULO!$AM$15:$AW$15,$E59,0,OFFSET(ORÇAMENTO!$D$15,CRONO!$E59,0))),"&lt;="&amp;CRONO!T$12,OFFSET(CÁLCULO!$AB$15:$AL$15,$E59,0,OFFSET(ORÇAMENTO!$D$15,CRONO!$E59,0)))+IF(AND($E61&lt;&gt;"",$E61&lt;&gt;0),SUMIF(CÁLCULO!$AM$15:$AW$290,"&lt;="&amp;CRONO!T$12,CÁLCULO!$AB$15:$AL$290)/(ORÇAMENTO!$X$15-CÁLCULO.TotalAdmLocal)*CRONO!$E61,0),T60*$R59),SUMIF(OFFSET($R61,1,0,$Q59-2),($L59+1)&amp;"$",OFFSET(T61,1,0,$Q59-2)))</f>
        <v>0</v>
      </c>
      <c r="U61" s="223">
        <f ca="1">IF($Q59=2,IF(AND(ACOMPANHAMENTO="PLE",ISNUMBER($E59)),SUMIF((OFFSET(CÁLCULO!$AM$15:$AW$15,$E59,0,OFFSET(ORÇAMENTO!$D$15,CRONO!$E59,0))),"="&amp;CRONO!U$12,OFFSET(CÁLCULO!$AB$15:$AL$15,$E59,0,OFFSET(ORÇAMENTO!$D$15,CRONO!$E59,0)))+IF(AND($E61&lt;&gt;"",$E61&lt;&gt;0),SUMIF(CÁLCULO!$AM$15:$AW$290,"="&amp;CRONO!U$12,CÁLCULO!$AB$15:$AL$290)/(ORÇAMENTO!$X$15-CÁLCULO.TotalAdmLocal)*CRONO!$E61,0),U60*$R59),SUMIF(OFFSET($R61,1,0,$Q59-2),($L59+1)&amp;"$",OFFSET(U61,1,0,$Q59-2)))</f>
        <v>0</v>
      </c>
      <c r="V61" s="223">
        <f ca="1">IF($Q59=2,IF(AND(ACOMPANHAMENTO="PLE",ISNUMBER($E59)),SUMIF((OFFSET(CÁLCULO!$AM$15:$AW$15,$E59,0,OFFSET(ORÇAMENTO!$D$15,CRONO!$E59,0))),"="&amp;CRONO!V$12,OFFSET(CÁLCULO!$AB$15:$AL$15,$E59,0,OFFSET(ORÇAMENTO!$D$15,CRONO!$E59,0)))+IF(AND($E61&lt;&gt;"",$E61&lt;&gt;0),SUMIF(CÁLCULO!$AM$15:$AW$290,"="&amp;CRONO!V$12,CÁLCULO!$AB$15:$AL$290)/(ORÇAMENTO!$X$15-CÁLCULO.TotalAdmLocal)*CRONO!$E61,0),V60*$R59),SUMIF(OFFSET($R61,1,0,$Q59-2),($L59+1)&amp;"$",OFFSET(V61,1,0,$Q59-2)))</f>
        <v>1785.8</v>
      </c>
      <c r="W61" s="223">
        <f ca="1">IF($Q59=2,IF(AND(ACOMPANHAMENTO="PLE",ISNUMBER($E59)),SUMIF((OFFSET(CÁLCULO!$AM$15:$AW$15,$E59,0,OFFSET(ORÇAMENTO!$D$15,CRONO!$E59,0))),"="&amp;CRONO!W$12,OFFSET(CÁLCULO!$AB$15:$AL$15,$E59,0,OFFSET(ORÇAMENTO!$D$15,CRONO!$E59,0)))+IF(AND($E61&lt;&gt;"",$E61&lt;&gt;0),SUMIF(CÁLCULO!$AM$15:$AW$290,"="&amp;CRONO!W$12,CÁLCULO!$AB$15:$AL$290)/(ORÇAMENTO!$X$15-CÁLCULO.TotalAdmLocal)*CRONO!$E61,0),W60*$R59),SUMIF(OFFSET($R61,1,0,$Q59-2),($L59+1)&amp;"$",OFFSET(W61,1,0,$Q59-2)))</f>
        <v>0</v>
      </c>
      <c r="X61" s="223">
        <f ca="1">IF($Q59=2,IF(AND(ACOMPANHAMENTO="PLE",ISNUMBER($E59)),SUMIF((OFFSET(CÁLCULO!$AM$15:$AW$15,$E59,0,OFFSET(ORÇAMENTO!$D$15,CRONO!$E59,0))),"="&amp;CRONO!X$12,OFFSET(CÁLCULO!$AB$15:$AL$15,$E59,0,OFFSET(ORÇAMENTO!$D$15,CRONO!$E59,0)))+IF(AND($E61&lt;&gt;"",$E61&lt;&gt;0),SUMIF(CÁLCULO!$AM$15:$AW$290,"="&amp;CRONO!X$12,CÁLCULO!$AB$15:$AL$290)/(ORÇAMENTO!$X$15-CÁLCULO.TotalAdmLocal)*CRONO!$E61,0),X60*$R59),SUMIF(OFFSET($R61,1,0,$Q59-2),($L59+1)&amp;"$",OFFSET(X61,1,0,$Q59-2)))</f>
        <v>0</v>
      </c>
      <c r="Y61" s="223">
        <f ca="1">IF($Q59=2,IF(AND(ACOMPANHAMENTO="PLE",ISNUMBER($E59)),SUMIF((OFFSET(CÁLCULO!$AM$15:$AW$15,$E59,0,OFFSET(ORÇAMENTO!$D$15,CRONO!$E59,0))),"="&amp;CRONO!Y$12,OFFSET(CÁLCULO!$AB$15:$AL$15,$E59,0,OFFSET(ORÇAMENTO!$D$15,CRONO!$E59,0)))+IF(AND($E61&lt;&gt;"",$E61&lt;&gt;0),SUMIF(CÁLCULO!$AM$15:$AW$290,"="&amp;CRONO!Y$12,CÁLCULO!$AB$15:$AL$290)/(ORÇAMENTO!$X$15-CÁLCULO.TotalAdmLocal)*CRONO!$E61,0),Y60*$R59),SUMIF(OFFSET($R61,1,0,$Q59-2),($L59+1)&amp;"$",OFFSET(Y61,1,0,$Q59-2)))</f>
        <v>0</v>
      </c>
      <c r="Z61" s="223">
        <f ca="1">IF($Q59=2,IF(AND(ACOMPANHAMENTO="PLE",ISNUMBER($E59)),SUMIF((OFFSET(CÁLCULO!$AM$15:$AW$15,$E59,0,OFFSET(ORÇAMENTO!$D$15,CRONO!$E59,0))),"="&amp;CRONO!Z$12,OFFSET(CÁLCULO!$AB$15:$AL$15,$E59,0,OFFSET(ORÇAMENTO!$D$15,CRONO!$E59,0)))+IF(AND($E61&lt;&gt;"",$E61&lt;&gt;0),SUMIF(CÁLCULO!$AM$15:$AW$290,"="&amp;CRONO!Z$12,CÁLCULO!$AB$15:$AL$290)/(ORÇAMENTO!$X$15-CÁLCULO.TotalAdmLocal)*CRONO!$E61,0),Z60*$R59),SUMIF(OFFSET($R61,1,0,$Q59-2),($L59+1)&amp;"$",OFFSET(Z61,1,0,$Q59-2)))</f>
        <v>0</v>
      </c>
      <c r="AA61" s="223">
        <f ca="1">IF($Q59=2,IF(AND(ACOMPANHAMENTO="PLE",ISNUMBER($E59)),SUMIF((OFFSET(CÁLCULO!$AM$15:$AW$15,$E59,0,OFFSET(ORÇAMENTO!$D$15,CRONO!$E59,0))),"="&amp;CRONO!AA$12,OFFSET(CÁLCULO!$AB$15:$AL$15,$E59,0,OFFSET(ORÇAMENTO!$D$15,CRONO!$E59,0)))+IF(AND($E61&lt;&gt;"",$E61&lt;&gt;0),SUMIF(CÁLCULO!$AM$15:$AW$290,"="&amp;CRONO!AA$12,CÁLCULO!$AB$15:$AL$290)/(ORÇAMENTO!$X$15-CÁLCULO.TotalAdmLocal)*CRONO!$E61,0),AA60*$R59),SUMIF(OFFSET($R61,1,0,$Q59-2),($L59+1)&amp;"$",OFFSET(AA61,1,0,$Q59-2)))</f>
        <v>0</v>
      </c>
      <c r="AB61" s="223">
        <f ca="1">IF($Q59=2,IF(AND(ACOMPANHAMENTO="PLE",ISNUMBER($E59)),SUMIF((OFFSET(CÁLCULO!$AM$15:$AW$15,$E59,0,OFFSET(ORÇAMENTO!$D$15,CRONO!$E59,0))),"="&amp;CRONO!AB$12,OFFSET(CÁLCULO!$AB$15:$AL$15,$E59,0,OFFSET(ORÇAMENTO!$D$15,CRONO!$E59,0)))+IF(AND($E61&lt;&gt;"",$E61&lt;&gt;0),SUMIF(CÁLCULO!$AM$15:$AW$290,"="&amp;CRONO!AB$12,CÁLCULO!$AB$15:$AL$290)/(ORÇAMENTO!$X$15-CÁLCULO.TotalAdmLocal)*CRONO!$E61,0),AB60*$R59),SUMIF(OFFSET($R61,1,0,$Q59-2),($L59+1)&amp;"$",OFFSET(AB61,1,0,$Q59-2)))</f>
        <v>0</v>
      </c>
      <c r="AC61" s="223">
        <f ca="1">IF($Q59=2,IF(AND(ACOMPANHAMENTO="PLE",ISNUMBER($E59)),SUMIF((OFFSET(CÁLCULO!$AM$15:$AW$15,$E59,0,OFFSET(ORÇAMENTO!$D$15,CRONO!$E59,0))),"="&amp;CRONO!AC$12,OFFSET(CÁLCULO!$AB$15:$AL$15,$E59,0,OFFSET(ORÇAMENTO!$D$15,CRONO!$E59,0)))+IF(AND($E61&lt;&gt;"",$E61&lt;&gt;0),SUMIF(CÁLCULO!$AM$15:$AW$290,"="&amp;CRONO!AC$12,CÁLCULO!$AB$15:$AL$290)/(ORÇAMENTO!$X$15-CÁLCULO.TotalAdmLocal)*CRONO!$E61,0),AC60*$R59),SUMIF(OFFSET($R61,1,0,$Q59-2),($L59+1)&amp;"$",OFFSET(AC61,1,0,$Q59-2)))</f>
        <v>0</v>
      </c>
      <c r="AD61" s="223">
        <f ca="1">IF($Q59=2,IF(AND(ACOMPANHAMENTO="PLE",ISNUMBER($E59)),SUMIF((OFFSET(CÁLCULO!$AM$15:$AW$15,$E59,0,OFFSET(ORÇAMENTO!$D$15,CRONO!$E59,0))),"="&amp;CRONO!AD$12,OFFSET(CÁLCULO!$AB$15:$AL$15,$E59,0,OFFSET(ORÇAMENTO!$D$15,CRONO!$E59,0)))+IF(AND($E61&lt;&gt;"",$E61&lt;&gt;0),SUMIF(CÁLCULO!$AM$15:$AW$290,"="&amp;CRONO!AD$12,CÁLCULO!$AB$15:$AL$290)/(ORÇAMENTO!$X$15-CÁLCULO.TotalAdmLocal)*CRONO!$E61,0),AD60*$R59),SUMIF(OFFSET($R61,1,0,$Q59-2),($L59+1)&amp;"$",OFFSET(AD61,1,0,$Q59-2)))</f>
        <v>0</v>
      </c>
      <c r="AE61" s="228">
        <f ca="1">IF($Q59=2,IF(AND(ACOMPANHAMENTO="PLE",ISNUMBER($E59)),SUMIF((OFFSET(CÁLCULO!$AM$15:$AW$15,$E59,0,OFFSET(ORÇAMENTO!$D$15,CRONO!$E59,0))),"="&amp;CRONO!AE$12,OFFSET(CÁLCULO!$AB$15:$AL$15,$E59,0,OFFSET(ORÇAMENTO!$D$15,CRONO!$E59,0)))+IF(AND($E61&lt;&gt;"",$E61&lt;&gt;0),SUMIF(CÁLCULO!$AM$15:$AW$290,"="&amp;CRONO!AE$12,CÁLCULO!$AB$15:$AL$290)/(ORÇAMENTO!$X$15-CÁLCULO.TotalAdmLocal)*CRONO!$E61,0),AE60*$R59),SUMIF(OFFSET($R61,1,0,$Q59-2),($L59+1)&amp;"$",OFFSET(AE61,1,0,$Q59-2)))</f>
        <v>0</v>
      </c>
    </row>
    <row r="62" spans="1:32" x14ac:dyDescent="0.2">
      <c r="A62" s="204">
        <f t="shared" ref="A62" ca="1" si="115">OFFSET(A62,-3,0)+1</f>
        <v>17</v>
      </c>
      <c r="B62" s="204">
        <f ca="1">IF($Q62&lt;&gt;2,0,IF($R62=0,1,IF(E63&gt;0,OFFSET(QCI!$M$13,SUBSTITUTE(E63,".",""),0),OFFSET(ORÇAMENTO!$AA$15,CRONO!$E62,0))/$R62))</f>
        <v>1</v>
      </c>
      <c r="C62" s="204">
        <f ca="1">IF($Q62&lt;&gt;2,0,IF($R62=0,1,IF(E63&gt;0,OFFSET(QCI!$N$13,SUBSTITUTE(E63,".",""),0),OFFSET(ORÇAMENTO!$AB$15,CRONO!$E62,0))/$R62))</f>
        <v>0</v>
      </c>
      <c r="D62" s="207">
        <f ca="1">IF(AND($Q62=2,ACOMPANHAMENTO="BM"),D63,D64/$R62)</f>
        <v>0</v>
      </c>
      <c r="E62" s="204">
        <f ca="1">IF(A62&lt;=ORÇAMENTO.MáximoListaCrono,MATCH(A62,ORÇAMENTO.ListaCrono,0),NA())</f>
        <v>109</v>
      </c>
      <c r="F62" s="204" t="str">
        <f t="shared" ref="F62" ca="1" si="116">IF(AND($E63&lt;&gt;-1,$R62&gt;0),"F","")</f>
        <v>F</v>
      </c>
      <c r="G62" s="208">
        <f ca="1">IF(OR(R62=0,R62=""),"Linha",IF(AND(OR(ACOMPANHAMENTO="PLE",$Q62&lt;&gt;2),$E63=0),"Linha",1-SUM(T62:AF62)))</f>
        <v>0</v>
      </c>
      <c r="H62" s="209" t="str">
        <f ca="1">IF($E63=0,OFFSET(ORÇAMENTO!O$15,$E62,0),IF($E63&lt;&gt;-1,OFFSET(QCI!$D$13,$E63,0),""))</f>
        <v>1.6.8.</v>
      </c>
      <c r="I62" s="210" t="str">
        <f ca="1">IF($E63=0,OFFSET(ORÇAMENTO!R$15,$E62,0),IF($E63&lt;&gt;-1,OFFSET(QCI!$G$13,$E63,0),""))</f>
        <v>COBERTURA</v>
      </c>
      <c r="J62" s="210"/>
      <c r="K62" s="210"/>
      <c r="L62" s="211">
        <f ca="1">IF($E63=0,OFFSET(ORÇAMENTO!C$15,$E62,0),1)</f>
        <v>3</v>
      </c>
      <c r="M62" s="212">
        <f ca="1">IF($E63=-1,0,IF(M$13&lt;=$L62,IF(ISERROR(MATCH(M$13,OFFSET($L62,1,0,ROW($L$116)-ROW($L62)-1),0)),ROW($L$116)-ROW($L62)-1,MATCH(M$13,OFFSET($L62,1,0,ROW($L$116)-ROW($L62)-1),0)-1),0))</f>
        <v>53</v>
      </c>
      <c r="N62" s="212">
        <f ca="1">IF($E63=-1,0,IF(N$13&lt;=$L62,IF(ISERROR(MATCH(N$13,OFFSET($L62,1,0,ROW($L$116)-ROW($L62)-1),0)),ROW($L$116)-ROW($L62)-1,MATCH(N$13,OFFSET($L62,1,0,ROW($L$116)-ROW($L62)-1),0)-1),0))</f>
        <v>32</v>
      </c>
      <c r="O62" s="212">
        <f ca="1">IF($E63=-1,0,IF(O$13&lt;=$L62,IF(ISERROR(MATCH(O$13,OFFSET($L62,1,0,ROW($L$116)-ROW($L62)-1),0)),ROW($L$116)-ROW($L62)-1,MATCH(O$13,OFFSET($L62,1,0,ROW($L$116)-ROW($L62)-1),0)-1),0))</f>
        <v>2</v>
      </c>
      <c r="P62" s="212">
        <f ca="1">IF($E63=-1,0,IF(P$13&lt;=$L62,IF(ISERROR(MATCH(P$13,OFFSET($L62,1,0,ROW($L$116)-ROW($L62)-1),0)),ROW($L$116)-ROW($L62)-1,MATCH(P$13,OFFSET($L62,1,0,ROW($L$116)-ROW($L62)-1),0)-1),0))</f>
        <v>0</v>
      </c>
      <c r="Q62" s="212">
        <f t="shared" ref="Q62" ca="1" si="117">MIN(OFFSET(L62,0,1,,L62))</f>
        <v>2</v>
      </c>
      <c r="R62" s="213">
        <f ca="1">IF($E63=0,OFFSET(ORÇAMENTO!X$15,$E62,0),IF($E63&lt;&gt;-1,OFFSET(QCI!$O$13,$E63,0),""))</f>
        <v>10248.629999999999</v>
      </c>
      <c r="S62" s="214" t="s">
        <v>270</v>
      </c>
      <c r="T62" s="215">
        <f t="shared" ref="T62:AE62" ca="1" si="118">IF(AND($Q62=2,ACOMPANHAMENTO="BM"),T63,T64/$R62)</f>
        <v>0</v>
      </c>
      <c r="U62" s="207">
        <f t="shared" ca="1" si="118"/>
        <v>0</v>
      </c>
      <c r="V62" s="207">
        <f t="shared" ca="1" si="118"/>
        <v>0.5</v>
      </c>
      <c r="W62" s="207">
        <f t="shared" ca="1" si="118"/>
        <v>0.5</v>
      </c>
      <c r="X62" s="207">
        <f t="shared" ca="1" si="118"/>
        <v>0</v>
      </c>
      <c r="Y62" s="207">
        <f t="shared" ca="1" si="118"/>
        <v>0</v>
      </c>
      <c r="Z62" s="207">
        <f t="shared" ca="1" si="118"/>
        <v>0</v>
      </c>
      <c r="AA62" s="207">
        <f t="shared" ca="1" si="118"/>
        <v>0</v>
      </c>
      <c r="AB62" s="207">
        <f t="shared" ca="1" si="118"/>
        <v>0</v>
      </c>
      <c r="AC62" s="207">
        <f t="shared" ca="1" si="118"/>
        <v>0</v>
      </c>
      <c r="AD62" s="207">
        <f t="shared" ca="1" si="118"/>
        <v>0</v>
      </c>
      <c r="AE62" s="216">
        <f t="shared" ca="1" si="118"/>
        <v>0</v>
      </c>
    </row>
    <row r="63" spans="1:32" ht="12.75" customHeight="1" x14ac:dyDescent="0.2">
      <c r="D63" s="569"/>
      <c r="E63" s="204">
        <f ca="1">IF(ISERROR(E62),IF(1+COUNTIF($L$13:OFFSET(L62,-1,0),1)&lt;=MAX(QCI!$D$13:$D$24),1+COUNTIF($L$13:OFFSET(L62,-1,0),1),-1),0)</f>
        <v>0</v>
      </c>
      <c r="F63" s="204" t="str">
        <f t="shared" ref="F63" ca="1" si="119">IF(AND($E63&lt;&gt;-1,$R62&gt;0),"F","")</f>
        <v>F</v>
      </c>
      <c r="G63" s="217" t="str">
        <f ca="1">IF(OR(R62=0,R62=""),"vazia",IF(AND(OR(ACOMPANHAMENTO="PLE",$Q62&lt;&gt;2),$E63=0),"calculada","--&gt;"))</f>
        <v>--&gt;</v>
      </c>
      <c r="H63" s="218"/>
      <c r="I63" s="219" t="str">
        <f t="shared" ref="I63" ca="1" si="120">IF(AND(G62&lt;&gt;0,ISNUMBER(G62)),"PREENCHA ESTA LINHA --&gt;","")</f>
        <v/>
      </c>
      <c r="J63" s="219"/>
      <c r="K63" s="219"/>
      <c r="L63" s="220"/>
      <c r="M63" s="220"/>
      <c r="N63" s="220"/>
      <c r="O63" s="220"/>
      <c r="P63" s="220"/>
      <c r="Q63" s="220"/>
      <c r="R63" s="221"/>
      <c r="S63" s="222"/>
      <c r="T63" s="570"/>
      <c r="U63" s="569"/>
      <c r="V63" s="569">
        <v>0.5</v>
      </c>
      <c r="W63" s="569">
        <v>0.5</v>
      </c>
      <c r="X63" s="569"/>
      <c r="Y63" s="569"/>
      <c r="Z63" s="569"/>
      <c r="AA63" s="569"/>
      <c r="AB63" s="569"/>
      <c r="AC63" s="569"/>
      <c r="AD63" s="569"/>
      <c r="AE63" s="571"/>
      <c r="AF63" s="533"/>
    </row>
    <row r="64" spans="1:32" ht="0.2" hidden="1" customHeight="1" x14ac:dyDescent="0.2">
      <c r="D64" s="223">
        <f ca="1">IF($Q62=2,IF(AND(ACOMPANHAMENTO="PLE",ISNUMBER($E62)),SUMIF((OFFSET(CÁLCULO!$AM$15:$AW$15,$E62,0,OFFSET(ORÇAMENTO!$D$15,CRONO!$E62,0))),"="&amp;CRONO!D$12,OFFSET(CÁLCULO!$AB$15:$AL$15,$E62,0,OFFSET(ORÇAMENTO!$D$15,CRONO!$E62,0)))+IF(AND($E64&lt;&gt;"",$E64&lt;&gt;0),SUMIF(CÁLCULO!$AM$15:$AW$290,"="&amp;CRONO!D$12,CÁLCULO!$AB$15:$AL$290)/(ORÇAMENTO!$X$15-CÁLCULO.TotalAdmLocal)*CRONO!$E64,0),D63*$R62),SUMIF(OFFSET($R64,1,0,$Q62-2),($L62+1)&amp;"$",OFFSET(D64,1,0,$Q62-2)))</f>
        <v>0</v>
      </c>
      <c r="E64" s="204" t="str">
        <f ca="1">IF(OR($Q62&lt;&gt;2,AUTOEVENTO&lt;&gt;"manual",$E63&gt;0),"",SUMIF(OFFSET(CÁLCULO!$M$15,CRONO!$E62,0,OFFSET(ORÇAMENTO!$D$15,CRONO!$E62,0)),1,OFFSET(ORÇAMENTO!$X$15,CRONO!$E62,0,OFFSET(ORÇAMENTO!$D$15,CRONO!$E62,0))))</f>
        <v/>
      </c>
      <c r="G64" s="224"/>
      <c r="R64" s="225" t="str">
        <f t="shared" ref="R64" ca="1" si="121">L62&amp;"$"</f>
        <v>3$</v>
      </c>
      <c r="S64" s="226"/>
      <c r="T64" s="227">
        <f ca="1">IF($Q62=2,IF(AND(ACOMPANHAMENTO="PLE",ISNUMBER($E62)),SUMIF((OFFSET(CÁLCULO!$AM$15:$AW$15,$E62,0,OFFSET(ORÇAMENTO!$D$15,CRONO!$E62,0))),"&lt;="&amp;CRONO!T$12,OFFSET(CÁLCULO!$AB$15:$AL$15,$E62,0,OFFSET(ORÇAMENTO!$D$15,CRONO!$E62,0)))+IF(AND($E64&lt;&gt;"",$E64&lt;&gt;0),SUMIF(CÁLCULO!$AM$15:$AW$290,"&lt;="&amp;CRONO!T$12,CÁLCULO!$AB$15:$AL$290)/(ORÇAMENTO!$X$15-CÁLCULO.TotalAdmLocal)*CRONO!$E64,0),T63*$R62),SUMIF(OFFSET($R64,1,0,$Q62-2),($L62+1)&amp;"$",OFFSET(T64,1,0,$Q62-2)))</f>
        <v>0</v>
      </c>
      <c r="U64" s="223">
        <f ca="1">IF($Q62=2,IF(AND(ACOMPANHAMENTO="PLE",ISNUMBER($E62)),SUMIF((OFFSET(CÁLCULO!$AM$15:$AW$15,$E62,0,OFFSET(ORÇAMENTO!$D$15,CRONO!$E62,0))),"="&amp;CRONO!U$12,OFFSET(CÁLCULO!$AB$15:$AL$15,$E62,0,OFFSET(ORÇAMENTO!$D$15,CRONO!$E62,0)))+IF(AND($E64&lt;&gt;"",$E64&lt;&gt;0),SUMIF(CÁLCULO!$AM$15:$AW$290,"="&amp;CRONO!U$12,CÁLCULO!$AB$15:$AL$290)/(ORÇAMENTO!$X$15-CÁLCULO.TotalAdmLocal)*CRONO!$E64,0),U63*$R62),SUMIF(OFFSET($R64,1,0,$Q62-2),($L62+1)&amp;"$",OFFSET(U64,1,0,$Q62-2)))</f>
        <v>0</v>
      </c>
      <c r="V64" s="223">
        <f ca="1">IF($Q62=2,IF(AND(ACOMPANHAMENTO="PLE",ISNUMBER($E62)),SUMIF((OFFSET(CÁLCULO!$AM$15:$AW$15,$E62,0,OFFSET(ORÇAMENTO!$D$15,CRONO!$E62,0))),"="&amp;CRONO!V$12,OFFSET(CÁLCULO!$AB$15:$AL$15,$E62,0,OFFSET(ORÇAMENTO!$D$15,CRONO!$E62,0)))+IF(AND($E64&lt;&gt;"",$E64&lt;&gt;0),SUMIF(CÁLCULO!$AM$15:$AW$290,"="&amp;CRONO!V$12,CÁLCULO!$AB$15:$AL$290)/(ORÇAMENTO!$X$15-CÁLCULO.TotalAdmLocal)*CRONO!$E64,0),V63*$R62),SUMIF(OFFSET($R64,1,0,$Q62-2),($L62+1)&amp;"$",OFFSET(V64,1,0,$Q62-2)))</f>
        <v>5124.3149999999996</v>
      </c>
      <c r="W64" s="223">
        <f ca="1">IF($Q62=2,IF(AND(ACOMPANHAMENTO="PLE",ISNUMBER($E62)),SUMIF((OFFSET(CÁLCULO!$AM$15:$AW$15,$E62,0,OFFSET(ORÇAMENTO!$D$15,CRONO!$E62,0))),"="&amp;CRONO!W$12,OFFSET(CÁLCULO!$AB$15:$AL$15,$E62,0,OFFSET(ORÇAMENTO!$D$15,CRONO!$E62,0)))+IF(AND($E64&lt;&gt;"",$E64&lt;&gt;0),SUMIF(CÁLCULO!$AM$15:$AW$290,"="&amp;CRONO!W$12,CÁLCULO!$AB$15:$AL$290)/(ORÇAMENTO!$X$15-CÁLCULO.TotalAdmLocal)*CRONO!$E64,0),W63*$R62),SUMIF(OFFSET($R64,1,0,$Q62-2),($L62+1)&amp;"$",OFFSET(W64,1,0,$Q62-2)))</f>
        <v>5124.3149999999996</v>
      </c>
      <c r="X64" s="223">
        <f ca="1">IF($Q62=2,IF(AND(ACOMPANHAMENTO="PLE",ISNUMBER($E62)),SUMIF((OFFSET(CÁLCULO!$AM$15:$AW$15,$E62,0,OFFSET(ORÇAMENTO!$D$15,CRONO!$E62,0))),"="&amp;CRONO!X$12,OFFSET(CÁLCULO!$AB$15:$AL$15,$E62,0,OFFSET(ORÇAMENTO!$D$15,CRONO!$E62,0)))+IF(AND($E64&lt;&gt;"",$E64&lt;&gt;0),SUMIF(CÁLCULO!$AM$15:$AW$290,"="&amp;CRONO!X$12,CÁLCULO!$AB$15:$AL$290)/(ORÇAMENTO!$X$15-CÁLCULO.TotalAdmLocal)*CRONO!$E64,0),X63*$R62),SUMIF(OFFSET($R64,1,0,$Q62-2),($L62+1)&amp;"$",OFFSET(X64,1,0,$Q62-2)))</f>
        <v>0</v>
      </c>
      <c r="Y64" s="223">
        <f ca="1">IF($Q62=2,IF(AND(ACOMPANHAMENTO="PLE",ISNUMBER($E62)),SUMIF((OFFSET(CÁLCULO!$AM$15:$AW$15,$E62,0,OFFSET(ORÇAMENTO!$D$15,CRONO!$E62,0))),"="&amp;CRONO!Y$12,OFFSET(CÁLCULO!$AB$15:$AL$15,$E62,0,OFFSET(ORÇAMENTO!$D$15,CRONO!$E62,0)))+IF(AND($E64&lt;&gt;"",$E64&lt;&gt;0),SUMIF(CÁLCULO!$AM$15:$AW$290,"="&amp;CRONO!Y$12,CÁLCULO!$AB$15:$AL$290)/(ORÇAMENTO!$X$15-CÁLCULO.TotalAdmLocal)*CRONO!$E64,0),Y63*$R62),SUMIF(OFFSET($R64,1,0,$Q62-2),($L62+1)&amp;"$",OFFSET(Y64,1,0,$Q62-2)))</f>
        <v>0</v>
      </c>
      <c r="Z64" s="223">
        <f ca="1">IF($Q62=2,IF(AND(ACOMPANHAMENTO="PLE",ISNUMBER($E62)),SUMIF((OFFSET(CÁLCULO!$AM$15:$AW$15,$E62,0,OFFSET(ORÇAMENTO!$D$15,CRONO!$E62,0))),"="&amp;CRONO!Z$12,OFFSET(CÁLCULO!$AB$15:$AL$15,$E62,0,OFFSET(ORÇAMENTO!$D$15,CRONO!$E62,0)))+IF(AND($E64&lt;&gt;"",$E64&lt;&gt;0),SUMIF(CÁLCULO!$AM$15:$AW$290,"="&amp;CRONO!Z$12,CÁLCULO!$AB$15:$AL$290)/(ORÇAMENTO!$X$15-CÁLCULO.TotalAdmLocal)*CRONO!$E64,0),Z63*$R62),SUMIF(OFFSET($R64,1,0,$Q62-2),($L62+1)&amp;"$",OFFSET(Z64,1,0,$Q62-2)))</f>
        <v>0</v>
      </c>
      <c r="AA64" s="223">
        <f ca="1">IF($Q62=2,IF(AND(ACOMPANHAMENTO="PLE",ISNUMBER($E62)),SUMIF((OFFSET(CÁLCULO!$AM$15:$AW$15,$E62,0,OFFSET(ORÇAMENTO!$D$15,CRONO!$E62,0))),"="&amp;CRONO!AA$12,OFFSET(CÁLCULO!$AB$15:$AL$15,$E62,0,OFFSET(ORÇAMENTO!$D$15,CRONO!$E62,0)))+IF(AND($E64&lt;&gt;"",$E64&lt;&gt;0),SUMIF(CÁLCULO!$AM$15:$AW$290,"="&amp;CRONO!AA$12,CÁLCULO!$AB$15:$AL$290)/(ORÇAMENTO!$X$15-CÁLCULO.TotalAdmLocal)*CRONO!$E64,0),AA63*$R62),SUMIF(OFFSET($R64,1,0,$Q62-2),($L62+1)&amp;"$",OFFSET(AA64,1,0,$Q62-2)))</f>
        <v>0</v>
      </c>
      <c r="AB64" s="223">
        <f ca="1">IF($Q62=2,IF(AND(ACOMPANHAMENTO="PLE",ISNUMBER($E62)),SUMIF((OFFSET(CÁLCULO!$AM$15:$AW$15,$E62,0,OFFSET(ORÇAMENTO!$D$15,CRONO!$E62,0))),"="&amp;CRONO!AB$12,OFFSET(CÁLCULO!$AB$15:$AL$15,$E62,0,OFFSET(ORÇAMENTO!$D$15,CRONO!$E62,0)))+IF(AND($E64&lt;&gt;"",$E64&lt;&gt;0),SUMIF(CÁLCULO!$AM$15:$AW$290,"="&amp;CRONO!AB$12,CÁLCULO!$AB$15:$AL$290)/(ORÇAMENTO!$X$15-CÁLCULO.TotalAdmLocal)*CRONO!$E64,0),AB63*$R62),SUMIF(OFFSET($R64,1,0,$Q62-2),($L62+1)&amp;"$",OFFSET(AB64,1,0,$Q62-2)))</f>
        <v>0</v>
      </c>
      <c r="AC64" s="223">
        <f ca="1">IF($Q62=2,IF(AND(ACOMPANHAMENTO="PLE",ISNUMBER($E62)),SUMIF((OFFSET(CÁLCULO!$AM$15:$AW$15,$E62,0,OFFSET(ORÇAMENTO!$D$15,CRONO!$E62,0))),"="&amp;CRONO!AC$12,OFFSET(CÁLCULO!$AB$15:$AL$15,$E62,0,OFFSET(ORÇAMENTO!$D$15,CRONO!$E62,0)))+IF(AND($E64&lt;&gt;"",$E64&lt;&gt;0),SUMIF(CÁLCULO!$AM$15:$AW$290,"="&amp;CRONO!AC$12,CÁLCULO!$AB$15:$AL$290)/(ORÇAMENTO!$X$15-CÁLCULO.TotalAdmLocal)*CRONO!$E64,0),AC63*$R62),SUMIF(OFFSET($R64,1,0,$Q62-2),($L62+1)&amp;"$",OFFSET(AC64,1,0,$Q62-2)))</f>
        <v>0</v>
      </c>
      <c r="AD64" s="223">
        <f ca="1">IF($Q62=2,IF(AND(ACOMPANHAMENTO="PLE",ISNUMBER($E62)),SUMIF((OFFSET(CÁLCULO!$AM$15:$AW$15,$E62,0,OFFSET(ORÇAMENTO!$D$15,CRONO!$E62,0))),"="&amp;CRONO!AD$12,OFFSET(CÁLCULO!$AB$15:$AL$15,$E62,0,OFFSET(ORÇAMENTO!$D$15,CRONO!$E62,0)))+IF(AND($E64&lt;&gt;"",$E64&lt;&gt;0),SUMIF(CÁLCULO!$AM$15:$AW$290,"="&amp;CRONO!AD$12,CÁLCULO!$AB$15:$AL$290)/(ORÇAMENTO!$X$15-CÁLCULO.TotalAdmLocal)*CRONO!$E64,0),AD63*$R62),SUMIF(OFFSET($R64,1,0,$Q62-2),($L62+1)&amp;"$",OFFSET(AD64,1,0,$Q62-2)))</f>
        <v>0</v>
      </c>
      <c r="AE64" s="228">
        <f ca="1">IF($Q62=2,IF(AND(ACOMPANHAMENTO="PLE",ISNUMBER($E62)),SUMIF((OFFSET(CÁLCULO!$AM$15:$AW$15,$E62,0,OFFSET(ORÇAMENTO!$D$15,CRONO!$E62,0))),"="&amp;CRONO!AE$12,OFFSET(CÁLCULO!$AB$15:$AL$15,$E62,0,OFFSET(ORÇAMENTO!$D$15,CRONO!$E62,0)))+IF(AND($E64&lt;&gt;"",$E64&lt;&gt;0),SUMIF(CÁLCULO!$AM$15:$AW$290,"="&amp;CRONO!AE$12,CÁLCULO!$AB$15:$AL$290)/(ORÇAMENTO!$X$15-CÁLCULO.TotalAdmLocal)*CRONO!$E64,0),AE63*$R62),SUMIF(OFFSET($R64,1,0,$Q62-2),($L62+1)&amp;"$",OFFSET(AE64,1,0,$Q62-2)))</f>
        <v>0</v>
      </c>
    </row>
    <row r="65" spans="1:32" x14ac:dyDescent="0.2">
      <c r="A65" s="204">
        <f ca="1">OFFSET(A65,-3,0)+1</f>
        <v>18</v>
      </c>
      <c r="B65" s="204">
        <f ca="1">IF($Q65&lt;&gt;2,0,IF($R65=0,1,IF(E66&gt;0,OFFSET(QCI!$M$13,SUBSTITUTE(E66,".",""),0),OFFSET(ORÇAMENTO!$AA$15,CRONO!$E65,0))/$R65))</f>
        <v>1</v>
      </c>
      <c r="C65" s="204">
        <f ca="1">IF($Q65&lt;&gt;2,0,IF($R65=0,1,IF(E66&gt;0,OFFSET(QCI!$N$13,SUBSTITUTE(E66,".",""),0),OFFSET(ORÇAMENTO!$AB$15,CRONO!$E65,0))/$R65))</f>
        <v>0</v>
      </c>
      <c r="D65" s="207">
        <f ca="1">IF(AND($Q65=2,ACOMPANHAMENTO="BM"),D66,D67/$R65)</f>
        <v>0</v>
      </c>
      <c r="E65" s="204">
        <f ca="1">IF(A65&lt;=ORÇAMENTO.MáximoListaCrono,MATCH(A65,ORÇAMENTO.ListaCrono,0),NA())</f>
        <v>116</v>
      </c>
      <c r="F65" s="204" t="str">
        <f ca="1">IF(AND($E66&lt;&gt;-1,$R65&gt;0),"F","")</f>
        <v>F</v>
      </c>
      <c r="G65" s="208">
        <f ca="1">IF(OR(R65=0,R65=""),"Linha",IF(AND(OR(ACOMPANHAMENTO="PLE",$Q65&lt;&gt;2),$E66=0),"Linha",1-SUM(T65:AF65)))</f>
        <v>0</v>
      </c>
      <c r="H65" s="209" t="str">
        <f ca="1">IF($E66=0,OFFSET(ORÇAMENTO!O$15,$E65,0),IF($E66&lt;&gt;-1,OFFSET(QCI!$D$13,$E66,0),""))</f>
        <v>1.6.9.</v>
      </c>
      <c r="I65" s="210" t="str">
        <f ca="1">IF($E66=0,OFFSET(ORÇAMENTO!R$15,$E65,0),IF($E66&lt;&gt;-1,OFFSET(QCI!$G$13,$E66,0),""))</f>
        <v>ESQUADRIAS</v>
      </c>
      <c r="J65" s="210"/>
      <c r="K65" s="210"/>
      <c r="L65" s="211">
        <f ca="1">IF($E66=0,OFFSET(ORÇAMENTO!C$15,$E65,0),1)</f>
        <v>3</v>
      </c>
      <c r="M65" s="212">
        <f ca="1">IF($E66=-1,0,IF(M$13&lt;=$L65,IF(ISERROR(MATCH(M$13,OFFSET($L65,1,0,ROW($L$116)-ROW($L65)-1),0)),ROW($L$116)-ROW($L65)-1,MATCH(M$13,OFFSET($L65,1,0,ROW($L$116)-ROW($L65)-1),0)-1),0))</f>
        <v>50</v>
      </c>
      <c r="N65" s="212">
        <f ca="1">IF($E66=-1,0,IF(N$13&lt;=$L65,IF(ISERROR(MATCH(N$13,OFFSET($L65,1,0,ROW($L$116)-ROW($L65)-1),0)),ROW($L$116)-ROW($L65)-1,MATCH(N$13,OFFSET($L65,1,0,ROW($L$116)-ROW($L65)-1),0)-1),0))</f>
        <v>29</v>
      </c>
      <c r="O65" s="212">
        <f ca="1">IF($E66=-1,0,IF(O$13&lt;=$L65,IF(ISERROR(MATCH(O$13,OFFSET($L65,1,0,ROW($L$116)-ROW($L65)-1),0)),ROW($L$116)-ROW($L65)-1,MATCH(O$13,OFFSET($L65,1,0,ROW($L$116)-ROW($L65)-1),0)-1),0))</f>
        <v>2</v>
      </c>
      <c r="P65" s="212">
        <f ca="1">IF($E66=-1,0,IF(P$13&lt;=$L65,IF(ISERROR(MATCH(P$13,OFFSET($L65,1,0,ROW($L$116)-ROW($L65)-1),0)),ROW($L$116)-ROW($L65)-1,MATCH(P$13,OFFSET($L65,1,0,ROW($L$116)-ROW($L65)-1),0)-1),0))</f>
        <v>0</v>
      </c>
      <c r="Q65" s="212">
        <f ca="1">MIN(OFFSET(L65,0,1,,L65))</f>
        <v>2</v>
      </c>
      <c r="R65" s="213">
        <f ca="1">IF($E66=0,OFFSET(ORÇAMENTO!X$15,$E65,0),IF($E66&lt;&gt;-1,OFFSET(QCI!$O$13,$E66,0),""))</f>
        <v>4802.62</v>
      </c>
      <c r="S65" s="214" t="s">
        <v>270</v>
      </c>
      <c r="T65" s="215">
        <f t="shared" ref="T65:AE65" ca="1" si="122">IF(AND($Q65=2,ACOMPANHAMENTO="BM"),T66,T67/$R65)</f>
        <v>0</v>
      </c>
      <c r="U65" s="207">
        <f t="shared" ca="1" si="122"/>
        <v>0</v>
      </c>
      <c r="V65" s="207">
        <f t="shared" ca="1" si="122"/>
        <v>0</v>
      </c>
      <c r="W65" s="207">
        <f t="shared" ca="1" si="122"/>
        <v>1</v>
      </c>
      <c r="X65" s="207">
        <f t="shared" ca="1" si="122"/>
        <v>0</v>
      </c>
      <c r="Y65" s="207">
        <f t="shared" ca="1" si="122"/>
        <v>0</v>
      </c>
      <c r="Z65" s="207">
        <f t="shared" ca="1" si="122"/>
        <v>0</v>
      </c>
      <c r="AA65" s="207">
        <f t="shared" ca="1" si="122"/>
        <v>0</v>
      </c>
      <c r="AB65" s="207">
        <f t="shared" ca="1" si="122"/>
        <v>0</v>
      </c>
      <c r="AC65" s="207">
        <f t="shared" ca="1" si="122"/>
        <v>0</v>
      </c>
      <c r="AD65" s="207">
        <f t="shared" ca="1" si="122"/>
        <v>0</v>
      </c>
      <c r="AE65" s="216">
        <f t="shared" ca="1" si="122"/>
        <v>0</v>
      </c>
    </row>
    <row r="66" spans="1:32" ht="12.75" customHeight="1" x14ac:dyDescent="0.2">
      <c r="D66" s="569"/>
      <c r="E66" s="204">
        <f ca="1">IF(ISERROR(E65),IF(1+COUNTIF($L$13:OFFSET(L65,-1,0),1)&lt;=MAX(QCI!$D$13:$D$24),1+COUNTIF($L$13:OFFSET(L65,-1,0),1),-1),0)</f>
        <v>0</v>
      </c>
      <c r="F66" s="204" t="str">
        <f ca="1">IF(AND($E66&lt;&gt;-1,$R65&gt;0),"F","")</f>
        <v>F</v>
      </c>
      <c r="G66" s="217" t="str">
        <f ca="1">IF(OR(R65=0,R65=""),"vazia",IF(AND(OR(ACOMPANHAMENTO="PLE",$Q65&lt;&gt;2),$E66=0),"calculada","--&gt;"))</f>
        <v>--&gt;</v>
      </c>
      <c r="H66" s="218"/>
      <c r="I66" s="219" t="str">
        <f ca="1">IF(AND(G65&lt;&gt;0,ISNUMBER(G65)),"PREENCHA ESTA LINHA --&gt;","")</f>
        <v/>
      </c>
      <c r="J66" s="219"/>
      <c r="K66" s="219"/>
      <c r="L66" s="220"/>
      <c r="M66" s="220"/>
      <c r="N66" s="220"/>
      <c r="O66" s="220"/>
      <c r="P66" s="220"/>
      <c r="Q66" s="220"/>
      <c r="R66" s="221"/>
      <c r="S66" s="222"/>
      <c r="T66" s="570"/>
      <c r="U66" s="569"/>
      <c r="V66" s="569"/>
      <c r="W66" s="569">
        <v>1</v>
      </c>
      <c r="X66" s="569"/>
      <c r="Y66" s="569"/>
      <c r="Z66" s="569"/>
      <c r="AA66" s="569"/>
      <c r="AB66" s="569"/>
      <c r="AC66" s="569"/>
      <c r="AD66" s="569"/>
      <c r="AE66" s="571"/>
      <c r="AF66" s="533"/>
    </row>
    <row r="67" spans="1:32" ht="0.2" hidden="1" customHeight="1" x14ac:dyDescent="0.2">
      <c r="D67" s="223">
        <f ca="1">IF($Q65=2,IF(AND(ACOMPANHAMENTO="PLE",ISNUMBER($E65)),SUMIF((OFFSET(CÁLCULO!$AM$15:$AW$15,$E65,0,OFFSET(ORÇAMENTO!$D$15,CRONO!$E65,0))),"="&amp;CRONO!D$12,OFFSET(CÁLCULO!$AB$15:$AL$15,$E65,0,OFFSET(ORÇAMENTO!$D$15,CRONO!$E65,0)))+IF(AND($E67&lt;&gt;"",$E67&lt;&gt;0),SUMIF(CÁLCULO!$AM$15:$AW$290,"="&amp;CRONO!D$12,CÁLCULO!$AB$15:$AL$290)/(ORÇAMENTO!$X$15-CÁLCULO.TotalAdmLocal)*CRONO!$E67,0),D66*$R65),SUMIF(OFFSET($R67,1,0,$Q65-2),($L65+1)&amp;"$",OFFSET(D67,1,0,$Q65-2)))</f>
        <v>0</v>
      </c>
      <c r="E67" s="204" t="str">
        <f ca="1">IF(OR($Q65&lt;&gt;2,AUTOEVENTO&lt;&gt;"manual",$E66&gt;0),"",SUMIF(OFFSET(CÁLCULO!$M$15,CRONO!$E65,0,OFFSET(ORÇAMENTO!$D$15,CRONO!$E65,0)),1,OFFSET(ORÇAMENTO!$X$15,CRONO!$E65,0,OFFSET(ORÇAMENTO!$D$15,CRONO!$E65,0))))</f>
        <v/>
      </c>
      <c r="G67" s="224"/>
      <c r="R67" s="225" t="str">
        <f ca="1">L65&amp;"$"</f>
        <v>3$</v>
      </c>
      <c r="S67" s="226"/>
      <c r="T67" s="227">
        <f ca="1">IF($Q65=2,IF(AND(ACOMPANHAMENTO="PLE",ISNUMBER($E65)),SUMIF((OFFSET(CÁLCULO!$AM$15:$AW$15,$E65,0,OFFSET(ORÇAMENTO!$D$15,CRONO!$E65,0))),"&lt;="&amp;CRONO!T$12,OFFSET(CÁLCULO!$AB$15:$AL$15,$E65,0,OFFSET(ORÇAMENTO!$D$15,CRONO!$E65,0)))+IF(AND($E67&lt;&gt;"",$E67&lt;&gt;0),SUMIF(CÁLCULO!$AM$15:$AW$290,"&lt;="&amp;CRONO!T$12,CÁLCULO!$AB$15:$AL$290)/(ORÇAMENTO!$X$15-CÁLCULO.TotalAdmLocal)*CRONO!$E67,0),T66*$R65),SUMIF(OFFSET($R67,1,0,$Q65-2),($L65+1)&amp;"$",OFFSET(T67,1,0,$Q65-2)))</f>
        <v>0</v>
      </c>
      <c r="U67" s="223">
        <f ca="1">IF($Q65=2,IF(AND(ACOMPANHAMENTO="PLE",ISNUMBER($E65)),SUMIF((OFFSET(CÁLCULO!$AM$15:$AW$15,$E65,0,OFFSET(ORÇAMENTO!$D$15,CRONO!$E65,0))),"="&amp;CRONO!U$12,OFFSET(CÁLCULO!$AB$15:$AL$15,$E65,0,OFFSET(ORÇAMENTO!$D$15,CRONO!$E65,0)))+IF(AND($E67&lt;&gt;"",$E67&lt;&gt;0),SUMIF(CÁLCULO!$AM$15:$AW$290,"="&amp;CRONO!U$12,CÁLCULO!$AB$15:$AL$290)/(ORÇAMENTO!$X$15-CÁLCULO.TotalAdmLocal)*CRONO!$E67,0),U66*$R65),SUMIF(OFFSET($R67,1,0,$Q65-2),($L65+1)&amp;"$",OFFSET(U67,1,0,$Q65-2)))</f>
        <v>0</v>
      </c>
      <c r="V67" s="223">
        <f ca="1">IF($Q65=2,IF(AND(ACOMPANHAMENTO="PLE",ISNUMBER($E65)),SUMIF((OFFSET(CÁLCULO!$AM$15:$AW$15,$E65,0,OFFSET(ORÇAMENTO!$D$15,CRONO!$E65,0))),"="&amp;CRONO!V$12,OFFSET(CÁLCULO!$AB$15:$AL$15,$E65,0,OFFSET(ORÇAMENTO!$D$15,CRONO!$E65,0)))+IF(AND($E67&lt;&gt;"",$E67&lt;&gt;0),SUMIF(CÁLCULO!$AM$15:$AW$290,"="&amp;CRONO!V$12,CÁLCULO!$AB$15:$AL$290)/(ORÇAMENTO!$X$15-CÁLCULO.TotalAdmLocal)*CRONO!$E67,0),V66*$R65),SUMIF(OFFSET($R67,1,0,$Q65-2),($L65+1)&amp;"$",OFFSET(V67,1,0,$Q65-2)))</f>
        <v>0</v>
      </c>
      <c r="W67" s="223">
        <f ca="1">IF($Q65=2,IF(AND(ACOMPANHAMENTO="PLE",ISNUMBER($E65)),SUMIF((OFFSET(CÁLCULO!$AM$15:$AW$15,$E65,0,OFFSET(ORÇAMENTO!$D$15,CRONO!$E65,0))),"="&amp;CRONO!W$12,OFFSET(CÁLCULO!$AB$15:$AL$15,$E65,0,OFFSET(ORÇAMENTO!$D$15,CRONO!$E65,0)))+IF(AND($E67&lt;&gt;"",$E67&lt;&gt;0),SUMIF(CÁLCULO!$AM$15:$AW$290,"="&amp;CRONO!W$12,CÁLCULO!$AB$15:$AL$290)/(ORÇAMENTO!$X$15-CÁLCULO.TotalAdmLocal)*CRONO!$E67,0),W66*$R65),SUMIF(OFFSET($R67,1,0,$Q65-2),($L65+1)&amp;"$",OFFSET(W67,1,0,$Q65-2)))</f>
        <v>4802.62</v>
      </c>
      <c r="X67" s="223">
        <f ca="1">IF($Q65=2,IF(AND(ACOMPANHAMENTO="PLE",ISNUMBER($E65)),SUMIF((OFFSET(CÁLCULO!$AM$15:$AW$15,$E65,0,OFFSET(ORÇAMENTO!$D$15,CRONO!$E65,0))),"="&amp;CRONO!X$12,OFFSET(CÁLCULO!$AB$15:$AL$15,$E65,0,OFFSET(ORÇAMENTO!$D$15,CRONO!$E65,0)))+IF(AND($E67&lt;&gt;"",$E67&lt;&gt;0),SUMIF(CÁLCULO!$AM$15:$AW$290,"="&amp;CRONO!X$12,CÁLCULO!$AB$15:$AL$290)/(ORÇAMENTO!$X$15-CÁLCULO.TotalAdmLocal)*CRONO!$E67,0),X66*$R65),SUMIF(OFFSET($R67,1,0,$Q65-2),($L65+1)&amp;"$",OFFSET(X67,1,0,$Q65-2)))</f>
        <v>0</v>
      </c>
      <c r="Y67" s="223">
        <f ca="1">IF($Q65=2,IF(AND(ACOMPANHAMENTO="PLE",ISNUMBER($E65)),SUMIF((OFFSET(CÁLCULO!$AM$15:$AW$15,$E65,0,OFFSET(ORÇAMENTO!$D$15,CRONO!$E65,0))),"="&amp;CRONO!Y$12,OFFSET(CÁLCULO!$AB$15:$AL$15,$E65,0,OFFSET(ORÇAMENTO!$D$15,CRONO!$E65,0)))+IF(AND($E67&lt;&gt;"",$E67&lt;&gt;0),SUMIF(CÁLCULO!$AM$15:$AW$290,"="&amp;CRONO!Y$12,CÁLCULO!$AB$15:$AL$290)/(ORÇAMENTO!$X$15-CÁLCULO.TotalAdmLocal)*CRONO!$E67,0),Y66*$R65),SUMIF(OFFSET($R67,1,0,$Q65-2),($L65+1)&amp;"$",OFFSET(Y67,1,0,$Q65-2)))</f>
        <v>0</v>
      </c>
      <c r="Z67" s="223">
        <f ca="1">IF($Q65=2,IF(AND(ACOMPANHAMENTO="PLE",ISNUMBER($E65)),SUMIF((OFFSET(CÁLCULO!$AM$15:$AW$15,$E65,0,OFFSET(ORÇAMENTO!$D$15,CRONO!$E65,0))),"="&amp;CRONO!Z$12,OFFSET(CÁLCULO!$AB$15:$AL$15,$E65,0,OFFSET(ORÇAMENTO!$D$15,CRONO!$E65,0)))+IF(AND($E67&lt;&gt;"",$E67&lt;&gt;0),SUMIF(CÁLCULO!$AM$15:$AW$290,"="&amp;CRONO!Z$12,CÁLCULO!$AB$15:$AL$290)/(ORÇAMENTO!$X$15-CÁLCULO.TotalAdmLocal)*CRONO!$E67,0),Z66*$R65),SUMIF(OFFSET($R67,1,0,$Q65-2),($L65+1)&amp;"$",OFFSET(Z67,1,0,$Q65-2)))</f>
        <v>0</v>
      </c>
      <c r="AA67" s="223">
        <f ca="1">IF($Q65=2,IF(AND(ACOMPANHAMENTO="PLE",ISNUMBER($E65)),SUMIF((OFFSET(CÁLCULO!$AM$15:$AW$15,$E65,0,OFFSET(ORÇAMENTO!$D$15,CRONO!$E65,0))),"="&amp;CRONO!AA$12,OFFSET(CÁLCULO!$AB$15:$AL$15,$E65,0,OFFSET(ORÇAMENTO!$D$15,CRONO!$E65,0)))+IF(AND($E67&lt;&gt;"",$E67&lt;&gt;0),SUMIF(CÁLCULO!$AM$15:$AW$290,"="&amp;CRONO!AA$12,CÁLCULO!$AB$15:$AL$290)/(ORÇAMENTO!$X$15-CÁLCULO.TotalAdmLocal)*CRONO!$E67,0),AA66*$R65),SUMIF(OFFSET($R67,1,0,$Q65-2),($L65+1)&amp;"$",OFFSET(AA67,1,0,$Q65-2)))</f>
        <v>0</v>
      </c>
      <c r="AB67" s="223">
        <f ca="1">IF($Q65=2,IF(AND(ACOMPANHAMENTO="PLE",ISNUMBER($E65)),SUMIF((OFFSET(CÁLCULO!$AM$15:$AW$15,$E65,0,OFFSET(ORÇAMENTO!$D$15,CRONO!$E65,0))),"="&amp;CRONO!AB$12,OFFSET(CÁLCULO!$AB$15:$AL$15,$E65,0,OFFSET(ORÇAMENTO!$D$15,CRONO!$E65,0)))+IF(AND($E67&lt;&gt;"",$E67&lt;&gt;0),SUMIF(CÁLCULO!$AM$15:$AW$290,"="&amp;CRONO!AB$12,CÁLCULO!$AB$15:$AL$290)/(ORÇAMENTO!$X$15-CÁLCULO.TotalAdmLocal)*CRONO!$E67,0),AB66*$R65),SUMIF(OFFSET($R67,1,0,$Q65-2),($L65+1)&amp;"$",OFFSET(AB67,1,0,$Q65-2)))</f>
        <v>0</v>
      </c>
      <c r="AC67" s="223">
        <f ca="1">IF($Q65=2,IF(AND(ACOMPANHAMENTO="PLE",ISNUMBER($E65)),SUMIF((OFFSET(CÁLCULO!$AM$15:$AW$15,$E65,0,OFFSET(ORÇAMENTO!$D$15,CRONO!$E65,0))),"="&amp;CRONO!AC$12,OFFSET(CÁLCULO!$AB$15:$AL$15,$E65,0,OFFSET(ORÇAMENTO!$D$15,CRONO!$E65,0)))+IF(AND($E67&lt;&gt;"",$E67&lt;&gt;0),SUMIF(CÁLCULO!$AM$15:$AW$290,"="&amp;CRONO!AC$12,CÁLCULO!$AB$15:$AL$290)/(ORÇAMENTO!$X$15-CÁLCULO.TotalAdmLocal)*CRONO!$E67,0),AC66*$R65),SUMIF(OFFSET($R67,1,0,$Q65-2),($L65+1)&amp;"$",OFFSET(AC67,1,0,$Q65-2)))</f>
        <v>0</v>
      </c>
      <c r="AD67" s="223">
        <f ca="1">IF($Q65=2,IF(AND(ACOMPANHAMENTO="PLE",ISNUMBER($E65)),SUMIF((OFFSET(CÁLCULO!$AM$15:$AW$15,$E65,0,OFFSET(ORÇAMENTO!$D$15,CRONO!$E65,0))),"="&amp;CRONO!AD$12,OFFSET(CÁLCULO!$AB$15:$AL$15,$E65,0,OFFSET(ORÇAMENTO!$D$15,CRONO!$E65,0)))+IF(AND($E67&lt;&gt;"",$E67&lt;&gt;0),SUMIF(CÁLCULO!$AM$15:$AW$290,"="&amp;CRONO!AD$12,CÁLCULO!$AB$15:$AL$290)/(ORÇAMENTO!$X$15-CÁLCULO.TotalAdmLocal)*CRONO!$E67,0),AD66*$R65),SUMIF(OFFSET($R67,1,0,$Q65-2),($L65+1)&amp;"$",OFFSET(AD67,1,0,$Q65-2)))</f>
        <v>0</v>
      </c>
      <c r="AE67" s="228">
        <f ca="1">IF($Q65=2,IF(AND(ACOMPANHAMENTO="PLE",ISNUMBER($E65)),SUMIF((OFFSET(CÁLCULO!$AM$15:$AW$15,$E65,0,OFFSET(ORÇAMENTO!$D$15,CRONO!$E65,0))),"="&amp;CRONO!AE$12,OFFSET(CÁLCULO!$AB$15:$AL$15,$E65,0,OFFSET(ORÇAMENTO!$D$15,CRONO!$E65,0)))+IF(AND($E67&lt;&gt;"",$E67&lt;&gt;0),SUMIF(CÁLCULO!$AM$15:$AW$290,"="&amp;CRONO!AE$12,CÁLCULO!$AB$15:$AL$290)/(ORÇAMENTO!$X$15-CÁLCULO.TotalAdmLocal)*CRONO!$E67,0),AE66*$R65),SUMIF(OFFSET($R67,1,0,$Q65-2),($L65+1)&amp;"$",OFFSET(AE67,1,0,$Q65-2)))</f>
        <v>0</v>
      </c>
    </row>
    <row r="68" spans="1:32" x14ac:dyDescent="0.2">
      <c r="A68" s="204">
        <f t="shared" ref="A68" ca="1" si="123">OFFSET(A68,-3,0)+1</f>
        <v>19</v>
      </c>
      <c r="B68" s="204">
        <f ca="1">IF($Q68&lt;&gt;2,0,IF($R68=0,1,IF(E69&gt;0,OFFSET(QCI!$M$13,SUBSTITUTE(E69,".",""),0),OFFSET(ORÇAMENTO!$AA$15,CRONO!$E68,0))/$R68))</f>
        <v>1</v>
      </c>
      <c r="C68" s="204">
        <f ca="1">IF($Q68&lt;&gt;2,0,IF($R68=0,1,IF(E69&gt;0,OFFSET(QCI!$N$13,SUBSTITUTE(E69,".",""),0),OFFSET(ORÇAMENTO!$AB$15,CRONO!$E68,0))/$R68))</f>
        <v>0</v>
      </c>
      <c r="D68" s="207">
        <f ca="1">IF(AND($Q68=2,ACOMPANHAMENTO="BM"),D69,D70/$R68)</f>
        <v>0</v>
      </c>
      <c r="E68" s="204">
        <f ca="1">IF(A68&lt;=ORÇAMENTO.MáximoListaCrono,MATCH(A68,ORÇAMENTO.ListaCrono,0),NA())</f>
        <v>119</v>
      </c>
      <c r="F68" s="204" t="str">
        <f t="shared" ref="F68" ca="1" si="124">IF(AND($E69&lt;&gt;-1,$R68&gt;0),"F","")</f>
        <v>F</v>
      </c>
      <c r="G68" s="208">
        <f ca="1">IF(OR(R68=0,R68=""),"Linha",IF(AND(OR(ACOMPANHAMENTO="PLE",$Q68&lt;&gt;2),$E69=0),"Linha",1-SUM(T68:AF68)))</f>
        <v>0</v>
      </c>
      <c r="H68" s="209" t="str">
        <f ca="1">IF($E69=0,OFFSET(ORÇAMENTO!O$15,$E68,0),IF($E69&lt;&gt;-1,OFFSET(QCI!$D$13,$E69,0),""))</f>
        <v>1.6.10.</v>
      </c>
      <c r="I68" s="210" t="str">
        <f ca="1">IF($E69=0,OFFSET(ORÇAMENTO!R$15,$E68,0),IF($E69&lt;&gt;-1,OFFSET(QCI!$G$13,$E69,0),""))</f>
        <v>BARRAS DE APOIO</v>
      </c>
      <c r="J68" s="210"/>
      <c r="K68" s="210"/>
      <c r="L68" s="211">
        <f ca="1">IF($E69=0,OFFSET(ORÇAMENTO!C$15,$E68,0),1)</f>
        <v>3</v>
      </c>
      <c r="M68" s="212">
        <f ca="1">IF($E69=-1,0,IF(M$13&lt;=$L68,IF(ISERROR(MATCH(M$13,OFFSET($L68,1,0,ROW($L$116)-ROW($L68)-1),0)),ROW($L$116)-ROW($L68)-1,MATCH(M$13,OFFSET($L68,1,0,ROW($L$116)-ROW($L68)-1),0)-1),0))</f>
        <v>47</v>
      </c>
      <c r="N68" s="212">
        <f ca="1">IF($E69=-1,0,IF(N$13&lt;=$L68,IF(ISERROR(MATCH(N$13,OFFSET($L68,1,0,ROW($L$116)-ROW($L68)-1),0)),ROW($L$116)-ROW($L68)-1,MATCH(N$13,OFFSET($L68,1,0,ROW($L$116)-ROW($L68)-1),0)-1),0))</f>
        <v>26</v>
      </c>
      <c r="O68" s="212">
        <f ca="1">IF($E69=-1,0,IF(O$13&lt;=$L68,IF(ISERROR(MATCH(O$13,OFFSET($L68,1,0,ROW($L$116)-ROW($L68)-1),0)),ROW($L$116)-ROW($L68)-1,MATCH(O$13,OFFSET($L68,1,0,ROW($L$116)-ROW($L68)-1),0)-1),0))</f>
        <v>2</v>
      </c>
      <c r="P68" s="212">
        <f ca="1">IF($E69=-1,0,IF(P$13&lt;=$L68,IF(ISERROR(MATCH(P$13,OFFSET($L68,1,0,ROW($L$116)-ROW($L68)-1),0)),ROW($L$116)-ROW($L68)-1,MATCH(P$13,OFFSET($L68,1,0,ROW($L$116)-ROW($L68)-1),0)-1),0))</f>
        <v>0</v>
      </c>
      <c r="Q68" s="212">
        <f t="shared" ref="Q68" ca="1" si="125">MIN(OFFSET(L68,0,1,,L68))</f>
        <v>2</v>
      </c>
      <c r="R68" s="213">
        <f ca="1">IF($E69=0,OFFSET(ORÇAMENTO!X$15,$E68,0),IF($E69&lt;&gt;-1,OFFSET(QCI!$O$13,$E69,0),""))</f>
        <v>2225.6999999999998</v>
      </c>
      <c r="S68" s="214" t="s">
        <v>270</v>
      </c>
      <c r="T68" s="215">
        <f t="shared" ref="T68:AE68" ca="1" si="126">IF(AND($Q68=2,ACOMPANHAMENTO="BM"),T69,T70/$R68)</f>
        <v>0</v>
      </c>
      <c r="U68" s="207">
        <f t="shared" ca="1" si="126"/>
        <v>0</v>
      </c>
      <c r="V68" s="207">
        <f t="shared" ca="1" si="126"/>
        <v>0</v>
      </c>
      <c r="W68" s="207">
        <f t="shared" ca="1" si="126"/>
        <v>0.5</v>
      </c>
      <c r="X68" s="207">
        <f t="shared" ca="1" si="126"/>
        <v>0.5</v>
      </c>
      <c r="Y68" s="207">
        <f t="shared" ca="1" si="126"/>
        <v>0</v>
      </c>
      <c r="Z68" s="207">
        <f t="shared" ca="1" si="126"/>
        <v>0</v>
      </c>
      <c r="AA68" s="207">
        <f t="shared" ca="1" si="126"/>
        <v>0</v>
      </c>
      <c r="AB68" s="207">
        <f t="shared" ca="1" si="126"/>
        <v>0</v>
      </c>
      <c r="AC68" s="207">
        <f t="shared" ca="1" si="126"/>
        <v>0</v>
      </c>
      <c r="AD68" s="207">
        <f t="shared" ca="1" si="126"/>
        <v>0</v>
      </c>
      <c r="AE68" s="216">
        <f t="shared" ca="1" si="126"/>
        <v>0</v>
      </c>
    </row>
    <row r="69" spans="1:32" ht="12.75" customHeight="1" x14ac:dyDescent="0.2">
      <c r="D69" s="569"/>
      <c r="E69" s="204">
        <f ca="1">IF(ISERROR(E68),IF(1+COUNTIF($L$13:OFFSET(L68,-1,0),1)&lt;=MAX(QCI!$D$13:$D$24),1+COUNTIF($L$13:OFFSET(L68,-1,0),1),-1),0)</f>
        <v>0</v>
      </c>
      <c r="F69" s="204" t="str">
        <f t="shared" ref="F69" ca="1" si="127">IF(AND($E69&lt;&gt;-1,$R68&gt;0),"F","")</f>
        <v>F</v>
      </c>
      <c r="G69" s="217" t="str">
        <f ca="1">IF(OR(R68=0,R68=""),"vazia",IF(AND(OR(ACOMPANHAMENTO="PLE",$Q68&lt;&gt;2),$E69=0),"calculada","--&gt;"))</f>
        <v>--&gt;</v>
      </c>
      <c r="H69" s="218"/>
      <c r="I69" s="219" t="str">
        <f t="shared" ref="I69" ca="1" si="128">IF(AND(G68&lt;&gt;0,ISNUMBER(G68)),"PREENCHA ESTA LINHA --&gt;","")</f>
        <v/>
      </c>
      <c r="J69" s="219"/>
      <c r="K69" s="219"/>
      <c r="L69" s="220"/>
      <c r="M69" s="220"/>
      <c r="N69" s="220"/>
      <c r="O69" s="220"/>
      <c r="P69" s="220"/>
      <c r="Q69" s="220"/>
      <c r="R69" s="221"/>
      <c r="S69" s="222"/>
      <c r="T69" s="570"/>
      <c r="U69" s="569"/>
      <c r="V69" s="569"/>
      <c r="W69" s="569">
        <v>0.5</v>
      </c>
      <c r="X69" s="569">
        <v>0.5</v>
      </c>
      <c r="Y69" s="569"/>
      <c r="Z69" s="569"/>
      <c r="AA69" s="569"/>
      <c r="AB69" s="569"/>
      <c r="AC69" s="569"/>
      <c r="AD69" s="569"/>
      <c r="AE69" s="571"/>
      <c r="AF69" s="533"/>
    </row>
    <row r="70" spans="1:32" ht="0.2" hidden="1" customHeight="1" x14ac:dyDescent="0.2">
      <c r="D70" s="223">
        <f ca="1">IF($Q68=2,IF(AND(ACOMPANHAMENTO="PLE",ISNUMBER($E68)),SUMIF((OFFSET(CÁLCULO!$AM$15:$AW$15,$E68,0,OFFSET(ORÇAMENTO!$D$15,CRONO!$E68,0))),"="&amp;CRONO!D$12,OFFSET(CÁLCULO!$AB$15:$AL$15,$E68,0,OFFSET(ORÇAMENTO!$D$15,CRONO!$E68,0)))+IF(AND($E70&lt;&gt;"",$E70&lt;&gt;0),SUMIF(CÁLCULO!$AM$15:$AW$290,"="&amp;CRONO!D$12,CÁLCULO!$AB$15:$AL$290)/(ORÇAMENTO!$X$15-CÁLCULO.TotalAdmLocal)*CRONO!$E70,0),D69*$R68),SUMIF(OFFSET($R70,1,0,$Q68-2),($L68+1)&amp;"$",OFFSET(D70,1,0,$Q68-2)))</f>
        <v>0</v>
      </c>
      <c r="E70" s="204" t="str">
        <f ca="1">IF(OR($Q68&lt;&gt;2,AUTOEVENTO&lt;&gt;"manual",$E69&gt;0),"",SUMIF(OFFSET(CÁLCULO!$M$15,CRONO!$E68,0,OFFSET(ORÇAMENTO!$D$15,CRONO!$E68,0)),1,OFFSET(ORÇAMENTO!$X$15,CRONO!$E68,0,OFFSET(ORÇAMENTO!$D$15,CRONO!$E68,0))))</f>
        <v/>
      </c>
      <c r="G70" s="224"/>
      <c r="R70" s="225" t="str">
        <f t="shared" ref="R70" ca="1" si="129">L68&amp;"$"</f>
        <v>3$</v>
      </c>
      <c r="S70" s="226"/>
      <c r="T70" s="227">
        <f ca="1">IF($Q68=2,IF(AND(ACOMPANHAMENTO="PLE",ISNUMBER($E68)),SUMIF((OFFSET(CÁLCULO!$AM$15:$AW$15,$E68,0,OFFSET(ORÇAMENTO!$D$15,CRONO!$E68,0))),"&lt;="&amp;CRONO!T$12,OFFSET(CÁLCULO!$AB$15:$AL$15,$E68,0,OFFSET(ORÇAMENTO!$D$15,CRONO!$E68,0)))+IF(AND($E70&lt;&gt;"",$E70&lt;&gt;0),SUMIF(CÁLCULO!$AM$15:$AW$290,"&lt;="&amp;CRONO!T$12,CÁLCULO!$AB$15:$AL$290)/(ORÇAMENTO!$X$15-CÁLCULO.TotalAdmLocal)*CRONO!$E70,0),T69*$R68),SUMIF(OFFSET($R70,1,0,$Q68-2),($L68+1)&amp;"$",OFFSET(T70,1,0,$Q68-2)))</f>
        <v>0</v>
      </c>
      <c r="U70" s="223">
        <f ca="1">IF($Q68=2,IF(AND(ACOMPANHAMENTO="PLE",ISNUMBER($E68)),SUMIF((OFFSET(CÁLCULO!$AM$15:$AW$15,$E68,0,OFFSET(ORÇAMENTO!$D$15,CRONO!$E68,0))),"="&amp;CRONO!U$12,OFFSET(CÁLCULO!$AB$15:$AL$15,$E68,0,OFFSET(ORÇAMENTO!$D$15,CRONO!$E68,0)))+IF(AND($E70&lt;&gt;"",$E70&lt;&gt;0),SUMIF(CÁLCULO!$AM$15:$AW$290,"="&amp;CRONO!U$12,CÁLCULO!$AB$15:$AL$290)/(ORÇAMENTO!$X$15-CÁLCULO.TotalAdmLocal)*CRONO!$E70,0),U69*$R68),SUMIF(OFFSET($R70,1,0,$Q68-2),($L68+1)&amp;"$",OFFSET(U70,1,0,$Q68-2)))</f>
        <v>0</v>
      </c>
      <c r="V70" s="223">
        <f ca="1">IF($Q68=2,IF(AND(ACOMPANHAMENTO="PLE",ISNUMBER($E68)),SUMIF((OFFSET(CÁLCULO!$AM$15:$AW$15,$E68,0,OFFSET(ORÇAMENTO!$D$15,CRONO!$E68,0))),"="&amp;CRONO!V$12,OFFSET(CÁLCULO!$AB$15:$AL$15,$E68,0,OFFSET(ORÇAMENTO!$D$15,CRONO!$E68,0)))+IF(AND($E70&lt;&gt;"",$E70&lt;&gt;0),SUMIF(CÁLCULO!$AM$15:$AW$290,"="&amp;CRONO!V$12,CÁLCULO!$AB$15:$AL$290)/(ORÇAMENTO!$X$15-CÁLCULO.TotalAdmLocal)*CRONO!$E70,0),V69*$R68),SUMIF(OFFSET($R70,1,0,$Q68-2),($L68+1)&amp;"$",OFFSET(V70,1,0,$Q68-2)))</f>
        <v>0</v>
      </c>
      <c r="W70" s="223">
        <f ca="1">IF($Q68=2,IF(AND(ACOMPANHAMENTO="PLE",ISNUMBER($E68)),SUMIF((OFFSET(CÁLCULO!$AM$15:$AW$15,$E68,0,OFFSET(ORÇAMENTO!$D$15,CRONO!$E68,0))),"="&amp;CRONO!W$12,OFFSET(CÁLCULO!$AB$15:$AL$15,$E68,0,OFFSET(ORÇAMENTO!$D$15,CRONO!$E68,0)))+IF(AND($E70&lt;&gt;"",$E70&lt;&gt;0),SUMIF(CÁLCULO!$AM$15:$AW$290,"="&amp;CRONO!W$12,CÁLCULO!$AB$15:$AL$290)/(ORÇAMENTO!$X$15-CÁLCULO.TotalAdmLocal)*CRONO!$E70,0),W69*$R68),SUMIF(OFFSET($R70,1,0,$Q68-2),($L68+1)&amp;"$",OFFSET(W70,1,0,$Q68-2)))</f>
        <v>1112.8499999999999</v>
      </c>
      <c r="X70" s="223">
        <f ca="1">IF($Q68=2,IF(AND(ACOMPANHAMENTO="PLE",ISNUMBER($E68)),SUMIF((OFFSET(CÁLCULO!$AM$15:$AW$15,$E68,0,OFFSET(ORÇAMENTO!$D$15,CRONO!$E68,0))),"="&amp;CRONO!X$12,OFFSET(CÁLCULO!$AB$15:$AL$15,$E68,0,OFFSET(ORÇAMENTO!$D$15,CRONO!$E68,0)))+IF(AND($E70&lt;&gt;"",$E70&lt;&gt;0),SUMIF(CÁLCULO!$AM$15:$AW$290,"="&amp;CRONO!X$12,CÁLCULO!$AB$15:$AL$290)/(ORÇAMENTO!$X$15-CÁLCULO.TotalAdmLocal)*CRONO!$E70,0),X69*$R68),SUMIF(OFFSET($R70,1,0,$Q68-2),($L68+1)&amp;"$",OFFSET(X70,1,0,$Q68-2)))</f>
        <v>1112.8499999999999</v>
      </c>
      <c r="Y70" s="223">
        <f ca="1">IF($Q68=2,IF(AND(ACOMPANHAMENTO="PLE",ISNUMBER($E68)),SUMIF((OFFSET(CÁLCULO!$AM$15:$AW$15,$E68,0,OFFSET(ORÇAMENTO!$D$15,CRONO!$E68,0))),"="&amp;CRONO!Y$12,OFFSET(CÁLCULO!$AB$15:$AL$15,$E68,0,OFFSET(ORÇAMENTO!$D$15,CRONO!$E68,0)))+IF(AND($E70&lt;&gt;"",$E70&lt;&gt;0),SUMIF(CÁLCULO!$AM$15:$AW$290,"="&amp;CRONO!Y$12,CÁLCULO!$AB$15:$AL$290)/(ORÇAMENTO!$X$15-CÁLCULO.TotalAdmLocal)*CRONO!$E70,0),Y69*$R68),SUMIF(OFFSET($R70,1,0,$Q68-2),($L68+1)&amp;"$",OFFSET(Y70,1,0,$Q68-2)))</f>
        <v>0</v>
      </c>
      <c r="Z70" s="223">
        <f ca="1">IF($Q68=2,IF(AND(ACOMPANHAMENTO="PLE",ISNUMBER($E68)),SUMIF((OFFSET(CÁLCULO!$AM$15:$AW$15,$E68,0,OFFSET(ORÇAMENTO!$D$15,CRONO!$E68,0))),"="&amp;CRONO!Z$12,OFFSET(CÁLCULO!$AB$15:$AL$15,$E68,0,OFFSET(ORÇAMENTO!$D$15,CRONO!$E68,0)))+IF(AND($E70&lt;&gt;"",$E70&lt;&gt;0),SUMIF(CÁLCULO!$AM$15:$AW$290,"="&amp;CRONO!Z$12,CÁLCULO!$AB$15:$AL$290)/(ORÇAMENTO!$X$15-CÁLCULO.TotalAdmLocal)*CRONO!$E70,0),Z69*$R68),SUMIF(OFFSET($R70,1,0,$Q68-2),($L68+1)&amp;"$",OFFSET(Z70,1,0,$Q68-2)))</f>
        <v>0</v>
      </c>
      <c r="AA70" s="223">
        <f ca="1">IF($Q68=2,IF(AND(ACOMPANHAMENTO="PLE",ISNUMBER($E68)),SUMIF((OFFSET(CÁLCULO!$AM$15:$AW$15,$E68,0,OFFSET(ORÇAMENTO!$D$15,CRONO!$E68,0))),"="&amp;CRONO!AA$12,OFFSET(CÁLCULO!$AB$15:$AL$15,$E68,0,OFFSET(ORÇAMENTO!$D$15,CRONO!$E68,0)))+IF(AND($E70&lt;&gt;"",$E70&lt;&gt;0),SUMIF(CÁLCULO!$AM$15:$AW$290,"="&amp;CRONO!AA$12,CÁLCULO!$AB$15:$AL$290)/(ORÇAMENTO!$X$15-CÁLCULO.TotalAdmLocal)*CRONO!$E70,0),AA69*$R68),SUMIF(OFFSET($R70,1,0,$Q68-2),($L68+1)&amp;"$",OFFSET(AA70,1,0,$Q68-2)))</f>
        <v>0</v>
      </c>
      <c r="AB70" s="223">
        <f ca="1">IF($Q68=2,IF(AND(ACOMPANHAMENTO="PLE",ISNUMBER($E68)),SUMIF((OFFSET(CÁLCULO!$AM$15:$AW$15,$E68,0,OFFSET(ORÇAMENTO!$D$15,CRONO!$E68,0))),"="&amp;CRONO!AB$12,OFFSET(CÁLCULO!$AB$15:$AL$15,$E68,0,OFFSET(ORÇAMENTO!$D$15,CRONO!$E68,0)))+IF(AND($E70&lt;&gt;"",$E70&lt;&gt;0),SUMIF(CÁLCULO!$AM$15:$AW$290,"="&amp;CRONO!AB$12,CÁLCULO!$AB$15:$AL$290)/(ORÇAMENTO!$X$15-CÁLCULO.TotalAdmLocal)*CRONO!$E70,0),AB69*$R68),SUMIF(OFFSET($R70,1,0,$Q68-2),($L68+1)&amp;"$",OFFSET(AB70,1,0,$Q68-2)))</f>
        <v>0</v>
      </c>
      <c r="AC70" s="223">
        <f ca="1">IF($Q68=2,IF(AND(ACOMPANHAMENTO="PLE",ISNUMBER($E68)),SUMIF((OFFSET(CÁLCULO!$AM$15:$AW$15,$E68,0,OFFSET(ORÇAMENTO!$D$15,CRONO!$E68,0))),"="&amp;CRONO!AC$12,OFFSET(CÁLCULO!$AB$15:$AL$15,$E68,0,OFFSET(ORÇAMENTO!$D$15,CRONO!$E68,0)))+IF(AND($E70&lt;&gt;"",$E70&lt;&gt;0),SUMIF(CÁLCULO!$AM$15:$AW$290,"="&amp;CRONO!AC$12,CÁLCULO!$AB$15:$AL$290)/(ORÇAMENTO!$X$15-CÁLCULO.TotalAdmLocal)*CRONO!$E70,0),AC69*$R68),SUMIF(OFFSET($R70,1,0,$Q68-2),($L68+1)&amp;"$",OFFSET(AC70,1,0,$Q68-2)))</f>
        <v>0</v>
      </c>
      <c r="AD70" s="223">
        <f ca="1">IF($Q68=2,IF(AND(ACOMPANHAMENTO="PLE",ISNUMBER($E68)),SUMIF((OFFSET(CÁLCULO!$AM$15:$AW$15,$E68,0,OFFSET(ORÇAMENTO!$D$15,CRONO!$E68,0))),"="&amp;CRONO!AD$12,OFFSET(CÁLCULO!$AB$15:$AL$15,$E68,0,OFFSET(ORÇAMENTO!$D$15,CRONO!$E68,0)))+IF(AND($E70&lt;&gt;"",$E70&lt;&gt;0),SUMIF(CÁLCULO!$AM$15:$AW$290,"="&amp;CRONO!AD$12,CÁLCULO!$AB$15:$AL$290)/(ORÇAMENTO!$X$15-CÁLCULO.TotalAdmLocal)*CRONO!$E70,0),AD69*$R68),SUMIF(OFFSET($R70,1,0,$Q68-2),($L68+1)&amp;"$",OFFSET(AD70,1,0,$Q68-2)))</f>
        <v>0</v>
      </c>
      <c r="AE70" s="228">
        <f ca="1">IF($Q68=2,IF(AND(ACOMPANHAMENTO="PLE",ISNUMBER($E68)),SUMIF((OFFSET(CÁLCULO!$AM$15:$AW$15,$E68,0,OFFSET(ORÇAMENTO!$D$15,CRONO!$E68,0))),"="&amp;CRONO!AE$12,OFFSET(CÁLCULO!$AB$15:$AL$15,$E68,0,OFFSET(ORÇAMENTO!$D$15,CRONO!$E68,0)))+IF(AND($E70&lt;&gt;"",$E70&lt;&gt;0),SUMIF(CÁLCULO!$AM$15:$AW$290,"="&amp;CRONO!AE$12,CÁLCULO!$AB$15:$AL$290)/(ORÇAMENTO!$X$15-CÁLCULO.TotalAdmLocal)*CRONO!$E70,0),AE69*$R68),SUMIF(OFFSET($R70,1,0,$Q68-2),($L68+1)&amp;"$",OFFSET(AE70,1,0,$Q68-2)))</f>
        <v>0</v>
      </c>
    </row>
    <row r="71" spans="1:32" x14ac:dyDescent="0.2">
      <c r="A71" s="204">
        <f t="shared" ref="A71" ca="1" si="130">OFFSET(A71,-3,0)+1</f>
        <v>20</v>
      </c>
      <c r="B71" s="204">
        <f ca="1">IF($Q71&lt;&gt;2,0,IF($R71=0,1,IF(E72&gt;0,OFFSET(QCI!$M$13,SUBSTITUTE(E72,".",""),0),OFFSET(ORÇAMENTO!$AA$15,CRONO!$E71,0))/$R71))</f>
        <v>1</v>
      </c>
      <c r="C71" s="204">
        <f ca="1">IF($Q71&lt;&gt;2,0,IF($R71=0,1,IF(E72&gt;0,OFFSET(QCI!$N$13,SUBSTITUTE(E72,".",""),0),OFFSET(ORÇAMENTO!$AB$15,CRONO!$E71,0))/$R71))</f>
        <v>0</v>
      </c>
      <c r="D71" s="207">
        <f ca="1">IF(AND($Q71=2,ACOMPANHAMENTO="BM"),D72,D73/$R71)</f>
        <v>0</v>
      </c>
      <c r="E71" s="204">
        <f ca="1">IF(A71&lt;=ORÇAMENTO.MáximoListaCrono,MATCH(A71,ORÇAMENTO.ListaCrono,0),NA())</f>
        <v>121</v>
      </c>
      <c r="F71" s="204" t="str">
        <f t="shared" ref="F71" ca="1" si="131">IF(AND($E72&lt;&gt;-1,$R71&gt;0),"F","")</f>
        <v>F</v>
      </c>
      <c r="G71" s="208">
        <f ca="1">IF(OR(R71=0,R71=""),"Linha",IF(AND(OR(ACOMPANHAMENTO="PLE",$Q71&lt;&gt;2),$E72=0),"Linha",1-SUM(T71:AF71)))</f>
        <v>0</v>
      </c>
      <c r="H71" s="209" t="str">
        <f ca="1">IF($E72=0,OFFSET(ORÇAMENTO!O$15,$E71,0),IF($E72&lt;&gt;-1,OFFSET(QCI!$D$13,$E72,0),""))</f>
        <v>1.6.11.</v>
      </c>
      <c r="I71" s="210" t="str">
        <f ca="1">IF($E72=0,OFFSET(ORÇAMENTO!R$15,$E71,0),IF($E72&lt;&gt;-1,OFFSET(QCI!$G$13,$E72,0),""))</f>
        <v>REVESTIMENTO INTERNO</v>
      </c>
      <c r="J71" s="210"/>
      <c r="K71" s="210"/>
      <c r="L71" s="211">
        <f ca="1">IF($E72=0,OFFSET(ORÇAMENTO!C$15,$E71,0),1)</f>
        <v>3</v>
      </c>
      <c r="M71" s="212">
        <f ca="1">IF($E72=-1,0,IF(M$13&lt;=$L71,IF(ISERROR(MATCH(M$13,OFFSET($L71,1,0,ROW($L$116)-ROW($L71)-1),0)),ROW($L$116)-ROW($L71)-1,MATCH(M$13,OFFSET($L71,1,0,ROW($L$116)-ROW($L71)-1),0)-1),0))</f>
        <v>44</v>
      </c>
      <c r="N71" s="212">
        <f ca="1">IF($E72=-1,0,IF(N$13&lt;=$L71,IF(ISERROR(MATCH(N$13,OFFSET($L71,1,0,ROW($L$116)-ROW($L71)-1),0)),ROW($L$116)-ROW($L71)-1,MATCH(N$13,OFFSET($L71,1,0,ROW($L$116)-ROW($L71)-1),0)-1),0))</f>
        <v>23</v>
      </c>
      <c r="O71" s="212">
        <f ca="1">IF($E72=-1,0,IF(O$13&lt;=$L71,IF(ISERROR(MATCH(O$13,OFFSET($L71,1,0,ROW($L$116)-ROW($L71)-1),0)),ROW($L$116)-ROW($L71)-1,MATCH(O$13,OFFSET($L71,1,0,ROW($L$116)-ROW($L71)-1),0)-1),0))</f>
        <v>2</v>
      </c>
      <c r="P71" s="212">
        <f ca="1">IF($E72=-1,0,IF(P$13&lt;=$L71,IF(ISERROR(MATCH(P$13,OFFSET($L71,1,0,ROW($L$116)-ROW($L71)-1),0)),ROW($L$116)-ROW($L71)-1,MATCH(P$13,OFFSET($L71,1,0,ROW($L$116)-ROW($L71)-1),0)-1),0))</f>
        <v>0</v>
      </c>
      <c r="Q71" s="212">
        <f t="shared" ref="Q71" ca="1" si="132">MIN(OFFSET(L71,0,1,,L71))</f>
        <v>2</v>
      </c>
      <c r="R71" s="213">
        <f ca="1">IF($E72=0,OFFSET(ORÇAMENTO!X$15,$E71,0),IF($E72&lt;&gt;-1,OFFSET(QCI!$O$13,$E72,0),""))</f>
        <v>4299.32</v>
      </c>
      <c r="S71" s="214" t="s">
        <v>270</v>
      </c>
      <c r="T71" s="215">
        <f t="shared" ref="T71:AE71" ca="1" si="133">IF(AND($Q71=2,ACOMPANHAMENTO="BM"),T72,T73/$R71)</f>
        <v>0</v>
      </c>
      <c r="U71" s="207">
        <f t="shared" ca="1" si="133"/>
        <v>0</v>
      </c>
      <c r="V71" s="207">
        <f t="shared" ca="1" si="133"/>
        <v>0</v>
      </c>
      <c r="W71" s="207">
        <f t="shared" ca="1" si="133"/>
        <v>0.5</v>
      </c>
      <c r="X71" s="207">
        <f t="shared" ca="1" si="133"/>
        <v>0.5</v>
      </c>
      <c r="Y71" s="207">
        <f t="shared" ca="1" si="133"/>
        <v>0</v>
      </c>
      <c r="Z71" s="207">
        <f t="shared" ca="1" si="133"/>
        <v>0</v>
      </c>
      <c r="AA71" s="207">
        <f t="shared" ca="1" si="133"/>
        <v>0</v>
      </c>
      <c r="AB71" s="207">
        <f t="shared" ca="1" si="133"/>
        <v>0</v>
      </c>
      <c r="AC71" s="207">
        <f t="shared" ca="1" si="133"/>
        <v>0</v>
      </c>
      <c r="AD71" s="207">
        <f t="shared" ca="1" si="133"/>
        <v>0</v>
      </c>
      <c r="AE71" s="216">
        <f t="shared" ca="1" si="133"/>
        <v>0</v>
      </c>
    </row>
    <row r="72" spans="1:32" ht="12.75" customHeight="1" x14ac:dyDescent="0.2">
      <c r="D72" s="569"/>
      <c r="E72" s="204">
        <f ca="1">IF(ISERROR(E71),IF(1+COUNTIF($L$13:OFFSET(L71,-1,0),1)&lt;=MAX(QCI!$D$13:$D$24),1+COUNTIF($L$13:OFFSET(L71,-1,0),1),-1),0)</f>
        <v>0</v>
      </c>
      <c r="F72" s="204" t="str">
        <f t="shared" ref="F72" ca="1" si="134">IF(AND($E72&lt;&gt;-1,$R71&gt;0),"F","")</f>
        <v>F</v>
      </c>
      <c r="G72" s="217" t="str">
        <f ca="1">IF(OR(R71=0,R71=""),"vazia",IF(AND(OR(ACOMPANHAMENTO="PLE",$Q71&lt;&gt;2),$E72=0),"calculada","--&gt;"))</f>
        <v>--&gt;</v>
      </c>
      <c r="H72" s="218"/>
      <c r="I72" s="219" t="str">
        <f t="shared" ref="I72" ca="1" si="135">IF(AND(G71&lt;&gt;0,ISNUMBER(G71)),"PREENCHA ESTA LINHA --&gt;","")</f>
        <v/>
      </c>
      <c r="J72" s="219"/>
      <c r="K72" s="219"/>
      <c r="L72" s="220"/>
      <c r="M72" s="220"/>
      <c r="N72" s="220"/>
      <c r="O72" s="220"/>
      <c r="P72" s="220"/>
      <c r="Q72" s="220"/>
      <c r="R72" s="221"/>
      <c r="S72" s="222"/>
      <c r="T72" s="570"/>
      <c r="U72" s="569"/>
      <c r="V72" s="569"/>
      <c r="W72" s="569">
        <v>0.5</v>
      </c>
      <c r="X72" s="569">
        <v>0.5</v>
      </c>
      <c r="Y72" s="569"/>
      <c r="Z72" s="569"/>
      <c r="AA72" s="569"/>
      <c r="AB72" s="569"/>
      <c r="AC72" s="569"/>
      <c r="AD72" s="569"/>
      <c r="AE72" s="571"/>
      <c r="AF72" s="533"/>
    </row>
    <row r="73" spans="1:32" ht="0.2" hidden="1" customHeight="1" x14ac:dyDescent="0.2">
      <c r="D73" s="223">
        <f ca="1">IF($Q71=2,IF(AND(ACOMPANHAMENTO="PLE",ISNUMBER($E71)),SUMIF((OFFSET(CÁLCULO!$AM$15:$AW$15,$E71,0,OFFSET(ORÇAMENTO!$D$15,CRONO!$E71,0))),"="&amp;CRONO!D$12,OFFSET(CÁLCULO!$AB$15:$AL$15,$E71,0,OFFSET(ORÇAMENTO!$D$15,CRONO!$E71,0)))+IF(AND($E73&lt;&gt;"",$E73&lt;&gt;0),SUMIF(CÁLCULO!$AM$15:$AW$290,"="&amp;CRONO!D$12,CÁLCULO!$AB$15:$AL$290)/(ORÇAMENTO!$X$15-CÁLCULO.TotalAdmLocal)*CRONO!$E73,0),D72*$R71),SUMIF(OFFSET($R73,1,0,$Q71-2),($L71+1)&amp;"$",OFFSET(D73,1,0,$Q71-2)))</f>
        <v>0</v>
      </c>
      <c r="E73" s="204" t="str">
        <f ca="1">IF(OR($Q71&lt;&gt;2,AUTOEVENTO&lt;&gt;"manual",$E72&gt;0),"",SUMIF(OFFSET(CÁLCULO!$M$15,CRONO!$E71,0,OFFSET(ORÇAMENTO!$D$15,CRONO!$E71,0)),1,OFFSET(ORÇAMENTO!$X$15,CRONO!$E71,0,OFFSET(ORÇAMENTO!$D$15,CRONO!$E71,0))))</f>
        <v/>
      </c>
      <c r="G73" s="224"/>
      <c r="R73" s="225" t="str">
        <f t="shared" ref="R73" ca="1" si="136">L71&amp;"$"</f>
        <v>3$</v>
      </c>
      <c r="S73" s="226"/>
      <c r="T73" s="227">
        <f ca="1">IF($Q71=2,IF(AND(ACOMPANHAMENTO="PLE",ISNUMBER($E71)),SUMIF((OFFSET(CÁLCULO!$AM$15:$AW$15,$E71,0,OFFSET(ORÇAMENTO!$D$15,CRONO!$E71,0))),"&lt;="&amp;CRONO!T$12,OFFSET(CÁLCULO!$AB$15:$AL$15,$E71,0,OFFSET(ORÇAMENTO!$D$15,CRONO!$E71,0)))+IF(AND($E73&lt;&gt;"",$E73&lt;&gt;0),SUMIF(CÁLCULO!$AM$15:$AW$290,"&lt;="&amp;CRONO!T$12,CÁLCULO!$AB$15:$AL$290)/(ORÇAMENTO!$X$15-CÁLCULO.TotalAdmLocal)*CRONO!$E73,0),T72*$R71),SUMIF(OFFSET($R73,1,0,$Q71-2),($L71+1)&amp;"$",OFFSET(T73,1,0,$Q71-2)))</f>
        <v>0</v>
      </c>
      <c r="U73" s="223">
        <f ca="1">IF($Q71=2,IF(AND(ACOMPANHAMENTO="PLE",ISNUMBER($E71)),SUMIF((OFFSET(CÁLCULO!$AM$15:$AW$15,$E71,0,OFFSET(ORÇAMENTO!$D$15,CRONO!$E71,0))),"="&amp;CRONO!U$12,OFFSET(CÁLCULO!$AB$15:$AL$15,$E71,0,OFFSET(ORÇAMENTO!$D$15,CRONO!$E71,0)))+IF(AND($E73&lt;&gt;"",$E73&lt;&gt;0),SUMIF(CÁLCULO!$AM$15:$AW$290,"="&amp;CRONO!U$12,CÁLCULO!$AB$15:$AL$290)/(ORÇAMENTO!$X$15-CÁLCULO.TotalAdmLocal)*CRONO!$E73,0),U72*$R71),SUMIF(OFFSET($R73,1,0,$Q71-2),($L71+1)&amp;"$",OFFSET(U73,1,0,$Q71-2)))</f>
        <v>0</v>
      </c>
      <c r="V73" s="223">
        <f ca="1">IF($Q71=2,IF(AND(ACOMPANHAMENTO="PLE",ISNUMBER($E71)),SUMIF((OFFSET(CÁLCULO!$AM$15:$AW$15,$E71,0,OFFSET(ORÇAMENTO!$D$15,CRONO!$E71,0))),"="&amp;CRONO!V$12,OFFSET(CÁLCULO!$AB$15:$AL$15,$E71,0,OFFSET(ORÇAMENTO!$D$15,CRONO!$E71,0)))+IF(AND($E73&lt;&gt;"",$E73&lt;&gt;0),SUMIF(CÁLCULO!$AM$15:$AW$290,"="&amp;CRONO!V$12,CÁLCULO!$AB$15:$AL$290)/(ORÇAMENTO!$X$15-CÁLCULO.TotalAdmLocal)*CRONO!$E73,0),V72*$R71),SUMIF(OFFSET($R73,1,0,$Q71-2),($L71+1)&amp;"$",OFFSET(V73,1,0,$Q71-2)))</f>
        <v>0</v>
      </c>
      <c r="W73" s="223">
        <f ca="1">IF($Q71=2,IF(AND(ACOMPANHAMENTO="PLE",ISNUMBER($E71)),SUMIF((OFFSET(CÁLCULO!$AM$15:$AW$15,$E71,0,OFFSET(ORÇAMENTO!$D$15,CRONO!$E71,0))),"="&amp;CRONO!W$12,OFFSET(CÁLCULO!$AB$15:$AL$15,$E71,0,OFFSET(ORÇAMENTO!$D$15,CRONO!$E71,0)))+IF(AND($E73&lt;&gt;"",$E73&lt;&gt;0),SUMIF(CÁLCULO!$AM$15:$AW$290,"="&amp;CRONO!W$12,CÁLCULO!$AB$15:$AL$290)/(ORÇAMENTO!$X$15-CÁLCULO.TotalAdmLocal)*CRONO!$E73,0),W72*$R71),SUMIF(OFFSET($R73,1,0,$Q71-2),($L71+1)&amp;"$",OFFSET(W73,1,0,$Q71-2)))</f>
        <v>2149.66</v>
      </c>
      <c r="X73" s="223">
        <f ca="1">IF($Q71=2,IF(AND(ACOMPANHAMENTO="PLE",ISNUMBER($E71)),SUMIF((OFFSET(CÁLCULO!$AM$15:$AW$15,$E71,0,OFFSET(ORÇAMENTO!$D$15,CRONO!$E71,0))),"="&amp;CRONO!X$12,OFFSET(CÁLCULO!$AB$15:$AL$15,$E71,0,OFFSET(ORÇAMENTO!$D$15,CRONO!$E71,0)))+IF(AND($E73&lt;&gt;"",$E73&lt;&gt;0),SUMIF(CÁLCULO!$AM$15:$AW$290,"="&amp;CRONO!X$12,CÁLCULO!$AB$15:$AL$290)/(ORÇAMENTO!$X$15-CÁLCULO.TotalAdmLocal)*CRONO!$E73,0),X72*$R71),SUMIF(OFFSET($R73,1,0,$Q71-2),($L71+1)&amp;"$",OFFSET(X73,1,0,$Q71-2)))</f>
        <v>2149.66</v>
      </c>
      <c r="Y73" s="223">
        <f ca="1">IF($Q71=2,IF(AND(ACOMPANHAMENTO="PLE",ISNUMBER($E71)),SUMIF((OFFSET(CÁLCULO!$AM$15:$AW$15,$E71,0,OFFSET(ORÇAMENTO!$D$15,CRONO!$E71,0))),"="&amp;CRONO!Y$12,OFFSET(CÁLCULO!$AB$15:$AL$15,$E71,0,OFFSET(ORÇAMENTO!$D$15,CRONO!$E71,0)))+IF(AND($E73&lt;&gt;"",$E73&lt;&gt;0),SUMIF(CÁLCULO!$AM$15:$AW$290,"="&amp;CRONO!Y$12,CÁLCULO!$AB$15:$AL$290)/(ORÇAMENTO!$X$15-CÁLCULO.TotalAdmLocal)*CRONO!$E73,0),Y72*$R71),SUMIF(OFFSET($R73,1,0,$Q71-2),($L71+1)&amp;"$",OFFSET(Y73,1,0,$Q71-2)))</f>
        <v>0</v>
      </c>
      <c r="Z73" s="223">
        <f ca="1">IF($Q71=2,IF(AND(ACOMPANHAMENTO="PLE",ISNUMBER($E71)),SUMIF((OFFSET(CÁLCULO!$AM$15:$AW$15,$E71,0,OFFSET(ORÇAMENTO!$D$15,CRONO!$E71,0))),"="&amp;CRONO!Z$12,OFFSET(CÁLCULO!$AB$15:$AL$15,$E71,0,OFFSET(ORÇAMENTO!$D$15,CRONO!$E71,0)))+IF(AND($E73&lt;&gt;"",$E73&lt;&gt;0),SUMIF(CÁLCULO!$AM$15:$AW$290,"="&amp;CRONO!Z$12,CÁLCULO!$AB$15:$AL$290)/(ORÇAMENTO!$X$15-CÁLCULO.TotalAdmLocal)*CRONO!$E73,0),Z72*$R71),SUMIF(OFFSET($R73,1,0,$Q71-2),($L71+1)&amp;"$",OFFSET(Z73,1,0,$Q71-2)))</f>
        <v>0</v>
      </c>
      <c r="AA73" s="223">
        <f ca="1">IF($Q71=2,IF(AND(ACOMPANHAMENTO="PLE",ISNUMBER($E71)),SUMIF((OFFSET(CÁLCULO!$AM$15:$AW$15,$E71,0,OFFSET(ORÇAMENTO!$D$15,CRONO!$E71,0))),"="&amp;CRONO!AA$12,OFFSET(CÁLCULO!$AB$15:$AL$15,$E71,0,OFFSET(ORÇAMENTO!$D$15,CRONO!$E71,0)))+IF(AND($E73&lt;&gt;"",$E73&lt;&gt;0),SUMIF(CÁLCULO!$AM$15:$AW$290,"="&amp;CRONO!AA$12,CÁLCULO!$AB$15:$AL$290)/(ORÇAMENTO!$X$15-CÁLCULO.TotalAdmLocal)*CRONO!$E73,0),AA72*$R71),SUMIF(OFFSET($R73,1,0,$Q71-2),($L71+1)&amp;"$",OFFSET(AA73,1,0,$Q71-2)))</f>
        <v>0</v>
      </c>
      <c r="AB73" s="223">
        <f ca="1">IF($Q71=2,IF(AND(ACOMPANHAMENTO="PLE",ISNUMBER($E71)),SUMIF((OFFSET(CÁLCULO!$AM$15:$AW$15,$E71,0,OFFSET(ORÇAMENTO!$D$15,CRONO!$E71,0))),"="&amp;CRONO!AB$12,OFFSET(CÁLCULO!$AB$15:$AL$15,$E71,0,OFFSET(ORÇAMENTO!$D$15,CRONO!$E71,0)))+IF(AND($E73&lt;&gt;"",$E73&lt;&gt;0),SUMIF(CÁLCULO!$AM$15:$AW$290,"="&amp;CRONO!AB$12,CÁLCULO!$AB$15:$AL$290)/(ORÇAMENTO!$X$15-CÁLCULO.TotalAdmLocal)*CRONO!$E73,0),AB72*$R71),SUMIF(OFFSET($R73,1,0,$Q71-2),($L71+1)&amp;"$",OFFSET(AB73,1,0,$Q71-2)))</f>
        <v>0</v>
      </c>
      <c r="AC73" s="223">
        <f ca="1">IF($Q71=2,IF(AND(ACOMPANHAMENTO="PLE",ISNUMBER($E71)),SUMIF((OFFSET(CÁLCULO!$AM$15:$AW$15,$E71,0,OFFSET(ORÇAMENTO!$D$15,CRONO!$E71,0))),"="&amp;CRONO!AC$12,OFFSET(CÁLCULO!$AB$15:$AL$15,$E71,0,OFFSET(ORÇAMENTO!$D$15,CRONO!$E71,0)))+IF(AND($E73&lt;&gt;"",$E73&lt;&gt;0),SUMIF(CÁLCULO!$AM$15:$AW$290,"="&amp;CRONO!AC$12,CÁLCULO!$AB$15:$AL$290)/(ORÇAMENTO!$X$15-CÁLCULO.TotalAdmLocal)*CRONO!$E73,0),AC72*$R71),SUMIF(OFFSET($R73,1,0,$Q71-2),($L71+1)&amp;"$",OFFSET(AC73,1,0,$Q71-2)))</f>
        <v>0</v>
      </c>
      <c r="AD73" s="223">
        <f ca="1">IF($Q71=2,IF(AND(ACOMPANHAMENTO="PLE",ISNUMBER($E71)),SUMIF((OFFSET(CÁLCULO!$AM$15:$AW$15,$E71,0,OFFSET(ORÇAMENTO!$D$15,CRONO!$E71,0))),"="&amp;CRONO!AD$12,OFFSET(CÁLCULO!$AB$15:$AL$15,$E71,0,OFFSET(ORÇAMENTO!$D$15,CRONO!$E71,0)))+IF(AND($E73&lt;&gt;"",$E73&lt;&gt;0),SUMIF(CÁLCULO!$AM$15:$AW$290,"="&amp;CRONO!AD$12,CÁLCULO!$AB$15:$AL$290)/(ORÇAMENTO!$X$15-CÁLCULO.TotalAdmLocal)*CRONO!$E73,0),AD72*$R71),SUMIF(OFFSET($R73,1,0,$Q71-2),($L71+1)&amp;"$",OFFSET(AD73,1,0,$Q71-2)))</f>
        <v>0</v>
      </c>
      <c r="AE73" s="228">
        <f ca="1">IF($Q71=2,IF(AND(ACOMPANHAMENTO="PLE",ISNUMBER($E71)),SUMIF((OFFSET(CÁLCULO!$AM$15:$AW$15,$E71,0,OFFSET(ORÇAMENTO!$D$15,CRONO!$E71,0))),"="&amp;CRONO!AE$12,OFFSET(CÁLCULO!$AB$15:$AL$15,$E71,0,OFFSET(ORÇAMENTO!$D$15,CRONO!$E71,0)))+IF(AND($E73&lt;&gt;"",$E73&lt;&gt;0),SUMIF(CÁLCULO!$AM$15:$AW$290,"="&amp;CRONO!AE$12,CÁLCULO!$AB$15:$AL$290)/(ORÇAMENTO!$X$15-CÁLCULO.TotalAdmLocal)*CRONO!$E73,0),AE72*$R71),SUMIF(OFFSET($R73,1,0,$Q71-2),($L71+1)&amp;"$",OFFSET(AE73,1,0,$Q71-2)))</f>
        <v>0</v>
      </c>
    </row>
    <row r="74" spans="1:32" x14ac:dyDescent="0.2">
      <c r="A74" s="204">
        <f t="shared" ref="A74" ca="1" si="137">OFFSET(A74,-3,0)+1</f>
        <v>21</v>
      </c>
      <c r="B74" s="204">
        <f ca="1">IF($Q74&lt;&gt;2,0,IF($R74=0,1,IF(E75&gt;0,OFFSET(QCI!$M$13,SUBSTITUTE(E75,".",""),0),OFFSET(ORÇAMENTO!$AA$15,CRONO!$E74,0))/$R74))</f>
        <v>1.0000000000000002</v>
      </c>
      <c r="C74" s="204">
        <f ca="1">IF($Q74&lt;&gt;2,0,IF($R74=0,1,IF(E75&gt;0,OFFSET(QCI!$N$13,SUBSTITUTE(E75,".",""),0),OFFSET(ORÇAMENTO!$AB$15,CRONO!$E74,0))/$R74))</f>
        <v>0</v>
      </c>
      <c r="D74" s="207">
        <f ca="1">IF(AND($Q74=2,ACOMPANHAMENTO="BM"),D75,D76/$R74)</f>
        <v>0</v>
      </c>
      <c r="E74" s="204">
        <f ca="1">IF(A74&lt;=ORÇAMENTO.MáximoListaCrono,MATCH(A74,ORÇAMENTO.ListaCrono,0),NA())</f>
        <v>125</v>
      </c>
      <c r="F74" s="204" t="str">
        <f t="shared" ref="F74" ca="1" si="138">IF(AND($E75&lt;&gt;-1,$R74&gt;0),"F","")</f>
        <v>F</v>
      </c>
      <c r="G74" s="208">
        <f ca="1">IF(OR(R74=0,R74=""),"Linha",IF(AND(OR(ACOMPANHAMENTO="PLE",$Q74&lt;&gt;2),$E75=0),"Linha",1-SUM(T74:AF74)))</f>
        <v>0</v>
      </c>
      <c r="H74" s="209" t="str">
        <f ca="1">IF($E75=0,OFFSET(ORÇAMENTO!O$15,$E74,0),IF($E75&lt;&gt;-1,OFFSET(QCI!$D$13,$E75,0),""))</f>
        <v>1.6.12.</v>
      </c>
      <c r="I74" s="210" t="str">
        <f ca="1">IF($E75=0,OFFSET(ORÇAMENTO!R$15,$E74,0),IF($E75&lt;&gt;-1,OFFSET(QCI!$G$13,$E75,0),""))</f>
        <v>REVESTIMENTO EXTERNO</v>
      </c>
      <c r="J74" s="210"/>
      <c r="K74" s="210"/>
      <c r="L74" s="211">
        <f ca="1">IF($E75=0,OFFSET(ORÇAMENTO!C$15,$E74,0),1)</f>
        <v>3</v>
      </c>
      <c r="M74" s="212">
        <f ca="1">IF($E75=-1,0,IF(M$13&lt;=$L74,IF(ISERROR(MATCH(M$13,OFFSET($L74,1,0,ROW($L$116)-ROW($L74)-1),0)),ROW($L$116)-ROW($L74)-1,MATCH(M$13,OFFSET($L74,1,0,ROW($L$116)-ROW($L74)-1),0)-1),0))</f>
        <v>41</v>
      </c>
      <c r="N74" s="212">
        <f ca="1">IF($E75=-1,0,IF(N$13&lt;=$L74,IF(ISERROR(MATCH(N$13,OFFSET($L74,1,0,ROW($L$116)-ROW($L74)-1),0)),ROW($L$116)-ROW($L74)-1,MATCH(N$13,OFFSET($L74,1,0,ROW($L$116)-ROW($L74)-1),0)-1),0))</f>
        <v>20</v>
      </c>
      <c r="O74" s="212">
        <f ca="1">IF($E75=-1,0,IF(O$13&lt;=$L74,IF(ISERROR(MATCH(O$13,OFFSET($L74,1,0,ROW($L$116)-ROW($L74)-1),0)),ROW($L$116)-ROW($L74)-1,MATCH(O$13,OFFSET($L74,1,0,ROW($L$116)-ROW($L74)-1),0)-1),0))</f>
        <v>2</v>
      </c>
      <c r="P74" s="212">
        <f ca="1">IF($E75=-1,0,IF(P$13&lt;=$L74,IF(ISERROR(MATCH(P$13,OFFSET($L74,1,0,ROW($L$116)-ROW($L74)-1),0)),ROW($L$116)-ROW($L74)-1,MATCH(P$13,OFFSET($L74,1,0,ROW($L$116)-ROW($L74)-1),0)-1),0))</f>
        <v>0</v>
      </c>
      <c r="Q74" s="212">
        <f t="shared" ref="Q74" ca="1" si="139">MIN(OFFSET(L74,0,1,,L74))</f>
        <v>2</v>
      </c>
      <c r="R74" s="213">
        <f ca="1">IF($E75=0,OFFSET(ORÇAMENTO!X$15,$E74,0),IF($E75&lt;&gt;-1,OFFSET(QCI!$O$13,$E75,0),""))</f>
        <v>3686.68</v>
      </c>
      <c r="S74" s="214" t="s">
        <v>270</v>
      </c>
      <c r="T74" s="215">
        <f t="shared" ref="T74:AE74" ca="1" si="140">IF(AND($Q74=2,ACOMPANHAMENTO="BM"),T75,T76/$R74)</f>
        <v>0</v>
      </c>
      <c r="U74" s="207">
        <f t="shared" ca="1" si="140"/>
        <v>0</v>
      </c>
      <c r="V74" s="207">
        <f t="shared" ca="1" si="140"/>
        <v>0</v>
      </c>
      <c r="W74" s="207">
        <f t="shared" ca="1" si="140"/>
        <v>0.5</v>
      </c>
      <c r="X74" s="207">
        <f t="shared" ca="1" si="140"/>
        <v>0.5</v>
      </c>
      <c r="Y74" s="207">
        <f t="shared" ca="1" si="140"/>
        <v>0</v>
      </c>
      <c r="Z74" s="207">
        <f t="shared" ca="1" si="140"/>
        <v>0</v>
      </c>
      <c r="AA74" s="207">
        <f t="shared" ca="1" si="140"/>
        <v>0</v>
      </c>
      <c r="AB74" s="207">
        <f t="shared" ca="1" si="140"/>
        <v>0</v>
      </c>
      <c r="AC74" s="207">
        <f t="shared" ca="1" si="140"/>
        <v>0</v>
      </c>
      <c r="AD74" s="207">
        <f t="shared" ca="1" si="140"/>
        <v>0</v>
      </c>
      <c r="AE74" s="216">
        <f t="shared" ca="1" si="140"/>
        <v>0</v>
      </c>
    </row>
    <row r="75" spans="1:32" ht="12.75" customHeight="1" x14ac:dyDescent="0.2">
      <c r="D75" s="569"/>
      <c r="E75" s="204">
        <f ca="1">IF(ISERROR(E74),IF(1+COUNTIF($L$13:OFFSET(L74,-1,0),1)&lt;=MAX(QCI!$D$13:$D$24),1+COUNTIF($L$13:OFFSET(L74,-1,0),1),-1),0)</f>
        <v>0</v>
      </c>
      <c r="F75" s="204" t="str">
        <f t="shared" ref="F75" ca="1" si="141">IF(AND($E75&lt;&gt;-1,$R74&gt;0),"F","")</f>
        <v>F</v>
      </c>
      <c r="G75" s="217" t="str">
        <f ca="1">IF(OR(R74=0,R74=""),"vazia",IF(AND(OR(ACOMPANHAMENTO="PLE",$Q74&lt;&gt;2),$E75=0),"calculada","--&gt;"))</f>
        <v>--&gt;</v>
      </c>
      <c r="H75" s="218"/>
      <c r="I75" s="219" t="str">
        <f t="shared" ref="I75" ca="1" si="142">IF(AND(G74&lt;&gt;0,ISNUMBER(G74)),"PREENCHA ESTA LINHA --&gt;","")</f>
        <v/>
      </c>
      <c r="J75" s="219"/>
      <c r="K75" s="219"/>
      <c r="L75" s="220"/>
      <c r="M75" s="220"/>
      <c r="N75" s="220"/>
      <c r="O75" s="220"/>
      <c r="P75" s="220"/>
      <c r="Q75" s="220"/>
      <c r="R75" s="221"/>
      <c r="S75" s="222"/>
      <c r="T75" s="570"/>
      <c r="U75" s="569"/>
      <c r="V75" s="569"/>
      <c r="W75" s="569">
        <v>0.5</v>
      </c>
      <c r="X75" s="569">
        <v>0.5</v>
      </c>
      <c r="Y75" s="569"/>
      <c r="Z75" s="569"/>
      <c r="AA75" s="569"/>
      <c r="AB75" s="569"/>
      <c r="AC75" s="569"/>
      <c r="AD75" s="569"/>
      <c r="AE75" s="571"/>
      <c r="AF75" s="533"/>
    </row>
    <row r="76" spans="1:32" ht="0.2" hidden="1" customHeight="1" x14ac:dyDescent="0.2">
      <c r="D76" s="223">
        <f ca="1">IF($Q74=2,IF(AND(ACOMPANHAMENTO="PLE",ISNUMBER($E74)),SUMIF((OFFSET(CÁLCULO!$AM$15:$AW$15,$E74,0,OFFSET(ORÇAMENTO!$D$15,CRONO!$E74,0))),"="&amp;CRONO!D$12,OFFSET(CÁLCULO!$AB$15:$AL$15,$E74,0,OFFSET(ORÇAMENTO!$D$15,CRONO!$E74,0)))+IF(AND($E76&lt;&gt;"",$E76&lt;&gt;0),SUMIF(CÁLCULO!$AM$15:$AW$290,"="&amp;CRONO!D$12,CÁLCULO!$AB$15:$AL$290)/(ORÇAMENTO!$X$15-CÁLCULO.TotalAdmLocal)*CRONO!$E76,0),D75*$R74),SUMIF(OFFSET($R76,1,0,$Q74-2),($L74+1)&amp;"$",OFFSET(D76,1,0,$Q74-2)))</f>
        <v>0</v>
      </c>
      <c r="E76" s="204" t="str">
        <f ca="1">IF(OR($Q74&lt;&gt;2,AUTOEVENTO&lt;&gt;"manual",$E75&gt;0),"",SUMIF(OFFSET(CÁLCULO!$M$15,CRONO!$E74,0,OFFSET(ORÇAMENTO!$D$15,CRONO!$E74,0)),1,OFFSET(ORÇAMENTO!$X$15,CRONO!$E74,0,OFFSET(ORÇAMENTO!$D$15,CRONO!$E74,0))))</f>
        <v/>
      </c>
      <c r="G76" s="224"/>
      <c r="R76" s="225" t="str">
        <f t="shared" ref="R76" ca="1" si="143">L74&amp;"$"</f>
        <v>3$</v>
      </c>
      <c r="S76" s="226"/>
      <c r="T76" s="227">
        <f ca="1">IF($Q74=2,IF(AND(ACOMPANHAMENTO="PLE",ISNUMBER($E74)),SUMIF((OFFSET(CÁLCULO!$AM$15:$AW$15,$E74,0,OFFSET(ORÇAMENTO!$D$15,CRONO!$E74,0))),"&lt;="&amp;CRONO!T$12,OFFSET(CÁLCULO!$AB$15:$AL$15,$E74,0,OFFSET(ORÇAMENTO!$D$15,CRONO!$E74,0)))+IF(AND($E76&lt;&gt;"",$E76&lt;&gt;0),SUMIF(CÁLCULO!$AM$15:$AW$290,"&lt;="&amp;CRONO!T$12,CÁLCULO!$AB$15:$AL$290)/(ORÇAMENTO!$X$15-CÁLCULO.TotalAdmLocal)*CRONO!$E76,0),T75*$R74),SUMIF(OFFSET($R76,1,0,$Q74-2),($L74+1)&amp;"$",OFFSET(T76,1,0,$Q74-2)))</f>
        <v>0</v>
      </c>
      <c r="U76" s="223">
        <f ca="1">IF($Q74=2,IF(AND(ACOMPANHAMENTO="PLE",ISNUMBER($E74)),SUMIF((OFFSET(CÁLCULO!$AM$15:$AW$15,$E74,0,OFFSET(ORÇAMENTO!$D$15,CRONO!$E74,0))),"="&amp;CRONO!U$12,OFFSET(CÁLCULO!$AB$15:$AL$15,$E74,0,OFFSET(ORÇAMENTO!$D$15,CRONO!$E74,0)))+IF(AND($E76&lt;&gt;"",$E76&lt;&gt;0),SUMIF(CÁLCULO!$AM$15:$AW$290,"="&amp;CRONO!U$12,CÁLCULO!$AB$15:$AL$290)/(ORÇAMENTO!$X$15-CÁLCULO.TotalAdmLocal)*CRONO!$E76,0),U75*$R74),SUMIF(OFFSET($R76,1,0,$Q74-2),($L74+1)&amp;"$",OFFSET(U76,1,0,$Q74-2)))</f>
        <v>0</v>
      </c>
      <c r="V76" s="223">
        <f ca="1">IF($Q74=2,IF(AND(ACOMPANHAMENTO="PLE",ISNUMBER($E74)),SUMIF((OFFSET(CÁLCULO!$AM$15:$AW$15,$E74,0,OFFSET(ORÇAMENTO!$D$15,CRONO!$E74,0))),"="&amp;CRONO!V$12,OFFSET(CÁLCULO!$AB$15:$AL$15,$E74,0,OFFSET(ORÇAMENTO!$D$15,CRONO!$E74,0)))+IF(AND($E76&lt;&gt;"",$E76&lt;&gt;0),SUMIF(CÁLCULO!$AM$15:$AW$290,"="&amp;CRONO!V$12,CÁLCULO!$AB$15:$AL$290)/(ORÇAMENTO!$X$15-CÁLCULO.TotalAdmLocal)*CRONO!$E76,0),V75*$R74),SUMIF(OFFSET($R76,1,0,$Q74-2),($L74+1)&amp;"$",OFFSET(V76,1,0,$Q74-2)))</f>
        <v>0</v>
      </c>
      <c r="W76" s="223">
        <f ca="1">IF($Q74=2,IF(AND(ACOMPANHAMENTO="PLE",ISNUMBER($E74)),SUMIF((OFFSET(CÁLCULO!$AM$15:$AW$15,$E74,0,OFFSET(ORÇAMENTO!$D$15,CRONO!$E74,0))),"="&amp;CRONO!W$12,OFFSET(CÁLCULO!$AB$15:$AL$15,$E74,0,OFFSET(ORÇAMENTO!$D$15,CRONO!$E74,0)))+IF(AND($E76&lt;&gt;"",$E76&lt;&gt;0),SUMIF(CÁLCULO!$AM$15:$AW$290,"="&amp;CRONO!W$12,CÁLCULO!$AB$15:$AL$290)/(ORÇAMENTO!$X$15-CÁLCULO.TotalAdmLocal)*CRONO!$E76,0),W75*$R74),SUMIF(OFFSET($R76,1,0,$Q74-2),($L74+1)&amp;"$",OFFSET(W76,1,0,$Q74-2)))</f>
        <v>1843.34</v>
      </c>
      <c r="X76" s="223">
        <f ca="1">IF($Q74=2,IF(AND(ACOMPANHAMENTO="PLE",ISNUMBER($E74)),SUMIF((OFFSET(CÁLCULO!$AM$15:$AW$15,$E74,0,OFFSET(ORÇAMENTO!$D$15,CRONO!$E74,0))),"="&amp;CRONO!X$12,OFFSET(CÁLCULO!$AB$15:$AL$15,$E74,0,OFFSET(ORÇAMENTO!$D$15,CRONO!$E74,0)))+IF(AND($E76&lt;&gt;"",$E76&lt;&gt;0),SUMIF(CÁLCULO!$AM$15:$AW$290,"="&amp;CRONO!X$12,CÁLCULO!$AB$15:$AL$290)/(ORÇAMENTO!$X$15-CÁLCULO.TotalAdmLocal)*CRONO!$E76,0),X75*$R74),SUMIF(OFFSET($R76,1,0,$Q74-2),($L74+1)&amp;"$",OFFSET(X76,1,0,$Q74-2)))</f>
        <v>1843.34</v>
      </c>
      <c r="Y76" s="223">
        <f ca="1">IF($Q74=2,IF(AND(ACOMPANHAMENTO="PLE",ISNUMBER($E74)),SUMIF((OFFSET(CÁLCULO!$AM$15:$AW$15,$E74,0,OFFSET(ORÇAMENTO!$D$15,CRONO!$E74,0))),"="&amp;CRONO!Y$12,OFFSET(CÁLCULO!$AB$15:$AL$15,$E74,0,OFFSET(ORÇAMENTO!$D$15,CRONO!$E74,0)))+IF(AND($E76&lt;&gt;"",$E76&lt;&gt;0),SUMIF(CÁLCULO!$AM$15:$AW$290,"="&amp;CRONO!Y$12,CÁLCULO!$AB$15:$AL$290)/(ORÇAMENTO!$X$15-CÁLCULO.TotalAdmLocal)*CRONO!$E76,0),Y75*$R74),SUMIF(OFFSET($R76,1,0,$Q74-2),($L74+1)&amp;"$",OFFSET(Y76,1,0,$Q74-2)))</f>
        <v>0</v>
      </c>
      <c r="Z76" s="223">
        <f ca="1">IF($Q74=2,IF(AND(ACOMPANHAMENTO="PLE",ISNUMBER($E74)),SUMIF((OFFSET(CÁLCULO!$AM$15:$AW$15,$E74,0,OFFSET(ORÇAMENTO!$D$15,CRONO!$E74,0))),"="&amp;CRONO!Z$12,OFFSET(CÁLCULO!$AB$15:$AL$15,$E74,0,OFFSET(ORÇAMENTO!$D$15,CRONO!$E74,0)))+IF(AND($E76&lt;&gt;"",$E76&lt;&gt;0),SUMIF(CÁLCULO!$AM$15:$AW$290,"="&amp;CRONO!Z$12,CÁLCULO!$AB$15:$AL$290)/(ORÇAMENTO!$X$15-CÁLCULO.TotalAdmLocal)*CRONO!$E76,0),Z75*$R74),SUMIF(OFFSET($R76,1,0,$Q74-2),($L74+1)&amp;"$",OFFSET(Z76,1,0,$Q74-2)))</f>
        <v>0</v>
      </c>
      <c r="AA76" s="223">
        <f ca="1">IF($Q74=2,IF(AND(ACOMPANHAMENTO="PLE",ISNUMBER($E74)),SUMIF((OFFSET(CÁLCULO!$AM$15:$AW$15,$E74,0,OFFSET(ORÇAMENTO!$D$15,CRONO!$E74,0))),"="&amp;CRONO!AA$12,OFFSET(CÁLCULO!$AB$15:$AL$15,$E74,0,OFFSET(ORÇAMENTO!$D$15,CRONO!$E74,0)))+IF(AND($E76&lt;&gt;"",$E76&lt;&gt;0),SUMIF(CÁLCULO!$AM$15:$AW$290,"="&amp;CRONO!AA$12,CÁLCULO!$AB$15:$AL$290)/(ORÇAMENTO!$X$15-CÁLCULO.TotalAdmLocal)*CRONO!$E76,0),AA75*$R74),SUMIF(OFFSET($R76,1,0,$Q74-2),($L74+1)&amp;"$",OFFSET(AA76,1,0,$Q74-2)))</f>
        <v>0</v>
      </c>
      <c r="AB76" s="223">
        <f ca="1">IF($Q74=2,IF(AND(ACOMPANHAMENTO="PLE",ISNUMBER($E74)),SUMIF((OFFSET(CÁLCULO!$AM$15:$AW$15,$E74,0,OFFSET(ORÇAMENTO!$D$15,CRONO!$E74,0))),"="&amp;CRONO!AB$12,OFFSET(CÁLCULO!$AB$15:$AL$15,$E74,0,OFFSET(ORÇAMENTO!$D$15,CRONO!$E74,0)))+IF(AND($E76&lt;&gt;"",$E76&lt;&gt;0),SUMIF(CÁLCULO!$AM$15:$AW$290,"="&amp;CRONO!AB$12,CÁLCULO!$AB$15:$AL$290)/(ORÇAMENTO!$X$15-CÁLCULO.TotalAdmLocal)*CRONO!$E76,0),AB75*$R74),SUMIF(OFFSET($R76,1,0,$Q74-2),($L74+1)&amp;"$",OFFSET(AB76,1,0,$Q74-2)))</f>
        <v>0</v>
      </c>
      <c r="AC76" s="223">
        <f ca="1">IF($Q74=2,IF(AND(ACOMPANHAMENTO="PLE",ISNUMBER($E74)),SUMIF((OFFSET(CÁLCULO!$AM$15:$AW$15,$E74,0,OFFSET(ORÇAMENTO!$D$15,CRONO!$E74,0))),"="&amp;CRONO!AC$12,OFFSET(CÁLCULO!$AB$15:$AL$15,$E74,0,OFFSET(ORÇAMENTO!$D$15,CRONO!$E74,0)))+IF(AND($E76&lt;&gt;"",$E76&lt;&gt;0),SUMIF(CÁLCULO!$AM$15:$AW$290,"="&amp;CRONO!AC$12,CÁLCULO!$AB$15:$AL$290)/(ORÇAMENTO!$X$15-CÁLCULO.TotalAdmLocal)*CRONO!$E76,0),AC75*$R74),SUMIF(OFFSET($R76,1,0,$Q74-2),($L74+1)&amp;"$",OFFSET(AC76,1,0,$Q74-2)))</f>
        <v>0</v>
      </c>
      <c r="AD76" s="223">
        <f ca="1">IF($Q74=2,IF(AND(ACOMPANHAMENTO="PLE",ISNUMBER($E74)),SUMIF((OFFSET(CÁLCULO!$AM$15:$AW$15,$E74,0,OFFSET(ORÇAMENTO!$D$15,CRONO!$E74,0))),"="&amp;CRONO!AD$12,OFFSET(CÁLCULO!$AB$15:$AL$15,$E74,0,OFFSET(ORÇAMENTO!$D$15,CRONO!$E74,0)))+IF(AND($E76&lt;&gt;"",$E76&lt;&gt;0),SUMIF(CÁLCULO!$AM$15:$AW$290,"="&amp;CRONO!AD$12,CÁLCULO!$AB$15:$AL$290)/(ORÇAMENTO!$X$15-CÁLCULO.TotalAdmLocal)*CRONO!$E76,0),AD75*$R74),SUMIF(OFFSET($R76,1,0,$Q74-2),($L74+1)&amp;"$",OFFSET(AD76,1,0,$Q74-2)))</f>
        <v>0</v>
      </c>
      <c r="AE76" s="228">
        <f ca="1">IF($Q74=2,IF(AND(ACOMPANHAMENTO="PLE",ISNUMBER($E74)),SUMIF((OFFSET(CÁLCULO!$AM$15:$AW$15,$E74,0,OFFSET(ORÇAMENTO!$D$15,CRONO!$E74,0))),"="&amp;CRONO!AE$12,OFFSET(CÁLCULO!$AB$15:$AL$15,$E74,0,OFFSET(ORÇAMENTO!$D$15,CRONO!$E74,0)))+IF(AND($E76&lt;&gt;"",$E76&lt;&gt;0),SUMIF(CÁLCULO!$AM$15:$AW$290,"="&amp;CRONO!AE$12,CÁLCULO!$AB$15:$AL$290)/(ORÇAMENTO!$X$15-CÁLCULO.TotalAdmLocal)*CRONO!$E76,0),AE75*$R74),SUMIF(OFFSET($R76,1,0,$Q74-2),($L74+1)&amp;"$",OFFSET(AE76,1,0,$Q74-2)))</f>
        <v>0</v>
      </c>
    </row>
    <row r="77" spans="1:32" x14ac:dyDescent="0.2">
      <c r="A77" s="204">
        <f t="shared" ref="A77" ca="1" si="144">OFFSET(A77,-3,0)+1</f>
        <v>22</v>
      </c>
      <c r="B77" s="204">
        <f ca="1">IF($Q77&lt;&gt;2,0,IF($R77=0,1,IF(E78&gt;0,OFFSET(QCI!$M$13,SUBSTITUTE(E78,".",""),0),OFFSET(ORÇAMENTO!$AA$15,CRONO!$E77,0))/$R77))</f>
        <v>1</v>
      </c>
      <c r="C77" s="204">
        <f ca="1">IF($Q77&lt;&gt;2,0,IF($R77=0,1,IF(E78&gt;0,OFFSET(QCI!$N$13,SUBSTITUTE(E78,".",""),0),OFFSET(ORÇAMENTO!$AB$15,CRONO!$E77,0))/$R77))</f>
        <v>0</v>
      </c>
      <c r="D77" s="207">
        <f ca="1">IF(AND($Q77=2,ACOMPANHAMENTO="BM"),D78,D79/$R77)</f>
        <v>0</v>
      </c>
      <c r="E77" s="204">
        <f ca="1">IF(A77&lt;=ORÇAMENTO.MáximoListaCrono,MATCH(A77,ORÇAMENTO.ListaCrono,0),NA())</f>
        <v>129</v>
      </c>
      <c r="F77" s="204" t="str">
        <f t="shared" ref="F77" ca="1" si="145">IF(AND($E78&lt;&gt;-1,$R77&gt;0),"F","")</f>
        <v>F</v>
      </c>
      <c r="G77" s="208">
        <f ca="1">IF(OR(R77=0,R77=""),"Linha",IF(AND(OR(ACOMPANHAMENTO="PLE",$Q77&lt;&gt;2),$E78=0),"Linha",1-SUM(T77:AF77)))</f>
        <v>0</v>
      </c>
      <c r="H77" s="209" t="str">
        <f ca="1">IF($E78=0,OFFSET(ORÇAMENTO!O$15,$E77,0),IF($E78&lt;&gt;-1,OFFSET(QCI!$D$13,$E78,0),""))</f>
        <v>1.6.13.</v>
      </c>
      <c r="I77" s="210" t="str">
        <f ca="1">IF($E78=0,OFFSET(ORÇAMENTO!R$15,$E77,0),IF($E78&lt;&gt;-1,OFFSET(QCI!$G$13,$E78,0),""))</f>
        <v>PISO E CALÇADAS E RAMPA ACESSÍVEL</v>
      </c>
      <c r="J77" s="210"/>
      <c r="K77" s="210"/>
      <c r="L77" s="211">
        <f ca="1">IF($E78=0,OFFSET(ORÇAMENTO!C$15,$E77,0),1)</f>
        <v>3</v>
      </c>
      <c r="M77" s="212">
        <f ca="1">IF($E78=-1,0,IF(M$13&lt;=$L77,IF(ISERROR(MATCH(M$13,OFFSET($L77,1,0,ROW($L$116)-ROW($L77)-1),0)),ROW($L$116)-ROW($L77)-1,MATCH(M$13,OFFSET($L77,1,0,ROW($L$116)-ROW($L77)-1),0)-1),0))</f>
        <v>38</v>
      </c>
      <c r="N77" s="212">
        <f ca="1">IF($E78=-1,0,IF(N$13&lt;=$L77,IF(ISERROR(MATCH(N$13,OFFSET($L77,1,0,ROW($L$116)-ROW($L77)-1),0)),ROW($L$116)-ROW($L77)-1,MATCH(N$13,OFFSET($L77,1,0,ROW($L$116)-ROW($L77)-1),0)-1),0))</f>
        <v>17</v>
      </c>
      <c r="O77" s="212">
        <f ca="1">IF($E78=-1,0,IF(O$13&lt;=$L77,IF(ISERROR(MATCH(O$13,OFFSET($L77,1,0,ROW($L$116)-ROW($L77)-1),0)),ROW($L$116)-ROW($L77)-1,MATCH(O$13,OFFSET($L77,1,0,ROW($L$116)-ROW($L77)-1),0)-1),0))</f>
        <v>2</v>
      </c>
      <c r="P77" s="212">
        <f ca="1">IF($E78=-1,0,IF(P$13&lt;=$L77,IF(ISERROR(MATCH(P$13,OFFSET($L77,1,0,ROW($L$116)-ROW($L77)-1),0)),ROW($L$116)-ROW($L77)-1,MATCH(P$13,OFFSET($L77,1,0,ROW($L$116)-ROW($L77)-1),0)-1),0))</f>
        <v>0</v>
      </c>
      <c r="Q77" s="212">
        <f t="shared" ref="Q77" ca="1" si="146">MIN(OFFSET(L77,0,1,,L77))</f>
        <v>2</v>
      </c>
      <c r="R77" s="213">
        <f ca="1">IF($E78=0,OFFSET(ORÇAMENTO!X$15,$E77,0),IF($E78&lt;&gt;-1,OFFSET(QCI!$O$13,$E78,0),""))</f>
        <v>2869.8</v>
      </c>
      <c r="S77" s="214" t="s">
        <v>270</v>
      </c>
      <c r="T77" s="215">
        <f t="shared" ref="T77:AE77" ca="1" si="147">IF(AND($Q77=2,ACOMPANHAMENTO="BM"),T78,T79/$R77)</f>
        <v>0</v>
      </c>
      <c r="U77" s="207">
        <f t="shared" ca="1" si="147"/>
        <v>0</v>
      </c>
      <c r="V77" s="207">
        <f t="shared" ca="1" si="147"/>
        <v>0</v>
      </c>
      <c r="W77" s="207">
        <f t="shared" ca="1" si="147"/>
        <v>0.5</v>
      </c>
      <c r="X77" s="207">
        <f t="shared" ca="1" si="147"/>
        <v>0.5</v>
      </c>
      <c r="Y77" s="207">
        <f t="shared" ca="1" si="147"/>
        <v>0</v>
      </c>
      <c r="Z77" s="207">
        <f t="shared" ca="1" si="147"/>
        <v>0</v>
      </c>
      <c r="AA77" s="207">
        <f t="shared" ca="1" si="147"/>
        <v>0</v>
      </c>
      <c r="AB77" s="207">
        <f t="shared" ca="1" si="147"/>
        <v>0</v>
      </c>
      <c r="AC77" s="207">
        <f t="shared" ca="1" si="147"/>
        <v>0</v>
      </c>
      <c r="AD77" s="207">
        <f t="shared" ca="1" si="147"/>
        <v>0</v>
      </c>
      <c r="AE77" s="216">
        <f t="shared" ca="1" si="147"/>
        <v>0</v>
      </c>
    </row>
    <row r="78" spans="1:32" ht="12.75" customHeight="1" x14ac:dyDescent="0.2">
      <c r="D78" s="569"/>
      <c r="E78" s="204">
        <f ca="1">IF(ISERROR(E77),IF(1+COUNTIF($L$13:OFFSET(L77,-1,0),1)&lt;=MAX(QCI!$D$13:$D$24),1+COUNTIF($L$13:OFFSET(L77,-1,0),1),-1),0)</f>
        <v>0</v>
      </c>
      <c r="F78" s="204" t="str">
        <f t="shared" ref="F78" ca="1" si="148">IF(AND($E78&lt;&gt;-1,$R77&gt;0),"F","")</f>
        <v>F</v>
      </c>
      <c r="G78" s="217" t="str">
        <f ca="1">IF(OR(R77=0,R77=""),"vazia",IF(AND(OR(ACOMPANHAMENTO="PLE",$Q77&lt;&gt;2),$E78=0),"calculada","--&gt;"))</f>
        <v>--&gt;</v>
      </c>
      <c r="H78" s="218"/>
      <c r="I78" s="219" t="str">
        <f t="shared" ref="I78" ca="1" si="149">IF(AND(G77&lt;&gt;0,ISNUMBER(G77)),"PREENCHA ESTA LINHA --&gt;","")</f>
        <v/>
      </c>
      <c r="J78" s="219"/>
      <c r="K78" s="219"/>
      <c r="L78" s="220"/>
      <c r="M78" s="220"/>
      <c r="N78" s="220"/>
      <c r="O78" s="220"/>
      <c r="P78" s="220"/>
      <c r="Q78" s="220"/>
      <c r="R78" s="221"/>
      <c r="S78" s="222"/>
      <c r="T78" s="570"/>
      <c r="U78" s="569"/>
      <c r="V78" s="569"/>
      <c r="W78" s="569">
        <v>0.5</v>
      </c>
      <c r="X78" s="569">
        <v>0.5</v>
      </c>
      <c r="Y78" s="569"/>
      <c r="Z78" s="569"/>
      <c r="AA78" s="569"/>
      <c r="AB78" s="569"/>
      <c r="AC78" s="569"/>
      <c r="AD78" s="569"/>
      <c r="AE78" s="571"/>
      <c r="AF78" s="533"/>
    </row>
    <row r="79" spans="1:32" ht="0.2" hidden="1" customHeight="1" x14ac:dyDescent="0.2">
      <c r="D79" s="223">
        <f ca="1">IF($Q77=2,IF(AND(ACOMPANHAMENTO="PLE",ISNUMBER($E77)),SUMIF((OFFSET(CÁLCULO!$AM$15:$AW$15,$E77,0,OFFSET(ORÇAMENTO!$D$15,CRONO!$E77,0))),"="&amp;CRONO!D$12,OFFSET(CÁLCULO!$AB$15:$AL$15,$E77,0,OFFSET(ORÇAMENTO!$D$15,CRONO!$E77,0)))+IF(AND($E79&lt;&gt;"",$E79&lt;&gt;0),SUMIF(CÁLCULO!$AM$15:$AW$290,"="&amp;CRONO!D$12,CÁLCULO!$AB$15:$AL$290)/(ORÇAMENTO!$X$15-CÁLCULO.TotalAdmLocal)*CRONO!$E79,0),D78*$R77),SUMIF(OFFSET($R79,1,0,$Q77-2),($L77+1)&amp;"$",OFFSET(D79,1,0,$Q77-2)))</f>
        <v>0</v>
      </c>
      <c r="E79" s="204" t="str">
        <f ca="1">IF(OR($Q77&lt;&gt;2,AUTOEVENTO&lt;&gt;"manual",$E78&gt;0),"",SUMIF(OFFSET(CÁLCULO!$M$15,CRONO!$E77,0,OFFSET(ORÇAMENTO!$D$15,CRONO!$E77,0)),1,OFFSET(ORÇAMENTO!$X$15,CRONO!$E77,0,OFFSET(ORÇAMENTO!$D$15,CRONO!$E77,0))))</f>
        <v/>
      </c>
      <c r="G79" s="224"/>
      <c r="R79" s="225" t="str">
        <f t="shared" ref="R79" ca="1" si="150">L77&amp;"$"</f>
        <v>3$</v>
      </c>
      <c r="S79" s="226"/>
      <c r="T79" s="227">
        <f ca="1">IF($Q77=2,IF(AND(ACOMPANHAMENTO="PLE",ISNUMBER($E77)),SUMIF((OFFSET(CÁLCULO!$AM$15:$AW$15,$E77,0,OFFSET(ORÇAMENTO!$D$15,CRONO!$E77,0))),"&lt;="&amp;CRONO!T$12,OFFSET(CÁLCULO!$AB$15:$AL$15,$E77,0,OFFSET(ORÇAMENTO!$D$15,CRONO!$E77,0)))+IF(AND($E79&lt;&gt;"",$E79&lt;&gt;0),SUMIF(CÁLCULO!$AM$15:$AW$290,"&lt;="&amp;CRONO!T$12,CÁLCULO!$AB$15:$AL$290)/(ORÇAMENTO!$X$15-CÁLCULO.TotalAdmLocal)*CRONO!$E79,0),T78*$R77),SUMIF(OFFSET($R79,1,0,$Q77-2),($L77+1)&amp;"$",OFFSET(T79,1,0,$Q77-2)))</f>
        <v>0</v>
      </c>
      <c r="U79" s="223">
        <f ca="1">IF($Q77=2,IF(AND(ACOMPANHAMENTO="PLE",ISNUMBER($E77)),SUMIF((OFFSET(CÁLCULO!$AM$15:$AW$15,$E77,0,OFFSET(ORÇAMENTO!$D$15,CRONO!$E77,0))),"="&amp;CRONO!U$12,OFFSET(CÁLCULO!$AB$15:$AL$15,$E77,0,OFFSET(ORÇAMENTO!$D$15,CRONO!$E77,0)))+IF(AND($E79&lt;&gt;"",$E79&lt;&gt;0),SUMIF(CÁLCULO!$AM$15:$AW$290,"="&amp;CRONO!U$12,CÁLCULO!$AB$15:$AL$290)/(ORÇAMENTO!$X$15-CÁLCULO.TotalAdmLocal)*CRONO!$E79,0),U78*$R77),SUMIF(OFFSET($R79,1,0,$Q77-2),($L77+1)&amp;"$",OFFSET(U79,1,0,$Q77-2)))</f>
        <v>0</v>
      </c>
      <c r="V79" s="223">
        <f ca="1">IF($Q77=2,IF(AND(ACOMPANHAMENTO="PLE",ISNUMBER($E77)),SUMIF((OFFSET(CÁLCULO!$AM$15:$AW$15,$E77,0,OFFSET(ORÇAMENTO!$D$15,CRONO!$E77,0))),"="&amp;CRONO!V$12,OFFSET(CÁLCULO!$AB$15:$AL$15,$E77,0,OFFSET(ORÇAMENTO!$D$15,CRONO!$E77,0)))+IF(AND($E79&lt;&gt;"",$E79&lt;&gt;0),SUMIF(CÁLCULO!$AM$15:$AW$290,"="&amp;CRONO!V$12,CÁLCULO!$AB$15:$AL$290)/(ORÇAMENTO!$X$15-CÁLCULO.TotalAdmLocal)*CRONO!$E79,0),V78*$R77),SUMIF(OFFSET($R79,1,0,$Q77-2),($L77+1)&amp;"$",OFFSET(V79,1,0,$Q77-2)))</f>
        <v>0</v>
      </c>
      <c r="W79" s="223">
        <f ca="1">IF($Q77=2,IF(AND(ACOMPANHAMENTO="PLE",ISNUMBER($E77)),SUMIF((OFFSET(CÁLCULO!$AM$15:$AW$15,$E77,0,OFFSET(ORÇAMENTO!$D$15,CRONO!$E77,0))),"="&amp;CRONO!W$12,OFFSET(CÁLCULO!$AB$15:$AL$15,$E77,0,OFFSET(ORÇAMENTO!$D$15,CRONO!$E77,0)))+IF(AND($E79&lt;&gt;"",$E79&lt;&gt;0),SUMIF(CÁLCULO!$AM$15:$AW$290,"="&amp;CRONO!W$12,CÁLCULO!$AB$15:$AL$290)/(ORÇAMENTO!$X$15-CÁLCULO.TotalAdmLocal)*CRONO!$E79,0),W78*$R77),SUMIF(OFFSET($R79,1,0,$Q77-2),($L77+1)&amp;"$",OFFSET(W79,1,0,$Q77-2)))</f>
        <v>1434.9</v>
      </c>
      <c r="X79" s="223">
        <f ca="1">IF($Q77=2,IF(AND(ACOMPANHAMENTO="PLE",ISNUMBER($E77)),SUMIF((OFFSET(CÁLCULO!$AM$15:$AW$15,$E77,0,OFFSET(ORÇAMENTO!$D$15,CRONO!$E77,0))),"="&amp;CRONO!X$12,OFFSET(CÁLCULO!$AB$15:$AL$15,$E77,0,OFFSET(ORÇAMENTO!$D$15,CRONO!$E77,0)))+IF(AND($E79&lt;&gt;"",$E79&lt;&gt;0),SUMIF(CÁLCULO!$AM$15:$AW$290,"="&amp;CRONO!X$12,CÁLCULO!$AB$15:$AL$290)/(ORÇAMENTO!$X$15-CÁLCULO.TotalAdmLocal)*CRONO!$E79,0),X78*$R77),SUMIF(OFFSET($R79,1,0,$Q77-2),($L77+1)&amp;"$",OFFSET(X79,1,0,$Q77-2)))</f>
        <v>1434.9</v>
      </c>
      <c r="Y79" s="223">
        <f ca="1">IF($Q77=2,IF(AND(ACOMPANHAMENTO="PLE",ISNUMBER($E77)),SUMIF((OFFSET(CÁLCULO!$AM$15:$AW$15,$E77,0,OFFSET(ORÇAMENTO!$D$15,CRONO!$E77,0))),"="&amp;CRONO!Y$12,OFFSET(CÁLCULO!$AB$15:$AL$15,$E77,0,OFFSET(ORÇAMENTO!$D$15,CRONO!$E77,0)))+IF(AND($E79&lt;&gt;"",$E79&lt;&gt;0),SUMIF(CÁLCULO!$AM$15:$AW$290,"="&amp;CRONO!Y$12,CÁLCULO!$AB$15:$AL$290)/(ORÇAMENTO!$X$15-CÁLCULO.TotalAdmLocal)*CRONO!$E79,0),Y78*$R77),SUMIF(OFFSET($R79,1,0,$Q77-2),($L77+1)&amp;"$",OFFSET(Y79,1,0,$Q77-2)))</f>
        <v>0</v>
      </c>
      <c r="Z79" s="223">
        <f ca="1">IF($Q77=2,IF(AND(ACOMPANHAMENTO="PLE",ISNUMBER($E77)),SUMIF((OFFSET(CÁLCULO!$AM$15:$AW$15,$E77,0,OFFSET(ORÇAMENTO!$D$15,CRONO!$E77,0))),"="&amp;CRONO!Z$12,OFFSET(CÁLCULO!$AB$15:$AL$15,$E77,0,OFFSET(ORÇAMENTO!$D$15,CRONO!$E77,0)))+IF(AND($E79&lt;&gt;"",$E79&lt;&gt;0),SUMIF(CÁLCULO!$AM$15:$AW$290,"="&amp;CRONO!Z$12,CÁLCULO!$AB$15:$AL$290)/(ORÇAMENTO!$X$15-CÁLCULO.TotalAdmLocal)*CRONO!$E79,0),Z78*$R77),SUMIF(OFFSET($R79,1,0,$Q77-2),($L77+1)&amp;"$",OFFSET(Z79,1,0,$Q77-2)))</f>
        <v>0</v>
      </c>
      <c r="AA79" s="223">
        <f ca="1">IF($Q77=2,IF(AND(ACOMPANHAMENTO="PLE",ISNUMBER($E77)),SUMIF((OFFSET(CÁLCULO!$AM$15:$AW$15,$E77,0,OFFSET(ORÇAMENTO!$D$15,CRONO!$E77,0))),"="&amp;CRONO!AA$12,OFFSET(CÁLCULO!$AB$15:$AL$15,$E77,0,OFFSET(ORÇAMENTO!$D$15,CRONO!$E77,0)))+IF(AND($E79&lt;&gt;"",$E79&lt;&gt;0),SUMIF(CÁLCULO!$AM$15:$AW$290,"="&amp;CRONO!AA$12,CÁLCULO!$AB$15:$AL$290)/(ORÇAMENTO!$X$15-CÁLCULO.TotalAdmLocal)*CRONO!$E79,0),AA78*$R77),SUMIF(OFFSET($R79,1,0,$Q77-2),($L77+1)&amp;"$",OFFSET(AA79,1,0,$Q77-2)))</f>
        <v>0</v>
      </c>
      <c r="AB79" s="223">
        <f ca="1">IF($Q77=2,IF(AND(ACOMPANHAMENTO="PLE",ISNUMBER($E77)),SUMIF((OFFSET(CÁLCULO!$AM$15:$AW$15,$E77,0,OFFSET(ORÇAMENTO!$D$15,CRONO!$E77,0))),"="&amp;CRONO!AB$12,OFFSET(CÁLCULO!$AB$15:$AL$15,$E77,0,OFFSET(ORÇAMENTO!$D$15,CRONO!$E77,0)))+IF(AND($E79&lt;&gt;"",$E79&lt;&gt;0),SUMIF(CÁLCULO!$AM$15:$AW$290,"="&amp;CRONO!AB$12,CÁLCULO!$AB$15:$AL$290)/(ORÇAMENTO!$X$15-CÁLCULO.TotalAdmLocal)*CRONO!$E79,0),AB78*$R77),SUMIF(OFFSET($R79,1,0,$Q77-2),($L77+1)&amp;"$",OFFSET(AB79,1,0,$Q77-2)))</f>
        <v>0</v>
      </c>
      <c r="AC79" s="223">
        <f ca="1">IF($Q77=2,IF(AND(ACOMPANHAMENTO="PLE",ISNUMBER($E77)),SUMIF((OFFSET(CÁLCULO!$AM$15:$AW$15,$E77,0,OFFSET(ORÇAMENTO!$D$15,CRONO!$E77,0))),"="&amp;CRONO!AC$12,OFFSET(CÁLCULO!$AB$15:$AL$15,$E77,0,OFFSET(ORÇAMENTO!$D$15,CRONO!$E77,0)))+IF(AND($E79&lt;&gt;"",$E79&lt;&gt;0),SUMIF(CÁLCULO!$AM$15:$AW$290,"="&amp;CRONO!AC$12,CÁLCULO!$AB$15:$AL$290)/(ORÇAMENTO!$X$15-CÁLCULO.TotalAdmLocal)*CRONO!$E79,0),AC78*$R77),SUMIF(OFFSET($R79,1,0,$Q77-2),($L77+1)&amp;"$",OFFSET(AC79,1,0,$Q77-2)))</f>
        <v>0</v>
      </c>
      <c r="AD79" s="223">
        <f ca="1">IF($Q77=2,IF(AND(ACOMPANHAMENTO="PLE",ISNUMBER($E77)),SUMIF((OFFSET(CÁLCULO!$AM$15:$AW$15,$E77,0,OFFSET(ORÇAMENTO!$D$15,CRONO!$E77,0))),"="&amp;CRONO!AD$12,OFFSET(CÁLCULO!$AB$15:$AL$15,$E77,0,OFFSET(ORÇAMENTO!$D$15,CRONO!$E77,0)))+IF(AND($E79&lt;&gt;"",$E79&lt;&gt;0),SUMIF(CÁLCULO!$AM$15:$AW$290,"="&amp;CRONO!AD$12,CÁLCULO!$AB$15:$AL$290)/(ORÇAMENTO!$X$15-CÁLCULO.TotalAdmLocal)*CRONO!$E79,0),AD78*$R77),SUMIF(OFFSET($R79,1,0,$Q77-2),($L77+1)&amp;"$",OFFSET(AD79,1,0,$Q77-2)))</f>
        <v>0</v>
      </c>
      <c r="AE79" s="228">
        <f ca="1">IF($Q77=2,IF(AND(ACOMPANHAMENTO="PLE",ISNUMBER($E77)),SUMIF((OFFSET(CÁLCULO!$AM$15:$AW$15,$E77,0,OFFSET(ORÇAMENTO!$D$15,CRONO!$E77,0))),"="&amp;CRONO!AE$12,OFFSET(CÁLCULO!$AB$15:$AL$15,$E77,0,OFFSET(ORÇAMENTO!$D$15,CRONO!$E77,0)))+IF(AND($E79&lt;&gt;"",$E79&lt;&gt;0),SUMIF(CÁLCULO!$AM$15:$AW$290,"="&amp;CRONO!AE$12,CÁLCULO!$AB$15:$AL$290)/(ORÇAMENTO!$X$15-CÁLCULO.TotalAdmLocal)*CRONO!$E79,0),AE78*$R77),SUMIF(OFFSET($R79,1,0,$Q77-2),($L77+1)&amp;"$",OFFSET(AE79,1,0,$Q77-2)))</f>
        <v>0</v>
      </c>
    </row>
    <row r="80" spans="1:32" x14ac:dyDescent="0.2">
      <c r="A80" s="204">
        <f t="shared" ref="A80" ca="1" si="151">OFFSET(A80,-3,0)+1</f>
        <v>23</v>
      </c>
      <c r="B80" s="204">
        <f ca="1">IF($Q80&lt;&gt;2,0,IF($R80=0,1,IF(E81&gt;0,OFFSET(QCI!$M$13,SUBSTITUTE(E81,".",""),0),OFFSET(ORÇAMENTO!$AA$15,CRONO!$E80,0))/$R80))</f>
        <v>1</v>
      </c>
      <c r="C80" s="204">
        <f ca="1">IF($Q80&lt;&gt;2,0,IF($R80=0,1,IF(E81&gt;0,OFFSET(QCI!$N$13,SUBSTITUTE(E81,".",""),0),OFFSET(ORÇAMENTO!$AB$15,CRONO!$E80,0))/$R80))</f>
        <v>0</v>
      </c>
      <c r="D80" s="207">
        <f ca="1">IF(AND($Q80=2,ACOMPANHAMENTO="BM"),D81,D82/$R80)</f>
        <v>0</v>
      </c>
      <c r="E80" s="204">
        <f ca="1">IF(A80&lt;=ORÇAMENTO.MáximoListaCrono,MATCH(A80,ORÇAMENTO.ListaCrono,0),NA())</f>
        <v>135</v>
      </c>
      <c r="F80" s="204" t="str">
        <f t="shared" ref="F80" ca="1" si="152">IF(AND($E81&lt;&gt;-1,$R80&gt;0),"F","")</f>
        <v>F</v>
      </c>
      <c r="G80" s="208">
        <f ca="1">IF(OR(R80=0,R80=""),"Linha",IF(AND(OR(ACOMPANHAMENTO="PLE",$Q80&lt;&gt;2),$E81=0),"Linha",1-SUM(T80:AF80)))</f>
        <v>0</v>
      </c>
      <c r="H80" s="209" t="str">
        <f ca="1">IF($E81=0,OFFSET(ORÇAMENTO!O$15,$E80,0),IF($E81&lt;&gt;-1,OFFSET(QCI!$D$13,$E81,0),""))</f>
        <v>1.6.14.</v>
      </c>
      <c r="I80" s="210" t="str">
        <f ca="1">IF($E81=0,OFFSET(ORÇAMENTO!R$15,$E80,0),IF($E81&lt;&gt;-1,OFFSET(QCI!$G$13,$E81,0),""))</f>
        <v>PINTURA</v>
      </c>
      <c r="J80" s="210"/>
      <c r="K80" s="210"/>
      <c r="L80" s="211">
        <f ca="1">IF($E81=0,OFFSET(ORÇAMENTO!C$15,$E80,0),1)</f>
        <v>3</v>
      </c>
      <c r="M80" s="212">
        <f ca="1">IF($E81=-1,0,IF(M$13&lt;=$L80,IF(ISERROR(MATCH(M$13,OFFSET($L80,1,0,ROW($L$116)-ROW($L80)-1),0)),ROW($L$116)-ROW($L80)-1,MATCH(M$13,OFFSET($L80,1,0,ROW($L$116)-ROW($L80)-1),0)-1),0))</f>
        <v>35</v>
      </c>
      <c r="N80" s="212">
        <f ca="1">IF($E81=-1,0,IF(N$13&lt;=$L80,IF(ISERROR(MATCH(N$13,OFFSET($L80,1,0,ROW($L$116)-ROW($L80)-1),0)),ROW($L$116)-ROW($L80)-1,MATCH(N$13,OFFSET($L80,1,0,ROW($L$116)-ROW($L80)-1),0)-1),0))</f>
        <v>14</v>
      </c>
      <c r="O80" s="212">
        <f ca="1">IF($E81=-1,0,IF(O$13&lt;=$L80,IF(ISERROR(MATCH(O$13,OFFSET($L80,1,0,ROW($L$116)-ROW($L80)-1),0)),ROW($L$116)-ROW($L80)-1,MATCH(O$13,OFFSET($L80,1,0,ROW($L$116)-ROW($L80)-1),0)-1),0))</f>
        <v>2</v>
      </c>
      <c r="P80" s="212">
        <f ca="1">IF($E81=-1,0,IF(P$13&lt;=$L80,IF(ISERROR(MATCH(P$13,OFFSET($L80,1,0,ROW($L$116)-ROW($L80)-1),0)),ROW($L$116)-ROW($L80)-1,MATCH(P$13,OFFSET($L80,1,0,ROW($L$116)-ROW($L80)-1),0)-1),0))</f>
        <v>0</v>
      </c>
      <c r="Q80" s="212">
        <f t="shared" ref="Q80" ca="1" si="153">MIN(OFFSET(L80,0,1,,L80))</f>
        <v>2</v>
      </c>
      <c r="R80" s="213">
        <f ca="1">IF($E81=0,OFFSET(ORÇAMENTO!X$15,$E80,0),IF($E81&lt;&gt;-1,OFFSET(QCI!$O$13,$E81,0),""))</f>
        <v>1387.2</v>
      </c>
      <c r="S80" s="214" t="s">
        <v>270</v>
      </c>
      <c r="T80" s="215">
        <f t="shared" ref="T80:AE80" ca="1" si="154">IF(AND($Q80=2,ACOMPANHAMENTO="BM"),T81,T82/$R80)</f>
        <v>0</v>
      </c>
      <c r="U80" s="207">
        <f t="shared" ca="1" si="154"/>
        <v>0</v>
      </c>
      <c r="V80" s="207">
        <f t="shared" ca="1" si="154"/>
        <v>0</v>
      </c>
      <c r="W80" s="207">
        <f t="shared" ca="1" si="154"/>
        <v>0.5</v>
      </c>
      <c r="X80" s="207">
        <f t="shared" ca="1" si="154"/>
        <v>0.5</v>
      </c>
      <c r="Y80" s="207">
        <f t="shared" ca="1" si="154"/>
        <v>0</v>
      </c>
      <c r="Z80" s="207">
        <f t="shared" ca="1" si="154"/>
        <v>0</v>
      </c>
      <c r="AA80" s="207">
        <f t="shared" ca="1" si="154"/>
        <v>0</v>
      </c>
      <c r="AB80" s="207">
        <f t="shared" ca="1" si="154"/>
        <v>0</v>
      </c>
      <c r="AC80" s="207">
        <f t="shared" ca="1" si="154"/>
        <v>0</v>
      </c>
      <c r="AD80" s="207">
        <f t="shared" ca="1" si="154"/>
        <v>0</v>
      </c>
      <c r="AE80" s="216">
        <f t="shared" ca="1" si="154"/>
        <v>0</v>
      </c>
    </row>
    <row r="81" spans="1:32" ht="12.75" customHeight="1" x14ac:dyDescent="0.2">
      <c r="D81" s="569"/>
      <c r="E81" s="204">
        <f ca="1">IF(ISERROR(E80),IF(1+COUNTIF($L$13:OFFSET(L80,-1,0),1)&lt;=MAX(QCI!$D$13:$D$24),1+COUNTIF($L$13:OFFSET(L80,-1,0),1),-1),0)</f>
        <v>0</v>
      </c>
      <c r="F81" s="204" t="str">
        <f t="shared" ref="F81" ca="1" si="155">IF(AND($E81&lt;&gt;-1,$R80&gt;0),"F","")</f>
        <v>F</v>
      </c>
      <c r="G81" s="217" t="str">
        <f ca="1">IF(OR(R80=0,R80=""),"vazia",IF(AND(OR(ACOMPANHAMENTO="PLE",$Q80&lt;&gt;2),$E81=0),"calculada","--&gt;"))</f>
        <v>--&gt;</v>
      </c>
      <c r="H81" s="218"/>
      <c r="I81" s="219" t="str">
        <f t="shared" ref="I81" ca="1" si="156">IF(AND(G80&lt;&gt;0,ISNUMBER(G80)),"PREENCHA ESTA LINHA --&gt;","")</f>
        <v/>
      </c>
      <c r="J81" s="219"/>
      <c r="K81" s="219"/>
      <c r="L81" s="220"/>
      <c r="M81" s="220"/>
      <c r="N81" s="220"/>
      <c r="O81" s="220"/>
      <c r="P81" s="220"/>
      <c r="Q81" s="220"/>
      <c r="R81" s="221"/>
      <c r="S81" s="222"/>
      <c r="T81" s="570"/>
      <c r="U81" s="569"/>
      <c r="V81" s="569"/>
      <c r="W81" s="569">
        <v>0.5</v>
      </c>
      <c r="X81" s="569">
        <v>0.5</v>
      </c>
      <c r="Y81" s="569"/>
      <c r="Z81" s="569"/>
      <c r="AA81" s="569"/>
      <c r="AB81" s="569"/>
      <c r="AC81" s="569"/>
      <c r="AD81" s="569"/>
      <c r="AE81" s="571"/>
      <c r="AF81" s="533"/>
    </row>
    <row r="82" spans="1:32" ht="0.2" hidden="1" customHeight="1" x14ac:dyDescent="0.2">
      <c r="D82" s="223">
        <f ca="1">IF($Q80=2,IF(AND(ACOMPANHAMENTO="PLE",ISNUMBER($E80)),SUMIF((OFFSET(CÁLCULO!$AM$15:$AW$15,$E80,0,OFFSET(ORÇAMENTO!$D$15,CRONO!$E80,0))),"="&amp;CRONO!D$12,OFFSET(CÁLCULO!$AB$15:$AL$15,$E80,0,OFFSET(ORÇAMENTO!$D$15,CRONO!$E80,0)))+IF(AND($E82&lt;&gt;"",$E82&lt;&gt;0),SUMIF(CÁLCULO!$AM$15:$AW$290,"="&amp;CRONO!D$12,CÁLCULO!$AB$15:$AL$290)/(ORÇAMENTO!$X$15-CÁLCULO.TotalAdmLocal)*CRONO!$E82,0),D81*$R80),SUMIF(OFFSET($R82,1,0,$Q80-2),($L80+1)&amp;"$",OFFSET(D82,1,0,$Q80-2)))</f>
        <v>0</v>
      </c>
      <c r="E82" s="204" t="str">
        <f ca="1">IF(OR($Q80&lt;&gt;2,AUTOEVENTO&lt;&gt;"manual",$E81&gt;0),"",SUMIF(OFFSET(CÁLCULO!$M$15,CRONO!$E80,0,OFFSET(ORÇAMENTO!$D$15,CRONO!$E80,0)),1,OFFSET(ORÇAMENTO!$X$15,CRONO!$E80,0,OFFSET(ORÇAMENTO!$D$15,CRONO!$E80,0))))</f>
        <v/>
      </c>
      <c r="G82" s="224"/>
      <c r="R82" s="225" t="str">
        <f t="shared" ref="R82" ca="1" si="157">L80&amp;"$"</f>
        <v>3$</v>
      </c>
      <c r="S82" s="226"/>
      <c r="T82" s="227">
        <f ca="1">IF($Q80=2,IF(AND(ACOMPANHAMENTO="PLE",ISNUMBER($E80)),SUMIF((OFFSET(CÁLCULO!$AM$15:$AW$15,$E80,0,OFFSET(ORÇAMENTO!$D$15,CRONO!$E80,0))),"&lt;="&amp;CRONO!T$12,OFFSET(CÁLCULO!$AB$15:$AL$15,$E80,0,OFFSET(ORÇAMENTO!$D$15,CRONO!$E80,0)))+IF(AND($E82&lt;&gt;"",$E82&lt;&gt;0),SUMIF(CÁLCULO!$AM$15:$AW$290,"&lt;="&amp;CRONO!T$12,CÁLCULO!$AB$15:$AL$290)/(ORÇAMENTO!$X$15-CÁLCULO.TotalAdmLocal)*CRONO!$E82,0),T81*$R80),SUMIF(OFFSET($R82,1,0,$Q80-2),($L80+1)&amp;"$",OFFSET(T82,1,0,$Q80-2)))</f>
        <v>0</v>
      </c>
      <c r="U82" s="223">
        <f ca="1">IF($Q80=2,IF(AND(ACOMPANHAMENTO="PLE",ISNUMBER($E80)),SUMIF((OFFSET(CÁLCULO!$AM$15:$AW$15,$E80,0,OFFSET(ORÇAMENTO!$D$15,CRONO!$E80,0))),"="&amp;CRONO!U$12,OFFSET(CÁLCULO!$AB$15:$AL$15,$E80,0,OFFSET(ORÇAMENTO!$D$15,CRONO!$E80,0)))+IF(AND($E82&lt;&gt;"",$E82&lt;&gt;0),SUMIF(CÁLCULO!$AM$15:$AW$290,"="&amp;CRONO!U$12,CÁLCULO!$AB$15:$AL$290)/(ORÇAMENTO!$X$15-CÁLCULO.TotalAdmLocal)*CRONO!$E82,0),U81*$R80),SUMIF(OFFSET($R82,1,0,$Q80-2),($L80+1)&amp;"$",OFFSET(U82,1,0,$Q80-2)))</f>
        <v>0</v>
      </c>
      <c r="V82" s="223">
        <f ca="1">IF($Q80=2,IF(AND(ACOMPANHAMENTO="PLE",ISNUMBER($E80)),SUMIF((OFFSET(CÁLCULO!$AM$15:$AW$15,$E80,0,OFFSET(ORÇAMENTO!$D$15,CRONO!$E80,0))),"="&amp;CRONO!V$12,OFFSET(CÁLCULO!$AB$15:$AL$15,$E80,0,OFFSET(ORÇAMENTO!$D$15,CRONO!$E80,0)))+IF(AND($E82&lt;&gt;"",$E82&lt;&gt;0),SUMIF(CÁLCULO!$AM$15:$AW$290,"="&amp;CRONO!V$12,CÁLCULO!$AB$15:$AL$290)/(ORÇAMENTO!$X$15-CÁLCULO.TotalAdmLocal)*CRONO!$E82,0),V81*$R80),SUMIF(OFFSET($R82,1,0,$Q80-2),($L80+1)&amp;"$",OFFSET(V82,1,0,$Q80-2)))</f>
        <v>0</v>
      </c>
      <c r="W82" s="223">
        <f ca="1">IF($Q80=2,IF(AND(ACOMPANHAMENTO="PLE",ISNUMBER($E80)),SUMIF((OFFSET(CÁLCULO!$AM$15:$AW$15,$E80,0,OFFSET(ORÇAMENTO!$D$15,CRONO!$E80,0))),"="&amp;CRONO!W$12,OFFSET(CÁLCULO!$AB$15:$AL$15,$E80,0,OFFSET(ORÇAMENTO!$D$15,CRONO!$E80,0)))+IF(AND($E82&lt;&gt;"",$E82&lt;&gt;0),SUMIF(CÁLCULO!$AM$15:$AW$290,"="&amp;CRONO!W$12,CÁLCULO!$AB$15:$AL$290)/(ORÇAMENTO!$X$15-CÁLCULO.TotalAdmLocal)*CRONO!$E82,0),W81*$R80),SUMIF(OFFSET($R82,1,0,$Q80-2),($L80+1)&amp;"$",OFFSET(W82,1,0,$Q80-2)))</f>
        <v>693.6</v>
      </c>
      <c r="X82" s="223">
        <f ca="1">IF($Q80=2,IF(AND(ACOMPANHAMENTO="PLE",ISNUMBER($E80)),SUMIF((OFFSET(CÁLCULO!$AM$15:$AW$15,$E80,0,OFFSET(ORÇAMENTO!$D$15,CRONO!$E80,0))),"="&amp;CRONO!X$12,OFFSET(CÁLCULO!$AB$15:$AL$15,$E80,0,OFFSET(ORÇAMENTO!$D$15,CRONO!$E80,0)))+IF(AND($E82&lt;&gt;"",$E82&lt;&gt;0),SUMIF(CÁLCULO!$AM$15:$AW$290,"="&amp;CRONO!X$12,CÁLCULO!$AB$15:$AL$290)/(ORÇAMENTO!$X$15-CÁLCULO.TotalAdmLocal)*CRONO!$E82,0),X81*$R80),SUMIF(OFFSET($R82,1,0,$Q80-2),($L80+1)&amp;"$",OFFSET(X82,1,0,$Q80-2)))</f>
        <v>693.6</v>
      </c>
      <c r="Y82" s="223">
        <f ca="1">IF($Q80=2,IF(AND(ACOMPANHAMENTO="PLE",ISNUMBER($E80)),SUMIF((OFFSET(CÁLCULO!$AM$15:$AW$15,$E80,0,OFFSET(ORÇAMENTO!$D$15,CRONO!$E80,0))),"="&amp;CRONO!Y$12,OFFSET(CÁLCULO!$AB$15:$AL$15,$E80,0,OFFSET(ORÇAMENTO!$D$15,CRONO!$E80,0)))+IF(AND($E82&lt;&gt;"",$E82&lt;&gt;0),SUMIF(CÁLCULO!$AM$15:$AW$290,"="&amp;CRONO!Y$12,CÁLCULO!$AB$15:$AL$290)/(ORÇAMENTO!$X$15-CÁLCULO.TotalAdmLocal)*CRONO!$E82,0),Y81*$R80),SUMIF(OFFSET($R82,1,0,$Q80-2),($L80+1)&amp;"$",OFFSET(Y82,1,0,$Q80-2)))</f>
        <v>0</v>
      </c>
      <c r="Z82" s="223">
        <f ca="1">IF($Q80=2,IF(AND(ACOMPANHAMENTO="PLE",ISNUMBER($E80)),SUMIF((OFFSET(CÁLCULO!$AM$15:$AW$15,$E80,0,OFFSET(ORÇAMENTO!$D$15,CRONO!$E80,0))),"="&amp;CRONO!Z$12,OFFSET(CÁLCULO!$AB$15:$AL$15,$E80,0,OFFSET(ORÇAMENTO!$D$15,CRONO!$E80,0)))+IF(AND($E82&lt;&gt;"",$E82&lt;&gt;0),SUMIF(CÁLCULO!$AM$15:$AW$290,"="&amp;CRONO!Z$12,CÁLCULO!$AB$15:$AL$290)/(ORÇAMENTO!$X$15-CÁLCULO.TotalAdmLocal)*CRONO!$E82,0),Z81*$R80),SUMIF(OFFSET($R82,1,0,$Q80-2),($L80+1)&amp;"$",OFFSET(Z82,1,0,$Q80-2)))</f>
        <v>0</v>
      </c>
      <c r="AA82" s="223">
        <f ca="1">IF($Q80=2,IF(AND(ACOMPANHAMENTO="PLE",ISNUMBER($E80)),SUMIF((OFFSET(CÁLCULO!$AM$15:$AW$15,$E80,0,OFFSET(ORÇAMENTO!$D$15,CRONO!$E80,0))),"="&amp;CRONO!AA$12,OFFSET(CÁLCULO!$AB$15:$AL$15,$E80,0,OFFSET(ORÇAMENTO!$D$15,CRONO!$E80,0)))+IF(AND($E82&lt;&gt;"",$E82&lt;&gt;0),SUMIF(CÁLCULO!$AM$15:$AW$290,"="&amp;CRONO!AA$12,CÁLCULO!$AB$15:$AL$290)/(ORÇAMENTO!$X$15-CÁLCULO.TotalAdmLocal)*CRONO!$E82,0),AA81*$R80),SUMIF(OFFSET($R82,1,0,$Q80-2),($L80+1)&amp;"$",OFFSET(AA82,1,0,$Q80-2)))</f>
        <v>0</v>
      </c>
      <c r="AB82" s="223">
        <f ca="1">IF($Q80=2,IF(AND(ACOMPANHAMENTO="PLE",ISNUMBER($E80)),SUMIF((OFFSET(CÁLCULO!$AM$15:$AW$15,$E80,0,OFFSET(ORÇAMENTO!$D$15,CRONO!$E80,0))),"="&amp;CRONO!AB$12,OFFSET(CÁLCULO!$AB$15:$AL$15,$E80,0,OFFSET(ORÇAMENTO!$D$15,CRONO!$E80,0)))+IF(AND($E82&lt;&gt;"",$E82&lt;&gt;0),SUMIF(CÁLCULO!$AM$15:$AW$290,"="&amp;CRONO!AB$12,CÁLCULO!$AB$15:$AL$290)/(ORÇAMENTO!$X$15-CÁLCULO.TotalAdmLocal)*CRONO!$E82,0),AB81*$R80),SUMIF(OFFSET($R82,1,0,$Q80-2),($L80+1)&amp;"$",OFFSET(AB82,1,0,$Q80-2)))</f>
        <v>0</v>
      </c>
      <c r="AC82" s="223">
        <f ca="1">IF($Q80=2,IF(AND(ACOMPANHAMENTO="PLE",ISNUMBER($E80)),SUMIF((OFFSET(CÁLCULO!$AM$15:$AW$15,$E80,0,OFFSET(ORÇAMENTO!$D$15,CRONO!$E80,0))),"="&amp;CRONO!AC$12,OFFSET(CÁLCULO!$AB$15:$AL$15,$E80,0,OFFSET(ORÇAMENTO!$D$15,CRONO!$E80,0)))+IF(AND($E82&lt;&gt;"",$E82&lt;&gt;0),SUMIF(CÁLCULO!$AM$15:$AW$290,"="&amp;CRONO!AC$12,CÁLCULO!$AB$15:$AL$290)/(ORÇAMENTO!$X$15-CÁLCULO.TotalAdmLocal)*CRONO!$E82,0),AC81*$R80),SUMIF(OFFSET($R82,1,0,$Q80-2),($L80+1)&amp;"$",OFFSET(AC82,1,0,$Q80-2)))</f>
        <v>0</v>
      </c>
      <c r="AD82" s="223">
        <f ca="1">IF($Q80=2,IF(AND(ACOMPANHAMENTO="PLE",ISNUMBER($E80)),SUMIF((OFFSET(CÁLCULO!$AM$15:$AW$15,$E80,0,OFFSET(ORÇAMENTO!$D$15,CRONO!$E80,0))),"="&amp;CRONO!AD$12,OFFSET(CÁLCULO!$AB$15:$AL$15,$E80,0,OFFSET(ORÇAMENTO!$D$15,CRONO!$E80,0)))+IF(AND($E82&lt;&gt;"",$E82&lt;&gt;0),SUMIF(CÁLCULO!$AM$15:$AW$290,"="&amp;CRONO!AD$12,CÁLCULO!$AB$15:$AL$290)/(ORÇAMENTO!$X$15-CÁLCULO.TotalAdmLocal)*CRONO!$E82,0),AD81*$R80),SUMIF(OFFSET($R82,1,0,$Q80-2),($L80+1)&amp;"$",OFFSET(AD82,1,0,$Q80-2)))</f>
        <v>0</v>
      </c>
      <c r="AE82" s="228">
        <f ca="1">IF($Q80=2,IF(AND(ACOMPANHAMENTO="PLE",ISNUMBER($E80)),SUMIF((OFFSET(CÁLCULO!$AM$15:$AW$15,$E80,0,OFFSET(ORÇAMENTO!$D$15,CRONO!$E80,0))),"="&amp;CRONO!AE$12,OFFSET(CÁLCULO!$AB$15:$AL$15,$E80,0,OFFSET(ORÇAMENTO!$D$15,CRONO!$E80,0)))+IF(AND($E82&lt;&gt;"",$E82&lt;&gt;0),SUMIF(CÁLCULO!$AM$15:$AW$290,"="&amp;CRONO!AE$12,CÁLCULO!$AB$15:$AL$290)/(ORÇAMENTO!$X$15-CÁLCULO.TotalAdmLocal)*CRONO!$E82,0),AE81*$R80),SUMIF(OFFSET($R82,1,0,$Q80-2),($L80+1)&amp;"$",OFFSET(AE82,1,0,$Q80-2)))</f>
        <v>0</v>
      </c>
    </row>
    <row r="83" spans="1:32" x14ac:dyDescent="0.2">
      <c r="A83" s="204">
        <f t="shared" ref="A83" ca="1" si="158">OFFSET(A83,-3,0)+1</f>
        <v>24</v>
      </c>
      <c r="B83" s="204">
        <f ca="1">IF($Q83&lt;&gt;2,0,IF($R83=0,1,IF(E84&gt;0,OFFSET(QCI!$M$13,SUBSTITUTE(E84,".",""),0),OFFSET(ORÇAMENTO!$AA$15,CRONO!$E83,0))/$R83))</f>
        <v>1</v>
      </c>
      <c r="C83" s="204">
        <f ca="1">IF($Q83&lt;&gt;2,0,IF($R83=0,1,IF(E84&gt;0,OFFSET(QCI!$N$13,SUBSTITUTE(E84,".",""),0),OFFSET(ORÇAMENTO!$AB$15,CRONO!$E83,0))/$R83))</f>
        <v>0</v>
      </c>
      <c r="D83" s="207">
        <f ca="1">IF(AND($Q83=2,ACOMPANHAMENTO="BM"),D84,D85/$R83)</f>
        <v>0</v>
      </c>
      <c r="E83" s="204">
        <f ca="1">IF(A83&lt;=ORÇAMENTO.MáximoListaCrono,MATCH(A83,ORÇAMENTO.ListaCrono,0),NA())</f>
        <v>139</v>
      </c>
      <c r="F83" s="204" t="str">
        <f t="shared" ref="F83" ca="1" si="159">IF(AND($E84&lt;&gt;-1,$R83&gt;0),"F","")</f>
        <v>F</v>
      </c>
      <c r="G83" s="208">
        <f ca="1">IF(OR(R83=0,R83=""),"Linha",IF(AND(OR(ACOMPANHAMENTO="PLE",$Q83&lt;&gt;2),$E84=0),"Linha",1-SUM(T83:AF83)))</f>
        <v>0</v>
      </c>
      <c r="H83" s="209" t="str">
        <f ca="1">IF($E84=0,OFFSET(ORÇAMENTO!O$15,$E83,0),IF($E84&lt;&gt;-1,OFFSET(QCI!$D$13,$E84,0),""))</f>
        <v>1.6.15.</v>
      </c>
      <c r="I83" s="210" t="str">
        <f ca="1">IF($E84=0,OFFSET(ORÇAMENTO!R$15,$E83,0),IF($E84&lt;&gt;-1,OFFSET(QCI!$G$13,$E84,0),""))</f>
        <v>COMUNICAÇÃO VISUAL</v>
      </c>
      <c r="J83" s="210"/>
      <c r="K83" s="210"/>
      <c r="L83" s="211">
        <f ca="1">IF($E84=0,OFFSET(ORÇAMENTO!C$15,$E83,0),1)</f>
        <v>3</v>
      </c>
      <c r="M83" s="212">
        <f ca="1">IF($E84=-1,0,IF(M$13&lt;=$L83,IF(ISERROR(MATCH(M$13,OFFSET($L83,1,0,ROW($L$116)-ROW($L83)-1),0)),ROW($L$116)-ROW($L83)-1,MATCH(M$13,OFFSET($L83,1,0,ROW($L$116)-ROW($L83)-1),0)-1),0))</f>
        <v>32</v>
      </c>
      <c r="N83" s="212">
        <f ca="1">IF($E84=-1,0,IF(N$13&lt;=$L83,IF(ISERROR(MATCH(N$13,OFFSET($L83,1,0,ROW($L$116)-ROW($L83)-1),0)),ROW($L$116)-ROW($L83)-1,MATCH(N$13,OFFSET($L83,1,0,ROW($L$116)-ROW($L83)-1),0)-1),0))</f>
        <v>11</v>
      </c>
      <c r="O83" s="212">
        <f ca="1">IF($E84=-1,0,IF(O$13&lt;=$L83,IF(ISERROR(MATCH(O$13,OFFSET($L83,1,0,ROW($L$116)-ROW($L83)-1),0)),ROW($L$116)-ROW($L83)-1,MATCH(O$13,OFFSET($L83,1,0,ROW($L$116)-ROW($L83)-1),0)-1),0))</f>
        <v>2</v>
      </c>
      <c r="P83" s="212">
        <f ca="1">IF($E84=-1,0,IF(P$13&lt;=$L83,IF(ISERROR(MATCH(P$13,OFFSET($L83,1,0,ROW($L$116)-ROW($L83)-1),0)),ROW($L$116)-ROW($L83)-1,MATCH(P$13,OFFSET($L83,1,0,ROW($L$116)-ROW($L83)-1),0)-1),0))</f>
        <v>0</v>
      </c>
      <c r="Q83" s="212">
        <f t="shared" ref="Q83" ca="1" si="160">MIN(OFFSET(L83,0,1,,L83))</f>
        <v>2</v>
      </c>
      <c r="R83" s="213">
        <f ca="1">IF($E84=0,OFFSET(ORÇAMENTO!X$15,$E83,0),IF($E84&lt;&gt;-1,OFFSET(QCI!$O$13,$E84,0),""))</f>
        <v>22.4</v>
      </c>
      <c r="S83" s="214" t="s">
        <v>270</v>
      </c>
      <c r="T83" s="215">
        <f t="shared" ref="T83:AE83" ca="1" si="161">IF(AND($Q83=2,ACOMPANHAMENTO="BM"),T84,T85/$R83)</f>
        <v>0</v>
      </c>
      <c r="U83" s="207">
        <f t="shared" ca="1" si="161"/>
        <v>0</v>
      </c>
      <c r="V83" s="207">
        <f t="shared" ca="1" si="161"/>
        <v>0</v>
      </c>
      <c r="W83" s="207">
        <f t="shared" ca="1" si="161"/>
        <v>0.5</v>
      </c>
      <c r="X83" s="207">
        <f t="shared" ca="1" si="161"/>
        <v>0.5</v>
      </c>
      <c r="Y83" s="207">
        <f t="shared" ca="1" si="161"/>
        <v>0</v>
      </c>
      <c r="Z83" s="207">
        <f t="shared" ca="1" si="161"/>
        <v>0</v>
      </c>
      <c r="AA83" s="207">
        <f t="shared" ca="1" si="161"/>
        <v>0</v>
      </c>
      <c r="AB83" s="207">
        <f t="shared" ca="1" si="161"/>
        <v>0</v>
      </c>
      <c r="AC83" s="207">
        <f t="shared" ca="1" si="161"/>
        <v>0</v>
      </c>
      <c r="AD83" s="207">
        <f t="shared" ca="1" si="161"/>
        <v>0</v>
      </c>
      <c r="AE83" s="216">
        <f t="shared" ca="1" si="161"/>
        <v>0</v>
      </c>
    </row>
    <row r="84" spans="1:32" ht="12.75" customHeight="1" x14ac:dyDescent="0.2">
      <c r="D84" s="569"/>
      <c r="E84" s="204">
        <f ca="1">IF(ISERROR(E83),IF(1+COUNTIF($L$13:OFFSET(L83,-1,0),1)&lt;=MAX(QCI!$D$13:$D$24),1+COUNTIF($L$13:OFFSET(L83,-1,0),1),-1),0)</f>
        <v>0</v>
      </c>
      <c r="F84" s="204" t="str">
        <f t="shared" ref="F84" ca="1" si="162">IF(AND($E84&lt;&gt;-1,$R83&gt;0),"F","")</f>
        <v>F</v>
      </c>
      <c r="G84" s="217" t="str">
        <f ca="1">IF(OR(R83=0,R83=""),"vazia",IF(AND(OR(ACOMPANHAMENTO="PLE",$Q83&lt;&gt;2),$E84=0),"calculada","--&gt;"))</f>
        <v>--&gt;</v>
      </c>
      <c r="H84" s="218"/>
      <c r="I84" s="219" t="str">
        <f t="shared" ref="I84" ca="1" si="163">IF(AND(G83&lt;&gt;0,ISNUMBER(G83)),"PREENCHA ESTA LINHA --&gt;","")</f>
        <v/>
      </c>
      <c r="J84" s="219"/>
      <c r="K84" s="219"/>
      <c r="L84" s="220"/>
      <c r="M84" s="220"/>
      <c r="N84" s="220"/>
      <c r="O84" s="220"/>
      <c r="P84" s="220"/>
      <c r="Q84" s="220"/>
      <c r="R84" s="221"/>
      <c r="S84" s="222"/>
      <c r="T84" s="570"/>
      <c r="U84" s="569"/>
      <c r="V84" s="569"/>
      <c r="W84" s="569">
        <v>0.5</v>
      </c>
      <c r="X84" s="569">
        <v>0.5</v>
      </c>
      <c r="Y84" s="569"/>
      <c r="Z84" s="569"/>
      <c r="AA84" s="569"/>
      <c r="AB84" s="569"/>
      <c r="AC84" s="569"/>
      <c r="AD84" s="569"/>
      <c r="AE84" s="571"/>
      <c r="AF84" s="533"/>
    </row>
    <row r="85" spans="1:32" ht="0.2" hidden="1" customHeight="1" x14ac:dyDescent="0.2">
      <c r="D85" s="223">
        <f ca="1">IF($Q83=2,IF(AND(ACOMPANHAMENTO="PLE",ISNUMBER($E83)),SUMIF((OFFSET(CÁLCULO!$AM$15:$AW$15,$E83,0,OFFSET(ORÇAMENTO!$D$15,CRONO!$E83,0))),"="&amp;CRONO!D$12,OFFSET(CÁLCULO!$AB$15:$AL$15,$E83,0,OFFSET(ORÇAMENTO!$D$15,CRONO!$E83,0)))+IF(AND($E85&lt;&gt;"",$E85&lt;&gt;0),SUMIF(CÁLCULO!$AM$15:$AW$290,"="&amp;CRONO!D$12,CÁLCULO!$AB$15:$AL$290)/(ORÇAMENTO!$X$15-CÁLCULO.TotalAdmLocal)*CRONO!$E85,0),D84*$R83),SUMIF(OFFSET($R85,1,0,$Q83-2),($L83+1)&amp;"$",OFFSET(D85,1,0,$Q83-2)))</f>
        <v>0</v>
      </c>
      <c r="E85" s="204" t="str">
        <f ca="1">IF(OR($Q83&lt;&gt;2,AUTOEVENTO&lt;&gt;"manual",$E84&gt;0),"",SUMIF(OFFSET(CÁLCULO!$M$15,CRONO!$E83,0,OFFSET(ORÇAMENTO!$D$15,CRONO!$E83,0)),1,OFFSET(ORÇAMENTO!$X$15,CRONO!$E83,0,OFFSET(ORÇAMENTO!$D$15,CRONO!$E83,0))))</f>
        <v/>
      </c>
      <c r="G85" s="224"/>
      <c r="R85" s="225" t="str">
        <f t="shared" ref="R85" ca="1" si="164">L83&amp;"$"</f>
        <v>3$</v>
      </c>
      <c r="S85" s="226"/>
      <c r="T85" s="227">
        <f ca="1">IF($Q83=2,IF(AND(ACOMPANHAMENTO="PLE",ISNUMBER($E83)),SUMIF((OFFSET(CÁLCULO!$AM$15:$AW$15,$E83,0,OFFSET(ORÇAMENTO!$D$15,CRONO!$E83,0))),"&lt;="&amp;CRONO!T$12,OFFSET(CÁLCULO!$AB$15:$AL$15,$E83,0,OFFSET(ORÇAMENTO!$D$15,CRONO!$E83,0)))+IF(AND($E85&lt;&gt;"",$E85&lt;&gt;0),SUMIF(CÁLCULO!$AM$15:$AW$290,"&lt;="&amp;CRONO!T$12,CÁLCULO!$AB$15:$AL$290)/(ORÇAMENTO!$X$15-CÁLCULO.TotalAdmLocal)*CRONO!$E85,0),T84*$R83),SUMIF(OFFSET($R85,1,0,$Q83-2),($L83+1)&amp;"$",OFFSET(T85,1,0,$Q83-2)))</f>
        <v>0</v>
      </c>
      <c r="U85" s="223">
        <f ca="1">IF($Q83=2,IF(AND(ACOMPANHAMENTO="PLE",ISNUMBER($E83)),SUMIF((OFFSET(CÁLCULO!$AM$15:$AW$15,$E83,0,OFFSET(ORÇAMENTO!$D$15,CRONO!$E83,0))),"="&amp;CRONO!U$12,OFFSET(CÁLCULO!$AB$15:$AL$15,$E83,0,OFFSET(ORÇAMENTO!$D$15,CRONO!$E83,0)))+IF(AND($E85&lt;&gt;"",$E85&lt;&gt;0),SUMIF(CÁLCULO!$AM$15:$AW$290,"="&amp;CRONO!U$12,CÁLCULO!$AB$15:$AL$290)/(ORÇAMENTO!$X$15-CÁLCULO.TotalAdmLocal)*CRONO!$E85,0),U84*$R83),SUMIF(OFFSET($R85,1,0,$Q83-2),($L83+1)&amp;"$",OFFSET(U85,1,0,$Q83-2)))</f>
        <v>0</v>
      </c>
      <c r="V85" s="223">
        <f ca="1">IF($Q83=2,IF(AND(ACOMPANHAMENTO="PLE",ISNUMBER($E83)),SUMIF((OFFSET(CÁLCULO!$AM$15:$AW$15,$E83,0,OFFSET(ORÇAMENTO!$D$15,CRONO!$E83,0))),"="&amp;CRONO!V$12,OFFSET(CÁLCULO!$AB$15:$AL$15,$E83,0,OFFSET(ORÇAMENTO!$D$15,CRONO!$E83,0)))+IF(AND($E85&lt;&gt;"",$E85&lt;&gt;0),SUMIF(CÁLCULO!$AM$15:$AW$290,"="&amp;CRONO!V$12,CÁLCULO!$AB$15:$AL$290)/(ORÇAMENTO!$X$15-CÁLCULO.TotalAdmLocal)*CRONO!$E85,0),V84*$R83),SUMIF(OFFSET($R85,1,0,$Q83-2),($L83+1)&amp;"$",OFFSET(V85,1,0,$Q83-2)))</f>
        <v>0</v>
      </c>
      <c r="W85" s="223">
        <f ca="1">IF($Q83=2,IF(AND(ACOMPANHAMENTO="PLE",ISNUMBER($E83)),SUMIF((OFFSET(CÁLCULO!$AM$15:$AW$15,$E83,0,OFFSET(ORÇAMENTO!$D$15,CRONO!$E83,0))),"="&amp;CRONO!W$12,OFFSET(CÁLCULO!$AB$15:$AL$15,$E83,0,OFFSET(ORÇAMENTO!$D$15,CRONO!$E83,0)))+IF(AND($E85&lt;&gt;"",$E85&lt;&gt;0),SUMIF(CÁLCULO!$AM$15:$AW$290,"="&amp;CRONO!W$12,CÁLCULO!$AB$15:$AL$290)/(ORÇAMENTO!$X$15-CÁLCULO.TotalAdmLocal)*CRONO!$E85,0),W84*$R83),SUMIF(OFFSET($R85,1,0,$Q83-2),($L83+1)&amp;"$",OFFSET(W85,1,0,$Q83-2)))</f>
        <v>11.2</v>
      </c>
      <c r="X85" s="223">
        <f ca="1">IF($Q83=2,IF(AND(ACOMPANHAMENTO="PLE",ISNUMBER($E83)),SUMIF((OFFSET(CÁLCULO!$AM$15:$AW$15,$E83,0,OFFSET(ORÇAMENTO!$D$15,CRONO!$E83,0))),"="&amp;CRONO!X$12,OFFSET(CÁLCULO!$AB$15:$AL$15,$E83,0,OFFSET(ORÇAMENTO!$D$15,CRONO!$E83,0)))+IF(AND($E85&lt;&gt;"",$E85&lt;&gt;0),SUMIF(CÁLCULO!$AM$15:$AW$290,"="&amp;CRONO!X$12,CÁLCULO!$AB$15:$AL$290)/(ORÇAMENTO!$X$15-CÁLCULO.TotalAdmLocal)*CRONO!$E85,0),X84*$R83),SUMIF(OFFSET($R85,1,0,$Q83-2),($L83+1)&amp;"$",OFFSET(X85,1,0,$Q83-2)))</f>
        <v>11.2</v>
      </c>
      <c r="Y85" s="223">
        <f ca="1">IF($Q83=2,IF(AND(ACOMPANHAMENTO="PLE",ISNUMBER($E83)),SUMIF((OFFSET(CÁLCULO!$AM$15:$AW$15,$E83,0,OFFSET(ORÇAMENTO!$D$15,CRONO!$E83,0))),"="&amp;CRONO!Y$12,OFFSET(CÁLCULO!$AB$15:$AL$15,$E83,0,OFFSET(ORÇAMENTO!$D$15,CRONO!$E83,0)))+IF(AND($E85&lt;&gt;"",$E85&lt;&gt;0),SUMIF(CÁLCULO!$AM$15:$AW$290,"="&amp;CRONO!Y$12,CÁLCULO!$AB$15:$AL$290)/(ORÇAMENTO!$X$15-CÁLCULO.TotalAdmLocal)*CRONO!$E85,0),Y84*$R83),SUMIF(OFFSET($R85,1,0,$Q83-2),($L83+1)&amp;"$",OFFSET(Y85,1,0,$Q83-2)))</f>
        <v>0</v>
      </c>
      <c r="Z85" s="223">
        <f ca="1">IF($Q83=2,IF(AND(ACOMPANHAMENTO="PLE",ISNUMBER($E83)),SUMIF((OFFSET(CÁLCULO!$AM$15:$AW$15,$E83,0,OFFSET(ORÇAMENTO!$D$15,CRONO!$E83,0))),"="&amp;CRONO!Z$12,OFFSET(CÁLCULO!$AB$15:$AL$15,$E83,0,OFFSET(ORÇAMENTO!$D$15,CRONO!$E83,0)))+IF(AND($E85&lt;&gt;"",$E85&lt;&gt;0),SUMIF(CÁLCULO!$AM$15:$AW$290,"="&amp;CRONO!Z$12,CÁLCULO!$AB$15:$AL$290)/(ORÇAMENTO!$X$15-CÁLCULO.TotalAdmLocal)*CRONO!$E85,0),Z84*$R83),SUMIF(OFFSET($R85,1,0,$Q83-2),($L83+1)&amp;"$",OFFSET(Z85,1,0,$Q83-2)))</f>
        <v>0</v>
      </c>
      <c r="AA85" s="223">
        <f ca="1">IF($Q83=2,IF(AND(ACOMPANHAMENTO="PLE",ISNUMBER($E83)),SUMIF((OFFSET(CÁLCULO!$AM$15:$AW$15,$E83,0,OFFSET(ORÇAMENTO!$D$15,CRONO!$E83,0))),"="&amp;CRONO!AA$12,OFFSET(CÁLCULO!$AB$15:$AL$15,$E83,0,OFFSET(ORÇAMENTO!$D$15,CRONO!$E83,0)))+IF(AND($E85&lt;&gt;"",$E85&lt;&gt;0),SUMIF(CÁLCULO!$AM$15:$AW$290,"="&amp;CRONO!AA$12,CÁLCULO!$AB$15:$AL$290)/(ORÇAMENTO!$X$15-CÁLCULO.TotalAdmLocal)*CRONO!$E85,0),AA84*$R83),SUMIF(OFFSET($R85,1,0,$Q83-2),($L83+1)&amp;"$",OFFSET(AA85,1,0,$Q83-2)))</f>
        <v>0</v>
      </c>
      <c r="AB85" s="223">
        <f ca="1">IF($Q83=2,IF(AND(ACOMPANHAMENTO="PLE",ISNUMBER($E83)),SUMIF((OFFSET(CÁLCULO!$AM$15:$AW$15,$E83,0,OFFSET(ORÇAMENTO!$D$15,CRONO!$E83,0))),"="&amp;CRONO!AB$12,OFFSET(CÁLCULO!$AB$15:$AL$15,$E83,0,OFFSET(ORÇAMENTO!$D$15,CRONO!$E83,0)))+IF(AND($E85&lt;&gt;"",$E85&lt;&gt;0),SUMIF(CÁLCULO!$AM$15:$AW$290,"="&amp;CRONO!AB$12,CÁLCULO!$AB$15:$AL$290)/(ORÇAMENTO!$X$15-CÁLCULO.TotalAdmLocal)*CRONO!$E85,0),AB84*$R83),SUMIF(OFFSET($R85,1,0,$Q83-2),($L83+1)&amp;"$",OFFSET(AB85,1,0,$Q83-2)))</f>
        <v>0</v>
      </c>
      <c r="AC85" s="223">
        <f ca="1">IF($Q83=2,IF(AND(ACOMPANHAMENTO="PLE",ISNUMBER($E83)),SUMIF((OFFSET(CÁLCULO!$AM$15:$AW$15,$E83,0,OFFSET(ORÇAMENTO!$D$15,CRONO!$E83,0))),"="&amp;CRONO!AC$12,OFFSET(CÁLCULO!$AB$15:$AL$15,$E83,0,OFFSET(ORÇAMENTO!$D$15,CRONO!$E83,0)))+IF(AND($E85&lt;&gt;"",$E85&lt;&gt;0),SUMIF(CÁLCULO!$AM$15:$AW$290,"="&amp;CRONO!AC$12,CÁLCULO!$AB$15:$AL$290)/(ORÇAMENTO!$X$15-CÁLCULO.TotalAdmLocal)*CRONO!$E85,0),AC84*$R83),SUMIF(OFFSET($R85,1,0,$Q83-2),($L83+1)&amp;"$",OFFSET(AC85,1,0,$Q83-2)))</f>
        <v>0</v>
      </c>
      <c r="AD85" s="223">
        <f ca="1">IF($Q83=2,IF(AND(ACOMPANHAMENTO="PLE",ISNUMBER($E83)),SUMIF((OFFSET(CÁLCULO!$AM$15:$AW$15,$E83,0,OFFSET(ORÇAMENTO!$D$15,CRONO!$E83,0))),"="&amp;CRONO!AD$12,OFFSET(CÁLCULO!$AB$15:$AL$15,$E83,0,OFFSET(ORÇAMENTO!$D$15,CRONO!$E83,0)))+IF(AND($E85&lt;&gt;"",$E85&lt;&gt;0),SUMIF(CÁLCULO!$AM$15:$AW$290,"="&amp;CRONO!AD$12,CÁLCULO!$AB$15:$AL$290)/(ORÇAMENTO!$X$15-CÁLCULO.TotalAdmLocal)*CRONO!$E85,0),AD84*$R83),SUMIF(OFFSET($R85,1,0,$Q83-2),($L83+1)&amp;"$",OFFSET(AD85,1,0,$Q83-2)))</f>
        <v>0</v>
      </c>
      <c r="AE85" s="228">
        <f ca="1">IF($Q83=2,IF(AND(ACOMPANHAMENTO="PLE",ISNUMBER($E83)),SUMIF((OFFSET(CÁLCULO!$AM$15:$AW$15,$E83,0,OFFSET(ORÇAMENTO!$D$15,CRONO!$E83,0))),"="&amp;CRONO!AE$12,OFFSET(CÁLCULO!$AB$15:$AL$15,$E83,0,OFFSET(ORÇAMENTO!$D$15,CRONO!$E83,0)))+IF(AND($E85&lt;&gt;"",$E85&lt;&gt;0),SUMIF(CÁLCULO!$AM$15:$AW$290,"="&amp;CRONO!AE$12,CÁLCULO!$AB$15:$AL$290)/(ORÇAMENTO!$X$15-CÁLCULO.TotalAdmLocal)*CRONO!$E85,0),AE84*$R83),SUMIF(OFFSET($R85,1,0,$Q83-2),($L83+1)&amp;"$",OFFSET(AE85,1,0,$Q83-2)))</f>
        <v>0</v>
      </c>
    </row>
    <row r="86" spans="1:32" x14ac:dyDescent="0.2">
      <c r="A86" s="204">
        <f t="shared" ref="A86" ca="1" si="165">OFFSET(A86,-3,0)+1</f>
        <v>25</v>
      </c>
      <c r="B86" s="204">
        <f ca="1">IF($Q86&lt;&gt;2,0,IF($R86=0,1,IF(E87&gt;0,OFFSET(QCI!$M$13,SUBSTITUTE(E87,".",""),0),OFFSET(ORÇAMENTO!$AA$15,CRONO!$E86,0))/$R86))</f>
        <v>1.0000000000000002</v>
      </c>
      <c r="C86" s="204">
        <f ca="1">IF($Q86&lt;&gt;2,0,IF($R86=0,1,IF(E87&gt;0,OFFSET(QCI!$N$13,SUBSTITUTE(E87,".",""),0),OFFSET(ORÇAMENTO!$AB$15,CRONO!$E86,0))/$R86))</f>
        <v>0</v>
      </c>
      <c r="D86" s="207">
        <f ca="1">IF(AND($Q86=2,ACOMPANHAMENTO="BM"),D87,D88/$R86)</f>
        <v>0</v>
      </c>
      <c r="E86" s="204">
        <f ca="1">IF(A86&lt;=ORÇAMENTO.MáximoListaCrono,MATCH(A86,ORÇAMENTO.ListaCrono,0),NA())</f>
        <v>141</v>
      </c>
      <c r="F86" s="204" t="str">
        <f t="shared" ref="F86" ca="1" si="166">IF(AND($E87&lt;&gt;-1,$R86&gt;0),"F","")</f>
        <v>F</v>
      </c>
      <c r="G86" s="208">
        <f ca="1">IF(OR(R86=0,R86=""),"Linha",IF(AND(OR(ACOMPANHAMENTO="PLE",$Q86&lt;&gt;2),$E87=0),"Linha",1-SUM(T86:AF86)))</f>
        <v>0</v>
      </c>
      <c r="H86" s="209" t="str">
        <f ca="1">IF($E87=0,OFFSET(ORÇAMENTO!O$15,$E86,0),IF($E87&lt;&gt;-1,OFFSET(QCI!$D$13,$E87,0),""))</f>
        <v>1.6.16.</v>
      </c>
      <c r="I86" s="210" t="str">
        <f ca="1">IF($E87=0,OFFSET(ORÇAMENTO!R$15,$E86,0),IF($E87&lt;&gt;-1,OFFSET(QCI!$G$13,$E87,0),""))</f>
        <v>INSTALAÇÕES HIDROSSANITÁRIAS</v>
      </c>
      <c r="J86" s="210"/>
      <c r="K86" s="210"/>
      <c r="L86" s="211">
        <f ca="1">IF($E87=0,OFFSET(ORÇAMENTO!C$15,$E86,0),1)</f>
        <v>3</v>
      </c>
      <c r="M86" s="212">
        <f t="shared" ref="M86" ca="1" si="167">IF($E87=-1,0,IF(M$13&lt;=$L86,IF(ISERROR(MATCH(M$13,OFFSET($L86,1,0,ROW($L$116)-ROW($L86)-1),0)),ROW($L$116)-ROW($L86)-1,MATCH(M$13,OFFSET($L86,1,0,ROW($L$116)-ROW($L86)-1),0)-1),0))</f>
        <v>29</v>
      </c>
      <c r="N86" s="212">
        <f t="shared" ref="N86" ca="1" si="168">IF($E87=-1,0,IF(N$13&lt;=$L86,IF(ISERROR(MATCH(N$13,OFFSET($L86,1,0,ROW($L$116)-ROW($L86)-1),0)),ROW($L$116)-ROW($L86)-1,MATCH(N$13,OFFSET($L86,1,0,ROW($L$116)-ROW($L86)-1),0)-1),0))</f>
        <v>8</v>
      </c>
      <c r="O86" s="212">
        <f t="shared" ref="O86" ca="1" si="169">IF($E87=-1,0,IF(O$13&lt;=$L86,IF(ISERROR(MATCH(O$13,OFFSET($L86,1,0,ROW($L$116)-ROW($L86)-1),0)),ROW($L$116)-ROW($L86)-1,MATCH(O$13,OFFSET($L86,1,0,ROW($L$116)-ROW($L86)-1),0)-1),0))</f>
        <v>2</v>
      </c>
      <c r="P86" s="212">
        <f t="shared" ref="P86" ca="1" si="170">IF($E87=-1,0,IF(P$13&lt;=$L86,IF(ISERROR(MATCH(P$13,OFFSET($L86,1,0,ROW($L$116)-ROW($L86)-1),0)),ROW($L$116)-ROW($L86)-1,MATCH(P$13,OFFSET($L86,1,0,ROW($L$116)-ROW($L86)-1),0)-1),0))</f>
        <v>0</v>
      </c>
      <c r="Q86" s="212">
        <f t="shared" ref="Q86" ca="1" si="171">MIN(OFFSET(L86,0,1,,L86))</f>
        <v>2</v>
      </c>
      <c r="R86" s="213">
        <f ca="1">IF($E87=0,OFFSET(ORÇAMENTO!X$15,$E86,0),IF($E87&lt;&gt;-1,OFFSET(QCI!$O$13,$E87,0),""))</f>
        <v>8582.39</v>
      </c>
      <c r="S86" s="214" t="s">
        <v>270</v>
      </c>
      <c r="T86" s="215">
        <f t="shared" ref="T86:AE86" ca="1" si="172">IF(AND($Q86=2,ACOMPANHAMENTO="BM"),T87,T88/$R86)</f>
        <v>0</v>
      </c>
      <c r="U86" s="207">
        <f t="shared" ca="1" si="172"/>
        <v>0</v>
      </c>
      <c r="V86" s="207">
        <f t="shared" ca="1" si="172"/>
        <v>0</v>
      </c>
      <c r="W86" s="207">
        <f t="shared" ca="1" si="172"/>
        <v>0</v>
      </c>
      <c r="X86" s="207">
        <f t="shared" ca="1" si="172"/>
        <v>1</v>
      </c>
      <c r="Y86" s="207">
        <f t="shared" ca="1" si="172"/>
        <v>0</v>
      </c>
      <c r="Z86" s="207">
        <f t="shared" ca="1" si="172"/>
        <v>0</v>
      </c>
      <c r="AA86" s="207">
        <f t="shared" ca="1" si="172"/>
        <v>0</v>
      </c>
      <c r="AB86" s="207">
        <f t="shared" ca="1" si="172"/>
        <v>0</v>
      </c>
      <c r="AC86" s="207">
        <f t="shared" ca="1" si="172"/>
        <v>0</v>
      </c>
      <c r="AD86" s="207">
        <f t="shared" ca="1" si="172"/>
        <v>0</v>
      </c>
      <c r="AE86" s="216">
        <f t="shared" ca="1" si="172"/>
        <v>0</v>
      </c>
    </row>
    <row r="87" spans="1:32" ht="12.75" customHeight="1" x14ac:dyDescent="0.2">
      <c r="D87" s="569"/>
      <c r="E87" s="204">
        <f ca="1">IF(ISERROR(E86),IF(1+COUNTIF($L$13:OFFSET(L86,-1,0),1)&lt;=MAX(QCI!$D$13:$D$24),1+COUNTIF($L$13:OFFSET(L86,-1,0),1),-1),0)</f>
        <v>0</v>
      </c>
      <c r="F87" s="204" t="str">
        <f t="shared" ref="F87" ca="1" si="173">IF(AND($E87&lt;&gt;-1,$R86&gt;0),"F","")</f>
        <v>F</v>
      </c>
      <c r="G87" s="217" t="str">
        <f ca="1">IF(OR(R86=0,R86=""),"vazia",IF(AND(OR(ACOMPANHAMENTO="PLE",$Q86&lt;&gt;2),$E87=0),"calculada","--&gt;"))</f>
        <v>--&gt;</v>
      </c>
      <c r="H87" s="218"/>
      <c r="I87" s="219" t="str">
        <f t="shared" ref="I87" ca="1" si="174">IF(AND(G86&lt;&gt;0,ISNUMBER(G86)),"PREENCHA ESTA LINHA --&gt;","")</f>
        <v/>
      </c>
      <c r="J87" s="219"/>
      <c r="K87" s="219"/>
      <c r="L87" s="220"/>
      <c r="M87" s="220"/>
      <c r="N87" s="220"/>
      <c r="O87" s="220"/>
      <c r="P87" s="220"/>
      <c r="Q87" s="220"/>
      <c r="R87" s="221"/>
      <c r="S87" s="222"/>
      <c r="T87" s="570"/>
      <c r="U87" s="569"/>
      <c r="V87" s="569"/>
      <c r="W87" s="569"/>
      <c r="X87" s="569">
        <v>1</v>
      </c>
      <c r="Y87" s="569"/>
      <c r="Z87" s="569"/>
      <c r="AA87" s="569"/>
      <c r="AB87" s="569"/>
      <c r="AC87" s="569"/>
      <c r="AD87" s="569"/>
      <c r="AE87" s="571"/>
      <c r="AF87" s="533"/>
    </row>
    <row r="88" spans="1:32" ht="0.2" hidden="1" customHeight="1" x14ac:dyDescent="0.2">
      <c r="D88" s="223">
        <f ca="1">IF($Q86=2,IF(AND(ACOMPANHAMENTO="PLE",ISNUMBER($E86)),SUMIF((OFFSET(CÁLCULO!$AM$15:$AW$15,$E86,0,OFFSET(ORÇAMENTO!$D$15,CRONO!$E86,0))),"="&amp;CRONO!D$12,OFFSET(CÁLCULO!$AB$15:$AL$15,$E86,0,OFFSET(ORÇAMENTO!$D$15,CRONO!$E86,0)))+IF(AND($E88&lt;&gt;"",$E88&lt;&gt;0),SUMIF(CÁLCULO!$AM$15:$AW$290,"="&amp;CRONO!D$12,CÁLCULO!$AB$15:$AL$290)/(ORÇAMENTO!$X$15-CÁLCULO.TotalAdmLocal)*CRONO!$E88,0),D87*$R86),SUMIF(OFFSET($R88,1,0,$Q86-2),($L86+1)&amp;"$",OFFSET(D88,1,0,$Q86-2)))</f>
        <v>0</v>
      </c>
      <c r="E88" s="204" t="str">
        <f ca="1">IF(OR($Q86&lt;&gt;2,AUTOEVENTO&lt;&gt;"manual",$E87&gt;0),"",SUMIF(OFFSET(CÁLCULO!$M$15,CRONO!$E86,0,OFFSET(ORÇAMENTO!$D$15,CRONO!$E86,0)),1,OFFSET(ORÇAMENTO!$X$15,CRONO!$E86,0,OFFSET(ORÇAMENTO!$D$15,CRONO!$E86,0))))</f>
        <v/>
      </c>
      <c r="G88" s="224"/>
      <c r="R88" s="225" t="str">
        <f t="shared" ref="R88" ca="1" si="175">L86&amp;"$"</f>
        <v>3$</v>
      </c>
      <c r="S88" s="226"/>
      <c r="T88" s="227">
        <f ca="1">IF($Q86=2,IF(AND(ACOMPANHAMENTO="PLE",ISNUMBER($E86)),SUMIF((OFFSET(CÁLCULO!$AM$15:$AW$15,$E86,0,OFFSET(ORÇAMENTO!$D$15,CRONO!$E86,0))),"&lt;="&amp;CRONO!T$12,OFFSET(CÁLCULO!$AB$15:$AL$15,$E86,0,OFFSET(ORÇAMENTO!$D$15,CRONO!$E86,0)))+IF(AND($E88&lt;&gt;"",$E88&lt;&gt;0),SUMIF(CÁLCULO!$AM$15:$AW$290,"&lt;="&amp;CRONO!T$12,CÁLCULO!$AB$15:$AL$290)/(ORÇAMENTO!$X$15-CÁLCULO.TotalAdmLocal)*CRONO!$E88,0),T87*$R86),SUMIF(OFFSET($R88,1,0,$Q86-2),($L86+1)&amp;"$",OFFSET(T88,1,0,$Q86-2)))</f>
        <v>0</v>
      </c>
      <c r="U88" s="223">
        <f ca="1">IF($Q86=2,IF(AND(ACOMPANHAMENTO="PLE",ISNUMBER($E86)),SUMIF((OFFSET(CÁLCULO!$AM$15:$AW$15,$E86,0,OFFSET(ORÇAMENTO!$D$15,CRONO!$E86,0))),"="&amp;CRONO!U$12,OFFSET(CÁLCULO!$AB$15:$AL$15,$E86,0,OFFSET(ORÇAMENTO!$D$15,CRONO!$E86,0)))+IF(AND($E88&lt;&gt;"",$E88&lt;&gt;0),SUMIF(CÁLCULO!$AM$15:$AW$290,"="&amp;CRONO!U$12,CÁLCULO!$AB$15:$AL$290)/(ORÇAMENTO!$X$15-CÁLCULO.TotalAdmLocal)*CRONO!$E88,0),U87*$R86),SUMIF(OFFSET($R88,1,0,$Q86-2),($L86+1)&amp;"$",OFFSET(U88,1,0,$Q86-2)))</f>
        <v>0</v>
      </c>
      <c r="V88" s="223">
        <f ca="1">IF($Q86=2,IF(AND(ACOMPANHAMENTO="PLE",ISNUMBER($E86)),SUMIF((OFFSET(CÁLCULO!$AM$15:$AW$15,$E86,0,OFFSET(ORÇAMENTO!$D$15,CRONO!$E86,0))),"="&amp;CRONO!V$12,OFFSET(CÁLCULO!$AB$15:$AL$15,$E86,0,OFFSET(ORÇAMENTO!$D$15,CRONO!$E86,0)))+IF(AND($E88&lt;&gt;"",$E88&lt;&gt;0),SUMIF(CÁLCULO!$AM$15:$AW$290,"="&amp;CRONO!V$12,CÁLCULO!$AB$15:$AL$290)/(ORÇAMENTO!$X$15-CÁLCULO.TotalAdmLocal)*CRONO!$E88,0),V87*$R86),SUMIF(OFFSET($R88,1,0,$Q86-2),($L86+1)&amp;"$",OFFSET(V88,1,0,$Q86-2)))</f>
        <v>0</v>
      </c>
      <c r="W88" s="223">
        <f ca="1">IF($Q86=2,IF(AND(ACOMPANHAMENTO="PLE",ISNUMBER($E86)),SUMIF((OFFSET(CÁLCULO!$AM$15:$AW$15,$E86,0,OFFSET(ORÇAMENTO!$D$15,CRONO!$E86,0))),"="&amp;CRONO!W$12,OFFSET(CÁLCULO!$AB$15:$AL$15,$E86,0,OFFSET(ORÇAMENTO!$D$15,CRONO!$E86,0)))+IF(AND($E88&lt;&gt;"",$E88&lt;&gt;0),SUMIF(CÁLCULO!$AM$15:$AW$290,"="&amp;CRONO!W$12,CÁLCULO!$AB$15:$AL$290)/(ORÇAMENTO!$X$15-CÁLCULO.TotalAdmLocal)*CRONO!$E88,0),W87*$R86),SUMIF(OFFSET($R88,1,0,$Q86-2),($L86+1)&amp;"$",OFFSET(W88,1,0,$Q86-2)))</f>
        <v>0</v>
      </c>
      <c r="X88" s="223">
        <f ca="1">IF($Q86=2,IF(AND(ACOMPANHAMENTO="PLE",ISNUMBER($E86)),SUMIF((OFFSET(CÁLCULO!$AM$15:$AW$15,$E86,0,OFFSET(ORÇAMENTO!$D$15,CRONO!$E86,0))),"="&amp;CRONO!X$12,OFFSET(CÁLCULO!$AB$15:$AL$15,$E86,0,OFFSET(ORÇAMENTO!$D$15,CRONO!$E86,0)))+IF(AND($E88&lt;&gt;"",$E88&lt;&gt;0),SUMIF(CÁLCULO!$AM$15:$AW$290,"="&amp;CRONO!X$12,CÁLCULO!$AB$15:$AL$290)/(ORÇAMENTO!$X$15-CÁLCULO.TotalAdmLocal)*CRONO!$E88,0),X87*$R86),SUMIF(OFFSET($R88,1,0,$Q86-2),($L86+1)&amp;"$",OFFSET(X88,1,0,$Q86-2)))</f>
        <v>8582.39</v>
      </c>
      <c r="Y88" s="223">
        <f ca="1">IF($Q86=2,IF(AND(ACOMPANHAMENTO="PLE",ISNUMBER($E86)),SUMIF((OFFSET(CÁLCULO!$AM$15:$AW$15,$E86,0,OFFSET(ORÇAMENTO!$D$15,CRONO!$E86,0))),"="&amp;CRONO!Y$12,OFFSET(CÁLCULO!$AB$15:$AL$15,$E86,0,OFFSET(ORÇAMENTO!$D$15,CRONO!$E86,0)))+IF(AND($E88&lt;&gt;"",$E88&lt;&gt;0),SUMIF(CÁLCULO!$AM$15:$AW$290,"="&amp;CRONO!Y$12,CÁLCULO!$AB$15:$AL$290)/(ORÇAMENTO!$X$15-CÁLCULO.TotalAdmLocal)*CRONO!$E88,0),Y87*$R86),SUMIF(OFFSET($R88,1,0,$Q86-2),($L86+1)&amp;"$",OFFSET(Y88,1,0,$Q86-2)))</f>
        <v>0</v>
      </c>
      <c r="Z88" s="223">
        <f ca="1">IF($Q86=2,IF(AND(ACOMPANHAMENTO="PLE",ISNUMBER($E86)),SUMIF((OFFSET(CÁLCULO!$AM$15:$AW$15,$E86,0,OFFSET(ORÇAMENTO!$D$15,CRONO!$E86,0))),"="&amp;CRONO!Z$12,OFFSET(CÁLCULO!$AB$15:$AL$15,$E86,0,OFFSET(ORÇAMENTO!$D$15,CRONO!$E86,0)))+IF(AND($E88&lt;&gt;"",$E88&lt;&gt;0),SUMIF(CÁLCULO!$AM$15:$AW$290,"="&amp;CRONO!Z$12,CÁLCULO!$AB$15:$AL$290)/(ORÇAMENTO!$X$15-CÁLCULO.TotalAdmLocal)*CRONO!$E88,0),Z87*$R86),SUMIF(OFFSET($R88,1,0,$Q86-2),($L86+1)&amp;"$",OFFSET(Z88,1,0,$Q86-2)))</f>
        <v>0</v>
      </c>
      <c r="AA88" s="223">
        <f ca="1">IF($Q86=2,IF(AND(ACOMPANHAMENTO="PLE",ISNUMBER($E86)),SUMIF((OFFSET(CÁLCULO!$AM$15:$AW$15,$E86,0,OFFSET(ORÇAMENTO!$D$15,CRONO!$E86,0))),"="&amp;CRONO!AA$12,OFFSET(CÁLCULO!$AB$15:$AL$15,$E86,0,OFFSET(ORÇAMENTO!$D$15,CRONO!$E86,0)))+IF(AND($E88&lt;&gt;"",$E88&lt;&gt;0),SUMIF(CÁLCULO!$AM$15:$AW$290,"="&amp;CRONO!AA$12,CÁLCULO!$AB$15:$AL$290)/(ORÇAMENTO!$X$15-CÁLCULO.TotalAdmLocal)*CRONO!$E88,0),AA87*$R86),SUMIF(OFFSET($R88,1,0,$Q86-2),($L86+1)&amp;"$",OFFSET(AA88,1,0,$Q86-2)))</f>
        <v>0</v>
      </c>
      <c r="AB88" s="223">
        <f ca="1">IF($Q86=2,IF(AND(ACOMPANHAMENTO="PLE",ISNUMBER($E86)),SUMIF((OFFSET(CÁLCULO!$AM$15:$AW$15,$E86,0,OFFSET(ORÇAMENTO!$D$15,CRONO!$E86,0))),"="&amp;CRONO!AB$12,OFFSET(CÁLCULO!$AB$15:$AL$15,$E86,0,OFFSET(ORÇAMENTO!$D$15,CRONO!$E86,0)))+IF(AND($E88&lt;&gt;"",$E88&lt;&gt;0),SUMIF(CÁLCULO!$AM$15:$AW$290,"="&amp;CRONO!AB$12,CÁLCULO!$AB$15:$AL$290)/(ORÇAMENTO!$X$15-CÁLCULO.TotalAdmLocal)*CRONO!$E88,0),AB87*$R86),SUMIF(OFFSET($R88,1,0,$Q86-2),($L86+1)&amp;"$",OFFSET(AB88,1,0,$Q86-2)))</f>
        <v>0</v>
      </c>
      <c r="AC88" s="223">
        <f ca="1">IF($Q86=2,IF(AND(ACOMPANHAMENTO="PLE",ISNUMBER($E86)),SUMIF((OFFSET(CÁLCULO!$AM$15:$AW$15,$E86,0,OFFSET(ORÇAMENTO!$D$15,CRONO!$E86,0))),"="&amp;CRONO!AC$12,OFFSET(CÁLCULO!$AB$15:$AL$15,$E86,0,OFFSET(ORÇAMENTO!$D$15,CRONO!$E86,0)))+IF(AND($E88&lt;&gt;"",$E88&lt;&gt;0),SUMIF(CÁLCULO!$AM$15:$AW$290,"="&amp;CRONO!AC$12,CÁLCULO!$AB$15:$AL$290)/(ORÇAMENTO!$X$15-CÁLCULO.TotalAdmLocal)*CRONO!$E88,0),AC87*$R86),SUMIF(OFFSET($R88,1,0,$Q86-2),($L86+1)&amp;"$",OFFSET(AC88,1,0,$Q86-2)))</f>
        <v>0</v>
      </c>
      <c r="AD88" s="223">
        <f ca="1">IF($Q86=2,IF(AND(ACOMPANHAMENTO="PLE",ISNUMBER($E86)),SUMIF((OFFSET(CÁLCULO!$AM$15:$AW$15,$E86,0,OFFSET(ORÇAMENTO!$D$15,CRONO!$E86,0))),"="&amp;CRONO!AD$12,OFFSET(CÁLCULO!$AB$15:$AL$15,$E86,0,OFFSET(ORÇAMENTO!$D$15,CRONO!$E86,0)))+IF(AND($E88&lt;&gt;"",$E88&lt;&gt;0),SUMIF(CÁLCULO!$AM$15:$AW$290,"="&amp;CRONO!AD$12,CÁLCULO!$AB$15:$AL$290)/(ORÇAMENTO!$X$15-CÁLCULO.TotalAdmLocal)*CRONO!$E88,0),AD87*$R86),SUMIF(OFFSET($R88,1,0,$Q86-2),($L86+1)&amp;"$",OFFSET(AD88,1,0,$Q86-2)))</f>
        <v>0</v>
      </c>
      <c r="AE88" s="228">
        <f ca="1">IF($Q86=2,IF(AND(ACOMPANHAMENTO="PLE",ISNUMBER($E86)),SUMIF((OFFSET(CÁLCULO!$AM$15:$AW$15,$E86,0,OFFSET(ORÇAMENTO!$D$15,CRONO!$E86,0))),"="&amp;CRONO!AE$12,OFFSET(CÁLCULO!$AB$15:$AL$15,$E86,0,OFFSET(ORÇAMENTO!$D$15,CRONO!$E86,0)))+IF(AND($E88&lt;&gt;"",$E88&lt;&gt;0),SUMIF(CÁLCULO!$AM$15:$AW$290,"="&amp;CRONO!AE$12,CÁLCULO!$AB$15:$AL$290)/(ORÇAMENTO!$X$15-CÁLCULO.TotalAdmLocal)*CRONO!$E88,0),AE87*$R86),SUMIF(OFFSET($R88,1,0,$Q86-2),($L86+1)&amp;"$",OFFSET(AE88,1,0,$Q86-2)))</f>
        <v>0</v>
      </c>
    </row>
    <row r="89" spans="1:32" x14ac:dyDescent="0.2">
      <c r="A89" s="204">
        <f t="shared" ref="A89" ca="1" si="176">OFFSET(A89,-3,0)+1</f>
        <v>26</v>
      </c>
      <c r="B89" s="204">
        <f ca="1">IF($Q89&lt;&gt;2,0,IF($R89=0,1,IF(E90&gt;0,OFFSET(QCI!$M$13,SUBSTITUTE(E90,".",""),0),OFFSET(ORÇAMENTO!$AA$15,CRONO!$E89,0))/$R89))</f>
        <v>1</v>
      </c>
      <c r="C89" s="204">
        <f ca="1">IF($Q89&lt;&gt;2,0,IF($R89=0,1,IF(E90&gt;0,OFFSET(QCI!$N$13,SUBSTITUTE(E90,".",""),0),OFFSET(ORÇAMENTO!$AB$15,CRONO!$E89,0))/$R89))</f>
        <v>0</v>
      </c>
      <c r="D89" s="207">
        <f ca="1">IF(AND($Q89=2,ACOMPANHAMENTO="BM"),D90,D91/$R89)</f>
        <v>0</v>
      </c>
      <c r="E89" s="204">
        <f ca="1">IF(A89&lt;=ORÇAMENTO.MáximoListaCrono,MATCH(A89,ORÇAMENTO.ListaCrono,0),NA())</f>
        <v>162</v>
      </c>
      <c r="F89" s="204" t="str">
        <f t="shared" ref="F89" ca="1" si="177">IF(AND($E90&lt;&gt;-1,$R89&gt;0),"F","")</f>
        <v>F</v>
      </c>
      <c r="G89" s="208">
        <f ca="1">IF(OR(R89=0,R89=""),"Linha",IF(AND(OR(ACOMPANHAMENTO="PLE",$Q89&lt;&gt;2),$E90=0),"Linha",1-SUM(T89:AF89)))</f>
        <v>0</v>
      </c>
      <c r="H89" s="209" t="str">
        <f ca="1">IF($E90=0,OFFSET(ORÇAMENTO!O$15,$E89,0),IF($E90&lt;&gt;-1,OFFSET(QCI!$D$13,$E90,0),""))</f>
        <v>1.6.17.</v>
      </c>
      <c r="I89" s="210" t="str">
        <f ca="1">IF($E90=0,OFFSET(ORÇAMENTO!R$15,$E89,0),IF($E90&lt;&gt;-1,OFFSET(QCI!$G$13,$E90,0),""))</f>
        <v>INSTALAÇÕES ELÉTRICAS</v>
      </c>
      <c r="J89" s="210"/>
      <c r="K89" s="210"/>
      <c r="L89" s="211">
        <f ca="1">IF($E90=0,OFFSET(ORÇAMENTO!C$15,$E89,0),1)</f>
        <v>3</v>
      </c>
      <c r="M89" s="212">
        <f t="shared" ref="M89" ca="1" si="178">IF($E90=-1,0,IF(M$13&lt;=$L89,IF(ISERROR(MATCH(M$13,OFFSET($L89,1,0,ROW($L$116)-ROW($L89)-1),0)),ROW($L$116)-ROW($L89)-1,MATCH(M$13,OFFSET($L89,1,0,ROW($L$116)-ROW($L89)-1),0)-1),0))</f>
        <v>26</v>
      </c>
      <c r="N89" s="212">
        <f t="shared" ref="N89" ca="1" si="179">IF($E90=-1,0,IF(N$13&lt;=$L89,IF(ISERROR(MATCH(N$13,OFFSET($L89,1,0,ROW($L$116)-ROW($L89)-1),0)),ROW($L$116)-ROW($L89)-1,MATCH(N$13,OFFSET($L89,1,0,ROW($L$116)-ROW($L89)-1),0)-1),0))</f>
        <v>5</v>
      </c>
      <c r="O89" s="212">
        <f t="shared" ref="O89" ca="1" si="180">IF($E90=-1,0,IF(O$13&lt;=$L89,IF(ISERROR(MATCH(O$13,OFFSET($L89,1,0,ROW($L$116)-ROW($L89)-1),0)),ROW($L$116)-ROW($L89)-1,MATCH(O$13,OFFSET($L89,1,0,ROW($L$116)-ROW($L89)-1),0)-1),0))</f>
        <v>2</v>
      </c>
      <c r="P89" s="212">
        <f t="shared" ref="P89" ca="1" si="181">IF($E90=-1,0,IF(P$13&lt;=$L89,IF(ISERROR(MATCH(P$13,OFFSET($L89,1,0,ROW($L$116)-ROW($L89)-1),0)),ROW($L$116)-ROW($L89)-1,MATCH(P$13,OFFSET($L89,1,0,ROW($L$116)-ROW($L89)-1),0)-1),0))</f>
        <v>0</v>
      </c>
      <c r="Q89" s="212">
        <f t="shared" ref="Q89" ca="1" si="182">MIN(OFFSET(L89,0,1,,L89))</f>
        <v>2</v>
      </c>
      <c r="R89" s="213">
        <f ca="1">IF($E90=0,OFFSET(ORÇAMENTO!X$15,$E89,0),IF($E90&lt;&gt;-1,OFFSET(QCI!$O$13,$E90,0),""))</f>
        <v>2001.59</v>
      </c>
      <c r="S89" s="214" t="s">
        <v>270</v>
      </c>
      <c r="T89" s="215">
        <f t="shared" ref="T89:AE89" ca="1" si="183">IF(AND($Q89=2,ACOMPANHAMENTO="BM"),T90,T91/$R89)</f>
        <v>0</v>
      </c>
      <c r="U89" s="207">
        <f t="shared" ca="1" si="183"/>
        <v>0</v>
      </c>
      <c r="V89" s="207">
        <f t="shared" ca="1" si="183"/>
        <v>0</v>
      </c>
      <c r="W89" s="207">
        <f t="shared" ca="1" si="183"/>
        <v>0.5</v>
      </c>
      <c r="X89" s="207">
        <f t="shared" ca="1" si="183"/>
        <v>0.5</v>
      </c>
      <c r="Y89" s="207">
        <f t="shared" ca="1" si="183"/>
        <v>0</v>
      </c>
      <c r="Z89" s="207">
        <f t="shared" ca="1" si="183"/>
        <v>0</v>
      </c>
      <c r="AA89" s="207">
        <f t="shared" ca="1" si="183"/>
        <v>0</v>
      </c>
      <c r="AB89" s="207">
        <f t="shared" ca="1" si="183"/>
        <v>0</v>
      </c>
      <c r="AC89" s="207">
        <f t="shared" ca="1" si="183"/>
        <v>0</v>
      </c>
      <c r="AD89" s="207">
        <f t="shared" ca="1" si="183"/>
        <v>0</v>
      </c>
      <c r="AE89" s="216">
        <f t="shared" ca="1" si="183"/>
        <v>0</v>
      </c>
    </row>
    <row r="90" spans="1:32" ht="12.75" customHeight="1" x14ac:dyDescent="0.2">
      <c r="D90" s="569"/>
      <c r="E90" s="204">
        <f ca="1">IF(ISERROR(E89),IF(1+COUNTIF($L$13:OFFSET(L89,-1,0),1)&lt;=MAX(QCI!$D$13:$D$24),1+COUNTIF($L$13:OFFSET(L89,-1,0),1),-1),0)</f>
        <v>0</v>
      </c>
      <c r="F90" s="204" t="str">
        <f t="shared" ref="F90" ca="1" si="184">IF(AND($E90&lt;&gt;-1,$R89&gt;0),"F","")</f>
        <v>F</v>
      </c>
      <c r="G90" s="217" t="str">
        <f ca="1">IF(OR(R89=0,R89=""),"vazia",IF(AND(OR(ACOMPANHAMENTO="PLE",$Q89&lt;&gt;2),$E90=0),"calculada","--&gt;"))</f>
        <v>--&gt;</v>
      </c>
      <c r="H90" s="218"/>
      <c r="I90" s="219" t="str">
        <f t="shared" ref="I90" ca="1" si="185">IF(AND(G89&lt;&gt;0,ISNUMBER(G89)),"PREENCHA ESTA LINHA --&gt;","")</f>
        <v/>
      </c>
      <c r="J90" s="219"/>
      <c r="K90" s="219"/>
      <c r="L90" s="220"/>
      <c r="M90" s="220"/>
      <c r="N90" s="220"/>
      <c r="O90" s="220"/>
      <c r="P90" s="220"/>
      <c r="Q90" s="220"/>
      <c r="R90" s="221"/>
      <c r="S90" s="222"/>
      <c r="T90" s="570"/>
      <c r="U90" s="569"/>
      <c r="V90" s="569"/>
      <c r="W90" s="569">
        <v>0.5</v>
      </c>
      <c r="X90" s="569">
        <v>0.5</v>
      </c>
      <c r="Y90" s="569"/>
      <c r="Z90" s="569"/>
      <c r="AA90" s="569"/>
      <c r="AB90" s="569"/>
      <c r="AC90" s="569"/>
      <c r="AD90" s="569"/>
      <c r="AE90" s="571"/>
      <c r="AF90" s="533"/>
    </row>
    <row r="91" spans="1:32" ht="0.2" hidden="1" customHeight="1" x14ac:dyDescent="0.2">
      <c r="D91" s="223">
        <f ca="1">IF($Q89=2,IF(AND(ACOMPANHAMENTO="PLE",ISNUMBER($E89)),SUMIF((OFFSET(CÁLCULO!$AM$15:$AW$15,$E89,0,OFFSET(ORÇAMENTO!$D$15,CRONO!$E89,0))),"="&amp;CRONO!D$12,OFFSET(CÁLCULO!$AB$15:$AL$15,$E89,0,OFFSET(ORÇAMENTO!$D$15,CRONO!$E89,0)))+IF(AND($E91&lt;&gt;"",$E91&lt;&gt;0),SUMIF(CÁLCULO!$AM$15:$AW$290,"="&amp;CRONO!D$12,CÁLCULO!$AB$15:$AL$290)/(ORÇAMENTO!$X$15-CÁLCULO.TotalAdmLocal)*CRONO!$E91,0),D90*$R89),SUMIF(OFFSET($R91,1,0,$Q89-2),($L89+1)&amp;"$",OFFSET(D91,1,0,$Q89-2)))</f>
        <v>0</v>
      </c>
      <c r="E91" s="204" t="str">
        <f ca="1">IF(OR($Q89&lt;&gt;2,AUTOEVENTO&lt;&gt;"manual",$E90&gt;0),"",SUMIF(OFFSET(CÁLCULO!$M$15,CRONO!$E89,0,OFFSET(ORÇAMENTO!$D$15,CRONO!$E89,0)),1,OFFSET(ORÇAMENTO!$X$15,CRONO!$E89,0,OFFSET(ORÇAMENTO!$D$15,CRONO!$E89,0))))</f>
        <v/>
      </c>
      <c r="G91" s="224"/>
      <c r="R91" s="225" t="str">
        <f t="shared" ref="R91" ca="1" si="186">L89&amp;"$"</f>
        <v>3$</v>
      </c>
      <c r="S91" s="226"/>
      <c r="T91" s="227">
        <f ca="1">IF($Q89=2,IF(AND(ACOMPANHAMENTO="PLE",ISNUMBER($E89)),SUMIF((OFFSET(CÁLCULO!$AM$15:$AW$15,$E89,0,OFFSET(ORÇAMENTO!$D$15,CRONO!$E89,0))),"&lt;="&amp;CRONO!T$12,OFFSET(CÁLCULO!$AB$15:$AL$15,$E89,0,OFFSET(ORÇAMENTO!$D$15,CRONO!$E89,0)))+IF(AND($E91&lt;&gt;"",$E91&lt;&gt;0),SUMIF(CÁLCULO!$AM$15:$AW$290,"&lt;="&amp;CRONO!T$12,CÁLCULO!$AB$15:$AL$290)/(ORÇAMENTO!$X$15-CÁLCULO.TotalAdmLocal)*CRONO!$E91,0),T90*$R89),SUMIF(OFFSET($R91,1,0,$Q89-2),($L89+1)&amp;"$",OFFSET(T91,1,0,$Q89-2)))</f>
        <v>0</v>
      </c>
      <c r="U91" s="223">
        <f ca="1">IF($Q89=2,IF(AND(ACOMPANHAMENTO="PLE",ISNUMBER($E89)),SUMIF((OFFSET(CÁLCULO!$AM$15:$AW$15,$E89,0,OFFSET(ORÇAMENTO!$D$15,CRONO!$E89,0))),"="&amp;CRONO!U$12,OFFSET(CÁLCULO!$AB$15:$AL$15,$E89,0,OFFSET(ORÇAMENTO!$D$15,CRONO!$E89,0)))+IF(AND($E91&lt;&gt;"",$E91&lt;&gt;0),SUMIF(CÁLCULO!$AM$15:$AW$290,"="&amp;CRONO!U$12,CÁLCULO!$AB$15:$AL$290)/(ORÇAMENTO!$X$15-CÁLCULO.TotalAdmLocal)*CRONO!$E91,0),U90*$R89),SUMIF(OFFSET($R91,1,0,$Q89-2),($L89+1)&amp;"$",OFFSET(U91,1,0,$Q89-2)))</f>
        <v>0</v>
      </c>
      <c r="V91" s="223">
        <f ca="1">IF($Q89=2,IF(AND(ACOMPANHAMENTO="PLE",ISNUMBER($E89)),SUMIF((OFFSET(CÁLCULO!$AM$15:$AW$15,$E89,0,OFFSET(ORÇAMENTO!$D$15,CRONO!$E89,0))),"="&amp;CRONO!V$12,OFFSET(CÁLCULO!$AB$15:$AL$15,$E89,0,OFFSET(ORÇAMENTO!$D$15,CRONO!$E89,0)))+IF(AND($E91&lt;&gt;"",$E91&lt;&gt;0),SUMIF(CÁLCULO!$AM$15:$AW$290,"="&amp;CRONO!V$12,CÁLCULO!$AB$15:$AL$290)/(ORÇAMENTO!$X$15-CÁLCULO.TotalAdmLocal)*CRONO!$E91,0),V90*$R89),SUMIF(OFFSET($R91,1,0,$Q89-2),($L89+1)&amp;"$",OFFSET(V91,1,0,$Q89-2)))</f>
        <v>0</v>
      </c>
      <c r="W91" s="223">
        <f ca="1">IF($Q89=2,IF(AND(ACOMPANHAMENTO="PLE",ISNUMBER($E89)),SUMIF((OFFSET(CÁLCULO!$AM$15:$AW$15,$E89,0,OFFSET(ORÇAMENTO!$D$15,CRONO!$E89,0))),"="&amp;CRONO!W$12,OFFSET(CÁLCULO!$AB$15:$AL$15,$E89,0,OFFSET(ORÇAMENTO!$D$15,CRONO!$E89,0)))+IF(AND($E91&lt;&gt;"",$E91&lt;&gt;0),SUMIF(CÁLCULO!$AM$15:$AW$290,"="&amp;CRONO!W$12,CÁLCULO!$AB$15:$AL$290)/(ORÇAMENTO!$X$15-CÁLCULO.TotalAdmLocal)*CRONO!$E91,0),W90*$R89),SUMIF(OFFSET($R91,1,0,$Q89-2),($L89+1)&amp;"$",OFFSET(W91,1,0,$Q89-2)))</f>
        <v>1000.795</v>
      </c>
      <c r="X91" s="223">
        <f ca="1">IF($Q89=2,IF(AND(ACOMPANHAMENTO="PLE",ISNUMBER($E89)),SUMIF((OFFSET(CÁLCULO!$AM$15:$AW$15,$E89,0,OFFSET(ORÇAMENTO!$D$15,CRONO!$E89,0))),"="&amp;CRONO!X$12,OFFSET(CÁLCULO!$AB$15:$AL$15,$E89,0,OFFSET(ORÇAMENTO!$D$15,CRONO!$E89,0)))+IF(AND($E91&lt;&gt;"",$E91&lt;&gt;0),SUMIF(CÁLCULO!$AM$15:$AW$290,"="&amp;CRONO!X$12,CÁLCULO!$AB$15:$AL$290)/(ORÇAMENTO!$X$15-CÁLCULO.TotalAdmLocal)*CRONO!$E91,0),X90*$R89),SUMIF(OFFSET($R91,1,0,$Q89-2),($L89+1)&amp;"$",OFFSET(X91,1,0,$Q89-2)))</f>
        <v>1000.795</v>
      </c>
      <c r="Y91" s="223">
        <f ca="1">IF($Q89=2,IF(AND(ACOMPANHAMENTO="PLE",ISNUMBER($E89)),SUMIF((OFFSET(CÁLCULO!$AM$15:$AW$15,$E89,0,OFFSET(ORÇAMENTO!$D$15,CRONO!$E89,0))),"="&amp;CRONO!Y$12,OFFSET(CÁLCULO!$AB$15:$AL$15,$E89,0,OFFSET(ORÇAMENTO!$D$15,CRONO!$E89,0)))+IF(AND($E91&lt;&gt;"",$E91&lt;&gt;0),SUMIF(CÁLCULO!$AM$15:$AW$290,"="&amp;CRONO!Y$12,CÁLCULO!$AB$15:$AL$290)/(ORÇAMENTO!$X$15-CÁLCULO.TotalAdmLocal)*CRONO!$E91,0),Y90*$R89),SUMIF(OFFSET($R91,1,0,$Q89-2),($L89+1)&amp;"$",OFFSET(Y91,1,0,$Q89-2)))</f>
        <v>0</v>
      </c>
      <c r="Z91" s="223">
        <f ca="1">IF($Q89=2,IF(AND(ACOMPANHAMENTO="PLE",ISNUMBER($E89)),SUMIF((OFFSET(CÁLCULO!$AM$15:$AW$15,$E89,0,OFFSET(ORÇAMENTO!$D$15,CRONO!$E89,0))),"="&amp;CRONO!Z$12,OFFSET(CÁLCULO!$AB$15:$AL$15,$E89,0,OFFSET(ORÇAMENTO!$D$15,CRONO!$E89,0)))+IF(AND($E91&lt;&gt;"",$E91&lt;&gt;0),SUMIF(CÁLCULO!$AM$15:$AW$290,"="&amp;CRONO!Z$12,CÁLCULO!$AB$15:$AL$290)/(ORÇAMENTO!$X$15-CÁLCULO.TotalAdmLocal)*CRONO!$E91,0),Z90*$R89),SUMIF(OFFSET($R91,1,0,$Q89-2),($L89+1)&amp;"$",OFFSET(Z91,1,0,$Q89-2)))</f>
        <v>0</v>
      </c>
      <c r="AA91" s="223">
        <f ca="1">IF($Q89=2,IF(AND(ACOMPANHAMENTO="PLE",ISNUMBER($E89)),SUMIF((OFFSET(CÁLCULO!$AM$15:$AW$15,$E89,0,OFFSET(ORÇAMENTO!$D$15,CRONO!$E89,0))),"="&amp;CRONO!AA$12,OFFSET(CÁLCULO!$AB$15:$AL$15,$E89,0,OFFSET(ORÇAMENTO!$D$15,CRONO!$E89,0)))+IF(AND($E91&lt;&gt;"",$E91&lt;&gt;0),SUMIF(CÁLCULO!$AM$15:$AW$290,"="&amp;CRONO!AA$12,CÁLCULO!$AB$15:$AL$290)/(ORÇAMENTO!$X$15-CÁLCULO.TotalAdmLocal)*CRONO!$E91,0),AA90*$R89),SUMIF(OFFSET($R91,1,0,$Q89-2),($L89+1)&amp;"$",OFFSET(AA91,1,0,$Q89-2)))</f>
        <v>0</v>
      </c>
      <c r="AB91" s="223">
        <f ca="1">IF($Q89=2,IF(AND(ACOMPANHAMENTO="PLE",ISNUMBER($E89)),SUMIF((OFFSET(CÁLCULO!$AM$15:$AW$15,$E89,0,OFFSET(ORÇAMENTO!$D$15,CRONO!$E89,0))),"="&amp;CRONO!AB$12,OFFSET(CÁLCULO!$AB$15:$AL$15,$E89,0,OFFSET(ORÇAMENTO!$D$15,CRONO!$E89,0)))+IF(AND($E91&lt;&gt;"",$E91&lt;&gt;0),SUMIF(CÁLCULO!$AM$15:$AW$290,"="&amp;CRONO!AB$12,CÁLCULO!$AB$15:$AL$290)/(ORÇAMENTO!$X$15-CÁLCULO.TotalAdmLocal)*CRONO!$E91,0),AB90*$R89),SUMIF(OFFSET($R91,1,0,$Q89-2),($L89+1)&amp;"$",OFFSET(AB91,1,0,$Q89-2)))</f>
        <v>0</v>
      </c>
      <c r="AC91" s="223">
        <f ca="1">IF($Q89=2,IF(AND(ACOMPANHAMENTO="PLE",ISNUMBER($E89)),SUMIF((OFFSET(CÁLCULO!$AM$15:$AW$15,$E89,0,OFFSET(ORÇAMENTO!$D$15,CRONO!$E89,0))),"="&amp;CRONO!AC$12,OFFSET(CÁLCULO!$AB$15:$AL$15,$E89,0,OFFSET(ORÇAMENTO!$D$15,CRONO!$E89,0)))+IF(AND($E91&lt;&gt;"",$E91&lt;&gt;0),SUMIF(CÁLCULO!$AM$15:$AW$290,"="&amp;CRONO!AC$12,CÁLCULO!$AB$15:$AL$290)/(ORÇAMENTO!$X$15-CÁLCULO.TotalAdmLocal)*CRONO!$E91,0),AC90*$R89),SUMIF(OFFSET($R91,1,0,$Q89-2),($L89+1)&amp;"$",OFFSET(AC91,1,0,$Q89-2)))</f>
        <v>0</v>
      </c>
      <c r="AD91" s="223">
        <f ca="1">IF($Q89=2,IF(AND(ACOMPANHAMENTO="PLE",ISNUMBER($E89)),SUMIF((OFFSET(CÁLCULO!$AM$15:$AW$15,$E89,0,OFFSET(ORÇAMENTO!$D$15,CRONO!$E89,0))),"="&amp;CRONO!AD$12,OFFSET(CÁLCULO!$AB$15:$AL$15,$E89,0,OFFSET(ORÇAMENTO!$D$15,CRONO!$E89,0)))+IF(AND($E91&lt;&gt;"",$E91&lt;&gt;0),SUMIF(CÁLCULO!$AM$15:$AW$290,"="&amp;CRONO!AD$12,CÁLCULO!$AB$15:$AL$290)/(ORÇAMENTO!$X$15-CÁLCULO.TotalAdmLocal)*CRONO!$E91,0),AD90*$R89),SUMIF(OFFSET($R91,1,0,$Q89-2),($L89+1)&amp;"$",OFFSET(AD91,1,0,$Q89-2)))</f>
        <v>0</v>
      </c>
      <c r="AE91" s="228">
        <f ca="1">IF($Q89=2,IF(AND(ACOMPANHAMENTO="PLE",ISNUMBER($E89)),SUMIF((OFFSET(CÁLCULO!$AM$15:$AW$15,$E89,0,OFFSET(ORÇAMENTO!$D$15,CRONO!$E89,0))),"="&amp;CRONO!AE$12,OFFSET(CÁLCULO!$AB$15:$AL$15,$E89,0,OFFSET(ORÇAMENTO!$D$15,CRONO!$E89,0)))+IF(AND($E91&lt;&gt;"",$E91&lt;&gt;0),SUMIF(CÁLCULO!$AM$15:$AW$290,"="&amp;CRONO!AE$12,CÁLCULO!$AB$15:$AL$290)/(ORÇAMENTO!$X$15-CÁLCULO.TotalAdmLocal)*CRONO!$E91,0),AE90*$R89),SUMIF(OFFSET($R91,1,0,$Q89-2),($L89+1)&amp;"$",OFFSET(AE91,1,0,$Q89-2)))</f>
        <v>0</v>
      </c>
    </row>
    <row r="92" spans="1:32" x14ac:dyDescent="0.2">
      <c r="A92" s="204">
        <f t="shared" ref="A92" ca="1" si="187">OFFSET(A92,-3,0)+1</f>
        <v>27</v>
      </c>
      <c r="B92" s="204">
        <f ca="1">IF($Q92&lt;&gt;2,0,IF($R92=0,1,IF(E93&gt;0,OFFSET(QCI!$M$13,SUBSTITUTE(E93,".",""),0),OFFSET(ORÇAMENTO!$AA$15,CRONO!$E92,0))/$R92))</f>
        <v>1</v>
      </c>
      <c r="C92" s="204">
        <f ca="1">IF($Q92&lt;&gt;2,0,IF($R92=0,1,IF(E93&gt;0,OFFSET(QCI!$N$13,SUBSTITUTE(E93,".",""),0),OFFSET(ORÇAMENTO!$AB$15,CRONO!$E92,0))/$R92))</f>
        <v>0</v>
      </c>
      <c r="D92" s="207">
        <f ca="1">IF(AND($Q92=2,ACOMPANHAMENTO="BM"),D93,D94/$R92)</f>
        <v>0</v>
      </c>
      <c r="E92" s="204">
        <f ca="1">IF(A92&lt;=ORÇAMENTO.MáximoListaCrono,MATCH(A92,ORÇAMENTO.ListaCrono,0),NA())</f>
        <v>173</v>
      </c>
      <c r="F92" s="204" t="str">
        <f t="shared" ref="F92" ca="1" si="188">IF(AND($E93&lt;&gt;-1,$R92&gt;0),"F","")</f>
        <v>F</v>
      </c>
      <c r="G92" s="208">
        <f ca="1">IF(OR(R92=0,R92=""),"Linha",IF(AND(OR(ACOMPANHAMENTO="PLE",$Q92&lt;&gt;2),$E93=0),"Linha",1-SUM(T92:AF92)))</f>
        <v>0</v>
      </c>
      <c r="H92" s="209" t="str">
        <f ca="1">IF($E93=0,OFFSET(ORÇAMENTO!O$15,$E92,0),IF($E93&lt;&gt;-1,OFFSET(QCI!$D$13,$E93,0),""))</f>
        <v>1.6.18.</v>
      </c>
      <c r="I92" s="210" t="str">
        <f ca="1">IF($E93=0,OFFSET(ORÇAMENTO!R$15,$E92,0),IF($E93&lt;&gt;-1,OFFSET(QCI!$G$13,$E93,0),""))</f>
        <v>INSTALAÇÕES DE MONITORAMENTO</v>
      </c>
      <c r="J92" s="210"/>
      <c r="K92" s="210"/>
      <c r="L92" s="211">
        <f ca="1">IF($E93=0,OFFSET(ORÇAMENTO!C$15,$E92,0),1)</f>
        <v>3</v>
      </c>
      <c r="M92" s="212">
        <f t="shared" ref="M92" ca="1" si="189">IF($E93=-1,0,IF(M$13&lt;=$L92,IF(ISERROR(MATCH(M$13,OFFSET($L92,1,0,ROW($L$116)-ROW($L92)-1),0)),ROW($L$116)-ROW($L92)-1,MATCH(M$13,OFFSET($L92,1,0,ROW($L$116)-ROW($L92)-1),0)-1),0))</f>
        <v>23</v>
      </c>
      <c r="N92" s="212">
        <f t="shared" ref="N92" ca="1" si="190">IF($E93=-1,0,IF(N$13&lt;=$L92,IF(ISERROR(MATCH(N$13,OFFSET($L92,1,0,ROW($L$116)-ROW($L92)-1),0)),ROW($L$116)-ROW($L92)-1,MATCH(N$13,OFFSET($L92,1,0,ROW($L$116)-ROW($L92)-1),0)-1),0))</f>
        <v>2</v>
      </c>
      <c r="O92" s="212">
        <f t="shared" ref="O92" ca="1" si="191">IF($E93=-1,0,IF(O$13&lt;=$L92,IF(ISERROR(MATCH(O$13,OFFSET($L92,1,0,ROW($L$116)-ROW($L92)-1),0)),ROW($L$116)-ROW($L92)-1,MATCH(O$13,OFFSET($L92,1,0,ROW($L$116)-ROW($L92)-1),0)-1),0))</f>
        <v>23</v>
      </c>
      <c r="P92" s="212">
        <f t="shared" ref="P92" ca="1" si="192">IF($E93=-1,0,IF(P$13&lt;=$L92,IF(ISERROR(MATCH(P$13,OFFSET($L92,1,0,ROW($L$116)-ROW($L92)-1),0)),ROW($L$116)-ROW($L92)-1,MATCH(P$13,OFFSET($L92,1,0,ROW($L$116)-ROW($L92)-1),0)-1),0))</f>
        <v>0</v>
      </c>
      <c r="Q92" s="212">
        <f t="shared" ref="Q92" ca="1" si="193">MIN(OFFSET(L92,0,1,,L92))</f>
        <v>2</v>
      </c>
      <c r="R92" s="213">
        <f ca="1">IF($E93=0,OFFSET(ORÇAMENTO!X$15,$E92,0),IF($E93&lt;&gt;-1,OFFSET(QCI!$O$13,$E93,0),""))</f>
        <v>1274.93</v>
      </c>
      <c r="S92" s="214" t="s">
        <v>270</v>
      </c>
      <c r="T92" s="215">
        <f t="shared" ref="T92:AE92" ca="1" si="194">IF(AND($Q92=2,ACOMPANHAMENTO="BM"),T93,T94/$R92)</f>
        <v>0</v>
      </c>
      <c r="U92" s="207">
        <f t="shared" ca="1" si="194"/>
        <v>0</v>
      </c>
      <c r="V92" s="207">
        <f t="shared" ca="1" si="194"/>
        <v>0</v>
      </c>
      <c r="W92" s="207">
        <f t="shared" ca="1" si="194"/>
        <v>0.5</v>
      </c>
      <c r="X92" s="207">
        <f t="shared" ca="1" si="194"/>
        <v>0.5</v>
      </c>
      <c r="Y92" s="207">
        <f t="shared" ca="1" si="194"/>
        <v>0</v>
      </c>
      <c r="Z92" s="207">
        <f t="shared" ca="1" si="194"/>
        <v>0</v>
      </c>
      <c r="AA92" s="207">
        <f t="shared" ca="1" si="194"/>
        <v>0</v>
      </c>
      <c r="AB92" s="207">
        <f t="shared" ca="1" si="194"/>
        <v>0</v>
      </c>
      <c r="AC92" s="207">
        <f t="shared" ca="1" si="194"/>
        <v>0</v>
      </c>
      <c r="AD92" s="207">
        <f t="shared" ca="1" si="194"/>
        <v>0</v>
      </c>
      <c r="AE92" s="216">
        <f t="shared" ca="1" si="194"/>
        <v>0</v>
      </c>
    </row>
    <row r="93" spans="1:32" ht="12.75" customHeight="1" x14ac:dyDescent="0.2">
      <c r="D93" s="569"/>
      <c r="E93" s="204">
        <f ca="1">IF(ISERROR(E92),IF(1+COUNTIF($L$13:OFFSET(L92,-1,0),1)&lt;=MAX(QCI!$D$13:$D$24),1+COUNTIF($L$13:OFFSET(L92,-1,0),1),-1),0)</f>
        <v>0</v>
      </c>
      <c r="F93" s="204" t="str">
        <f t="shared" ref="F93" ca="1" si="195">IF(AND($E93&lt;&gt;-1,$R92&gt;0),"F","")</f>
        <v>F</v>
      </c>
      <c r="G93" s="217" t="str">
        <f ca="1">IF(OR(R92=0,R92=""),"vazia",IF(AND(OR(ACOMPANHAMENTO="PLE",$Q92&lt;&gt;2),$E93=0),"calculada","--&gt;"))</f>
        <v>--&gt;</v>
      </c>
      <c r="H93" s="218"/>
      <c r="I93" s="219" t="str">
        <f t="shared" ref="I93" ca="1" si="196">IF(AND(G92&lt;&gt;0,ISNUMBER(G92)),"PREENCHA ESTA LINHA --&gt;","")</f>
        <v/>
      </c>
      <c r="J93" s="219"/>
      <c r="K93" s="219"/>
      <c r="L93" s="220"/>
      <c r="M93" s="220"/>
      <c r="N93" s="220"/>
      <c r="O93" s="220"/>
      <c r="P93" s="220"/>
      <c r="Q93" s="220"/>
      <c r="R93" s="221"/>
      <c r="S93" s="222"/>
      <c r="T93" s="570"/>
      <c r="U93" s="569"/>
      <c r="V93" s="569"/>
      <c r="W93" s="569">
        <v>0.5</v>
      </c>
      <c r="X93" s="569">
        <v>0.5</v>
      </c>
      <c r="Y93" s="569"/>
      <c r="Z93" s="569"/>
      <c r="AA93" s="569"/>
      <c r="AB93" s="569"/>
      <c r="AC93" s="569"/>
      <c r="AD93" s="569"/>
      <c r="AE93" s="571"/>
      <c r="AF93" s="533"/>
    </row>
    <row r="94" spans="1:32" ht="0.2" hidden="1" customHeight="1" x14ac:dyDescent="0.2">
      <c r="D94" s="223">
        <f ca="1">IF($Q92=2,IF(AND(ACOMPANHAMENTO="PLE",ISNUMBER($E92)),SUMIF((OFFSET(CÁLCULO!$AM$15:$AW$15,$E92,0,OFFSET(ORÇAMENTO!$D$15,CRONO!$E92,0))),"="&amp;CRONO!D$12,OFFSET(CÁLCULO!$AB$15:$AL$15,$E92,0,OFFSET(ORÇAMENTO!$D$15,CRONO!$E92,0)))+IF(AND($E94&lt;&gt;"",$E94&lt;&gt;0),SUMIF(CÁLCULO!$AM$15:$AW$290,"="&amp;CRONO!D$12,CÁLCULO!$AB$15:$AL$290)/(ORÇAMENTO!$X$15-CÁLCULO.TotalAdmLocal)*CRONO!$E94,0),D93*$R92),SUMIF(OFFSET($R94,1,0,$Q92-2),($L92+1)&amp;"$",OFFSET(D94,1,0,$Q92-2)))</f>
        <v>0</v>
      </c>
      <c r="E94" s="204" t="str">
        <f ca="1">IF(OR($Q92&lt;&gt;2,AUTOEVENTO&lt;&gt;"manual",$E93&gt;0),"",SUMIF(OFFSET(CÁLCULO!$M$15,CRONO!$E92,0,OFFSET(ORÇAMENTO!$D$15,CRONO!$E92,0)),1,OFFSET(ORÇAMENTO!$X$15,CRONO!$E92,0,OFFSET(ORÇAMENTO!$D$15,CRONO!$E92,0))))</f>
        <v/>
      </c>
      <c r="G94" s="224"/>
      <c r="R94" s="225" t="str">
        <f t="shared" ref="R94" ca="1" si="197">L92&amp;"$"</f>
        <v>3$</v>
      </c>
      <c r="S94" s="226"/>
      <c r="T94" s="227">
        <f ca="1">IF($Q92=2,IF(AND(ACOMPANHAMENTO="PLE",ISNUMBER($E92)),SUMIF((OFFSET(CÁLCULO!$AM$15:$AW$15,$E92,0,OFFSET(ORÇAMENTO!$D$15,CRONO!$E92,0))),"&lt;="&amp;CRONO!T$12,OFFSET(CÁLCULO!$AB$15:$AL$15,$E92,0,OFFSET(ORÇAMENTO!$D$15,CRONO!$E92,0)))+IF(AND($E94&lt;&gt;"",$E94&lt;&gt;0),SUMIF(CÁLCULO!$AM$15:$AW$290,"&lt;="&amp;CRONO!T$12,CÁLCULO!$AB$15:$AL$290)/(ORÇAMENTO!$X$15-CÁLCULO.TotalAdmLocal)*CRONO!$E94,0),T93*$R92),SUMIF(OFFSET($R94,1,0,$Q92-2),($L92+1)&amp;"$",OFFSET(T94,1,0,$Q92-2)))</f>
        <v>0</v>
      </c>
      <c r="U94" s="223">
        <f ca="1">IF($Q92=2,IF(AND(ACOMPANHAMENTO="PLE",ISNUMBER($E92)),SUMIF((OFFSET(CÁLCULO!$AM$15:$AW$15,$E92,0,OFFSET(ORÇAMENTO!$D$15,CRONO!$E92,0))),"="&amp;CRONO!U$12,OFFSET(CÁLCULO!$AB$15:$AL$15,$E92,0,OFFSET(ORÇAMENTO!$D$15,CRONO!$E92,0)))+IF(AND($E94&lt;&gt;"",$E94&lt;&gt;0),SUMIF(CÁLCULO!$AM$15:$AW$290,"="&amp;CRONO!U$12,CÁLCULO!$AB$15:$AL$290)/(ORÇAMENTO!$X$15-CÁLCULO.TotalAdmLocal)*CRONO!$E94,0),U93*$R92),SUMIF(OFFSET($R94,1,0,$Q92-2),($L92+1)&amp;"$",OFFSET(U94,1,0,$Q92-2)))</f>
        <v>0</v>
      </c>
      <c r="V94" s="223">
        <f ca="1">IF($Q92=2,IF(AND(ACOMPANHAMENTO="PLE",ISNUMBER($E92)),SUMIF((OFFSET(CÁLCULO!$AM$15:$AW$15,$E92,0,OFFSET(ORÇAMENTO!$D$15,CRONO!$E92,0))),"="&amp;CRONO!V$12,OFFSET(CÁLCULO!$AB$15:$AL$15,$E92,0,OFFSET(ORÇAMENTO!$D$15,CRONO!$E92,0)))+IF(AND($E94&lt;&gt;"",$E94&lt;&gt;0),SUMIF(CÁLCULO!$AM$15:$AW$290,"="&amp;CRONO!V$12,CÁLCULO!$AB$15:$AL$290)/(ORÇAMENTO!$X$15-CÁLCULO.TotalAdmLocal)*CRONO!$E94,0),V93*$R92),SUMIF(OFFSET($R94,1,0,$Q92-2),($L92+1)&amp;"$",OFFSET(V94,1,0,$Q92-2)))</f>
        <v>0</v>
      </c>
      <c r="W94" s="223">
        <f ca="1">IF($Q92=2,IF(AND(ACOMPANHAMENTO="PLE",ISNUMBER($E92)),SUMIF((OFFSET(CÁLCULO!$AM$15:$AW$15,$E92,0,OFFSET(ORÇAMENTO!$D$15,CRONO!$E92,0))),"="&amp;CRONO!W$12,OFFSET(CÁLCULO!$AB$15:$AL$15,$E92,0,OFFSET(ORÇAMENTO!$D$15,CRONO!$E92,0)))+IF(AND($E94&lt;&gt;"",$E94&lt;&gt;0),SUMIF(CÁLCULO!$AM$15:$AW$290,"="&amp;CRONO!W$12,CÁLCULO!$AB$15:$AL$290)/(ORÇAMENTO!$X$15-CÁLCULO.TotalAdmLocal)*CRONO!$E94,0),W93*$R92),SUMIF(OFFSET($R94,1,0,$Q92-2),($L92+1)&amp;"$",OFFSET(W94,1,0,$Q92-2)))</f>
        <v>637.46500000000003</v>
      </c>
      <c r="X94" s="223">
        <f ca="1">IF($Q92=2,IF(AND(ACOMPANHAMENTO="PLE",ISNUMBER($E92)),SUMIF((OFFSET(CÁLCULO!$AM$15:$AW$15,$E92,0,OFFSET(ORÇAMENTO!$D$15,CRONO!$E92,0))),"="&amp;CRONO!X$12,OFFSET(CÁLCULO!$AB$15:$AL$15,$E92,0,OFFSET(ORÇAMENTO!$D$15,CRONO!$E92,0)))+IF(AND($E94&lt;&gt;"",$E94&lt;&gt;0),SUMIF(CÁLCULO!$AM$15:$AW$290,"="&amp;CRONO!X$12,CÁLCULO!$AB$15:$AL$290)/(ORÇAMENTO!$X$15-CÁLCULO.TotalAdmLocal)*CRONO!$E94,0),X93*$R92),SUMIF(OFFSET($R94,1,0,$Q92-2),($L92+1)&amp;"$",OFFSET(X94,1,0,$Q92-2)))</f>
        <v>637.46500000000003</v>
      </c>
      <c r="Y94" s="223">
        <f ca="1">IF($Q92=2,IF(AND(ACOMPANHAMENTO="PLE",ISNUMBER($E92)),SUMIF((OFFSET(CÁLCULO!$AM$15:$AW$15,$E92,0,OFFSET(ORÇAMENTO!$D$15,CRONO!$E92,0))),"="&amp;CRONO!Y$12,OFFSET(CÁLCULO!$AB$15:$AL$15,$E92,0,OFFSET(ORÇAMENTO!$D$15,CRONO!$E92,0)))+IF(AND($E94&lt;&gt;"",$E94&lt;&gt;0),SUMIF(CÁLCULO!$AM$15:$AW$290,"="&amp;CRONO!Y$12,CÁLCULO!$AB$15:$AL$290)/(ORÇAMENTO!$X$15-CÁLCULO.TotalAdmLocal)*CRONO!$E94,0),Y93*$R92),SUMIF(OFFSET($R94,1,0,$Q92-2),($L92+1)&amp;"$",OFFSET(Y94,1,0,$Q92-2)))</f>
        <v>0</v>
      </c>
      <c r="Z94" s="223">
        <f ca="1">IF($Q92=2,IF(AND(ACOMPANHAMENTO="PLE",ISNUMBER($E92)),SUMIF((OFFSET(CÁLCULO!$AM$15:$AW$15,$E92,0,OFFSET(ORÇAMENTO!$D$15,CRONO!$E92,0))),"="&amp;CRONO!Z$12,OFFSET(CÁLCULO!$AB$15:$AL$15,$E92,0,OFFSET(ORÇAMENTO!$D$15,CRONO!$E92,0)))+IF(AND($E94&lt;&gt;"",$E94&lt;&gt;0),SUMIF(CÁLCULO!$AM$15:$AW$290,"="&amp;CRONO!Z$12,CÁLCULO!$AB$15:$AL$290)/(ORÇAMENTO!$X$15-CÁLCULO.TotalAdmLocal)*CRONO!$E94,0),Z93*$R92),SUMIF(OFFSET($R94,1,0,$Q92-2),($L92+1)&amp;"$",OFFSET(Z94,1,0,$Q92-2)))</f>
        <v>0</v>
      </c>
      <c r="AA94" s="223">
        <f ca="1">IF($Q92=2,IF(AND(ACOMPANHAMENTO="PLE",ISNUMBER($E92)),SUMIF((OFFSET(CÁLCULO!$AM$15:$AW$15,$E92,0,OFFSET(ORÇAMENTO!$D$15,CRONO!$E92,0))),"="&amp;CRONO!AA$12,OFFSET(CÁLCULO!$AB$15:$AL$15,$E92,0,OFFSET(ORÇAMENTO!$D$15,CRONO!$E92,0)))+IF(AND($E94&lt;&gt;"",$E94&lt;&gt;0),SUMIF(CÁLCULO!$AM$15:$AW$290,"="&amp;CRONO!AA$12,CÁLCULO!$AB$15:$AL$290)/(ORÇAMENTO!$X$15-CÁLCULO.TotalAdmLocal)*CRONO!$E94,0),AA93*$R92),SUMIF(OFFSET($R94,1,0,$Q92-2),($L92+1)&amp;"$",OFFSET(AA94,1,0,$Q92-2)))</f>
        <v>0</v>
      </c>
      <c r="AB94" s="223">
        <f ca="1">IF($Q92=2,IF(AND(ACOMPANHAMENTO="PLE",ISNUMBER($E92)),SUMIF((OFFSET(CÁLCULO!$AM$15:$AW$15,$E92,0,OFFSET(ORÇAMENTO!$D$15,CRONO!$E92,0))),"="&amp;CRONO!AB$12,OFFSET(CÁLCULO!$AB$15:$AL$15,$E92,0,OFFSET(ORÇAMENTO!$D$15,CRONO!$E92,0)))+IF(AND($E94&lt;&gt;"",$E94&lt;&gt;0),SUMIF(CÁLCULO!$AM$15:$AW$290,"="&amp;CRONO!AB$12,CÁLCULO!$AB$15:$AL$290)/(ORÇAMENTO!$X$15-CÁLCULO.TotalAdmLocal)*CRONO!$E94,0),AB93*$R92),SUMIF(OFFSET($R94,1,0,$Q92-2),($L92+1)&amp;"$",OFFSET(AB94,1,0,$Q92-2)))</f>
        <v>0</v>
      </c>
      <c r="AC94" s="223">
        <f ca="1">IF($Q92=2,IF(AND(ACOMPANHAMENTO="PLE",ISNUMBER($E92)),SUMIF((OFFSET(CÁLCULO!$AM$15:$AW$15,$E92,0,OFFSET(ORÇAMENTO!$D$15,CRONO!$E92,0))),"="&amp;CRONO!AC$12,OFFSET(CÁLCULO!$AB$15:$AL$15,$E92,0,OFFSET(ORÇAMENTO!$D$15,CRONO!$E92,0)))+IF(AND($E94&lt;&gt;"",$E94&lt;&gt;0),SUMIF(CÁLCULO!$AM$15:$AW$290,"="&amp;CRONO!AC$12,CÁLCULO!$AB$15:$AL$290)/(ORÇAMENTO!$X$15-CÁLCULO.TotalAdmLocal)*CRONO!$E94,0),AC93*$R92),SUMIF(OFFSET($R94,1,0,$Q92-2),($L92+1)&amp;"$",OFFSET(AC94,1,0,$Q92-2)))</f>
        <v>0</v>
      </c>
      <c r="AD94" s="223">
        <f ca="1">IF($Q92=2,IF(AND(ACOMPANHAMENTO="PLE",ISNUMBER($E92)),SUMIF((OFFSET(CÁLCULO!$AM$15:$AW$15,$E92,0,OFFSET(ORÇAMENTO!$D$15,CRONO!$E92,0))),"="&amp;CRONO!AD$12,OFFSET(CÁLCULO!$AB$15:$AL$15,$E92,0,OFFSET(ORÇAMENTO!$D$15,CRONO!$E92,0)))+IF(AND($E94&lt;&gt;"",$E94&lt;&gt;0),SUMIF(CÁLCULO!$AM$15:$AW$290,"="&amp;CRONO!AD$12,CÁLCULO!$AB$15:$AL$290)/(ORÇAMENTO!$X$15-CÁLCULO.TotalAdmLocal)*CRONO!$E94,0),AD93*$R92),SUMIF(OFFSET($R94,1,0,$Q92-2),($L92+1)&amp;"$",OFFSET(AD94,1,0,$Q92-2)))</f>
        <v>0</v>
      </c>
      <c r="AE94" s="228">
        <f ca="1">IF($Q92=2,IF(AND(ACOMPANHAMENTO="PLE",ISNUMBER($E92)),SUMIF((OFFSET(CÁLCULO!$AM$15:$AW$15,$E92,0,OFFSET(ORÇAMENTO!$D$15,CRONO!$E92,0))),"="&amp;CRONO!AE$12,OFFSET(CÁLCULO!$AB$15:$AL$15,$E92,0,OFFSET(ORÇAMENTO!$D$15,CRONO!$E92,0)))+IF(AND($E94&lt;&gt;"",$E94&lt;&gt;0),SUMIF(CÁLCULO!$AM$15:$AW$290,"="&amp;CRONO!AE$12,CÁLCULO!$AB$15:$AL$290)/(ORÇAMENTO!$X$15-CÁLCULO.TotalAdmLocal)*CRONO!$E94,0),AE93*$R92),SUMIF(OFFSET($R94,1,0,$Q92-2),($L92+1)&amp;"$",OFFSET(AE94,1,0,$Q92-2)))</f>
        <v>0</v>
      </c>
    </row>
    <row r="95" spans="1:32" x14ac:dyDescent="0.2">
      <c r="A95" s="204">
        <f t="shared" ref="A95" ca="1" si="198">OFFSET(A95,-3,0)+1</f>
        <v>28</v>
      </c>
      <c r="B95" s="204">
        <f ca="1">IF($Q95&lt;&gt;2,0,IF($R95=0,1,IF(E96&gt;0,OFFSET(QCI!$M$13,SUBSTITUTE(E96,".",""),0),OFFSET(ORÇAMENTO!$AA$15,CRONO!$E95,0))/$R95))</f>
        <v>1</v>
      </c>
      <c r="C95" s="204">
        <f ca="1">IF($Q95&lt;&gt;2,0,IF($R95=0,1,IF(E96&gt;0,OFFSET(QCI!$N$13,SUBSTITUTE(E96,".",""),0),OFFSET(ORÇAMENTO!$AB$15,CRONO!$E95,0))/$R95))</f>
        <v>0</v>
      </c>
      <c r="D95" s="207">
        <f ca="1">IF(AND($Q95=2,ACOMPANHAMENTO="BM"),D96,D97/$R95)</f>
        <v>0</v>
      </c>
      <c r="E95" s="204">
        <f ca="1">IF(A95&lt;=ORÇAMENTO.MáximoListaCrono,MATCH(A95,ORÇAMENTO.ListaCrono,0),NA())</f>
        <v>177</v>
      </c>
      <c r="F95" s="204" t="str">
        <f t="shared" ref="F95" ca="1" si="199">IF(AND($E96&lt;&gt;-1,$R95&gt;0),"F","")</f>
        <v>F</v>
      </c>
      <c r="G95" s="208">
        <f ca="1">IF(OR(R95=0,R95=""),"Linha",IF(AND(OR(ACOMPANHAMENTO="PLE",$Q95&lt;&gt;2),$E96=0),"Linha",1-SUM(T95:AF95)))</f>
        <v>0</v>
      </c>
      <c r="H95" s="209" t="str">
        <f ca="1">IF($E96=0,OFFSET(ORÇAMENTO!O$15,$E95,0),IF($E96&lt;&gt;-1,OFFSET(QCI!$D$13,$E96,0),""))</f>
        <v>1.7.</v>
      </c>
      <c r="I95" s="210" t="str">
        <f ca="1">IF($E96=0,OFFSET(ORÇAMENTO!R$15,$E95,0),IF($E96&lt;&gt;-1,OFFSET(QCI!$G$13,$E96,0),""))</f>
        <v>PASSEIO PÚBLICO E PAVIMENTAÇÃO INTERNA</v>
      </c>
      <c r="J95" s="210"/>
      <c r="K95" s="210"/>
      <c r="L95" s="211">
        <f ca="1">IF($E96=0,OFFSET(ORÇAMENTO!C$15,$E95,0),1)</f>
        <v>2</v>
      </c>
      <c r="M95" s="212">
        <f ca="1">IF($E96=-1,0,IF(M$13&lt;=$L95,IF(ISERROR(MATCH(M$13,OFFSET($L95,1,0,ROW($L$116)-ROW($L95)-1),0)),ROW($L$116)-ROW($L95)-1,MATCH(M$13,OFFSET($L95,1,0,ROW($L$116)-ROW($L95)-1),0)-1),0))</f>
        <v>20</v>
      </c>
      <c r="N95" s="212">
        <f ca="1">IF($E96=-1,0,IF(N$13&lt;=$L95,IF(ISERROR(MATCH(N$13,OFFSET($L95,1,0,ROW($L$116)-ROW($L95)-1),0)),ROW($L$116)-ROW($L95)-1,MATCH(N$13,OFFSET($L95,1,0,ROW($L$116)-ROW($L95)-1),0)-1),0))</f>
        <v>2</v>
      </c>
      <c r="O95" s="212">
        <f ca="1">IF($E96=-1,0,IF(O$13&lt;=$L95,IF(ISERROR(MATCH(O$13,OFFSET($L95,1,0,ROW($L$116)-ROW($L95)-1),0)),ROW($L$116)-ROW($L95)-1,MATCH(O$13,OFFSET($L95,1,0,ROW($L$116)-ROW($L95)-1),0)-1),0))</f>
        <v>0</v>
      </c>
      <c r="P95" s="212">
        <f ca="1">IF($E96=-1,0,IF(P$13&lt;=$L95,IF(ISERROR(MATCH(P$13,OFFSET($L95,1,0,ROW($L$116)-ROW($L95)-1),0)),ROW($L$116)-ROW($L95)-1,MATCH(P$13,OFFSET($L95,1,0,ROW($L$116)-ROW($L95)-1),0)-1),0))</f>
        <v>0</v>
      </c>
      <c r="Q95" s="212">
        <f t="shared" ref="Q95" ca="1" si="200">MIN(OFFSET(L95,0,1,,L95))</f>
        <v>2</v>
      </c>
      <c r="R95" s="213">
        <f ca="1">IF($E96=0,OFFSET(ORÇAMENTO!X$15,$E95,0),IF($E96&lt;&gt;-1,OFFSET(QCI!$O$13,$E96,0),""))</f>
        <v>44788.6</v>
      </c>
      <c r="S95" s="214" t="s">
        <v>270</v>
      </c>
      <c r="T95" s="215">
        <f t="shared" ref="T95:AE95" ca="1" si="201">IF(AND($Q95=2,ACOMPANHAMENTO="BM"),T96,T97/$R95)</f>
        <v>0</v>
      </c>
      <c r="U95" s="207">
        <f t="shared" ca="1" si="201"/>
        <v>0</v>
      </c>
      <c r="V95" s="207">
        <f t="shared" ca="1" si="201"/>
        <v>0.25</v>
      </c>
      <c r="W95" s="207">
        <f t="shared" ca="1" si="201"/>
        <v>0.25</v>
      </c>
      <c r="X95" s="207">
        <f t="shared" ca="1" si="201"/>
        <v>0.25</v>
      </c>
      <c r="Y95" s="207">
        <f t="shared" ca="1" si="201"/>
        <v>0.25</v>
      </c>
      <c r="Z95" s="207">
        <f t="shared" ca="1" si="201"/>
        <v>0</v>
      </c>
      <c r="AA95" s="207">
        <f t="shared" ca="1" si="201"/>
        <v>0</v>
      </c>
      <c r="AB95" s="207">
        <f t="shared" ca="1" si="201"/>
        <v>0</v>
      </c>
      <c r="AC95" s="207">
        <f t="shared" ca="1" si="201"/>
        <v>0</v>
      </c>
      <c r="AD95" s="207">
        <f t="shared" ca="1" si="201"/>
        <v>0</v>
      </c>
      <c r="AE95" s="216">
        <f t="shared" ca="1" si="201"/>
        <v>0</v>
      </c>
    </row>
    <row r="96" spans="1:32" ht="12.75" customHeight="1" x14ac:dyDescent="0.2">
      <c r="D96" s="569"/>
      <c r="E96" s="204">
        <f ca="1">IF(ISERROR(E95),IF(1+COUNTIF($L$13:OFFSET(L95,-1,0),1)&lt;=MAX(QCI!$D$13:$D$24),1+COUNTIF($L$13:OFFSET(L95,-1,0),1),-1),0)</f>
        <v>0</v>
      </c>
      <c r="F96" s="204" t="str">
        <f t="shared" ref="F96" ca="1" si="202">IF(AND($E96&lt;&gt;-1,$R95&gt;0),"F","")</f>
        <v>F</v>
      </c>
      <c r="G96" s="217" t="str">
        <f ca="1">IF(OR(R95=0,R95=""),"vazia",IF(AND(OR(ACOMPANHAMENTO="PLE",$Q95&lt;&gt;2),$E96=0),"calculada","--&gt;"))</f>
        <v>--&gt;</v>
      </c>
      <c r="H96" s="218"/>
      <c r="I96" s="219" t="str">
        <f t="shared" ref="I96" ca="1" si="203">IF(AND(G95&lt;&gt;0,ISNUMBER(G95)),"PREENCHA ESTA LINHA --&gt;","")</f>
        <v/>
      </c>
      <c r="J96" s="219"/>
      <c r="K96" s="219"/>
      <c r="L96" s="220"/>
      <c r="M96" s="220"/>
      <c r="N96" s="220"/>
      <c r="O96" s="220"/>
      <c r="P96" s="220"/>
      <c r="Q96" s="220"/>
      <c r="R96" s="221"/>
      <c r="S96" s="222"/>
      <c r="T96" s="570"/>
      <c r="U96" s="569"/>
      <c r="V96" s="569">
        <v>0.25</v>
      </c>
      <c r="W96" s="569">
        <v>0.25</v>
      </c>
      <c r="X96" s="569">
        <v>0.25</v>
      </c>
      <c r="Y96" s="569">
        <v>0.25</v>
      </c>
      <c r="Z96" s="569"/>
      <c r="AA96" s="569"/>
      <c r="AB96" s="569"/>
      <c r="AC96" s="569"/>
      <c r="AD96" s="569"/>
      <c r="AE96" s="571"/>
      <c r="AF96" s="533"/>
    </row>
    <row r="97" spans="1:32" ht="0.2" hidden="1" customHeight="1" x14ac:dyDescent="0.2">
      <c r="D97" s="223">
        <f ca="1">IF($Q95=2,IF(AND(ACOMPANHAMENTO="PLE",ISNUMBER($E95)),SUMIF((OFFSET(CÁLCULO!$AM$15:$AW$15,$E95,0,OFFSET(ORÇAMENTO!$D$15,CRONO!$E95,0))),"="&amp;CRONO!D$12,OFFSET(CÁLCULO!$AB$15:$AL$15,$E95,0,OFFSET(ORÇAMENTO!$D$15,CRONO!$E95,0)))+IF(AND($E97&lt;&gt;"",$E97&lt;&gt;0),SUMIF(CÁLCULO!$AM$15:$AW$290,"="&amp;CRONO!D$12,CÁLCULO!$AB$15:$AL$290)/(ORÇAMENTO!$X$15-CÁLCULO.TotalAdmLocal)*CRONO!$E97,0),D96*$R95),SUMIF(OFFSET($R97,1,0,$Q95-2),($L95+1)&amp;"$",OFFSET(D97,1,0,$Q95-2)))</f>
        <v>0</v>
      </c>
      <c r="E97" s="204" t="str">
        <f ca="1">IF(OR($Q95&lt;&gt;2,AUTOEVENTO&lt;&gt;"manual",$E96&gt;0),"",SUMIF(OFFSET(CÁLCULO!$M$15,CRONO!$E95,0,OFFSET(ORÇAMENTO!$D$15,CRONO!$E95,0)),1,OFFSET(ORÇAMENTO!$X$15,CRONO!$E95,0,OFFSET(ORÇAMENTO!$D$15,CRONO!$E95,0))))</f>
        <v/>
      </c>
      <c r="G97" s="224"/>
      <c r="R97" s="225" t="str">
        <f t="shared" ref="R97" ca="1" si="204">L95&amp;"$"</f>
        <v>2$</v>
      </c>
      <c r="S97" s="226"/>
      <c r="T97" s="227">
        <f ca="1">IF($Q95=2,IF(AND(ACOMPANHAMENTO="PLE",ISNUMBER($E95)),SUMIF((OFFSET(CÁLCULO!$AM$15:$AW$15,$E95,0,OFFSET(ORÇAMENTO!$D$15,CRONO!$E95,0))),"&lt;="&amp;CRONO!T$12,OFFSET(CÁLCULO!$AB$15:$AL$15,$E95,0,OFFSET(ORÇAMENTO!$D$15,CRONO!$E95,0)))+IF(AND($E97&lt;&gt;"",$E97&lt;&gt;0),SUMIF(CÁLCULO!$AM$15:$AW$290,"&lt;="&amp;CRONO!T$12,CÁLCULO!$AB$15:$AL$290)/(ORÇAMENTO!$X$15-CÁLCULO.TotalAdmLocal)*CRONO!$E97,0),T96*$R95),SUMIF(OFFSET($R97,1,0,$Q95-2),($L95+1)&amp;"$",OFFSET(T97,1,0,$Q95-2)))</f>
        <v>0</v>
      </c>
      <c r="U97" s="223">
        <f ca="1">IF($Q95=2,IF(AND(ACOMPANHAMENTO="PLE",ISNUMBER($E95)),SUMIF((OFFSET(CÁLCULO!$AM$15:$AW$15,$E95,0,OFFSET(ORÇAMENTO!$D$15,CRONO!$E95,0))),"="&amp;CRONO!U$12,OFFSET(CÁLCULO!$AB$15:$AL$15,$E95,0,OFFSET(ORÇAMENTO!$D$15,CRONO!$E95,0)))+IF(AND($E97&lt;&gt;"",$E97&lt;&gt;0),SUMIF(CÁLCULO!$AM$15:$AW$290,"="&amp;CRONO!U$12,CÁLCULO!$AB$15:$AL$290)/(ORÇAMENTO!$X$15-CÁLCULO.TotalAdmLocal)*CRONO!$E97,0),U96*$R95),SUMIF(OFFSET($R97,1,0,$Q95-2),($L95+1)&amp;"$",OFFSET(U97,1,0,$Q95-2)))</f>
        <v>0</v>
      </c>
      <c r="V97" s="223">
        <f ca="1">IF($Q95=2,IF(AND(ACOMPANHAMENTO="PLE",ISNUMBER($E95)),SUMIF((OFFSET(CÁLCULO!$AM$15:$AW$15,$E95,0,OFFSET(ORÇAMENTO!$D$15,CRONO!$E95,0))),"="&amp;CRONO!V$12,OFFSET(CÁLCULO!$AB$15:$AL$15,$E95,0,OFFSET(ORÇAMENTO!$D$15,CRONO!$E95,0)))+IF(AND($E97&lt;&gt;"",$E97&lt;&gt;0),SUMIF(CÁLCULO!$AM$15:$AW$290,"="&amp;CRONO!V$12,CÁLCULO!$AB$15:$AL$290)/(ORÇAMENTO!$X$15-CÁLCULO.TotalAdmLocal)*CRONO!$E97,0),V96*$R95),SUMIF(OFFSET($R97,1,0,$Q95-2),($L95+1)&amp;"$",OFFSET(V97,1,0,$Q95-2)))</f>
        <v>11197.15</v>
      </c>
      <c r="W97" s="223">
        <f ca="1">IF($Q95=2,IF(AND(ACOMPANHAMENTO="PLE",ISNUMBER($E95)),SUMIF((OFFSET(CÁLCULO!$AM$15:$AW$15,$E95,0,OFFSET(ORÇAMENTO!$D$15,CRONO!$E95,0))),"="&amp;CRONO!W$12,OFFSET(CÁLCULO!$AB$15:$AL$15,$E95,0,OFFSET(ORÇAMENTO!$D$15,CRONO!$E95,0)))+IF(AND($E97&lt;&gt;"",$E97&lt;&gt;0),SUMIF(CÁLCULO!$AM$15:$AW$290,"="&amp;CRONO!W$12,CÁLCULO!$AB$15:$AL$290)/(ORÇAMENTO!$X$15-CÁLCULO.TotalAdmLocal)*CRONO!$E97,0),W96*$R95),SUMIF(OFFSET($R97,1,0,$Q95-2),($L95+1)&amp;"$",OFFSET(W97,1,0,$Q95-2)))</f>
        <v>11197.15</v>
      </c>
      <c r="X97" s="223">
        <f ca="1">IF($Q95=2,IF(AND(ACOMPANHAMENTO="PLE",ISNUMBER($E95)),SUMIF((OFFSET(CÁLCULO!$AM$15:$AW$15,$E95,0,OFFSET(ORÇAMENTO!$D$15,CRONO!$E95,0))),"="&amp;CRONO!X$12,OFFSET(CÁLCULO!$AB$15:$AL$15,$E95,0,OFFSET(ORÇAMENTO!$D$15,CRONO!$E95,0)))+IF(AND($E97&lt;&gt;"",$E97&lt;&gt;0),SUMIF(CÁLCULO!$AM$15:$AW$290,"="&amp;CRONO!X$12,CÁLCULO!$AB$15:$AL$290)/(ORÇAMENTO!$X$15-CÁLCULO.TotalAdmLocal)*CRONO!$E97,0),X96*$R95),SUMIF(OFFSET($R97,1,0,$Q95-2),($L95+1)&amp;"$",OFFSET(X97,1,0,$Q95-2)))</f>
        <v>11197.15</v>
      </c>
      <c r="Y97" s="223">
        <f ca="1">IF($Q95=2,IF(AND(ACOMPANHAMENTO="PLE",ISNUMBER($E95)),SUMIF((OFFSET(CÁLCULO!$AM$15:$AW$15,$E95,0,OFFSET(ORÇAMENTO!$D$15,CRONO!$E95,0))),"="&amp;CRONO!Y$12,OFFSET(CÁLCULO!$AB$15:$AL$15,$E95,0,OFFSET(ORÇAMENTO!$D$15,CRONO!$E95,0)))+IF(AND($E97&lt;&gt;"",$E97&lt;&gt;0),SUMIF(CÁLCULO!$AM$15:$AW$290,"="&amp;CRONO!Y$12,CÁLCULO!$AB$15:$AL$290)/(ORÇAMENTO!$X$15-CÁLCULO.TotalAdmLocal)*CRONO!$E97,0),Y96*$R95),SUMIF(OFFSET($R97,1,0,$Q95-2),($L95+1)&amp;"$",OFFSET(Y97,1,0,$Q95-2)))</f>
        <v>11197.15</v>
      </c>
      <c r="Z97" s="223">
        <f ca="1">IF($Q95=2,IF(AND(ACOMPANHAMENTO="PLE",ISNUMBER($E95)),SUMIF((OFFSET(CÁLCULO!$AM$15:$AW$15,$E95,0,OFFSET(ORÇAMENTO!$D$15,CRONO!$E95,0))),"="&amp;CRONO!Z$12,OFFSET(CÁLCULO!$AB$15:$AL$15,$E95,0,OFFSET(ORÇAMENTO!$D$15,CRONO!$E95,0)))+IF(AND($E97&lt;&gt;"",$E97&lt;&gt;0),SUMIF(CÁLCULO!$AM$15:$AW$290,"="&amp;CRONO!Z$12,CÁLCULO!$AB$15:$AL$290)/(ORÇAMENTO!$X$15-CÁLCULO.TotalAdmLocal)*CRONO!$E97,0),Z96*$R95),SUMIF(OFFSET($R97,1,0,$Q95-2),($L95+1)&amp;"$",OFFSET(Z97,1,0,$Q95-2)))</f>
        <v>0</v>
      </c>
      <c r="AA97" s="223">
        <f ca="1">IF($Q95=2,IF(AND(ACOMPANHAMENTO="PLE",ISNUMBER($E95)),SUMIF((OFFSET(CÁLCULO!$AM$15:$AW$15,$E95,0,OFFSET(ORÇAMENTO!$D$15,CRONO!$E95,0))),"="&amp;CRONO!AA$12,OFFSET(CÁLCULO!$AB$15:$AL$15,$E95,0,OFFSET(ORÇAMENTO!$D$15,CRONO!$E95,0)))+IF(AND($E97&lt;&gt;"",$E97&lt;&gt;0),SUMIF(CÁLCULO!$AM$15:$AW$290,"="&amp;CRONO!AA$12,CÁLCULO!$AB$15:$AL$290)/(ORÇAMENTO!$X$15-CÁLCULO.TotalAdmLocal)*CRONO!$E97,0),AA96*$R95),SUMIF(OFFSET($R97,1,0,$Q95-2),($L95+1)&amp;"$",OFFSET(AA97,1,0,$Q95-2)))</f>
        <v>0</v>
      </c>
      <c r="AB97" s="223">
        <f ca="1">IF($Q95=2,IF(AND(ACOMPANHAMENTO="PLE",ISNUMBER($E95)),SUMIF((OFFSET(CÁLCULO!$AM$15:$AW$15,$E95,0,OFFSET(ORÇAMENTO!$D$15,CRONO!$E95,0))),"="&amp;CRONO!AB$12,OFFSET(CÁLCULO!$AB$15:$AL$15,$E95,0,OFFSET(ORÇAMENTO!$D$15,CRONO!$E95,0)))+IF(AND($E97&lt;&gt;"",$E97&lt;&gt;0),SUMIF(CÁLCULO!$AM$15:$AW$290,"="&amp;CRONO!AB$12,CÁLCULO!$AB$15:$AL$290)/(ORÇAMENTO!$X$15-CÁLCULO.TotalAdmLocal)*CRONO!$E97,0),AB96*$R95),SUMIF(OFFSET($R97,1,0,$Q95-2),($L95+1)&amp;"$",OFFSET(AB97,1,0,$Q95-2)))</f>
        <v>0</v>
      </c>
      <c r="AC97" s="223">
        <f ca="1">IF($Q95=2,IF(AND(ACOMPANHAMENTO="PLE",ISNUMBER($E95)),SUMIF((OFFSET(CÁLCULO!$AM$15:$AW$15,$E95,0,OFFSET(ORÇAMENTO!$D$15,CRONO!$E95,0))),"="&amp;CRONO!AC$12,OFFSET(CÁLCULO!$AB$15:$AL$15,$E95,0,OFFSET(ORÇAMENTO!$D$15,CRONO!$E95,0)))+IF(AND($E97&lt;&gt;"",$E97&lt;&gt;0),SUMIF(CÁLCULO!$AM$15:$AW$290,"="&amp;CRONO!AC$12,CÁLCULO!$AB$15:$AL$290)/(ORÇAMENTO!$X$15-CÁLCULO.TotalAdmLocal)*CRONO!$E97,0),AC96*$R95),SUMIF(OFFSET($R97,1,0,$Q95-2),($L95+1)&amp;"$",OFFSET(AC97,1,0,$Q95-2)))</f>
        <v>0</v>
      </c>
      <c r="AD97" s="223">
        <f ca="1">IF($Q95=2,IF(AND(ACOMPANHAMENTO="PLE",ISNUMBER($E95)),SUMIF((OFFSET(CÁLCULO!$AM$15:$AW$15,$E95,0,OFFSET(ORÇAMENTO!$D$15,CRONO!$E95,0))),"="&amp;CRONO!AD$12,OFFSET(CÁLCULO!$AB$15:$AL$15,$E95,0,OFFSET(ORÇAMENTO!$D$15,CRONO!$E95,0)))+IF(AND($E97&lt;&gt;"",$E97&lt;&gt;0),SUMIF(CÁLCULO!$AM$15:$AW$290,"="&amp;CRONO!AD$12,CÁLCULO!$AB$15:$AL$290)/(ORÇAMENTO!$X$15-CÁLCULO.TotalAdmLocal)*CRONO!$E97,0),AD96*$R95),SUMIF(OFFSET($R97,1,0,$Q95-2),($L95+1)&amp;"$",OFFSET(AD97,1,0,$Q95-2)))</f>
        <v>0</v>
      </c>
      <c r="AE97" s="228">
        <f ca="1">IF($Q95=2,IF(AND(ACOMPANHAMENTO="PLE",ISNUMBER($E95)),SUMIF((OFFSET(CÁLCULO!$AM$15:$AW$15,$E95,0,OFFSET(ORÇAMENTO!$D$15,CRONO!$E95,0))),"="&amp;CRONO!AE$12,OFFSET(CÁLCULO!$AB$15:$AL$15,$E95,0,OFFSET(ORÇAMENTO!$D$15,CRONO!$E95,0)))+IF(AND($E97&lt;&gt;"",$E97&lt;&gt;0),SUMIF(CÁLCULO!$AM$15:$AW$290,"="&amp;CRONO!AE$12,CÁLCULO!$AB$15:$AL$290)/(ORÇAMENTO!$X$15-CÁLCULO.TotalAdmLocal)*CRONO!$E97,0),AE96*$R95),SUMIF(OFFSET($R97,1,0,$Q95-2),($L95+1)&amp;"$",OFFSET(AE97,1,0,$Q95-2)))</f>
        <v>0</v>
      </c>
    </row>
    <row r="98" spans="1:32" x14ac:dyDescent="0.2">
      <c r="A98" s="204">
        <f t="shared" ref="A98" ca="1" si="205">OFFSET(A98,-3,0)+1</f>
        <v>29</v>
      </c>
      <c r="B98" s="204">
        <f ca="1">IF($Q98&lt;&gt;2,0,IF($R98=0,1,IF(E99&gt;0,OFFSET(QCI!$M$13,SUBSTITUTE(E99,".",""),0),OFFSET(ORÇAMENTO!$AA$15,CRONO!$E98,0))/$R98))</f>
        <v>1</v>
      </c>
      <c r="C98" s="204">
        <f ca="1">IF($Q98&lt;&gt;2,0,IF($R98=0,1,IF(E99&gt;0,OFFSET(QCI!$N$13,SUBSTITUTE(E99,".",""),0),OFFSET(ORÇAMENTO!$AB$15,CRONO!$E98,0))/$R98))</f>
        <v>0</v>
      </c>
      <c r="D98" s="207">
        <f ca="1">IF(AND($Q98=2,ACOMPANHAMENTO="BM"),D99,D100/$R98)</f>
        <v>0</v>
      </c>
      <c r="E98" s="204">
        <f ca="1">IF(A98&lt;=ORÇAMENTO.MáximoListaCrono,MATCH(A98,ORÇAMENTO.ListaCrono,0),NA())</f>
        <v>183</v>
      </c>
      <c r="F98" s="204" t="str">
        <f t="shared" ref="F98" ca="1" si="206">IF(AND($E99&lt;&gt;-1,$R98&gt;0),"F","")</f>
        <v>F</v>
      </c>
      <c r="G98" s="208">
        <f ca="1">IF(OR(R98=0,R98=""),"Linha",IF(AND(OR(ACOMPANHAMENTO="PLE",$Q98&lt;&gt;2),$E99=0),"Linha",1-SUM(T98:AF98)))</f>
        <v>0</v>
      </c>
      <c r="H98" s="209" t="str">
        <f ca="1">IF($E99=0,OFFSET(ORÇAMENTO!O$15,$E98,0),IF($E99&lt;&gt;-1,OFFSET(QCI!$D$13,$E99,0),""))</f>
        <v>1.8.</v>
      </c>
      <c r="I98" s="210" t="str">
        <f ca="1">IF($E99=0,OFFSET(ORÇAMENTO!R$15,$E98,0),IF($E99&lt;&gt;-1,OFFSET(QCI!$G$13,$E99,0),""))</f>
        <v>CAMPO DE FUTEBOL</v>
      </c>
      <c r="J98" s="210"/>
      <c r="K98" s="210"/>
      <c r="L98" s="211">
        <f ca="1">IF($E99=0,OFFSET(ORÇAMENTO!C$15,$E98,0),1)</f>
        <v>2</v>
      </c>
      <c r="M98" s="212">
        <f ca="1">IF($E99=-1,0,IF(M$13&lt;=$L98,IF(ISERROR(MATCH(M$13,OFFSET($L98,1,0,ROW($L$116)-ROW($L98)-1),0)),ROW($L$116)-ROW($L98)-1,MATCH(M$13,OFFSET($L98,1,0,ROW($L$116)-ROW($L98)-1),0)-1),0))</f>
        <v>17</v>
      </c>
      <c r="N98" s="212">
        <f ca="1">IF($E99=-1,0,IF(N$13&lt;=$L98,IF(ISERROR(MATCH(N$13,OFFSET($L98,1,0,ROW($L$116)-ROW($L98)-1),0)),ROW($L$116)-ROW($L98)-1,MATCH(N$13,OFFSET($L98,1,0,ROW($L$116)-ROW($L98)-1),0)-1),0))</f>
        <v>2</v>
      </c>
      <c r="O98" s="212">
        <f ca="1">IF($E99=-1,0,IF(O$13&lt;=$L98,IF(ISERROR(MATCH(O$13,OFFSET($L98,1,0,ROW($L$116)-ROW($L98)-1),0)),ROW($L$116)-ROW($L98)-1,MATCH(O$13,OFFSET($L98,1,0,ROW($L$116)-ROW($L98)-1),0)-1),0))</f>
        <v>0</v>
      </c>
      <c r="P98" s="212">
        <f ca="1">IF($E99=-1,0,IF(P$13&lt;=$L98,IF(ISERROR(MATCH(P$13,OFFSET($L98,1,0,ROW($L$116)-ROW($L98)-1),0)),ROW($L$116)-ROW($L98)-1,MATCH(P$13,OFFSET($L98,1,0,ROW($L$116)-ROW($L98)-1),0)-1),0))</f>
        <v>0</v>
      </c>
      <c r="Q98" s="212">
        <f t="shared" ref="Q98" ca="1" si="207">MIN(OFFSET(L98,0,1,,L98))</f>
        <v>2</v>
      </c>
      <c r="R98" s="213">
        <f ca="1">IF($E99=0,OFFSET(ORÇAMENTO!X$15,$E98,0),IF($E99&lt;&gt;-1,OFFSET(QCI!$O$13,$E99,0),""))</f>
        <v>50680.86</v>
      </c>
      <c r="S98" s="214" t="s">
        <v>270</v>
      </c>
      <c r="T98" s="215">
        <f t="shared" ref="T98:AE98" ca="1" si="208">IF(AND($Q98=2,ACOMPANHAMENTO="BM"),T99,T100/$R98)</f>
        <v>0</v>
      </c>
      <c r="U98" s="207">
        <f t="shared" ca="1" si="208"/>
        <v>0</v>
      </c>
      <c r="V98" s="207">
        <f t="shared" ca="1" si="208"/>
        <v>0.25</v>
      </c>
      <c r="W98" s="207">
        <f t="shared" ca="1" si="208"/>
        <v>0.25</v>
      </c>
      <c r="X98" s="207">
        <f t="shared" ca="1" si="208"/>
        <v>0.25</v>
      </c>
      <c r="Y98" s="207">
        <f t="shared" ca="1" si="208"/>
        <v>0.25</v>
      </c>
      <c r="Z98" s="207">
        <f t="shared" ca="1" si="208"/>
        <v>0</v>
      </c>
      <c r="AA98" s="207">
        <f t="shared" ca="1" si="208"/>
        <v>0</v>
      </c>
      <c r="AB98" s="207">
        <f t="shared" ca="1" si="208"/>
        <v>0</v>
      </c>
      <c r="AC98" s="207">
        <f t="shared" ca="1" si="208"/>
        <v>0</v>
      </c>
      <c r="AD98" s="207">
        <f t="shared" ca="1" si="208"/>
        <v>0</v>
      </c>
      <c r="AE98" s="216">
        <f t="shared" ca="1" si="208"/>
        <v>0</v>
      </c>
    </row>
    <row r="99" spans="1:32" ht="12.75" customHeight="1" x14ac:dyDescent="0.2">
      <c r="D99" s="569"/>
      <c r="E99" s="204">
        <f ca="1">IF(ISERROR(E98),IF(1+COUNTIF($L$13:OFFSET(L98,-1,0),1)&lt;=MAX(QCI!$D$13:$D$24),1+COUNTIF($L$13:OFFSET(L98,-1,0),1),-1),0)</f>
        <v>0</v>
      </c>
      <c r="F99" s="204" t="str">
        <f t="shared" ref="F99" ca="1" si="209">IF(AND($E99&lt;&gt;-1,$R98&gt;0),"F","")</f>
        <v>F</v>
      </c>
      <c r="G99" s="217" t="str">
        <f ca="1">IF(OR(R98=0,R98=""),"vazia",IF(AND(OR(ACOMPANHAMENTO="PLE",$Q98&lt;&gt;2),$E99=0),"calculada","--&gt;"))</f>
        <v>--&gt;</v>
      </c>
      <c r="H99" s="218"/>
      <c r="I99" s="219" t="str">
        <f t="shared" ref="I99" ca="1" si="210">IF(AND(G98&lt;&gt;0,ISNUMBER(G98)),"PREENCHA ESTA LINHA --&gt;","")</f>
        <v/>
      </c>
      <c r="J99" s="219"/>
      <c r="K99" s="219"/>
      <c r="L99" s="220"/>
      <c r="M99" s="220"/>
      <c r="N99" s="220"/>
      <c r="O99" s="220"/>
      <c r="P99" s="220"/>
      <c r="Q99" s="220"/>
      <c r="R99" s="221"/>
      <c r="S99" s="222"/>
      <c r="T99" s="570"/>
      <c r="U99" s="569"/>
      <c r="V99" s="569">
        <v>0.25</v>
      </c>
      <c r="W99" s="569">
        <v>0.25</v>
      </c>
      <c r="X99" s="569">
        <v>0.25</v>
      </c>
      <c r="Y99" s="569">
        <v>0.25</v>
      </c>
      <c r="Z99" s="569"/>
      <c r="AA99" s="569"/>
      <c r="AB99" s="569"/>
      <c r="AC99" s="569"/>
      <c r="AD99" s="569"/>
      <c r="AE99" s="571"/>
      <c r="AF99" s="533"/>
    </row>
    <row r="100" spans="1:32" ht="0.2" hidden="1" customHeight="1" x14ac:dyDescent="0.2">
      <c r="D100" s="223">
        <f ca="1">IF($Q98=2,IF(AND(ACOMPANHAMENTO="PLE",ISNUMBER($E98)),SUMIF((OFFSET(CÁLCULO!$AM$15:$AW$15,$E98,0,OFFSET(ORÇAMENTO!$D$15,CRONO!$E98,0))),"="&amp;CRONO!D$12,OFFSET(CÁLCULO!$AB$15:$AL$15,$E98,0,OFFSET(ORÇAMENTO!$D$15,CRONO!$E98,0)))+IF(AND($E100&lt;&gt;"",$E100&lt;&gt;0),SUMIF(CÁLCULO!$AM$15:$AW$290,"="&amp;CRONO!D$12,CÁLCULO!$AB$15:$AL$290)/(ORÇAMENTO!$X$15-CÁLCULO.TotalAdmLocal)*CRONO!$E100,0),D99*$R98),SUMIF(OFFSET($R100,1,0,$Q98-2),($L98+1)&amp;"$",OFFSET(D100,1,0,$Q98-2)))</f>
        <v>0</v>
      </c>
      <c r="E100" s="204" t="str">
        <f ca="1">IF(OR($Q98&lt;&gt;2,AUTOEVENTO&lt;&gt;"manual",$E99&gt;0),"",SUMIF(OFFSET(CÁLCULO!$M$15,CRONO!$E98,0,OFFSET(ORÇAMENTO!$D$15,CRONO!$E98,0)),1,OFFSET(ORÇAMENTO!$X$15,CRONO!$E98,0,OFFSET(ORÇAMENTO!$D$15,CRONO!$E98,0))))</f>
        <v/>
      </c>
      <c r="G100" s="224"/>
      <c r="R100" s="225" t="str">
        <f t="shared" ref="R100" ca="1" si="211">L98&amp;"$"</f>
        <v>2$</v>
      </c>
      <c r="S100" s="226"/>
      <c r="T100" s="227">
        <f ca="1">IF($Q98=2,IF(AND(ACOMPANHAMENTO="PLE",ISNUMBER($E98)),SUMIF((OFFSET(CÁLCULO!$AM$15:$AW$15,$E98,0,OFFSET(ORÇAMENTO!$D$15,CRONO!$E98,0))),"&lt;="&amp;CRONO!T$12,OFFSET(CÁLCULO!$AB$15:$AL$15,$E98,0,OFFSET(ORÇAMENTO!$D$15,CRONO!$E98,0)))+IF(AND($E100&lt;&gt;"",$E100&lt;&gt;0),SUMIF(CÁLCULO!$AM$15:$AW$290,"&lt;="&amp;CRONO!T$12,CÁLCULO!$AB$15:$AL$290)/(ORÇAMENTO!$X$15-CÁLCULO.TotalAdmLocal)*CRONO!$E100,0),T99*$R98),SUMIF(OFFSET($R100,1,0,$Q98-2),($L98+1)&amp;"$",OFFSET(T100,1,0,$Q98-2)))</f>
        <v>0</v>
      </c>
      <c r="U100" s="223">
        <f ca="1">IF($Q98=2,IF(AND(ACOMPANHAMENTO="PLE",ISNUMBER($E98)),SUMIF((OFFSET(CÁLCULO!$AM$15:$AW$15,$E98,0,OFFSET(ORÇAMENTO!$D$15,CRONO!$E98,0))),"="&amp;CRONO!U$12,OFFSET(CÁLCULO!$AB$15:$AL$15,$E98,0,OFFSET(ORÇAMENTO!$D$15,CRONO!$E98,0)))+IF(AND($E100&lt;&gt;"",$E100&lt;&gt;0),SUMIF(CÁLCULO!$AM$15:$AW$290,"="&amp;CRONO!U$12,CÁLCULO!$AB$15:$AL$290)/(ORÇAMENTO!$X$15-CÁLCULO.TotalAdmLocal)*CRONO!$E100,0),U99*$R98),SUMIF(OFFSET($R100,1,0,$Q98-2),($L98+1)&amp;"$",OFFSET(U100,1,0,$Q98-2)))</f>
        <v>0</v>
      </c>
      <c r="V100" s="223">
        <f ca="1">IF($Q98=2,IF(AND(ACOMPANHAMENTO="PLE",ISNUMBER($E98)),SUMIF((OFFSET(CÁLCULO!$AM$15:$AW$15,$E98,0,OFFSET(ORÇAMENTO!$D$15,CRONO!$E98,0))),"="&amp;CRONO!V$12,OFFSET(CÁLCULO!$AB$15:$AL$15,$E98,0,OFFSET(ORÇAMENTO!$D$15,CRONO!$E98,0)))+IF(AND($E100&lt;&gt;"",$E100&lt;&gt;0),SUMIF(CÁLCULO!$AM$15:$AW$290,"="&amp;CRONO!V$12,CÁLCULO!$AB$15:$AL$290)/(ORÇAMENTO!$X$15-CÁLCULO.TotalAdmLocal)*CRONO!$E100,0),V99*$R98),SUMIF(OFFSET($R100,1,0,$Q98-2),($L98+1)&amp;"$",OFFSET(V100,1,0,$Q98-2)))</f>
        <v>12670.215</v>
      </c>
      <c r="W100" s="223">
        <f ca="1">IF($Q98=2,IF(AND(ACOMPANHAMENTO="PLE",ISNUMBER($E98)),SUMIF((OFFSET(CÁLCULO!$AM$15:$AW$15,$E98,0,OFFSET(ORÇAMENTO!$D$15,CRONO!$E98,0))),"="&amp;CRONO!W$12,OFFSET(CÁLCULO!$AB$15:$AL$15,$E98,0,OFFSET(ORÇAMENTO!$D$15,CRONO!$E98,0)))+IF(AND($E100&lt;&gt;"",$E100&lt;&gt;0),SUMIF(CÁLCULO!$AM$15:$AW$290,"="&amp;CRONO!W$12,CÁLCULO!$AB$15:$AL$290)/(ORÇAMENTO!$X$15-CÁLCULO.TotalAdmLocal)*CRONO!$E100,0),W99*$R98),SUMIF(OFFSET($R100,1,0,$Q98-2),($L98+1)&amp;"$",OFFSET(W100,1,0,$Q98-2)))</f>
        <v>12670.215</v>
      </c>
      <c r="X100" s="223">
        <f ca="1">IF($Q98=2,IF(AND(ACOMPANHAMENTO="PLE",ISNUMBER($E98)),SUMIF((OFFSET(CÁLCULO!$AM$15:$AW$15,$E98,0,OFFSET(ORÇAMENTO!$D$15,CRONO!$E98,0))),"="&amp;CRONO!X$12,OFFSET(CÁLCULO!$AB$15:$AL$15,$E98,0,OFFSET(ORÇAMENTO!$D$15,CRONO!$E98,0)))+IF(AND($E100&lt;&gt;"",$E100&lt;&gt;0),SUMIF(CÁLCULO!$AM$15:$AW$290,"="&amp;CRONO!X$12,CÁLCULO!$AB$15:$AL$290)/(ORÇAMENTO!$X$15-CÁLCULO.TotalAdmLocal)*CRONO!$E100,0),X99*$R98),SUMIF(OFFSET($R100,1,0,$Q98-2),($L98+1)&amp;"$",OFFSET(X100,1,0,$Q98-2)))</f>
        <v>12670.215</v>
      </c>
      <c r="Y100" s="223">
        <f ca="1">IF($Q98=2,IF(AND(ACOMPANHAMENTO="PLE",ISNUMBER($E98)),SUMIF((OFFSET(CÁLCULO!$AM$15:$AW$15,$E98,0,OFFSET(ORÇAMENTO!$D$15,CRONO!$E98,0))),"="&amp;CRONO!Y$12,OFFSET(CÁLCULO!$AB$15:$AL$15,$E98,0,OFFSET(ORÇAMENTO!$D$15,CRONO!$E98,0)))+IF(AND($E100&lt;&gt;"",$E100&lt;&gt;0),SUMIF(CÁLCULO!$AM$15:$AW$290,"="&amp;CRONO!Y$12,CÁLCULO!$AB$15:$AL$290)/(ORÇAMENTO!$X$15-CÁLCULO.TotalAdmLocal)*CRONO!$E100,0),Y99*$R98),SUMIF(OFFSET($R100,1,0,$Q98-2),($L98+1)&amp;"$",OFFSET(Y100,1,0,$Q98-2)))</f>
        <v>12670.215</v>
      </c>
      <c r="Z100" s="223">
        <f ca="1">IF($Q98=2,IF(AND(ACOMPANHAMENTO="PLE",ISNUMBER($E98)),SUMIF((OFFSET(CÁLCULO!$AM$15:$AW$15,$E98,0,OFFSET(ORÇAMENTO!$D$15,CRONO!$E98,0))),"="&amp;CRONO!Z$12,OFFSET(CÁLCULO!$AB$15:$AL$15,$E98,0,OFFSET(ORÇAMENTO!$D$15,CRONO!$E98,0)))+IF(AND($E100&lt;&gt;"",$E100&lt;&gt;0),SUMIF(CÁLCULO!$AM$15:$AW$290,"="&amp;CRONO!Z$12,CÁLCULO!$AB$15:$AL$290)/(ORÇAMENTO!$X$15-CÁLCULO.TotalAdmLocal)*CRONO!$E100,0),Z99*$R98),SUMIF(OFFSET($R100,1,0,$Q98-2),($L98+1)&amp;"$",OFFSET(Z100,1,0,$Q98-2)))</f>
        <v>0</v>
      </c>
      <c r="AA100" s="223">
        <f ca="1">IF($Q98=2,IF(AND(ACOMPANHAMENTO="PLE",ISNUMBER($E98)),SUMIF((OFFSET(CÁLCULO!$AM$15:$AW$15,$E98,0,OFFSET(ORÇAMENTO!$D$15,CRONO!$E98,0))),"="&amp;CRONO!AA$12,OFFSET(CÁLCULO!$AB$15:$AL$15,$E98,0,OFFSET(ORÇAMENTO!$D$15,CRONO!$E98,0)))+IF(AND($E100&lt;&gt;"",$E100&lt;&gt;0),SUMIF(CÁLCULO!$AM$15:$AW$290,"="&amp;CRONO!AA$12,CÁLCULO!$AB$15:$AL$290)/(ORÇAMENTO!$X$15-CÁLCULO.TotalAdmLocal)*CRONO!$E100,0),AA99*$R98),SUMIF(OFFSET($R100,1,0,$Q98-2),($L98+1)&amp;"$",OFFSET(AA100,1,0,$Q98-2)))</f>
        <v>0</v>
      </c>
      <c r="AB100" s="223">
        <f ca="1">IF($Q98=2,IF(AND(ACOMPANHAMENTO="PLE",ISNUMBER($E98)),SUMIF((OFFSET(CÁLCULO!$AM$15:$AW$15,$E98,0,OFFSET(ORÇAMENTO!$D$15,CRONO!$E98,0))),"="&amp;CRONO!AB$12,OFFSET(CÁLCULO!$AB$15:$AL$15,$E98,0,OFFSET(ORÇAMENTO!$D$15,CRONO!$E98,0)))+IF(AND($E100&lt;&gt;"",$E100&lt;&gt;0),SUMIF(CÁLCULO!$AM$15:$AW$290,"="&amp;CRONO!AB$12,CÁLCULO!$AB$15:$AL$290)/(ORÇAMENTO!$X$15-CÁLCULO.TotalAdmLocal)*CRONO!$E100,0),AB99*$R98),SUMIF(OFFSET($R100,1,0,$Q98-2),($L98+1)&amp;"$",OFFSET(AB100,1,0,$Q98-2)))</f>
        <v>0</v>
      </c>
      <c r="AC100" s="223">
        <f ca="1">IF($Q98=2,IF(AND(ACOMPANHAMENTO="PLE",ISNUMBER($E98)),SUMIF((OFFSET(CÁLCULO!$AM$15:$AW$15,$E98,0,OFFSET(ORÇAMENTO!$D$15,CRONO!$E98,0))),"="&amp;CRONO!AC$12,OFFSET(CÁLCULO!$AB$15:$AL$15,$E98,0,OFFSET(ORÇAMENTO!$D$15,CRONO!$E98,0)))+IF(AND($E100&lt;&gt;"",$E100&lt;&gt;0),SUMIF(CÁLCULO!$AM$15:$AW$290,"="&amp;CRONO!AC$12,CÁLCULO!$AB$15:$AL$290)/(ORÇAMENTO!$X$15-CÁLCULO.TotalAdmLocal)*CRONO!$E100,0),AC99*$R98),SUMIF(OFFSET($R100,1,0,$Q98-2),($L98+1)&amp;"$",OFFSET(AC100,1,0,$Q98-2)))</f>
        <v>0</v>
      </c>
      <c r="AD100" s="223">
        <f ca="1">IF($Q98=2,IF(AND(ACOMPANHAMENTO="PLE",ISNUMBER($E98)),SUMIF((OFFSET(CÁLCULO!$AM$15:$AW$15,$E98,0,OFFSET(ORÇAMENTO!$D$15,CRONO!$E98,0))),"="&amp;CRONO!AD$12,OFFSET(CÁLCULO!$AB$15:$AL$15,$E98,0,OFFSET(ORÇAMENTO!$D$15,CRONO!$E98,0)))+IF(AND($E100&lt;&gt;"",$E100&lt;&gt;0),SUMIF(CÁLCULO!$AM$15:$AW$290,"="&amp;CRONO!AD$12,CÁLCULO!$AB$15:$AL$290)/(ORÇAMENTO!$X$15-CÁLCULO.TotalAdmLocal)*CRONO!$E100,0),AD99*$R98),SUMIF(OFFSET($R100,1,0,$Q98-2),($L98+1)&amp;"$",OFFSET(AD100,1,0,$Q98-2)))</f>
        <v>0</v>
      </c>
      <c r="AE100" s="228">
        <f ca="1">IF($Q98=2,IF(AND(ACOMPANHAMENTO="PLE",ISNUMBER($E98)),SUMIF((OFFSET(CÁLCULO!$AM$15:$AW$15,$E98,0,OFFSET(ORÇAMENTO!$D$15,CRONO!$E98,0))),"="&amp;CRONO!AE$12,OFFSET(CÁLCULO!$AB$15:$AL$15,$E98,0,OFFSET(ORÇAMENTO!$D$15,CRONO!$E98,0)))+IF(AND($E100&lt;&gt;"",$E100&lt;&gt;0),SUMIF(CÁLCULO!$AM$15:$AW$290,"="&amp;CRONO!AE$12,CÁLCULO!$AB$15:$AL$290)/(ORÇAMENTO!$X$15-CÁLCULO.TotalAdmLocal)*CRONO!$E100,0),AE99*$R98),SUMIF(OFFSET($R100,1,0,$Q98-2),($L98+1)&amp;"$",OFFSET(AE100,1,0,$Q98-2)))</f>
        <v>0</v>
      </c>
    </row>
    <row r="101" spans="1:32" x14ac:dyDescent="0.2">
      <c r="A101" s="204">
        <f t="shared" ref="A101" ca="1" si="212">OFFSET(A101,-3,0)+1</f>
        <v>30</v>
      </c>
      <c r="B101" s="204">
        <f ca="1">IF($Q101&lt;&gt;2,0,IF($R101=0,1,IF(E102&gt;0,OFFSET(QCI!$M$13,SUBSTITUTE(E102,".",""),0),OFFSET(ORÇAMENTO!$AA$15,CRONO!$E101,0))/$R101))</f>
        <v>1</v>
      </c>
      <c r="C101" s="204">
        <f ca="1">IF($Q101&lt;&gt;2,0,IF($R101=0,1,IF(E102&gt;0,OFFSET(QCI!$N$13,SUBSTITUTE(E102,".",""),0),OFFSET(ORÇAMENTO!$AB$15,CRONO!$E101,0))/$R101))</f>
        <v>0</v>
      </c>
      <c r="D101" s="207">
        <f ca="1">IF(AND($Q101=2,ACOMPANHAMENTO="BM"),D102,D103/$R101)</f>
        <v>0</v>
      </c>
      <c r="E101" s="204">
        <f ca="1">IF(A101&lt;=ORÇAMENTO.MáximoListaCrono,MATCH(A101,ORÇAMENTO.ListaCrono,0),NA())</f>
        <v>197</v>
      </c>
      <c r="F101" s="204" t="str">
        <f t="shared" ref="F101" ca="1" si="213">IF(AND($E102&lt;&gt;-1,$R101&gt;0),"F","")</f>
        <v>F</v>
      </c>
      <c r="G101" s="208">
        <f ca="1">IF(OR(R101=0,R101=""),"Linha",IF(AND(OR(ACOMPANHAMENTO="PLE",$Q101&lt;&gt;2),$E102=0),"Linha",1-SUM(T101:AF101)))</f>
        <v>0</v>
      </c>
      <c r="H101" s="209" t="str">
        <f ca="1">IF($E102=0,OFFSET(ORÇAMENTO!O$15,$E101,0),IF($E102&lt;&gt;-1,OFFSET(QCI!$D$13,$E102,0),""))</f>
        <v>1.9.</v>
      </c>
      <c r="I101" s="210" t="str">
        <f ca="1">IF($E102=0,OFFSET(ORÇAMENTO!R$15,$E101,0),IF($E102&lt;&gt;-1,OFFSET(QCI!$G$13,$E102,0),""))</f>
        <v>QUADRA DE AREIA</v>
      </c>
      <c r="J101" s="210"/>
      <c r="K101" s="210"/>
      <c r="L101" s="211">
        <f ca="1">IF($E102=0,OFFSET(ORÇAMENTO!C$15,$E101,0),1)</f>
        <v>2</v>
      </c>
      <c r="M101" s="212">
        <f ca="1">IF($E102=-1,0,IF(M$13&lt;=$L101,IF(ISERROR(MATCH(M$13,OFFSET($L101,1,0,ROW($L$116)-ROW($L101)-1),0)),ROW($L$116)-ROW($L101)-1,MATCH(M$13,OFFSET($L101,1,0,ROW($L$116)-ROW($L101)-1),0)-1),0))</f>
        <v>14</v>
      </c>
      <c r="N101" s="212">
        <f ca="1">IF($E102=-1,0,IF(N$13&lt;=$L101,IF(ISERROR(MATCH(N$13,OFFSET($L101,1,0,ROW($L$116)-ROW($L101)-1),0)),ROW($L$116)-ROW($L101)-1,MATCH(N$13,OFFSET($L101,1,0,ROW($L$116)-ROW($L101)-1),0)-1),0))</f>
        <v>2</v>
      </c>
      <c r="O101" s="212">
        <f ca="1">IF($E102=-1,0,IF(O$13&lt;=$L101,IF(ISERROR(MATCH(O$13,OFFSET($L101,1,0,ROW($L$116)-ROW($L101)-1),0)),ROW($L$116)-ROW($L101)-1,MATCH(O$13,OFFSET($L101,1,0,ROW($L$116)-ROW($L101)-1),0)-1),0))</f>
        <v>0</v>
      </c>
      <c r="P101" s="212">
        <f ca="1">IF($E102=-1,0,IF(P$13&lt;=$L101,IF(ISERROR(MATCH(P$13,OFFSET($L101,1,0,ROW($L$116)-ROW($L101)-1),0)),ROW($L$116)-ROW($L101)-1,MATCH(P$13,OFFSET($L101,1,0,ROW($L$116)-ROW($L101)-1),0)-1),0))</f>
        <v>0</v>
      </c>
      <c r="Q101" s="212">
        <f t="shared" ref="Q101" ca="1" si="214">MIN(OFFSET(L101,0,1,,L101))</f>
        <v>2</v>
      </c>
      <c r="R101" s="213">
        <f ca="1">IF($E102=0,OFFSET(ORÇAMENTO!X$15,$E101,0),IF($E102&lt;&gt;-1,OFFSET(QCI!$O$13,$E102,0),""))</f>
        <v>23098.07</v>
      </c>
      <c r="S101" s="214" t="s">
        <v>270</v>
      </c>
      <c r="T101" s="215">
        <f t="shared" ref="T101:AE101" ca="1" si="215">IF(AND($Q101=2,ACOMPANHAMENTO="BM"),T102,T103/$R101)</f>
        <v>0</v>
      </c>
      <c r="U101" s="207">
        <f t="shared" ca="1" si="215"/>
        <v>0</v>
      </c>
      <c r="V101" s="207">
        <f t="shared" ca="1" si="215"/>
        <v>0.25</v>
      </c>
      <c r="W101" s="207">
        <f t="shared" ca="1" si="215"/>
        <v>0.25</v>
      </c>
      <c r="X101" s="207">
        <f t="shared" ca="1" si="215"/>
        <v>0.25</v>
      </c>
      <c r="Y101" s="207">
        <f t="shared" ca="1" si="215"/>
        <v>0.25</v>
      </c>
      <c r="Z101" s="207">
        <f t="shared" ca="1" si="215"/>
        <v>0</v>
      </c>
      <c r="AA101" s="207">
        <f t="shared" ca="1" si="215"/>
        <v>0</v>
      </c>
      <c r="AB101" s="207">
        <f t="shared" ca="1" si="215"/>
        <v>0</v>
      </c>
      <c r="AC101" s="207">
        <f t="shared" ca="1" si="215"/>
        <v>0</v>
      </c>
      <c r="AD101" s="207">
        <f t="shared" ca="1" si="215"/>
        <v>0</v>
      </c>
      <c r="AE101" s="216">
        <f t="shared" ca="1" si="215"/>
        <v>0</v>
      </c>
    </row>
    <row r="102" spans="1:32" ht="12.75" customHeight="1" x14ac:dyDescent="0.2">
      <c r="D102" s="569"/>
      <c r="E102" s="204">
        <f ca="1">IF(ISERROR(E101),IF(1+COUNTIF($L$13:OFFSET(L101,-1,0),1)&lt;=MAX(QCI!$D$13:$D$24),1+COUNTIF($L$13:OFFSET(L101,-1,0),1),-1),0)</f>
        <v>0</v>
      </c>
      <c r="F102" s="204" t="str">
        <f t="shared" ref="F102" ca="1" si="216">IF(AND($E102&lt;&gt;-1,$R101&gt;0),"F","")</f>
        <v>F</v>
      </c>
      <c r="G102" s="217" t="str">
        <f ca="1">IF(OR(R101=0,R101=""),"vazia",IF(AND(OR(ACOMPANHAMENTO="PLE",$Q101&lt;&gt;2),$E102=0),"calculada","--&gt;"))</f>
        <v>--&gt;</v>
      </c>
      <c r="H102" s="218"/>
      <c r="I102" s="219" t="str">
        <f t="shared" ref="I102" ca="1" si="217">IF(AND(G101&lt;&gt;0,ISNUMBER(G101)),"PREENCHA ESTA LINHA --&gt;","")</f>
        <v/>
      </c>
      <c r="J102" s="219"/>
      <c r="K102" s="219"/>
      <c r="L102" s="220"/>
      <c r="M102" s="220"/>
      <c r="N102" s="220"/>
      <c r="O102" s="220"/>
      <c r="P102" s="220"/>
      <c r="Q102" s="220"/>
      <c r="R102" s="221"/>
      <c r="S102" s="222"/>
      <c r="T102" s="570"/>
      <c r="U102" s="569"/>
      <c r="V102" s="569">
        <v>0.25</v>
      </c>
      <c r="W102" s="569">
        <v>0.25</v>
      </c>
      <c r="X102" s="569">
        <v>0.25</v>
      </c>
      <c r="Y102" s="569">
        <v>0.25</v>
      </c>
      <c r="Z102" s="569"/>
      <c r="AA102" s="569"/>
      <c r="AB102" s="569"/>
      <c r="AC102" s="569"/>
      <c r="AD102" s="569"/>
      <c r="AE102" s="571"/>
      <c r="AF102" s="533"/>
    </row>
    <row r="103" spans="1:32" ht="0.2" hidden="1" customHeight="1" x14ac:dyDescent="0.2">
      <c r="D103" s="223">
        <f ca="1">IF($Q101=2,IF(AND(ACOMPANHAMENTO="PLE",ISNUMBER($E101)),SUMIF((OFFSET(CÁLCULO!$AM$15:$AW$15,$E101,0,OFFSET(ORÇAMENTO!$D$15,CRONO!$E101,0))),"="&amp;CRONO!D$12,OFFSET(CÁLCULO!$AB$15:$AL$15,$E101,0,OFFSET(ORÇAMENTO!$D$15,CRONO!$E101,0)))+IF(AND($E103&lt;&gt;"",$E103&lt;&gt;0),SUMIF(CÁLCULO!$AM$15:$AW$290,"="&amp;CRONO!D$12,CÁLCULO!$AB$15:$AL$290)/(ORÇAMENTO!$X$15-CÁLCULO.TotalAdmLocal)*CRONO!$E103,0),D102*$R101),SUMIF(OFFSET($R103,1,0,$Q101-2),($L101+1)&amp;"$",OFFSET(D103,1,0,$Q101-2)))</f>
        <v>0</v>
      </c>
      <c r="E103" s="204" t="str">
        <f ca="1">IF(OR($Q101&lt;&gt;2,AUTOEVENTO&lt;&gt;"manual",$E102&gt;0),"",SUMIF(OFFSET(CÁLCULO!$M$15,CRONO!$E101,0,OFFSET(ORÇAMENTO!$D$15,CRONO!$E101,0)),1,OFFSET(ORÇAMENTO!$X$15,CRONO!$E101,0,OFFSET(ORÇAMENTO!$D$15,CRONO!$E101,0))))</f>
        <v/>
      </c>
      <c r="G103" s="224"/>
      <c r="R103" s="225" t="str">
        <f t="shared" ref="R103" ca="1" si="218">L101&amp;"$"</f>
        <v>2$</v>
      </c>
      <c r="S103" s="226"/>
      <c r="T103" s="227">
        <f ca="1">IF($Q101=2,IF(AND(ACOMPANHAMENTO="PLE",ISNUMBER($E101)),SUMIF((OFFSET(CÁLCULO!$AM$15:$AW$15,$E101,0,OFFSET(ORÇAMENTO!$D$15,CRONO!$E101,0))),"&lt;="&amp;CRONO!T$12,OFFSET(CÁLCULO!$AB$15:$AL$15,$E101,0,OFFSET(ORÇAMENTO!$D$15,CRONO!$E101,0)))+IF(AND($E103&lt;&gt;"",$E103&lt;&gt;0),SUMIF(CÁLCULO!$AM$15:$AW$290,"&lt;="&amp;CRONO!T$12,CÁLCULO!$AB$15:$AL$290)/(ORÇAMENTO!$X$15-CÁLCULO.TotalAdmLocal)*CRONO!$E103,0),T102*$R101),SUMIF(OFFSET($R103,1,0,$Q101-2),($L101+1)&amp;"$",OFFSET(T103,1,0,$Q101-2)))</f>
        <v>0</v>
      </c>
      <c r="U103" s="223">
        <f ca="1">IF($Q101=2,IF(AND(ACOMPANHAMENTO="PLE",ISNUMBER($E101)),SUMIF((OFFSET(CÁLCULO!$AM$15:$AW$15,$E101,0,OFFSET(ORÇAMENTO!$D$15,CRONO!$E101,0))),"="&amp;CRONO!U$12,OFFSET(CÁLCULO!$AB$15:$AL$15,$E101,0,OFFSET(ORÇAMENTO!$D$15,CRONO!$E101,0)))+IF(AND($E103&lt;&gt;"",$E103&lt;&gt;0),SUMIF(CÁLCULO!$AM$15:$AW$290,"="&amp;CRONO!U$12,CÁLCULO!$AB$15:$AL$290)/(ORÇAMENTO!$X$15-CÁLCULO.TotalAdmLocal)*CRONO!$E103,0),U102*$R101),SUMIF(OFFSET($R103,1,0,$Q101-2),($L101+1)&amp;"$",OFFSET(U103,1,0,$Q101-2)))</f>
        <v>0</v>
      </c>
      <c r="V103" s="223">
        <f ca="1">IF($Q101=2,IF(AND(ACOMPANHAMENTO="PLE",ISNUMBER($E101)),SUMIF((OFFSET(CÁLCULO!$AM$15:$AW$15,$E101,0,OFFSET(ORÇAMENTO!$D$15,CRONO!$E101,0))),"="&amp;CRONO!V$12,OFFSET(CÁLCULO!$AB$15:$AL$15,$E101,0,OFFSET(ORÇAMENTO!$D$15,CRONO!$E101,0)))+IF(AND($E103&lt;&gt;"",$E103&lt;&gt;0),SUMIF(CÁLCULO!$AM$15:$AW$290,"="&amp;CRONO!V$12,CÁLCULO!$AB$15:$AL$290)/(ORÇAMENTO!$X$15-CÁLCULO.TotalAdmLocal)*CRONO!$E103,0),V102*$R101),SUMIF(OFFSET($R103,1,0,$Q101-2),($L101+1)&amp;"$",OFFSET(V103,1,0,$Q101-2)))</f>
        <v>5774.5174999999999</v>
      </c>
      <c r="W103" s="223">
        <f ca="1">IF($Q101=2,IF(AND(ACOMPANHAMENTO="PLE",ISNUMBER($E101)),SUMIF((OFFSET(CÁLCULO!$AM$15:$AW$15,$E101,0,OFFSET(ORÇAMENTO!$D$15,CRONO!$E101,0))),"="&amp;CRONO!W$12,OFFSET(CÁLCULO!$AB$15:$AL$15,$E101,0,OFFSET(ORÇAMENTO!$D$15,CRONO!$E101,0)))+IF(AND($E103&lt;&gt;"",$E103&lt;&gt;0),SUMIF(CÁLCULO!$AM$15:$AW$290,"="&amp;CRONO!W$12,CÁLCULO!$AB$15:$AL$290)/(ORÇAMENTO!$X$15-CÁLCULO.TotalAdmLocal)*CRONO!$E103,0),W102*$R101),SUMIF(OFFSET($R103,1,0,$Q101-2),($L101+1)&amp;"$",OFFSET(W103,1,0,$Q101-2)))</f>
        <v>5774.5174999999999</v>
      </c>
      <c r="X103" s="223">
        <f ca="1">IF($Q101=2,IF(AND(ACOMPANHAMENTO="PLE",ISNUMBER($E101)),SUMIF((OFFSET(CÁLCULO!$AM$15:$AW$15,$E101,0,OFFSET(ORÇAMENTO!$D$15,CRONO!$E101,0))),"="&amp;CRONO!X$12,OFFSET(CÁLCULO!$AB$15:$AL$15,$E101,0,OFFSET(ORÇAMENTO!$D$15,CRONO!$E101,0)))+IF(AND($E103&lt;&gt;"",$E103&lt;&gt;0),SUMIF(CÁLCULO!$AM$15:$AW$290,"="&amp;CRONO!X$12,CÁLCULO!$AB$15:$AL$290)/(ORÇAMENTO!$X$15-CÁLCULO.TotalAdmLocal)*CRONO!$E103,0),X102*$R101),SUMIF(OFFSET($R103,1,0,$Q101-2),($L101+1)&amp;"$",OFFSET(X103,1,0,$Q101-2)))</f>
        <v>5774.5174999999999</v>
      </c>
      <c r="Y103" s="223">
        <f ca="1">IF($Q101=2,IF(AND(ACOMPANHAMENTO="PLE",ISNUMBER($E101)),SUMIF((OFFSET(CÁLCULO!$AM$15:$AW$15,$E101,0,OFFSET(ORÇAMENTO!$D$15,CRONO!$E101,0))),"="&amp;CRONO!Y$12,OFFSET(CÁLCULO!$AB$15:$AL$15,$E101,0,OFFSET(ORÇAMENTO!$D$15,CRONO!$E101,0)))+IF(AND($E103&lt;&gt;"",$E103&lt;&gt;0),SUMIF(CÁLCULO!$AM$15:$AW$290,"="&amp;CRONO!Y$12,CÁLCULO!$AB$15:$AL$290)/(ORÇAMENTO!$X$15-CÁLCULO.TotalAdmLocal)*CRONO!$E103,0),Y102*$R101),SUMIF(OFFSET($R103,1,0,$Q101-2),($L101+1)&amp;"$",OFFSET(Y103,1,0,$Q101-2)))</f>
        <v>5774.5174999999999</v>
      </c>
      <c r="Z103" s="223">
        <f ca="1">IF($Q101=2,IF(AND(ACOMPANHAMENTO="PLE",ISNUMBER($E101)),SUMIF((OFFSET(CÁLCULO!$AM$15:$AW$15,$E101,0,OFFSET(ORÇAMENTO!$D$15,CRONO!$E101,0))),"="&amp;CRONO!Z$12,OFFSET(CÁLCULO!$AB$15:$AL$15,$E101,0,OFFSET(ORÇAMENTO!$D$15,CRONO!$E101,0)))+IF(AND($E103&lt;&gt;"",$E103&lt;&gt;0),SUMIF(CÁLCULO!$AM$15:$AW$290,"="&amp;CRONO!Z$12,CÁLCULO!$AB$15:$AL$290)/(ORÇAMENTO!$X$15-CÁLCULO.TotalAdmLocal)*CRONO!$E103,0),Z102*$R101),SUMIF(OFFSET($R103,1,0,$Q101-2),($L101+1)&amp;"$",OFFSET(Z103,1,0,$Q101-2)))</f>
        <v>0</v>
      </c>
      <c r="AA103" s="223">
        <f ca="1">IF($Q101=2,IF(AND(ACOMPANHAMENTO="PLE",ISNUMBER($E101)),SUMIF((OFFSET(CÁLCULO!$AM$15:$AW$15,$E101,0,OFFSET(ORÇAMENTO!$D$15,CRONO!$E101,0))),"="&amp;CRONO!AA$12,OFFSET(CÁLCULO!$AB$15:$AL$15,$E101,0,OFFSET(ORÇAMENTO!$D$15,CRONO!$E101,0)))+IF(AND($E103&lt;&gt;"",$E103&lt;&gt;0),SUMIF(CÁLCULO!$AM$15:$AW$290,"="&amp;CRONO!AA$12,CÁLCULO!$AB$15:$AL$290)/(ORÇAMENTO!$X$15-CÁLCULO.TotalAdmLocal)*CRONO!$E103,0),AA102*$R101),SUMIF(OFFSET($R103,1,0,$Q101-2),($L101+1)&amp;"$",OFFSET(AA103,1,0,$Q101-2)))</f>
        <v>0</v>
      </c>
      <c r="AB103" s="223">
        <f ca="1">IF($Q101=2,IF(AND(ACOMPANHAMENTO="PLE",ISNUMBER($E101)),SUMIF((OFFSET(CÁLCULO!$AM$15:$AW$15,$E101,0,OFFSET(ORÇAMENTO!$D$15,CRONO!$E101,0))),"="&amp;CRONO!AB$12,OFFSET(CÁLCULO!$AB$15:$AL$15,$E101,0,OFFSET(ORÇAMENTO!$D$15,CRONO!$E101,0)))+IF(AND($E103&lt;&gt;"",$E103&lt;&gt;0),SUMIF(CÁLCULO!$AM$15:$AW$290,"="&amp;CRONO!AB$12,CÁLCULO!$AB$15:$AL$290)/(ORÇAMENTO!$X$15-CÁLCULO.TotalAdmLocal)*CRONO!$E103,0),AB102*$R101),SUMIF(OFFSET($R103,1,0,$Q101-2),($L101+1)&amp;"$",OFFSET(AB103,1,0,$Q101-2)))</f>
        <v>0</v>
      </c>
      <c r="AC103" s="223">
        <f ca="1">IF($Q101=2,IF(AND(ACOMPANHAMENTO="PLE",ISNUMBER($E101)),SUMIF((OFFSET(CÁLCULO!$AM$15:$AW$15,$E101,0,OFFSET(ORÇAMENTO!$D$15,CRONO!$E101,0))),"="&amp;CRONO!AC$12,OFFSET(CÁLCULO!$AB$15:$AL$15,$E101,0,OFFSET(ORÇAMENTO!$D$15,CRONO!$E101,0)))+IF(AND($E103&lt;&gt;"",$E103&lt;&gt;0),SUMIF(CÁLCULO!$AM$15:$AW$290,"="&amp;CRONO!AC$12,CÁLCULO!$AB$15:$AL$290)/(ORÇAMENTO!$X$15-CÁLCULO.TotalAdmLocal)*CRONO!$E103,0),AC102*$R101),SUMIF(OFFSET($R103,1,0,$Q101-2),($L101+1)&amp;"$",OFFSET(AC103,1,0,$Q101-2)))</f>
        <v>0</v>
      </c>
      <c r="AD103" s="223">
        <f ca="1">IF($Q101=2,IF(AND(ACOMPANHAMENTO="PLE",ISNUMBER($E101)),SUMIF((OFFSET(CÁLCULO!$AM$15:$AW$15,$E101,0,OFFSET(ORÇAMENTO!$D$15,CRONO!$E101,0))),"="&amp;CRONO!AD$12,OFFSET(CÁLCULO!$AB$15:$AL$15,$E101,0,OFFSET(ORÇAMENTO!$D$15,CRONO!$E101,0)))+IF(AND($E103&lt;&gt;"",$E103&lt;&gt;0),SUMIF(CÁLCULO!$AM$15:$AW$290,"="&amp;CRONO!AD$12,CÁLCULO!$AB$15:$AL$290)/(ORÇAMENTO!$X$15-CÁLCULO.TotalAdmLocal)*CRONO!$E103,0),AD102*$R101),SUMIF(OFFSET($R103,1,0,$Q101-2),($L101+1)&amp;"$",OFFSET(AD103,1,0,$Q101-2)))</f>
        <v>0</v>
      </c>
      <c r="AE103" s="228">
        <f ca="1">IF($Q101=2,IF(AND(ACOMPANHAMENTO="PLE",ISNUMBER($E101)),SUMIF((OFFSET(CÁLCULO!$AM$15:$AW$15,$E101,0,OFFSET(ORÇAMENTO!$D$15,CRONO!$E101,0))),"="&amp;CRONO!AE$12,OFFSET(CÁLCULO!$AB$15:$AL$15,$E101,0,OFFSET(ORÇAMENTO!$D$15,CRONO!$E101,0)))+IF(AND($E103&lt;&gt;"",$E103&lt;&gt;0),SUMIF(CÁLCULO!$AM$15:$AW$290,"="&amp;CRONO!AE$12,CÁLCULO!$AB$15:$AL$290)/(ORÇAMENTO!$X$15-CÁLCULO.TotalAdmLocal)*CRONO!$E103,0),AE102*$R101),SUMIF(OFFSET($R103,1,0,$Q101-2),($L101+1)&amp;"$",OFFSET(AE103,1,0,$Q101-2)))</f>
        <v>0</v>
      </c>
    </row>
    <row r="104" spans="1:32" x14ac:dyDescent="0.2">
      <c r="A104" s="204">
        <f t="shared" ref="A104" ca="1" si="219">OFFSET(A104,-3,0)+1</f>
        <v>31</v>
      </c>
      <c r="B104" s="204">
        <f ca="1">IF($Q104&lt;&gt;2,0,IF($R104=0,1,IF(E105&gt;0,OFFSET(QCI!$M$13,SUBSTITUTE(E105,".",""),0),OFFSET(ORÇAMENTO!$AA$15,CRONO!$E104,0))/$R104))</f>
        <v>1</v>
      </c>
      <c r="C104" s="204">
        <f ca="1">IF($Q104&lt;&gt;2,0,IF($R104=0,1,IF(E105&gt;0,OFFSET(QCI!$N$13,SUBSTITUTE(E105,".",""),0),OFFSET(ORÇAMENTO!$AB$15,CRONO!$E104,0))/$R104))</f>
        <v>0</v>
      </c>
      <c r="D104" s="207">
        <f ca="1">IF(AND($Q104=2,ACOMPANHAMENTO="BM"),D105,D106/$R104)</f>
        <v>0</v>
      </c>
      <c r="E104" s="204">
        <f ca="1">IF(A104&lt;=ORÇAMENTO.MáximoListaCrono,MATCH(A104,ORÇAMENTO.ListaCrono,0),NA())</f>
        <v>210</v>
      </c>
      <c r="F104" s="204" t="str">
        <f t="shared" ref="F104" ca="1" si="220">IF(AND($E105&lt;&gt;-1,$R104&gt;0),"F","")</f>
        <v>F</v>
      </c>
      <c r="G104" s="208">
        <f ca="1">IF(OR(R104=0,R104=""),"Linha",IF(AND(OR(ACOMPANHAMENTO="PLE",$Q104&lt;&gt;2),$E105=0),"Linha",1-SUM(T104:AF104)))</f>
        <v>0</v>
      </c>
      <c r="H104" s="209" t="str">
        <f ca="1">IF($E105=0,OFFSET(ORÇAMENTO!O$15,$E104,0),IF($E105&lt;&gt;-1,OFFSET(QCI!$D$13,$E105,0),""))</f>
        <v>1.10.</v>
      </c>
      <c r="I104" s="210" t="str">
        <f ca="1">IF($E105=0,OFFSET(ORÇAMENTO!R$15,$E104,0),IF($E105&lt;&gt;-1,OFFSET(QCI!$G$13,$E105,0),""))</f>
        <v>PLAYGROUND</v>
      </c>
      <c r="J104" s="210"/>
      <c r="K104" s="210"/>
      <c r="L104" s="211">
        <f ca="1">IF($E105=0,OFFSET(ORÇAMENTO!C$15,$E104,0),1)</f>
        <v>2</v>
      </c>
      <c r="M104" s="212">
        <f t="shared" ref="M104" ca="1" si="221">IF($E105=-1,0,IF(M$13&lt;=$L104,IF(ISERROR(MATCH(M$13,OFFSET($L104,1,0,ROW($L$116)-ROW($L104)-1),0)),ROW($L$116)-ROW($L104)-1,MATCH(M$13,OFFSET($L104,1,0,ROW($L$116)-ROW($L104)-1),0)-1),0))</f>
        <v>11</v>
      </c>
      <c r="N104" s="212">
        <f t="shared" ref="N104" ca="1" si="222">IF($E105=-1,0,IF(N$13&lt;=$L104,IF(ISERROR(MATCH(N$13,OFFSET($L104,1,0,ROW($L$116)-ROW($L104)-1),0)),ROW($L$116)-ROW($L104)-1,MATCH(N$13,OFFSET($L104,1,0,ROW($L$116)-ROW($L104)-1),0)-1),0))</f>
        <v>2</v>
      </c>
      <c r="O104" s="212">
        <f t="shared" ref="O104" ca="1" si="223">IF($E105=-1,0,IF(O$13&lt;=$L104,IF(ISERROR(MATCH(O$13,OFFSET($L104,1,0,ROW($L$116)-ROW($L104)-1),0)),ROW($L$116)-ROW($L104)-1,MATCH(O$13,OFFSET($L104,1,0,ROW($L$116)-ROW($L104)-1),0)-1),0))</f>
        <v>0</v>
      </c>
      <c r="P104" s="212">
        <f t="shared" ref="P104" ca="1" si="224">IF($E105=-1,0,IF(P$13&lt;=$L104,IF(ISERROR(MATCH(P$13,OFFSET($L104,1,0,ROW($L$116)-ROW($L104)-1),0)),ROW($L$116)-ROW($L104)-1,MATCH(P$13,OFFSET($L104,1,0,ROW($L$116)-ROW($L104)-1),0)-1),0))</f>
        <v>0</v>
      </c>
      <c r="Q104" s="212">
        <f t="shared" ref="Q104" ca="1" si="225">MIN(OFFSET(L104,0,1,,L104))</f>
        <v>2</v>
      </c>
      <c r="R104" s="213">
        <f ca="1">IF($E105=0,OFFSET(ORÇAMENTO!X$15,$E104,0),IF($E105&lt;&gt;-1,OFFSET(QCI!$O$13,$E105,0),""))</f>
        <v>18622.34</v>
      </c>
      <c r="S104" s="214" t="s">
        <v>270</v>
      </c>
      <c r="T104" s="215">
        <f t="shared" ref="T104:AE104" ca="1" si="226">IF(AND($Q104=2,ACOMPANHAMENTO="BM"),T105,T106/$R104)</f>
        <v>0</v>
      </c>
      <c r="U104" s="207">
        <f t="shared" ca="1" si="226"/>
        <v>0</v>
      </c>
      <c r="V104" s="207">
        <f t="shared" ca="1" si="226"/>
        <v>0.25</v>
      </c>
      <c r="W104" s="207">
        <f t="shared" ca="1" si="226"/>
        <v>0.25</v>
      </c>
      <c r="X104" s="207">
        <f t="shared" ca="1" si="226"/>
        <v>0.25</v>
      </c>
      <c r="Y104" s="207">
        <f t="shared" ca="1" si="226"/>
        <v>0.25</v>
      </c>
      <c r="Z104" s="207">
        <f t="shared" ca="1" si="226"/>
        <v>0</v>
      </c>
      <c r="AA104" s="207">
        <f t="shared" ca="1" si="226"/>
        <v>0</v>
      </c>
      <c r="AB104" s="207">
        <f t="shared" ca="1" si="226"/>
        <v>0</v>
      </c>
      <c r="AC104" s="207">
        <f t="shared" ca="1" si="226"/>
        <v>0</v>
      </c>
      <c r="AD104" s="207">
        <f t="shared" ca="1" si="226"/>
        <v>0</v>
      </c>
      <c r="AE104" s="216">
        <f t="shared" ca="1" si="226"/>
        <v>0</v>
      </c>
    </row>
    <row r="105" spans="1:32" ht="12.75" customHeight="1" x14ac:dyDescent="0.2">
      <c r="D105" s="569"/>
      <c r="E105" s="204">
        <f ca="1">IF(ISERROR(E104),IF(1+COUNTIF($L$13:OFFSET(L104,-1,0),1)&lt;=MAX(QCI!$D$13:$D$24),1+COUNTIF($L$13:OFFSET(L104,-1,0),1),-1),0)</f>
        <v>0</v>
      </c>
      <c r="F105" s="204" t="str">
        <f t="shared" ref="F105" ca="1" si="227">IF(AND($E105&lt;&gt;-1,$R104&gt;0),"F","")</f>
        <v>F</v>
      </c>
      <c r="G105" s="217" t="str">
        <f ca="1">IF(OR(R104=0,R104=""),"vazia",IF(AND(OR(ACOMPANHAMENTO="PLE",$Q104&lt;&gt;2),$E105=0),"calculada","--&gt;"))</f>
        <v>--&gt;</v>
      </c>
      <c r="H105" s="218"/>
      <c r="I105" s="219" t="str">
        <f t="shared" ref="I105" ca="1" si="228">IF(AND(G104&lt;&gt;0,ISNUMBER(G104)),"PREENCHA ESTA LINHA --&gt;","")</f>
        <v/>
      </c>
      <c r="J105" s="219"/>
      <c r="K105" s="219"/>
      <c r="L105" s="220"/>
      <c r="M105" s="220"/>
      <c r="N105" s="220"/>
      <c r="O105" s="220"/>
      <c r="P105" s="220"/>
      <c r="Q105" s="220"/>
      <c r="R105" s="221"/>
      <c r="S105" s="222"/>
      <c r="T105" s="570"/>
      <c r="U105" s="569"/>
      <c r="V105" s="569">
        <v>0.25</v>
      </c>
      <c r="W105" s="569">
        <v>0.25</v>
      </c>
      <c r="X105" s="569">
        <v>0.25</v>
      </c>
      <c r="Y105" s="569">
        <v>0.25</v>
      </c>
      <c r="Z105" s="569"/>
      <c r="AA105" s="569"/>
      <c r="AB105" s="569"/>
      <c r="AC105" s="569"/>
      <c r="AD105" s="569"/>
      <c r="AE105" s="571"/>
      <c r="AF105" s="533"/>
    </row>
    <row r="106" spans="1:32" ht="0.2" hidden="1" customHeight="1" x14ac:dyDescent="0.2">
      <c r="D106" s="223">
        <f ca="1">IF($Q104=2,IF(AND(ACOMPANHAMENTO="PLE",ISNUMBER($E104)),SUMIF((OFFSET(CÁLCULO!$AM$15:$AW$15,$E104,0,OFFSET(ORÇAMENTO!$D$15,CRONO!$E104,0))),"="&amp;CRONO!D$12,OFFSET(CÁLCULO!$AB$15:$AL$15,$E104,0,OFFSET(ORÇAMENTO!$D$15,CRONO!$E104,0)))+IF(AND($E106&lt;&gt;"",$E106&lt;&gt;0),SUMIF(CÁLCULO!$AM$15:$AW$290,"="&amp;CRONO!D$12,CÁLCULO!$AB$15:$AL$290)/(ORÇAMENTO!$X$15-CÁLCULO.TotalAdmLocal)*CRONO!$E106,0),D105*$R104),SUMIF(OFFSET($R106,1,0,$Q104-2),($L104+1)&amp;"$",OFFSET(D106,1,0,$Q104-2)))</f>
        <v>0</v>
      </c>
      <c r="E106" s="204" t="str">
        <f ca="1">IF(OR($Q104&lt;&gt;2,AUTOEVENTO&lt;&gt;"manual",$E105&gt;0),"",SUMIF(OFFSET(CÁLCULO!$M$15,CRONO!$E104,0,OFFSET(ORÇAMENTO!$D$15,CRONO!$E104,0)),1,OFFSET(ORÇAMENTO!$X$15,CRONO!$E104,0,OFFSET(ORÇAMENTO!$D$15,CRONO!$E104,0))))</f>
        <v/>
      </c>
      <c r="G106" s="224"/>
      <c r="R106" s="225" t="str">
        <f t="shared" ref="R106" ca="1" si="229">L104&amp;"$"</f>
        <v>2$</v>
      </c>
      <c r="S106" s="226"/>
      <c r="T106" s="227">
        <f ca="1">IF($Q104=2,IF(AND(ACOMPANHAMENTO="PLE",ISNUMBER($E104)),SUMIF((OFFSET(CÁLCULO!$AM$15:$AW$15,$E104,0,OFFSET(ORÇAMENTO!$D$15,CRONO!$E104,0))),"&lt;="&amp;CRONO!T$12,OFFSET(CÁLCULO!$AB$15:$AL$15,$E104,0,OFFSET(ORÇAMENTO!$D$15,CRONO!$E104,0)))+IF(AND($E106&lt;&gt;"",$E106&lt;&gt;0),SUMIF(CÁLCULO!$AM$15:$AW$290,"&lt;="&amp;CRONO!T$12,CÁLCULO!$AB$15:$AL$290)/(ORÇAMENTO!$X$15-CÁLCULO.TotalAdmLocal)*CRONO!$E106,0),T105*$R104),SUMIF(OFFSET($R106,1,0,$Q104-2),($L104+1)&amp;"$",OFFSET(T106,1,0,$Q104-2)))</f>
        <v>0</v>
      </c>
      <c r="U106" s="223">
        <f ca="1">IF($Q104=2,IF(AND(ACOMPANHAMENTO="PLE",ISNUMBER($E104)),SUMIF((OFFSET(CÁLCULO!$AM$15:$AW$15,$E104,0,OFFSET(ORÇAMENTO!$D$15,CRONO!$E104,0))),"="&amp;CRONO!U$12,OFFSET(CÁLCULO!$AB$15:$AL$15,$E104,0,OFFSET(ORÇAMENTO!$D$15,CRONO!$E104,0)))+IF(AND($E106&lt;&gt;"",$E106&lt;&gt;0),SUMIF(CÁLCULO!$AM$15:$AW$290,"="&amp;CRONO!U$12,CÁLCULO!$AB$15:$AL$290)/(ORÇAMENTO!$X$15-CÁLCULO.TotalAdmLocal)*CRONO!$E106,0),U105*$R104),SUMIF(OFFSET($R106,1,0,$Q104-2),($L104+1)&amp;"$",OFFSET(U106,1,0,$Q104-2)))</f>
        <v>0</v>
      </c>
      <c r="V106" s="223">
        <f ca="1">IF($Q104=2,IF(AND(ACOMPANHAMENTO="PLE",ISNUMBER($E104)),SUMIF((OFFSET(CÁLCULO!$AM$15:$AW$15,$E104,0,OFFSET(ORÇAMENTO!$D$15,CRONO!$E104,0))),"="&amp;CRONO!V$12,OFFSET(CÁLCULO!$AB$15:$AL$15,$E104,0,OFFSET(ORÇAMENTO!$D$15,CRONO!$E104,0)))+IF(AND($E106&lt;&gt;"",$E106&lt;&gt;0),SUMIF(CÁLCULO!$AM$15:$AW$290,"="&amp;CRONO!V$12,CÁLCULO!$AB$15:$AL$290)/(ORÇAMENTO!$X$15-CÁLCULO.TotalAdmLocal)*CRONO!$E106,0),V105*$R104),SUMIF(OFFSET($R106,1,0,$Q104-2),($L104+1)&amp;"$",OFFSET(V106,1,0,$Q104-2)))</f>
        <v>4655.585</v>
      </c>
      <c r="W106" s="223">
        <f ca="1">IF($Q104=2,IF(AND(ACOMPANHAMENTO="PLE",ISNUMBER($E104)),SUMIF((OFFSET(CÁLCULO!$AM$15:$AW$15,$E104,0,OFFSET(ORÇAMENTO!$D$15,CRONO!$E104,0))),"="&amp;CRONO!W$12,OFFSET(CÁLCULO!$AB$15:$AL$15,$E104,0,OFFSET(ORÇAMENTO!$D$15,CRONO!$E104,0)))+IF(AND($E106&lt;&gt;"",$E106&lt;&gt;0),SUMIF(CÁLCULO!$AM$15:$AW$290,"="&amp;CRONO!W$12,CÁLCULO!$AB$15:$AL$290)/(ORÇAMENTO!$X$15-CÁLCULO.TotalAdmLocal)*CRONO!$E106,0),W105*$R104),SUMIF(OFFSET($R106,1,0,$Q104-2),($L104+1)&amp;"$",OFFSET(W106,1,0,$Q104-2)))</f>
        <v>4655.585</v>
      </c>
      <c r="X106" s="223">
        <f ca="1">IF($Q104=2,IF(AND(ACOMPANHAMENTO="PLE",ISNUMBER($E104)),SUMIF((OFFSET(CÁLCULO!$AM$15:$AW$15,$E104,0,OFFSET(ORÇAMENTO!$D$15,CRONO!$E104,0))),"="&amp;CRONO!X$12,OFFSET(CÁLCULO!$AB$15:$AL$15,$E104,0,OFFSET(ORÇAMENTO!$D$15,CRONO!$E104,0)))+IF(AND($E106&lt;&gt;"",$E106&lt;&gt;0),SUMIF(CÁLCULO!$AM$15:$AW$290,"="&amp;CRONO!X$12,CÁLCULO!$AB$15:$AL$290)/(ORÇAMENTO!$X$15-CÁLCULO.TotalAdmLocal)*CRONO!$E106,0),X105*$R104),SUMIF(OFFSET($R106,1,0,$Q104-2),($L104+1)&amp;"$",OFFSET(X106,1,0,$Q104-2)))</f>
        <v>4655.585</v>
      </c>
      <c r="Y106" s="223">
        <f ca="1">IF($Q104=2,IF(AND(ACOMPANHAMENTO="PLE",ISNUMBER($E104)),SUMIF((OFFSET(CÁLCULO!$AM$15:$AW$15,$E104,0,OFFSET(ORÇAMENTO!$D$15,CRONO!$E104,0))),"="&amp;CRONO!Y$12,OFFSET(CÁLCULO!$AB$15:$AL$15,$E104,0,OFFSET(ORÇAMENTO!$D$15,CRONO!$E104,0)))+IF(AND($E106&lt;&gt;"",$E106&lt;&gt;0),SUMIF(CÁLCULO!$AM$15:$AW$290,"="&amp;CRONO!Y$12,CÁLCULO!$AB$15:$AL$290)/(ORÇAMENTO!$X$15-CÁLCULO.TotalAdmLocal)*CRONO!$E106,0),Y105*$R104),SUMIF(OFFSET($R106,1,0,$Q104-2),($L104+1)&amp;"$",OFFSET(Y106,1,0,$Q104-2)))</f>
        <v>4655.585</v>
      </c>
      <c r="Z106" s="223">
        <f ca="1">IF($Q104=2,IF(AND(ACOMPANHAMENTO="PLE",ISNUMBER($E104)),SUMIF((OFFSET(CÁLCULO!$AM$15:$AW$15,$E104,0,OFFSET(ORÇAMENTO!$D$15,CRONO!$E104,0))),"="&amp;CRONO!Z$12,OFFSET(CÁLCULO!$AB$15:$AL$15,$E104,0,OFFSET(ORÇAMENTO!$D$15,CRONO!$E104,0)))+IF(AND($E106&lt;&gt;"",$E106&lt;&gt;0),SUMIF(CÁLCULO!$AM$15:$AW$290,"="&amp;CRONO!Z$12,CÁLCULO!$AB$15:$AL$290)/(ORÇAMENTO!$X$15-CÁLCULO.TotalAdmLocal)*CRONO!$E106,0),Z105*$R104),SUMIF(OFFSET($R106,1,0,$Q104-2),($L104+1)&amp;"$",OFFSET(Z106,1,0,$Q104-2)))</f>
        <v>0</v>
      </c>
      <c r="AA106" s="223">
        <f ca="1">IF($Q104=2,IF(AND(ACOMPANHAMENTO="PLE",ISNUMBER($E104)),SUMIF((OFFSET(CÁLCULO!$AM$15:$AW$15,$E104,0,OFFSET(ORÇAMENTO!$D$15,CRONO!$E104,0))),"="&amp;CRONO!AA$12,OFFSET(CÁLCULO!$AB$15:$AL$15,$E104,0,OFFSET(ORÇAMENTO!$D$15,CRONO!$E104,0)))+IF(AND($E106&lt;&gt;"",$E106&lt;&gt;0),SUMIF(CÁLCULO!$AM$15:$AW$290,"="&amp;CRONO!AA$12,CÁLCULO!$AB$15:$AL$290)/(ORÇAMENTO!$X$15-CÁLCULO.TotalAdmLocal)*CRONO!$E106,0),AA105*$R104),SUMIF(OFFSET($R106,1,0,$Q104-2),($L104+1)&amp;"$",OFFSET(AA106,1,0,$Q104-2)))</f>
        <v>0</v>
      </c>
      <c r="AB106" s="223">
        <f ca="1">IF($Q104=2,IF(AND(ACOMPANHAMENTO="PLE",ISNUMBER($E104)),SUMIF((OFFSET(CÁLCULO!$AM$15:$AW$15,$E104,0,OFFSET(ORÇAMENTO!$D$15,CRONO!$E104,0))),"="&amp;CRONO!AB$12,OFFSET(CÁLCULO!$AB$15:$AL$15,$E104,0,OFFSET(ORÇAMENTO!$D$15,CRONO!$E104,0)))+IF(AND($E106&lt;&gt;"",$E106&lt;&gt;0),SUMIF(CÁLCULO!$AM$15:$AW$290,"="&amp;CRONO!AB$12,CÁLCULO!$AB$15:$AL$290)/(ORÇAMENTO!$X$15-CÁLCULO.TotalAdmLocal)*CRONO!$E106,0),AB105*$R104),SUMIF(OFFSET($R106,1,0,$Q104-2),($L104+1)&amp;"$",OFFSET(AB106,1,0,$Q104-2)))</f>
        <v>0</v>
      </c>
      <c r="AC106" s="223">
        <f ca="1">IF($Q104=2,IF(AND(ACOMPANHAMENTO="PLE",ISNUMBER($E104)),SUMIF((OFFSET(CÁLCULO!$AM$15:$AW$15,$E104,0,OFFSET(ORÇAMENTO!$D$15,CRONO!$E104,0))),"="&amp;CRONO!AC$12,OFFSET(CÁLCULO!$AB$15:$AL$15,$E104,0,OFFSET(ORÇAMENTO!$D$15,CRONO!$E104,0)))+IF(AND($E106&lt;&gt;"",$E106&lt;&gt;0),SUMIF(CÁLCULO!$AM$15:$AW$290,"="&amp;CRONO!AC$12,CÁLCULO!$AB$15:$AL$290)/(ORÇAMENTO!$X$15-CÁLCULO.TotalAdmLocal)*CRONO!$E106,0),AC105*$R104),SUMIF(OFFSET($R106,1,0,$Q104-2),($L104+1)&amp;"$",OFFSET(AC106,1,0,$Q104-2)))</f>
        <v>0</v>
      </c>
      <c r="AD106" s="223">
        <f ca="1">IF($Q104=2,IF(AND(ACOMPANHAMENTO="PLE",ISNUMBER($E104)),SUMIF((OFFSET(CÁLCULO!$AM$15:$AW$15,$E104,0,OFFSET(ORÇAMENTO!$D$15,CRONO!$E104,0))),"="&amp;CRONO!AD$12,OFFSET(CÁLCULO!$AB$15:$AL$15,$E104,0,OFFSET(ORÇAMENTO!$D$15,CRONO!$E104,0)))+IF(AND($E106&lt;&gt;"",$E106&lt;&gt;0),SUMIF(CÁLCULO!$AM$15:$AW$290,"="&amp;CRONO!AD$12,CÁLCULO!$AB$15:$AL$290)/(ORÇAMENTO!$X$15-CÁLCULO.TotalAdmLocal)*CRONO!$E106,0),AD105*$R104),SUMIF(OFFSET($R106,1,0,$Q104-2),($L104+1)&amp;"$",OFFSET(AD106,1,0,$Q104-2)))</f>
        <v>0</v>
      </c>
      <c r="AE106" s="228">
        <f ca="1">IF($Q104=2,IF(AND(ACOMPANHAMENTO="PLE",ISNUMBER($E104)),SUMIF((OFFSET(CÁLCULO!$AM$15:$AW$15,$E104,0,OFFSET(ORÇAMENTO!$D$15,CRONO!$E104,0))),"="&amp;CRONO!AE$12,OFFSET(CÁLCULO!$AB$15:$AL$15,$E104,0,OFFSET(ORÇAMENTO!$D$15,CRONO!$E104,0)))+IF(AND($E106&lt;&gt;"",$E106&lt;&gt;0),SUMIF(CÁLCULO!$AM$15:$AW$290,"="&amp;CRONO!AE$12,CÁLCULO!$AB$15:$AL$290)/(ORÇAMENTO!$X$15-CÁLCULO.TotalAdmLocal)*CRONO!$E106,0),AE105*$R104),SUMIF(OFFSET($R106,1,0,$Q104-2),($L104+1)&amp;"$",OFFSET(AE106,1,0,$Q104-2)))</f>
        <v>0</v>
      </c>
    </row>
    <row r="107" spans="1:32" x14ac:dyDescent="0.2">
      <c r="A107" s="204">
        <f t="shared" ref="A107" ca="1" si="230">OFFSET(A107,-3,0)+1</f>
        <v>32</v>
      </c>
      <c r="B107" s="204">
        <f ca="1">IF($Q107&lt;&gt;2,0,IF($R107=0,1,IF(E108&gt;0,OFFSET(QCI!$M$13,SUBSTITUTE(E108,".",""),0),OFFSET(ORÇAMENTO!$AA$15,CRONO!$E107,0))/$R107))</f>
        <v>1</v>
      </c>
      <c r="C107" s="204">
        <f ca="1">IF($Q107&lt;&gt;2,0,IF($R107=0,1,IF(E108&gt;0,OFFSET(QCI!$N$13,SUBSTITUTE(E108,".",""),0),OFFSET(ORÇAMENTO!$AB$15,CRONO!$E107,0))/$R107))</f>
        <v>0</v>
      </c>
      <c r="D107" s="207">
        <f ca="1">IF(AND($Q107=2,ACOMPANHAMENTO="BM"),D108,D109/$R107)</f>
        <v>0</v>
      </c>
      <c r="E107" s="204">
        <f ca="1">IF(A107&lt;=ORÇAMENTO.MáximoListaCrono,MATCH(A107,ORÇAMENTO.ListaCrono,0),NA())</f>
        <v>222</v>
      </c>
      <c r="F107" s="204" t="str">
        <f t="shared" ref="F107" ca="1" si="231">IF(AND($E108&lt;&gt;-1,$R107&gt;0),"F","")</f>
        <v>F</v>
      </c>
      <c r="G107" s="208">
        <f ca="1">IF(OR(R107=0,R107=""),"Linha",IF(AND(OR(ACOMPANHAMENTO="PLE",$Q107&lt;&gt;2),$E108=0),"Linha",1-SUM(T107:AF107)))</f>
        <v>0</v>
      </c>
      <c r="H107" s="209" t="str">
        <f ca="1">IF($E108=0,OFFSET(ORÇAMENTO!O$15,$E107,0),IF($E108&lt;&gt;-1,OFFSET(QCI!$D$13,$E108,0),""))</f>
        <v>1.11.</v>
      </c>
      <c r="I107" s="210" t="str">
        <f ca="1">IF($E108=0,OFFSET(ORÇAMENTO!R$15,$E107,0),IF($E108&lt;&gt;-1,OFFSET(QCI!$G$13,$E108,0),""))</f>
        <v>ACADEMIA DE SAÚDE AO AR LIVRE</v>
      </c>
      <c r="J107" s="210"/>
      <c r="K107" s="210"/>
      <c r="L107" s="211">
        <f ca="1">IF($E108=0,OFFSET(ORÇAMENTO!C$15,$E107,0),1)</f>
        <v>2</v>
      </c>
      <c r="M107" s="212">
        <f t="shared" ref="M107" ca="1" si="232">IF($E108=-1,0,IF(M$13&lt;=$L107,IF(ISERROR(MATCH(M$13,OFFSET($L107,1,0,ROW($L$116)-ROW($L107)-1),0)),ROW($L$116)-ROW($L107)-1,MATCH(M$13,OFFSET($L107,1,0,ROW($L$116)-ROW($L107)-1),0)-1),0))</f>
        <v>8</v>
      </c>
      <c r="N107" s="212">
        <f t="shared" ref="N107" ca="1" si="233">IF($E108=-1,0,IF(N$13&lt;=$L107,IF(ISERROR(MATCH(N$13,OFFSET($L107,1,0,ROW($L$116)-ROW($L107)-1),0)),ROW($L$116)-ROW($L107)-1,MATCH(N$13,OFFSET($L107,1,0,ROW($L$116)-ROW($L107)-1),0)-1),0))</f>
        <v>2</v>
      </c>
      <c r="O107" s="212">
        <f t="shared" ref="O107" ca="1" si="234">IF($E108=-1,0,IF(O$13&lt;=$L107,IF(ISERROR(MATCH(O$13,OFFSET($L107,1,0,ROW($L$116)-ROW($L107)-1),0)),ROW($L$116)-ROW($L107)-1,MATCH(O$13,OFFSET($L107,1,0,ROW($L$116)-ROW($L107)-1),0)-1),0))</f>
        <v>0</v>
      </c>
      <c r="P107" s="212">
        <f t="shared" ref="P107" ca="1" si="235">IF($E108=-1,0,IF(P$13&lt;=$L107,IF(ISERROR(MATCH(P$13,OFFSET($L107,1,0,ROW($L$116)-ROW($L107)-1),0)),ROW($L$116)-ROW($L107)-1,MATCH(P$13,OFFSET($L107,1,0,ROW($L$116)-ROW($L107)-1),0)-1),0))</f>
        <v>0</v>
      </c>
      <c r="Q107" s="212">
        <f t="shared" ref="Q107" ca="1" si="236">MIN(OFFSET(L107,0,1,,L107))</f>
        <v>2</v>
      </c>
      <c r="R107" s="213">
        <f ca="1">IF($E108=0,OFFSET(ORÇAMENTO!X$15,$E107,0),IF($E108&lt;&gt;-1,OFFSET(QCI!$O$13,$E108,0),""))</f>
        <v>30282.11</v>
      </c>
      <c r="S107" s="214" t="s">
        <v>270</v>
      </c>
      <c r="T107" s="215">
        <f t="shared" ref="T107:AE107" ca="1" si="237">IF(AND($Q107=2,ACOMPANHAMENTO="BM"),T108,T109/$R107)</f>
        <v>0</v>
      </c>
      <c r="U107" s="207">
        <f t="shared" ca="1" si="237"/>
        <v>0</v>
      </c>
      <c r="V107" s="207">
        <f t="shared" ca="1" si="237"/>
        <v>0</v>
      </c>
      <c r="W107" s="207">
        <f t="shared" ca="1" si="237"/>
        <v>0</v>
      </c>
      <c r="X107" s="207">
        <f t="shared" ca="1" si="237"/>
        <v>0.5</v>
      </c>
      <c r="Y107" s="207">
        <f t="shared" ca="1" si="237"/>
        <v>0.5</v>
      </c>
      <c r="Z107" s="207">
        <f t="shared" ca="1" si="237"/>
        <v>0</v>
      </c>
      <c r="AA107" s="207">
        <f t="shared" ca="1" si="237"/>
        <v>0</v>
      </c>
      <c r="AB107" s="207">
        <f t="shared" ca="1" si="237"/>
        <v>0</v>
      </c>
      <c r="AC107" s="207">
        <f t="shared" ca="1" si="237"/>
        <v>0</v>
      </c>
      <c r="AD107" s="207">
        <f t="shared" ca="1" si="237"/>
        <v>0</v>
      </c>
      <c r="AE107" s="216">
        <f t="shared" ca="1" si="237"/>
        <v>0</v>
      </c>
    </row>
    <row r="108" spans="1:32" ht="12.75" customHeight="1" x14ac:dyDescent="0.2">
      <c r="D108" s="569"/>
      <c r="E108" s="204">
        <f ca="1">IF(ISERROR(E107),IF(1+COUNTIF($L$13:OFFSET(L107,-1,0),1)&lt;=MAX(QCI!$D$13:$D$24),1+COUNTIF($L$13:OFFSET(L107,-1,0),1),-1),0)</f>
        <v>0</v>
      </c>
      <c r="F108" s="204" t="str">
        <f t="shared" ref="F108" ca="1" si="238">IF(AND($E108&lt;&gt;-1,$R107&gt;0),"F","")</f>
        <v>F</v>
      </c>
      <c r="G108" s="217" t="str">
        <f ca="1">IF(OR(R107=0,R107=""),"vazia",IF(AND(OR(ACOMPANHAMENTO="PLE",$Q107&lt;&gt;2),$E108=0),"calculada","--&gt;"))</f>
        <v>--&gt;</v>
      </c>
      <c r="H108" s="218"/>
      <c r="I108" s="219" t="str">
        <f t="shared" ref="I108" ca="1" si="239">IF(AND(G107&lt;&gt;0,ISNUMBER(G107)),"PREENCHA ESTA LINHA --&gt;","")</f>
        <v/>
      </c>
      <c r="J108" s="219"/>
      <c r="K108" s="219"/>
      <c r="L108" s="220"/>
      <c r="M108" s="220"/>
      <c r="N108" s="220"/>
      <c r="O108" s="220"/>
      <c r="P108" s="220"/>
      <c r="Q108" s="220"/>
      <c r="R108" s="221"/>
      <c r="S108" s="222"/>
      <c r="T108" s="570"/>
      <c r="U108" s="569"/>
      <c r="V108" s="569"/>
      <c r="W108" s="569"/>
      <c r="X108" s="569">
        <v>0.5</v>
      </c>
      <c r="Y108" s="569">
        <v>0.5</v>
      </c>
      <c r="Z108" s="569"/>
      <c r="AA108" s="569"/>
      <c r="AB108" s="569"/>
      <c r="AC108" s="569"/>
      <c r="AD108" s="569"/>
      <c r="AE108" s="571"/>
      <c r="AF108" s="533"/>
    </row>
    <row r="109" spans="1:32" ht="0.2" hidden="1" customHeight="1" x14ac:dyDescent="0.2">
      <c r="D109" s="223">
        <f ca="1">IF($Q107=2,IF(AND(ACOMPANHAMENTO="PLE",ISNUMBER($E107)),SUMIF((OFFSET(CÁLCULO!$AM$15:$AW$15,$E107,0,OFFSET(ORÇAMENTO!$D$15,CRONO!$E107,0))),"="&amp;CRONO!D$12,OFFSET(CÁLCULO!$AB$15:$AL$15,$E107,0,OFFSET(ORÇAMENTO!$D$15,CRONO!$E107,0)))+IF(AND($E109&lt;&gt;"",$E109&lt;&gt;0),SUMIF(CÁLCULO!$AM$15:$AW$290,"="&amp;CRONO!D$12,CÁLCULO!$AB$15:$AL$290)/(ORÇAMENTO!$X$15-CÁLCULO.TotalAdmLocal)*CRONO!$E109,0),D108*$R107),SUMIF(OFFSET($R109,1,0,$Q107-2),($L107+1)&amp;"$",OFFSET(D109,1,0,$Q107-2)))</f>
        <v>0</v>
      </c>
      <c r="E109" s="204" t="str">
        <f ca="1">IF(OR($Q107&lt;&gt;2,AUTOEVENTO&lt;&gt;"manual",$E108&gt;0),"",SUMIF(OFFSET(CÁLCULO!$M$15,CRONO!$E107,0,OFFSET(ORÇAMENTO!$D$15,CRONO!$E107,0)),1,OFFSET(ORÇAMENTO!$X$15,CRONO!$E107,0,OFFSET(ORÇAMENTO!$D$15,CRONO!$E107,0))))</f>
        <v/>
      </c>
      <c r="G109" s="224"/>
      <c r="R109" s="225" t="str">
        <f t="shared" ref="R109" ca="1" si="240">L107&amp;"$"</f>
        <v>2$</v>
      </c>
      <c r="S109" s="226"/>
      <c r="T109" s="227">
        <f ca="1">IF($Q107=2,IF(AND(ACOMPANHAMENTO="PLE",ISNUMBER($E107)),SUMIF((OFFSET(CÁLCULO!$AM$15:$AW$15,$E107,0,OFFSET(ORÇAMENTO!$D$15,CRONO!$E107,0))),"&lt;="&amp;CRONO!T$12,OFFSET(CÁLCULO!$AB$15:$AL$15,$E107,0,OFFSET(ORÇAMENTO!$D$15,CRONO!$E107,0)))+IF(AND($E109&lt;&gt;"",$E109&lt;&gt;0),SUMIF(CÁLCULO!$AM$15:$AW$290,"&lt;="&amp;CRONO!T$12,CÁLCULO!$AB$15:$AL$290)/(ORÇAMENTO!$X$15-CÁLCULO.TotalAdmLocal)*CRONO!$E109,0),T108*$R107),SUMIF(OFFSET($R109,1,0,$Q107-2),($L107+1)&amp;"$",OFFSET(T109,1,0,$Q107-2)))</f>
        <v>0</v>
      </c>
      <c r="U109" s="223">
        <f ca="1">IF($Q107=2,IF(AND(ACOMPANHAMENTO="PLE",ISNUMBER($E107)),SUMIF((OFFSET(CÁLCULO!$AM$15:$AW$15,$E107,0,OFFSET(ORÇAMENTO!$D$15,CRONO!$E107,0))),"="&amp;CRONO!U$12,OFFSET(CÁLCULO!$AB$15:$AL$15,$E107,0,OFFSET(ORÇAMENTO!$D$15,CRONO!$E107,0)))+IF(AND($E109&lt;&gt;"",$E109&lt;&gt;0),SUMIF(CÁLCULO!$AM$15:$AW$290,"="&amp;CRONO!U$12,CÁLCULO!$AB$15:$AL$290)/(ORÇAMENTO!$X$15-CÁLCULO.TotalAdmLocal)*CRONO!$E109,0),U108*$R107),SUMIF(OFFSET($R109,1,0,$Q107-2),($L107+1)&amp;"$",OFFSET(U109,1,0,$Q107-2)))</f>
        <v>0</v>
      </c>
      <c r="V109" s="223">
        <f ca="1">IF($Q107=2,IF(AND(ACOMPANHAMENTO="PLE",ISNUMBER($E107)),SUMIF((OFFSET(CÁLCULO!$AM$15:$AW$15,$E107,0,OFFSET(ORÇAMENTO!$D$15,CRONO!$E107,0))),"="&amp;CRONO!V$12,OFFSET(CÁLCULO!$AB$15:$AL$15,$E107,0,OFFSET(ORÇAMENTO!$D$15,CRONO!$E107,0)))+IF(AND($E109&lt;&gt;"",$E109&lt;&gt;0),SUMIF(CÁLCULO!$AM$15:$AW$290,"="&amp;CRONO!V$12,CÁLCULO!$AB$15:$AL$290)/(ORÇAMENTO!$X$15-CÁLCULO.TotalAdmLocal)*CRONO!$E109,0),V108*$R107),SUMIF(OFFSET($R109,1,0,$Q107-2),($L107+1)&amp;"$",OFFSET(V109,1,0,$Q107-2)))</f>
        <v>0</v>
      </c>
      <c r="W109" s="223">
        <f ca="1">IF($Q107=2,IF(AND(ACOMPANHAMENTO="PLE",ISNUMBER($E107)),SUMIF((OFFSET(CÁLCULO!$AM$15:$AW$15,$E107,0,OFFSET(ORÇAMENTO!$D$15,CRONO!$E107,0))),"="&amp;CRONO!W$12,OFFSET(CÁLCULO!$AB$15:$AL$15,$E107,0,OFFSET(ORÇAMENTO!$D$15,CRONO!$E107,0)))+IF(AND($E109&lt;&gt;"",$E109&lt;&gt;0),SUMIF(CÁLCULO!$AM$15:$AW$290,"="&amp;CRONO!W$12,CÁLCULO!$AB$15:$AL$290)/(ORÇAMENTO!$X$15-CÁLCULO.TotalAdmLocal)*CRONO!$E109,0),W108*$R107),SUMIF(OFFSET($R109,1,0,$Q107-2),($L107+1)&amp;"$",OFFSET(W109,1,0,$Q107-2)))</f>
        <v>0</v>
      </c>
      <c r="X109" s="223">
        <f ca="1">IF($Q107=2,IF(AND(ACOMPANHAMENTO="PLE",ISNUMBER($E107)),SUMIF((OFFSET(CÁLCULO!$AM$15:$AW$15,$E107,0,OFFSET(ORÇAMENTO!$D$15,CRONO!$E107,0))),"="&amp;CRONO!X$12,OFFSET(CÁLCULO!$AB$15:$AL$15,$E107,0,OFFSET(ORÇAMENTO!$D$15,CRONO!$E107,0)))+IF(AND($E109&lt;&gt;"",$E109&lt;&gt;0),SUMIF(CÁLCULO!$AM$15:$AW$290,"="&amp;CRONO!X$12,CÁLCULO!$AB$15:$AL$290)/(ORÇAMENTO!$X$15-CÁLCULO.TotalAdmLocal)*CRONO!$E109,0),X108*$R107),SUMIF(OFFSET($R109,1,0,$Q107-2),($L107+1)&amp;"$",OFFSET(X109,1,0,$Q107-2)))</f>
        <v>15141.055</v>
      </c>
      <c r="Y109" s="223">
        <f ca="1">IF($Q107=2,IF(AND(ACOMPANHAMENTO="PLE",ISNUMBER($E107)),SUMIF((OFFSET(CÁLCULO!$AM$15:$AW$15,$E107,0,OFFSET(ORÇAMENTO!$D$15,CRONO!$E107,0))),"="&amp;CRONO!Y$12,OFFSET(CÁLCULO!$AB$15:$AL$15,$E107,0,OFFSET(ORÇAMENTO!$D$15,CRONO!$E107,0)))+IF(AND($E109&lt;&gt;"",$E109&lt;&gt;0),SUMIF(CÁLCULO!$AM$15:$AW$290,"="&amp;CRONO!Y$12,CÁLCULO!$AB$15:$AL$290)/(ORÇAMENTO!$X$15-CÁLCULO.TotalAdmLocal)*CRONO!$E109,0),Y108*$R107),SUMIF(OFFSET($R109,1,0,$Q107-2),($L107+1)&amp;"$",OFFSET(Y109,1,0,$Q107-2)))</f>
        <v>15141.055</v>
      </c>
      <c r="Z109" s="223">
        <f ca="1">IF($Q107=2,IF(AND(ACOMPANHAMENTO="PLE",ISNUMBER($E107)),SUMIF((OFFSET(CÁLCULO!$AM$15:$AW$15,$E107,0,OFFSET(ORÇAMENTO!$D$15,CRONO!$E107,0))),"="&amp;CRONO!Z$12,OFFSET(CÁLCULO!$AB$15:$AL$15,$E107,0,OFFSET(ORÇAMENTO!$D$15,CRONO!$E107,0)))+IF(AND($E109&lt;&gt;"",$E109&lt;&gt;0),SUMIF(CÁLCULO!$AM$15:$AW$290,"="&amp;CRONO!Z$12,CÁLCULO!$AB$15:$AL$290)/(ORÇAMENTO!$X$15-CÁLCULO.TotalAdmLocal)*CRONO!$E109,0),Z108*$R107),SUMIF(OFFSET($R109,1,0,$Q107-2),($L107+1)&amp;"$",OFFSET(Z109,1,0,$Q107-2)))</f>
        <v>0</v>
      </c>
      <c r="AA109" s="223">
        <f ca="1">IF($Q107=2,IF(AND(ACOMPANHAMENTO="PLE",ISNUMBER($E107)),SUMIF((OFFSET(CÁLCULO!$AM$15:$AW$15,$E107,0,OFFSET(ORÇAMENTO!$D$15,CRONO!$E107,0))),"="&amp;CRONO!AA$12,OFFSET(CÁLCULO!$AB$15:$AL$15,$E107,0,OFFSET(ORÇAMENTO!$D$15,CRONO!$E107,0)))+IF(AND($E109&lt;&gt;"",$E109&lt;&gt;0),SUMIF(CÁLCULO!$AM$15:$AW$290,"="&amp;CRONO!AA$12,CÁLCULO!$AB$15:$AL$290)/(ORÇAMENTO!$X$15-CÁLCULO.TotalAdmLocal)*CRONO!$E109,0),AA108*$R107),SUMIF(OFFSET($R109,1,0,$Q107-2),($L107+1)&amp;"$",OFFSET(AA109,1,0,$Q107-2)))</f>
        <v>0</v>
      </c>
      <c r="AB109" s="223">
        <f ca="1">IF($Q107=2,IF(AND(ACOMPANHAMENTO="PLE",ISNUMBER($E107)),SUMIF((OFFSET(CÁLCULO!$AM$15:$AW$15,$E107,0,OFFSET(ORÇAMENTO!$D$15,CRONO!$E107,0))),"="&amp;CRONO!AB$12,OFFSET(CÁLCULO!$AB$15:$AL$15,$E107,0,OFFSET(ORÇAMENTO!$D$15,CRONO!$E107,0)))+IF(AND($E109&lt;&gt;"",$E109&lt;&gt;0),SUMIF(CÁLCULO!$AM$15:$AW$290,"="&amp;CRONO!AB$12,CÁLCULO!$AB$15:$AL$290)/(ORÇAMENTO!$X$15-CÁLCULO.TotalAdmLocal)*CRONO!$E109,0),AB108*$R107),SUMIF(OFFSET($R109,1,0,$Q107-2),($L107+1)&amp;"$",OFFSET(AB109,1,0,$Q107-2)))</f>
        <v>0</v>
      </c>
      <c r="AC109" s="223">
        <f ca="1">IF($Q107=2,IF(AND(ACOMPANHAMENTO="PLE",ISNUMBER($E107)),SUMIF((OFFSET(CÁLCULO!$AM$15:$AW$15,$E107,0,OFFSET(ORÇAMENTO!$D$15,CRONO!$E107,0))),"="&amp;CRONO!AC$12,OFFSET(CÁLCULO!$AB$15:$AL$15,$E107,0,OFFSET(ORÇAMENTO!$D$15,CRONO!$E107,0)))+IF(AND($E109&lt;&gt;"",$E109&lt;&gt;0),SUMIF(CÁLCULO!$AM$15:$AW$290,"="&amp;CRONO!AC$12,CÁLCULO!$AB$15:$AL$290)/(ORÇAMENTO!$X$15-CÁLCULO.TotalAdmLocal)*CRONO!$E109,0),AC108*$R107),SUMIF(OFFSET($R109,1,0,$Q107-2),($L107+1)&amp;"$",OFFSET(AC109,1,0,$Q107-2)))</f>
        <v>0</v>
      </c>
      <c r="AD109" s="223">
        <f ca="1">IF($Q107=2,IF(AND(ACOMPANHAMENTO="PLE",ISNUMBER($E107)),SUMIF((OFFSET(CÁLCULO!$AM$15:$AW$15,$E107,0,OFFSET(ORÇAMENTO!$D$15,CRONO!$E107,0))),"="&amp;CRONO!AD$12,OFFSET(CÁLCULO!$AB$15:$AL$15,$E107,0,OFFSET(ORÇAMENTO!$D$15,CRONO!$E107,0)))+IF(AND($E109&lt;&gt;"",$E109&lt;&gt;0),SUMIF(CÁLCULO!$AM$15:$AW$290,"="&amp;CRONO!AD$12,CÁLCULO!$AB$15:$AL$290)/(ORÇAMENTO!$X$15-CÁLCULO.TotalAdmLocal)*CRONO!$E109,0),AD108*$R107),SUMIF(OFFSET($R109,1,0,$Q107-2),($L107+1)&amp;"$",OFFSET(AD109,1,0,$Q107-2)))</f>
        <v>0</v>
      </c>
      <c r="AE109" s="228">
        <f ca="1">IF($Q107=2,IF(AND(ACOMPANHAMENTO="PLE",ISNUMBER($E107)),SUMIF((OFFSET(CÁLCULO!$AM$15:$AW$15,$E107,0,OFFSET(ORÇAMENTO!$D$15,CRONO!$E107,0))),"="&amp;CRONO!AE$12,OFFSET(CÁLCULO!$AB$15:$AL$15,$E107,0,OFFSET(ORÇAMENTO!$D$15,CRONO!$E107,0)))+IF(AND($E109&lt;&gt;"",$E109&lt;&gt;0),SUMIF(CÁLCULO!$AM$15:$AW$290,"="&amp;CRONO!AE$12,CÁLCULO!$AB$15:$AL$290)/(ORÇAMENTO!$X$15-CÁLCULO.TotalAdmLocal)*CRONO!$E109,0),AE108*$R107),SUMIF(OFFSET($R109,1,0,$Q107-2),($L107+1)&amp;"$",OFFSET(AE109,1,0,$Q107-2)))</f>
        <v>0</v>
      </c>
    </row>
    <row r="110" spans="1:32" x14ac:dyDescent="0.2">
      <c r="A110" s="204">
        <f t="shared" ref="A110" ca="1" si="241">OFFSET(A110,-3,0)+1</f>
        <v>33</v>
      </c>
      <c r="B110" s="204">
        <f ca="1">IF($Q110&lt;&gt;2,0,IF($R110=0,1,IF(E111&gt;0,OFFSET(QCI!$M$13,SUBSTITUTE(E111,".",""),0),OFFSET(ORÇAMENTO!$AA$15,CRONO!$E110,0))/$R110))</f>
        <v>1</v>
      </c>
      <c r="C110" s="204">
        <f ca="1">IF($Q110&lt;&gt;2,0,IF($R110=0,1,IF(E111&gt;0,OFFSET(QCI!$N$13,SUBSTITUTE(E111,".",""),0),OFFSET(ORÇAMENTO!$AB$15,CRONO!$E110,0))/$R110))</f>
        <v>0</v>
      </c>
      <c r="D110" s="207">
        <f ca="1">IF(AND($Q110=2,ACOMPANHAMENTO="BM"),D111,D112/$R110)</f>
        <v>0</v>
      </c>
      <c r="E110" s="204">
        <f ca="1">IF(A110&lt;=ORÇAMENTO.MáximoListaCrono,MATCH(A110,ORÇAMENTO.ListaCrono,0),NA())</f>
        <v>230</v>
      </c>
      <c r="F110" s="204" t="str">
        <f t="shared" ref="F110" ca="1" si="242">IF(AND($E111&lt;&gt;-1,$R110&gt;0),"F","")</f>
        <v>F</v>
      </c>
      <c r="G110" s="208">
        <f ca="1">IF(OR(R110=0,R110=""),"Linha",IF(AND(OR(ACOMPANHAMENTO="PLE",$Q110&lt;&gt;2),$E111=0),"Linha",1-SUM(T110:AF110)))</f>
        <v>0</v>
      </c>
      <c r="H110" s="209" t="str">
        <f ca="1">IF($E111=0,OFFSET(ORÇAMENTO!O$15,$E110,0),IF($E111&lt;&gt;-1,OFFSET(QCI!$D$13,$E111,0),""))</f>
        <v>1.12.</v>
      </c>
      <c r="I110" s="210" t="str">
        <f ca="1">IF($E111=0,OFFSET(ORÇAMENTO!R$15,$E110,0),IF($E111&lt;&gt;-1,OFFSET(QCI!$G$13,$E111,0),""))</f>
        <v>ÁREA DE CONFRATERNIZAÇÃO</v>
      </c>
      <c r="J110" s="210"/>
      <c r="K110" s="210"/>
      <c r="L110" s="211">
        <f ca="1">IF($E111=0,OFFSET(ORÇAMENTO!C$15,$E110,0),1)</f>
        <v>2</v>
      </c>
      <c r="M110" s="212">
        <f t="shared" ref="M110" ca="1" si="243">IF($E111=-1,0,IF(M$13&lt;=$L110,IF(ISERROR(MATCH(M$13,OFFSET($L110,1,0,ROW($L$116)-ROW($L110)-1),0)),ROW($L$116)-ROW($L110)-1,MATCH(M$13,OFFSET($L110,1,0,ROW($L$116)-ROW($L110)-1),0)-1),0))</f>
        <v>5</v>
      </c>
      <c r="N110" s="212">
        <f t="shared" ref="N110" ca="1" si="244">IF($E111=-1,0,IF(N$13&lt;=$L110,IF(ISERROR(MATCH(N$13,OFFSET($L110,1,0,ROW($L$116)-ROW($L110)-1),0)),ROW($L$116)-ROW($L110)-1,MATCH(N$13,OFFSET($L110,1,0,ROW($L$116)-ROW($L110)-1),0)-1),0))</f>
        <v>2</v>
      </c>
      <c r="O110" s="212">
        <f t="shared" ref="O110" ca="1" si="245">IF($E111=-1,0,IF(O$13&lt;=$L110,IF(ISERROR(MATCH(O$13,OFFSET($L110,1,0,ROW($L$116)-ROW($L110)-1),0)),ROW($L$116)-ROW($L110)-1,MATCH(O$13,OFFSET($L110,1,0,ROW($L$116)-ROW($L110)-1),0)-1),0))</f>
        <v>0</v>
      </c>
      <c r="P110" s="212">
        <f t="shared" ref="P110" ca="1" si="246">IF($E111=-1,0,IF(P$13&lt;=$L110,IF(ISERROR(MATCH(P$13,OFFSET($L110,1,0,ROW($L$116)-ROW($L110)-1),0)),ROW($L$116)-ROW($L110)-1,MATCH(P$13,OFFSET($L110,1,0,ROW($L$116)-ROW($L110)-1),0)-1),0))</f>
        <v>0</v>
      </c>
      <c r="Q110" s="212">
        <f t="shared" ref="Q110" ca="1" si="247">MIN(OFFSET(L110,0,1,,L110))</f>
        <v>2</v>
      </c>
      <c r="R110" s="213">
        <f ca="1">IF($E111=0,OFFSET(ORÇAMENTO!X$15,$E110,0),IF($E111&lt;&gt;-1,OFFSET(QCI!$O$13,$E111,0),""))</f>
        <v>4058</v>
      </c>
      <c r="S110" s="214" t="s">
        <v>270</v>
      </c>
      <c r="T110" s="215">
        <f t="shared" ref="T110:AE110" ca="1" si="248">IF(AND($Q110=2,ACOMPANHAMENTO="BM"),T111,T112/$R110)</f>
        <v>0</v>
      </c>
      <c r="U110" s="207">
        <f t="shared" ca="1" si="248"/>
        <v>0</v>
      </c>
      <c r="V110" s="207">
        <f t="shared" ca="1" si="248"/>
        <v>0</v>
      </c>
      <c r="W110" s="207">
        <f t="shared" ca="1" si="248"/>
        <v>0</v>
      </c>
      <c r="X110" s="207">
        <f t="shared" ca="1" si="248"/>
        <v>0.5</v>
      </c>
      <c r="Y110" s="207">
        <f t="shared" ca="1" si="248"/>
        <v>0.5</v>
      </c>
      <c r="Z110" s="207">
        <f t="shared" ca="1" si="248"/>
        <v>0</v>
      </c>
      <c r="AA110" s="207">
        <f t="shared" ca="1" si="248"/>
        <v>0</v>
      </c>
      <c r="AB110" s="207">
        <f t="shared" ca="1" si="248"/>
        <v>0</v>
      </c>
      <c r="AC110" s="207">
        <f t="shared" ca="1" si="248"/>
        <v>0</v>
      </c>
      <c r="AD110" s="207">
        <f t="shared" ca="1" si="248"/>
        <v>0</v>
      </c>
      <c r="AE110" s="216">
        <f t="shared" ca="1" si="248"/>
        <v>0</v>
      </c>
    </row>
    <row r="111" spans="1:32" ht="12.75" customHeight="1" x14ac:dyDescent="0.2">
      <c r="D111" s="569"/>
      <c r="E111" s="204">
        <f ca="1">IF(ISERROR(E110),IF(1+COUNTIF($L$13:OFFSET(L110,-1,0),1)&lt;=MAX(QCI!$D$13:$D$24),1+COUNTIF($L$13:OFFSET(L110,-1,0),1),-1),0)</f>
        <v>0</v>
      </c>
      <c r="F111" s="204" t="str">
        <f t="shared" ref="F111" ca="1" si="249">IF(AND($E111&lt;&gt;-1,$R110&gt;0),"F","")</f>
        <v>F</v>
      </c>
      <c r="G111" s="217" t="str">
        <f ca="1">IF(OR(R110=0,R110=""),"vazia",IF(AND(OR(ACOMPANHAMENTO="PLE",$Q110&lt;&gt;2),$E111=0),"calculada","--&gt;"))</f>
        <v>--&gt;</v>
      </c>
      <c r="H111" s="218"/>
      <c r="I111" s="219" t="str">
        <f t="shared" ref="I111" ca="1" si="250">IF(AND(G110&lt;&gt;0,ISNUMBER(G110)),"PREENCHA ESTA LINHA --&gt;","")</f>
        <v/>
      </c>
      <c r="J111" s="219"/>
      <c r="K111" s="219"/>
      <c r="L111" s="220"/>
      <c r="M111" s="220"/>
      <c r="N111" s="220"/>
      <c r="O111" s="220"/>
      <c r="P111" s="220"/>
      <c r="Q111" s="220"/>
      <c r="R111" s="221"/>
      <c r="S111" s="222"/>
      <c r="T111" s="570"/>
      <c r="U111" s="569"/>
      <c r="V111" s="569"/>
      <c r="W111" s="569"/>
      <c r="X111" s="569">
        <v>0.5</v>
      </c>
      <c r="Y111" s="569">
        <v>0.5</v>
      </c>
      <c r="Z111" s="569"/>
      <c r="AA111" s="569"/>
      <c r="AB111" s="569"/>
      <c r="AC111" s="569"/>
      <c r="AD111" s="569"/>
      <c r="AE111" s="571"/>
      <c r="AF111" s="533"/>
    </row>
    <row r="112" spans="1:32" ht="0.2" hidden="1" customHeight="1" x14ac:dyDescent="0.2">
      <c r="D112" s="223">
        <f ca="1">IF($Q110=2,IF(AND(ACOMPANHAMENTO="PLE",ISNUMBER($E110)),SUMIF((OFFSET(CÁLCULO!$AM$15:$AW$15,$E110,0,OFFSET(ORÇAMENTO!$D$15,CRONO!$E110,0))),"="&amp;CRONO!D$12,OFFSET(CÁLCULO!$AB$15:$AL$15,$E110,0,OFFSET(ORÇAMENTO!$D$15,CRONO!$E110,0)))+IF(AND($E112&lt;&gt;"",$E112&lt;&gt;0),SUMIF(CÁLCULO!$AM$15:$AW$290,"="&amp;CRONO!D$12,CÁLCULO!$AB$15:$AL$290)/(ORÇAMENTO!$X$15-CÁLCULO.TotalAdmLocal)*CRONO!$E112,0),D111*$R110),SUMIF(OFFSET($R112,1,0,$Q110-2),($L110+1)&amp;"$",OFFSET(D112,1,0,$Q110-2)))</f>
        <v>0</v>
      </c>
      <c r="E112" s="204" t="str">
        <f ca="1">IF(OR($Q110&lt;&gt;2,AUTOEVENTO&lt;&gt;"manual",$E111&gt;0),"",SUMIF(OFFSET(CÁLCULO!$M$15,CRONO!$E110,0,OFFSET(ORÇAMENTO!$D$15,CRONO!$E110,0)),1,OFFSET(ORÇAMENTO!$X$15,CRONO!$E110,0,OFFSET(ORÇAMENTO!$D$15,CRONO!$E110,0))))</f>
        <v/>
      </c>
      <c r="G112" s="224"/>
      <c r="R112" s="225" t="str">
        <f t="shared" ref="R112" ca="1" si="251">L110&amp;"$"</f>
        <v>2$</v>
      </c>
      <c r="S112" s="226"/>
      <c r="T112" s="227">
        <f ca="1">IF($Q110=2,IF(AND(ACOMPANHAMENTO="PLE",ISNUMBER($E110)),SUMIF((OFFSET(CÁLCULO!$AM$15:$AW$15,$E110,0,OFFSET(ORÇAMENTO!$D$15,CRONO!$E110,0))),"&lt;="&amp;CRONO!T$12,OFFSET(CÁLCULO!$AB$15:$AL$15,$E110,0,OFFSET(ORÇAMENTO!$D$15,CRONO!$E110,0)))+IF(AND($E112&lt;&gt;"",$E112&lt;&gt;0),SUMIF(CÁLCULO!$AM$15:$AW$290,"&lt;="&amp;CRONO!T$12,CÁLCULO!$AB$15:$AL$290)/(ORÇAMENTO!$X$15-CÁLCULO.TotalAdmLocal)*CRONO!$E112,0),T111*$R110),SUMIF(OFFSET($R112,1,0,$Q110-2),($L110+1)&amp;"$",OFFSET(T112,1,0,$Q110-2)))</f>
        <v>0</v>
      </c>
      <c r="U112" s="223">
        <f ca="1">IF($Q110=2,IF(AND(ACOMPANHAMENTO="PLE",ISNUMBER($E110)),SUMIF((OFFSET(CÁLCULO!$AM$15:$AW$15,$E110,0,OFFSET(ORÇAMENTO!$D$15,CRONO!$E110,0))),"="&amp;CRONO!U$12,OFFSET(CÁLCULO!$AB$15:$AL$15,$E110,0,OFFSET(ORÇAMENTO!$D$15,CRONO!$E110,0)))+IF(AND($E112&lt;&gt;"",$E112&lt;&gt;0),SUMIF(CÁLCULO!$AM$15:$AW$290,"="&amp;CRONO!U$12,CÁLCULO!$AB$15:$AL$290)/(ORÇAMENTO!$X$15-CÁLCULO.TotalAdmLocal)*CRONO!$E112,0),U111*$R110),SUMIF(OFFSET($R112,1,0,$Q110-2),($L110+1)&amp;"$",OFFSET(U112,1,0,$Q110-2)))</f>
        <v>0</v>
      </c>
      <c r="V112" s="223">
        <f ca="1">IF($Q110=2,IF(AND(ACOMPANHAMENTO="PLE",ISNUMBER($E110)),SUMIF((OFFSET(CÁLCULO!$AM$15:$AW$15,$E110,0,OFFSET(ORÇAMENTO!$D$15,CRONO!$E110,0))),"="&amp;CRONO!V$12,OFFSET(CÁLCULO!$AB$15:$AL$15,$E110,0,OFFSET(ORÇAMENTO!$D$15,CRONO!$E110,0)))+IF(AND($E112&lt;&gt;"",$E112&lt;&gt;0),SUMIF(CÁLCULO!$AM$15:$AW$290,"="&amp;CRONO!V$12,CÁLCULO!$AB$15:$AL$290)/(ORÇAMENTO!$X$15-CÁLCULO.TotalAdmLocal)*CRONO!$E112,0),V111*$R110),SUMIF(OFFSET($R112,1,0,$Q110-2),($L110+1)&amp;"$",OFFSET(V112,1,0,$Q110-2)))</f>
        <v>0</v>
      </c>
      <c r="W112" s="223">
        <f ca="1">IF($Q110=2,IF(AND(ACOMPANHAMENTO="PLE",ISNUMBER($E110)),SUMIF((OFFSET(CÁLCULO!$AM$15:$AW$15,$E110,0,OFFSET(ORÇAMENTO!$D$15,CRONO!$E110,0))),"="&amp;CRONO!W$12,OFFSET(CÁLCULO!$AB$15:$AL$15,$E110,0,OFFSET(ORÇAMENTO!$D$15,CRONO!$E110,0)))+IF(AND($E112&lt;&gt;"",$E112&lt;&gt;0),SUMIF(CÁLCULO!$AM$15:$AW$290,"="&amp;CRONO!W$12,CÁLCULO!$AB$15:$AL$290)/(ORÇAMENTO!$X$15-CÁLCULO.TotalAdmLocal)*CRONO!$E112,0),W111*$R110),SUMIF(OFFSET($R112,1,0,$Q110-2),($L110+1)&amp;"$",OFFSET(W112,1,0,$Q110-2)))</f>
        <v>0</v>
      </c>
      <c r="X112" s="223">
        <f ca="1">IF($Q110=2,IF(AND(ACOMPANHAMENTO="PLE",ISNUMBER($E110)),SUMIF((OFFSET(CÁLCULO!$AM$15:$AW$15,$E110,0,OFFSET(ORÇAMENTO!$D$15,CRONO!$E110,0))),"="&amp;CRONO!X$12,OFFSET(CÁLCULO!$AB$15:$AL$15,$E110,0,OFFSET(ORÇAMENTO!$D$15,CRONO!$E110,0)))+IF(AND($E112&lt;&gt;"",$E112&lt;&gt;0),SUMIF(CÁLCULO!$AM$15:$AW$290,"="&amp;CRONO!X$12,CÁLCULO!$AB$15:$AL$290)/(ORÇAMENTO!$X$15-CÁLCULO.TotalAdmLocal)*CRONO!$E112,0),X111*$R110),SUMIF(OFFSET($R112,1,0,$Q110-2),($L110+1)&amp;"$",OFFSET(X112,1,0,$Q110-2)))</f>
        <v>2029</v>
      </c>
      <c r="Y112" s="223">
        <f ca="1">IF($Q110=2,IF(AND(ACOMPANHAMENTO="PLE",ISNUMBER($E110)),SUMIF((OFFSET(CÁLCULO!$AM$15:$AW$15,$E110,0,OFFSET(ORÇAMENTO!$D$15,CRONO!$E110,0))),"="&amp;CRONO!Y$12,OFFSET(CÁLCULO!$AB$15:$AL$15,$E110,0,OFFSET(ORÇAMENTO!$D$15,CRONO!$E110,0)))+IF(AND($E112&lt;&gt;"",$E112&lt;&gt;0),SUMIF(CÁLCULO!$AM$15:$AW$290,"="&amp;CRONO!Y$12,CÁLCULO!$AB$15:$AL$290)/(ORÇAMENTO!$X$15-CÁLCULO.TotalAdmLocal)*CRONO!$E112,0),Y111*$R110),SUMIF(OFFSET($R112,1,0,$Q110-2),($L110+1)&amp;"$",OFFSET(Y112,1,0,$Q110-2)))</f>
        <v>2029</v>
      </c>
      <c r="Z112" s="223">
        <f ca="1">IF($Q110=2,IF(AND(ACOMPANHAMENTO="PLE",ISNUMBER($E110)),SUMIF((OFFSET(CÁLCULO!$AM$15:$AW$15,$E110,0,OFFSET(ORÇAMENTO!$D$15,CRONO!$E110,0))),"="&amp;CRONO!Z$12,OFFSET(CÁLCULO!$AB$15:$AL$15,$E110,0,OFFSET(ORÇAMENTO!$D$15,CRONO!$E110,0)))+IF(AND($E112&lt;&gt;"",$E112&lt;&gt;0),SUMIF(CÁLCULO!$AM$15:$AW$290,"="&amp;CRONO!Z$12,CÁLCULO!$AB$15:$AL$290)/(ORÇAMENTO!$X$15-CÁLCULO.TotalAdmLocal)*CRONO!$E112,0),Z111*$R110),SUMIF(OFFSET($R112,1,0,$Q110-2),($L110+1)&amp;"$",OFFSET(Z112,1,0,$Q110-2)))</f>
        <v>0</v>
      </c>
      <c r="AA112" s="223">
        <f ca="1">IF($Q110=2,IF(AND(ACOMPANHAMENTO="PLE",ISNUMBER($E110)),SUMIF((OFFSET(CÁLCULO!$AM$15:$AW$15,$E110,0,OFFSET(ORÇAMENTO!$D$15,CRONO!$E110,0))),"="&amp;CRONO!AA$12,OFFSET(CÁLCULO!$AB$15:$AL$15,$E110,0,OFFSET(ORÇAMENTO!$D$15,CRONO!$E110,0)))+IF(AND($E112&lt;&gt;"",$E112&lt;&gt;0),SUMIF(CÁLCULO!$AM$15:$AW$290,"="&amp;CRONO!AA$12,CÁLCULO!$AB$15:$AL$290)/(ORÇAMENTO!$X$15-CÁLCULO.TotalAdmLocal)*CRONO!$E112,0),AA111*$R110),SUMIF(OFFSET($R112,1,0,$Q110-2),($L110+1)&amp;"$",OFFSET(AA112,1,0,$Q110-2)))</f>
        <v>0</v>
      </c>
      <c r="AB112" s="223">
        <f ca="1">IF($Q110=2,IF(AND(ACOMPANHAMENTO="PLE",ISNUMBER($E110)),SUMIF((OFFSET(CÁLCULO!$AM$15:$AW$15,$E110,0,OFFSET(ORÇAMENTO!$D$15,CRONO!$E110,0))),"="&amp;CRONO!AB$12,OFFSET(CÁLCULO!$AB$15:$AL$15,$E110,0,OFFSET(ORÇAMENTO!$D$15,CRONO!$E110,0)))+IF(AND($E112&lt;&gt;"",$E112&lt;&gt;0),SUMIF(CÁLCULO!$AM$15:$AW$290,"="&amp;CRONO!AB$12,CÁLCULO!$AB$15:$AL$290)/(ORÇAMENTO!$X$15-CÁLCULO.TotalAdmLocal)*CRONO!$E112,0),AB111*$R110),SUMIF(OFFSET($R112,1,0,$Q110-2),($L110+1)&amp;"$",OFFSET(AB112,1,0,$Q110-2)))</f>
        <v>0</v>
      </c>
      <c r="AC112" s="223">
        <f ca="1">IF($Q110=2,IF(AND(ACOMPANHAMENTO="PLE",ISNUMBER($E110)),SUMIF((OFFSET(CÁLCULO!$AM$15:$AW$15,$E110,0,OFFSET(ORÇAMENTO!$D$15,CRONO!$E110,0))),"="&amp;CRONO!AC$12,OFFSET(CÁLCULO!$AB$15:$AL$15,$E110,0,OFFSET(ORÇAMENTO!$D$15,CRONO!$E110,0)))+IF(AND($E112&lt;&gt;"",$E112&lt;&gt;0),SUMIF(CÁLCULO!$AM$15:$AW$290,"="&amp;CRONO!AC$12,CÁLCULO!$AB$15:$AL$290)/(ORÇAMENTO!$X$15-CÁLCULO.TotalAdmLocal)*CRONO!$E112,0),AC111*$R110),SUMIF(OFFSET($R112,1,0,$Q110-2),($L110+1)&amp;"$",OFFSET(AC112,1,0,$Q110-2)))</f>
        <v>0</v>
      </c>
      <c r="AD112" s="223">
        <f ca="1">IF($Q110=2,IF(AND(ACOMPANHAMENTO="PLE",ISNUMBER($E110)),SUMIF((OFFSET(CÁLCULO!$AM$15:$AW$15,$E110,0,OFFSET(ORÇAMENTO!$D$15,CRONO!$E110,0))),"="&amp;CRONO!AD$12,OFFSET(CÁLCULO!$AB$15:$AL$15,$E110,0,OFFSET(ORÇAMENTO!$D$15,CRONO!$E110,0)))+IF(AND($E112&lt;&gt;"",$E112&lt;&gt;0),SUMIF(CÁLCULO!$AM$15:$AW$290,"="&amp;CRONO!AD$12,CÁLCULO!$AB$15:$AL$290)/(ORÇAMENTO!$X$15-CÁLCULO.TotalAdmLocal)*CRONO!$E112,0),AD111*$R110),SUMIF(OFFSET($R112,1,0,$Q110-2),($L110+1)&amp;"$",OFFSET(AD112,1,0,$Q110-2)))</f>
        <v>0</v>
      </c>
      <c r="AE112" s="228">
        <f ca="1">IF($Q110=2,IF(AND(ACOMPANHAMENTO="PLE",ISNUMBER($E110)),SUMIF((OFFSET(CÁLCULO!$AM$15:$AW$15,$E110,0,OFFSET(ORÇAMENTO!$D$15,CRONO!$E110,0))),"="&amp;CRONO!AE$12,OFFSET(CÁLCULO!$AB$15:$AL$15,$E110,0,OFFSET(ORÇAMENTO!$D$15,CRONO!$E110,0)))+IF(AND($E112&lt;&gt;"",$E112&lt;&gt;0),SUMIF(CÁLCULO!$AM$15:$AW$290,"="&amp;CRONO!AE$12,CÁLCULO!$AB$15:$AL$290)/(ORÇAMENTO!$X$15-CÁLCULO.TotalAdmLocal)*CRONO!$E112,0),AE111*$R110),SUMIF(OFFSET($R112,1,0,$Q110-2),($L110+1)&amp;"$",OFFSET(AE112,1,0,$Q110-2)))</f>
        <v>0</v>
      </c>
    </row>
    <row r="113" spans="1:32" x14ac:dyDescent="0.2">
      <c r="A113" s="204">
        <f ca="1">OFFSET(A113,-3,0)+1</f>
        <v>34</v>
      </c>
      <c r="B113" s="204">
        <f ca="1">IF($Q113&lt;&gt;2,0,IF($R113=0,1,IF(E114&gt;0,OFFSET(QCI!$M$13,SUBSTITUTE(E114,".",""),0),OFFSET(ORÇAMENTO!$AA$15,CRONO!$E113,0))/$R113))</f>
        <v>1</v>
      </c>
      <c r="C113" s="204">
        <f ca="1">IF($Q113&lt;&gt;2,0,IF($R113=0,1,IF(E114&gt;0,OFFSET(QCI!$N$13,SUBSTITUTE(E114,".",""),0),OFFSET(ORÇAMENTO!$AB$15,CRONO!$E113,0))/$R113))</f>
        <v>0</v>
      </c>
      <c r="D113" s="207">
        <f ca="1">IF(AND($Q113=2,ACOMPANHAMENTO="BM"),D114,D115/$R113)</f>
        <v>0</v>
      </c>
      <c r="E113" s="204">
        <f ca="1">IF(A113&lt;=ORÇAMENTO.MáximoListaCrono,MATCH(A113,ORÇAMENTO.ListaCrono,0),NA())</f>
        <v>233</v>
      </c>
      <c r="F113" s="204" t="str">
        <f ca="1">IF(AND($E114&lt;&gt;-1,$R113&gt;0),"F","")</f>
        <v>F</v>
      </c>
      <c r="G113" s="208">
        <f ca="1">IF(OR(R113=0,R113=""),"Linha",IF(AND(OR(ACOMPANHAMENTO="PLE",$Q113&lt;&gt;2),$E114=0),"Linha",1-SUM(T113:AF113)))</f>
        <v>0</v>
      </c>
      <c r="H113" s="209" t="str">
        <f ca="1">IF($E114=0,OFFSET(ORÇAMENTO!O$15,$E113,0),IF($E114&lt;&gt;-1,OFFSET(QCI!$D$13,$E114,0),""))</f>
        <v>1.13.</v>
      </c>
      <c r="I113" s="210" t="str">
        <f ca="1">IF($E114=0,OFFSET(ORÇAMENTO!R$15,$E113,0),IF($E114&lt;&gt;-1,OFFSET(QCI!$G$13,$E114,0),""))</f>
        <v>SERVIÇOS FINAIS</v>
      </c>
      <c r="J113" s="210"/>
      <c r="K113" s="210"/>
      <c r="L113" s="211">
        <f ca="1">IF($E114=0,OFFSET(ORÇAMENTO!C$15,$E113,0),1)</f>
        <v>2</v>
      </c>
      <c r="M113" s="212">
        <f ca="1">IF($E114=-1,0,IF(M$13&lt;=$L113,IF(ISERROR(MATCH(M$13,OFFSET($L113,1,0,ROW($L$116)-ROW($L113)-1),0)),ROW($L$116)-ROW($L113)-1,MATCH(M$13,OFFSET($L113,1,0,ROW($L$116)-ROW($L113)-1),0)-1),0))</f>
        <v>2</v>
      </c>
      <c r="N113" s="212">
        <f ca="1">IF($E114=-1,0,IF(N$13&lt;=$L113,IF(ISERROR(MATCH(N$13,OFFSET($L113,1,0,ROW($L$116)-ROW($L113)-1),0)),ROW($L$116)-ROW($L113)-1,MATCH(N$13,OFFSET($L113,1,0,ROW($L$116)-ROW($L113)-1),0)-1),0))</f>
        <v>2</v>
      </c>
      <c r="O113" s="212">
        <f ca="1">IF($E114=-1,0,IF(O$13&lt;=$L113,IF(ISERROR(MATCH(O$13,OFFSET($L113,1,0,ROW($L$116)-ROW($L113)-1),0)),ROW($L$116)-ROW($L113)-1,MATCH(O$13,OFFSET($L113,1,0,ROW($L$116)-ROW($L113)-1),0)-1),0))</f>
        <v>0</v>
      </c>
      <c r="P113" s="212">
        <f ca="1">IF($E114=-1,0,IF(P$13&lt;=$L113,IF(ISERROR(MATCH(P$13,OFFSET($L113,1,0,ROW($L$116)-ROW($L113)-1),0)),ROW($L$116)-ROW($L113)-1,MATCH(P$13,OFFSET($L113,1,0,ROW($L$116)-ROW($L113)-1),0)-1),0))</f>
        <v>0</v>
      </c>
      <c r="Q113" s="212">
        <f ca="1">MIN(OFFSET(L113,0,1,,L113))</f>
        <v>2</v>
      </c>
      <c r="R113" s="213">
        <f ca="1">IF($E114=0,OFFSET(ORÇAMENTO!X$15,$E113,0),IF($E114&lt;&gt;-1,OFFSET(QCI!$O$13,$E114,0),""))</f>
        <v>102.95</v>
      </c>
      <c r="S113" s="214" t="s">
        <v>270</v>
      </c>
      <c r="T113" s="215">
        <f t="shared" ref="T113:AE113" ca="1" si="252">IF(AND($Q113=2,ACOMPANHAMENTO="BM"),T114,T115/$R113)</f>
        <v>0</v>
      </c>
      <c r="U113" s="207">
        <f t="shared" ca="1" si="252"/>
        <v>0</v>
      </c>
      <c r="V113" s="207">
        <f t="shared" ca="1" si="252"/>
        <v>0</v>
      </c>
      <c r="W113" s="207">
        <f t="shared" ca="1" si="252"/>
        <v>0</v>
      </c>
      <c r="X113" s="207">
        <f t="shared" ca="1" si="252"/>
        <v>0</v>
      </c>
      <c r="Y113" s="207">
        <f t="shared" ca="1" si="252"/>
        <v>1</v>
      </c>
      <c r="Z113" s="207">
        <f t="shared" ca="1" si="252"/>
        <v>0</v>
      </c>
      <c r="AA113" s="207">
        <f t="shared" ca="1" si="252"/>
        <v>0</v>
      </c>
      <c r="AB113" s="207">
        <f t="shared" ca="1" si="252"/>
        <v>0</v>
      </c>
      <c r="AC113" s="207">
        <f t="shared" ca="1" si="252"/>
        <v>0</v>
      </c>
      <c r="AD113" s="207">
        <f t="shared" ca="1" si="252"/>
        <v>0</v>
      </c>
      <c r="AE113" s="216">
        <f t="shared" ca="1" si="252"/>
        <v>0</v>
      </c>
    </row>
    <row r="114" spans="1:32" ht="12.75" customHeight="1" x14ac:dyDescent="0.2">
      <c r="D114" s="569"/>
      <c r="E114" s="204">
        <f ca="1">IF(ISERROR(E113),IF(1+COUNTIF($L$13:OFFSET(L113,-1,0),1)&lt;=MAX(QCI!$D$13:$D$24),1+COUNTIF($L$13:OFFSET(L113,-1,0),1),-1),0)</f>
        <v>0</v>
      </c>
      <c r="F114" s="204" t="str">
        <f ca="1">IF(AND($E114&lt;&gt;-1,$R113&gt;0),"F","")</f>
        <v>F</v>
      </c>
      <c r="G114" s="217" t="str">
        <f ca="1">IF(OR(R113=0,R113=""),"vazia",IF(AND(OR(ACOMPANHAMENTO="PLE",$Q113&lt;&gt;2),$E114=0),"calculada","--&gt;"))</f>
        <v>--&gt;</v>
      </c>
      <c r="H114" s="218"/>
      <c r="I114" s="219" t="str">
        <f ca="1">IF(AND(G113&lt;&gt;0,ISNUMBER(G113)),"PREENCHA ESTA LINHA --&gt;","")</f>
        <v/>
      </c>
      <c r="J114" s="219"/>
      <c r="K114" s="219"/>
      <c r="L114" s="220"/>
      <c r="M114" s="220"/>
      <c r="N114" s="220"/>
      <c r="O114" s="220"/>
      <c r="P114" s="220"/>
      <c r="Q114" s="220"/>
      <c r="R114" s="221"/>
      <c r="S114" s="222"/>
      <c r="T114" s="570"/>
      <c r="U114" s="569"/>
      <c r="V114" s="569"/>
      <c r="W114" s="569"/>
      <c r="X114" s="569"/>
      <c r="Y114" s="569">
        <v>1</v>
      </c>
      <c r="Z114" s="569"/>
      <c r="AA114" s="569"/>
      <c r="AB114" s="569"/>
      <c r="AC114" s="569"/>
      <c r="AD114" s="569"/>
      <c r="AE114" s="571"/>
      <c r="AF114" s="533"/>
    </row>
    <row r="115" spans="1:32" ht="0.2" hidden="1" customHeight="1" x14ac:dyDescent="0.2">
      <c r="D115" s="223">
        <f ca="1">IF($Q113=2,IF(AND(ACOMPANHAMENTO="PLE",ISNUMBER($E113)),SUMIF((OFFSET(CÁLCULO!$AM$15:$AW$15,$E113,0,OFFSET(ORÇAMENTO!$D$15,CRONO!$E113,0))),"="&amp;CRONO!D$12,OFFSET(CÁLCULO!$AB$15:$AL$15,$E113,0,OFFSET(ORÇAMENTO!$D$15,CRONO!$E113,0)))+IF(AND($E115&lt;&gt;"",$E115&lt;&gt;0),SUMIF(CÁLCULO!$AM$15:$AW$290,"="&amp;CRONO!D$12,CÁLCULO!$AB$15:$AL$290)/(ORÇAMENTO!$X$15-CÁLCULO.TotalAdmLocal)*CRONO!$E115,0),D114*$R113),SUMIF(OFFSET($R115,1,0,$Q113-2),($L113+1)&amp;"$",OFFSET(D115,1,0,$Q113-2)))</f>
        <v>0</v>
      </c>
      <c r="E115" s="204" t="str">
        <f ca="1">IF(OR($Q113&lt;&gt;2,AUTOEVENTO&lt;&gt;"manual",$E114&gt;0),"",SUMIF(OFFSET(CÁLCULO!$M$15,CRONO!$E113,0,OFFSET(ORÇAMENTO!$D$15,CRONO!$E113,0)),1,OFFSET(ORÇAMENTO!$X$15,CRONO!$E113,0,OFFSET(ORÇAMENTO!$D$15,CRONO!$E113,0))))</f>
        <v/>
      </c>
      <c r="G115" s="224"/>
      <c r="R115" s="225" t="str">
        <f ca="1">L113&amp;"$"</f>
        <v>2$</v>
      </c>
      <c r="S115" s="226"/>
      <c r="T115" s="227">
        <f ca="1">IF($Q113=2,IF(AND(ACOMPANHAMENTO="PLE",ISNUMBER($E113)),SUMIF((OFFSET(CÁLCULO!$AM$15:$AW$15,$E113,0,OFFSET(ORÇAMENTO!$D$15,CRONO!$E113,0))),"&lt;="&amp;CRONO!T$12,OFFSET(CÁLCULO!$AB$15:$AL$15,$E113,0,OFFSET(ORÇAMENTO!$D$15,CRONO!$E113,0)))+IF(AND($E115&lt;&gt;"",$E115&lt;&gt;0),SUMIF(CÁLCULO!$AM$15:$AW$290,"&lt;="&amp;CRONO!T$12,CÁLCULO!$AB$15:$AL$290)/(ORÇAMENTO!$X$15-CÁLCULO.TotalAdmLocal)*CRONO!$E115,0),T114*$R113),SUMIF(OFFSET($R115,1,0,$Q113-2),($L113+1)&amp;"$",OFFSET(T115,1,0,$Q113-2)))</f>
        <v>0</v>
      </c>
      <c r="U115" s="223">
        <f ca="1">IF($Q113=2,IF(AND(ACOMPANHAMENTO="PLE",ISNUMBER($E113)),SUMIF((OFFSET(CÁLCULO!$AM$15:$AW$15,$E113,0,OFFSET(ORÇAMENTO!$D$15,CRONO!$E113,0))),"="&amp;CRONO!U$12,OFFSET(CÁLCULO!$AB$15:$AL$15,$E113,0,OFFSET(ORÇAMENTO!$D$15,CRONO!$E113,0)))+IF(AND($E115&lt;&gt;"",$E115&lt;&gt;0),SUMIF(CÁLCULO!$AM$15:$AW$290,"="&amp;CRONO!U$12,CÁLCULO!$AB$15:$AL$290)/(ORÇAMENTO!$X$15-CÁLCULO.TotalAdmLocal)*CRONO!$E115,0),U114*$R113),SUMIF(OFFSET($R115,1,0,$Q113-2),($L113+1)&amp;"$",OFFSET(U115,1,0,$Q113-2)))</f>
        <v>0</v>
      </c>
      <c r="V115" s="223">
        <f ca="1">IF($Q113=2,IF(AND(ACOMPANHAMENTO="PLE",ISNUMBER($E113)),SUMIF((OFFSET(CÁLCULO!$AM$15:$AW$15,$E113,0,OFFSET(ORÇAMENTO!$D$15,CRONO!$E113,0))),"="&amp;CRONO!V$12,OFFSET(CÁLCULO!$AB$15:$AL$15,$E113,0,OFFSET(ORÇAMENTO!$D$15,CRONO!$E113,0)))+IF(AND($E115&lt;&gt;"",$E115&lt;&gt;0),SUMIF(CÁLCULO!$AM$15:$AW$290,"="&amp;CRONO!V$12,CÁLCULO!$AB$15:$AL$290)/(ORÇAMENTO!$X$15-CÁLCULO.TotalAdmLocal)*CRONO!$E115,0),V114*$R113),SUMIF(OFFSET($R115,1,0,$Q113-2),($L113+1)&amp;"$",OFFSET(V115,1,0,$Q113-2)))</f>
        <v>0</v>
      </c>
      <c r="W115" s="223">
        <f ca="1">IF($Q113=2,IF(AND(ACOMPANHAMENTO="PLE",ISNUMBER($E113)),SUMIF((OFFSET(CÁLCULO!$AM$15:$AW$15,$E113,0,OFFSET(ORÇAMENTO!$D$15,CRONO!$E113,0))),"="&amp;CRONO!W$12,OFFSET(CÁLCULO!$AB$15:$AL$15,$E113,0,OFFSET(ORÇAMENTO!$D$15,CRONO!$E113,0)))+IF(AND($E115&lt;&gt;"",$E115&lt;&gt;0),SUMIF(CÁLCULO!$AM$15:$AW$290,"="&amp;CRONO!W$12,CÁLCULO!$AB$15:$AL$290)/(ORÇAMENTO!$X$15-CÁLCULO.TotalAdmLocal)*CRONO!$E115,0),W114*$R113),SUMIF(OFFSET($R115,1,0,$Q113-2),($L113+1)&amp;"$",OFFSET(W115,1,0,$Q113-2)))</f>
        <v>0</v>
      </c>
      <c r="X115" s="223">
        <f ca="1">IF($Q113=2,IF(AND(ACOMPANHAMENTO="PLE",ISNUMBER($E113)),SUMIF((OFFSET(CÁLCULO!$AM$15:$AW$15,$E113,0,OFFSET(ORÇAMENTO!$D$15,CRONO!$E113,0))),"="&amp;CRONO!X$12,OFFSET(CÁLCULO!$AB$15:$AL$15,$E113,0,OFFSET(ORÇAMENTO!$D$15,CRONO!$E113,0)))+IF(AND($E115&lt;&gt;"",$E115&lt;&gt;0),SUMIF(CÁLCULO!$AM$15:$AW$290,"="&amp;CRONO!X$12,CÁLCULO!$AB$15:$AL$290)/(ORÇAMENTO!$X$15-CÁLCULO.TotalAdmLocal)*CRONO!$E115,0),X114*$R113),SUMIF(OFFSET($R115,1,0,$Q113-2),($L113+1)&amp;"$",OFFSET(X115,1,0,$Q113-2)))</f>
        <v>0</v>
      </c>
      <c r="Y115" s="223">
        <f ca="1">IF($Q113=2,IF(AND(ACOMPANHAMENTO="PLE",ISNUMBER($E113)),SUMIF((OFFSET(CÁLCULO!$AM$15:$AW$15,$E113,0,OFFSET(ORÇAMENTO!$D$15,CRONO!$E113,0))),"="&amp;CRONO!Y$12,OFFSET(CÁLCULO!$AB$15:$AL$15,$E113,0,OFFSET(ORÇAMENTO!$D$15,CRONO!$E113,0)))+IF(AND($E115&lt;&gt;"",$E115&lt;&gt;0),SUMIF(CÁLCULO!$AM$15:$AW$290,"="&amp;CRONO!Y$12,CÁLCULO!$AB$15:$AL$290)/(ORÇAMENTO!$X$15-CÁLCULO.TotalAdmLocal)*CRONO!$E115,0),Y114*$R113),SUMIF(OFFSET($R115,1,0,$Q113-2),($L113+1)&amp;"$",OFFSET(Y115,1,0,$Q113-2)))</f>
        <v>102.95</v>
      </c>
      <c r="Z115" s="223">
        <f ca="1">IF($Q113=2,IF(AND(ACOMPANHAMENTO="PLE",ISNUMBER($E113)),SUMIF((OFFSET(CÁLCULO!$AM$15:$AW$15,$E113,0,OFFSET(ORÇAMENTO!$D$15,CRONO!$E113,0))),"="&amp;CRONO!Z$12,OFFSET(CÁLCULO!$AB$15:$AL$15,$E113,0,OFFSET(ORÇAMENTO!$D$15,CRONO!$E113,0)))+IF(AND($E115&lt;&gt;"",$E115&lt;&gt;0),SUMIF(CÁLCULO!$AM$15:$AW$290,"="&amp;CRONO!Z$12,CÁLCULO!$AB$15:$AL$290)/(ORÇAMENTO!$X$15-CÁLCULO.TotalAdmLocal)*CRONO!$E115,0),Z114*$R113),SUMIF(OFFSET($R115,1,0,$Q113-2),($L113+1)&amp;"$",OFFSET(Z115,1,0,$Q113-2)))</f>
        <v>0</v>
      </c>
      <c r="AA115" s="223">
        <f ca="1">IF($Q113=2,IF(AND(ACOMPANHAMENTO="PLE",ISNUMBER($E113)),SUMIF((OFFSET(CÁLCULO!$AM$15:$AW$15,$E113,0,OFFSET(ORÇAMENTO!$D$15,CRONO!$E113,0))),"="&amp;CRONO!AA$12,OFFSET(CÁLCULO!$AB$15:$AL$15,$E113,0,OFFSET(ORÇAMENTO!$D$15,CRONO!$E113,0)))+IF(AND($E115&lt;&gt;"",$E115&lt;&gt;0),SUMIF(CÁLCULO!$AM$15:$AW$290,"="&amp;CRONO!AA$12,CÁLCULO!$AB$15:$AL$290)/(ORÇAMENTO!$X$15-CÁLCULO.TotalAdmLocal)*CRONO!$E115,0),AA114*$R113),SUMIF(OFFSET($R115,1,0,$Q113-2),($L113+1)&amp;"$",OFFSET(AA115,1,0,$Q113-2)))</f>
        <v>0</v>
      </c>
      <c r="AB115" s="223">
        <f ca="1">IF($Q113=2,IF(AND(ACOMPANHAMENTO="PLE",ISNUMBER($E113)),SUMIF((OFFSET(CÁLCULO!$AM$15:$AW$15,$E113,0,OFFSET(ORÇAMENTO!$D$15,CRONO!$E113,0))),"="&amp;CRONO!AB$12,OFFSET(CÁLCULO!$AB$15:$AL$15,$E113,0,OFFSET(ORÇAMENTO!$D$15,CRONO!$E113,0)))+IF(AND($E115&lt;&gt;"",$E115&lt;&gt;0),SUMIF(CÁLCULO!$AM$15:$AW$290,"="&amp;CRONO!AB$12,CÁLCULO!$AB$15:$AL$290)/(ORÇAMENTO!$X$15-CÁLCULO.TotalAdmLocal)*CRONO!$E115,0),AB114*$R113),SUMIF(OFFSET($R115,1,0,$Q113-2),($L113+1)&amp;"$",OFFSET(AB115,1,0,$Q113-2)))</f>
        <v>0</v>
      </c>
      <c r="AC115" s="223">
        <f ca="1">IF($Q113=2,IF(AND(ACOMPANHAMENTO="PLE",ISNUMBER($E113)),SUMIF((OFFSET(CÁLCULO!$AM$15:$AW$15,$E113,0,OFFSET(ORÇAMENTO!$D$15,CRONO!$E113,0))),"="&amp;CRONO!AC$12,OFFSET(CÁLCULO!$AB$15:$AL$15,$E113,0,OFFSET(ORÇAMENTO!$D$15,CRONO!$E113,0)))+IF(AND($E115&lt;&gt;"",$E115&lt;&gt;0),SUMIF(CÁLCULO!$AM$15:$AW$290,"="&amp;CRONO!AC$12,CÁLCULO!$AB$15:$AL$290)/(ORÇAMENTO!$X$15-CÁLCULO.TotalAdmLocal)*CRONO!$E115,0),AC114*$R113),SUMIF(OFFSET($R115,1,0,$Q113-2),($L113+1)&amp;"$",OFFSET(AC115,1,0,$Q113-2)))</f>
        <v>0</v>
      </c>
      <c r="AD115" s="223">
        <f ca="1">IF($Q113=2,IF(AND(ACOMPANHAMENTO="PLE",ISNUMBER($E113)),SUMIF((OFFSET(CÁLCULO!$AM$15:$AW$15,$E113,0,OFFSET(ORÇAMENTO!$D$15,CRONO!$E113,0))),"="&amp;CRONO!AD$12,OFFSET(CÁLCULO!$AB$15:$AL$15,$E113,0,OFFSET(ORÇAMENTO!$D$15,CRONO!$E113,0)))+IF(AND($E115&lt;&gt;"",$E115&lt;&gt;0),SUMIF(CÁLCULO!$AM$15:$AW$290,"="&amp;CRONO!AD$12,CÁLCULO!$AB$15:$AL$290)/(ORÇAMENTO!$X$15-CÁLCULO.TotalAdmLocal)*CRONO!$E115,0),AD114*$R113),SUMIF(OFFSET($R115,1,0,$Q113-2),($L113+1)&amp;"$",OFFSET(AD115,1,0,$Q113-2)))</f>
        <v>0</v>
      </c>
      <c r="AE115" s="228">
        <f ca="1">IF($Q113=2,IF(AND(ACOMPANHAMENTO="PLE",ISNUMBER($E113)),SUMIF((OFFSET(CÁLCULO!$AM$15:$AW$15,$E113,0,OFFSET(ORÇAMENTO!$D$15,CRONO!$E113,0))),"="&amp;CRONO!AE$12,OFFSET(CÁLCULO!$AB$15:$AL$15,$E113,0,OFFSET(ORÇAMENTO!$D$15,CRONO!$E113,0)))+IF(AND($E115&lt;&gt;"",$E115&lt;&gt;0),SUMIF(CÁLCULO!$AM$15:$AW$290,"="&amp;CRONO!AE$12,CÁLCULO!$AB$15:$AL$290)/(ORÇAMENTO!$X$15-CÁLCULO.TotalAdmLocal)*CRONO!$E115,0),AE114*$R113),SUMIF(OFFSET($R115,1,0,$Q113-2),($L113+1)&amp;"$",OFFSET(AE115,1,0,$Q113-2)))</f>
        <v>0</v>
      </c>
    </row>
    <row r="116" spans="1:32" ht="5.0999999999999996" customHeight="1" x14ac:dyDescent="0.2">
      <c r="D116" s="502"/>
      <c r="F116" s="204" t="s">
        <v>246</v>
      </c>
      <c r="G116" s="504"/>
      <c r="H116" s="505"/>
      <c r="I116" s="506"/>
      <c r="J116" s="506"/>
      <c r="K116" s="506"/>
      <c r="L116" s="507" t="s">
        <v>281</v>
      </c>
      <c r="M116" s="507"/>
      <c r="N116" s="507"/>
      <c r="O116" s="507"/>
      <c r="P116" s="507"/>
      <c r="Q116" s="507"/>
      <c r="R116" s="508"/>
      <c r="S116" s="508"/>
      <c r="T116" s="506"/>
      <c r="U116" s="506"/>
      <c r="V116" s="506"/>
      <c r="W116" s="506"/>
      <c r="X116" s="506"/>
      <c r="Y116" s="506"/>
      <c r="Z116" s="506"/>
      <c r="AA116" s="506"/>
      <c r="AB116" s="506"/>
      <c r="AC116" s="506"/>
      <c r="AD116" s="506"/>
      <c r="AE116" s="509"/>
      <c r="AF116" s="503"/>
    </row>
    <row r="117" spans="1:32" ht="12.75" customHeight="1" x14ac:dyDescent="0.2">
      <c r="D117" s="252">
        <f ca="1">D121/$Q$117</f>
        <v>0</v>
      </c>
      <c r="F117" s="204" t="s">
        <v>246</v>
      </c>
      <c r="H117" s="634" t="str">
        <f ca="1">"Total:    R$ "&amp;TEXT(Q117,"#.##0,00")</f>
        <v>Total:    R$ 291.001,64</v>
      </c>
      <c r="I117" s="634"/>
      <c r="J117" s="634"/>
      <c r="K117" s="253"/>
      <c r="Q117" s="254">
        <f ca="1">SUMIF(L12:L116,1,R12:R116)</f>
        <v>291001.64</v>
      </c>
      <c r="R117" s="255"/>
      <c r="S117" s="256" t="s">
        <v>282</v>
      </c>
      <c r="T117" s="257">
        <f t="shared" ref="T117:AE117" ca="1" si="253">ROUND(T121,2)/$Q$117</f>
        <v>1.9869991110703016E-2</v>
      </c>
      <c r="U117" s="258">
        <f t="shared" ca="1" si="253"/>
        <v>6.8294735383621893E-2</v>
      </c>
      <c r="V117" s="258">
        <f t="shared" ca="1" si="253"/>
        <v>0.22304321034067023</v>
      </c>
      <c r="W117" s="258">
        <f t="shared" ca="1" si="253"/>
        <v>0.23115038114561828</v>
      </c>
      <c r="X117" s="258">
        <f t="shared" ca="1" si="253"/>
        <v>0.28042457080310612</v>
      </c>
      <c r="Y117" s="258">
        <f t="shared" ca="1" si="253"/>
        <v>0.17721711121628042</v>
      </c>
      <c r="Z117" s="258">
        <f t="shared" ca="1" si="253"/>
        <v>0</v>
      </c>
      <c r="AA117" s="258">
        <f t="shared" ca="1" si="253"/>
        <v>0</v>
      </c>
      <c r="AB117" s="258">
        <f t="shared" ca="1" si="253"/>
        <v>0</v>
      </c>
      <c r="AC117" s="258">
        <f t="shared" ca="1" si="253"/>
        <v>0</v>
      </c>
      <c r="AD117" s="258">
        <f t="shared" ca="1" si="253"/>
        <v>0</v>
      </c>
      <c r="AE117" s="259">
        <f t="shared" ca="1" si="253"/>
        <v>0</v>
      </c>
    </row>
    <row r="118" spans="1:32" ht="15" customHeight="1" x14ac:dyDescent="0.2">
      <c r="D118" s="260">
        <f ca="1">ROUND(D123,2)-ROUND(C123,2)</f>
        <v>0</v>
      </c>
      <c r="F118" s="204" t="s">
        <v>246</v>
      </c>
      <c r="H118" s="634"/>
      <c r="I118" s="634"/>
      <c r="J118" s="634"/>
      <c r="K118" s="261"/>
      <c r="Q118" s="254"/>
      <c r="R118" s="262"/>
      <c r="S118" s="263" t="str">
        <f>IF(import.recurso="FGTS","Financiamento:","Repasse:")</f>
        <v>Repasse:</v>
      </c>
      <c r="T118" s="264">
        <f ca="1">ROUND(T123,2)</f>
        <v>0</v>
      </c>
      <c r="U118" s="260">
        <f t="shared" ref="U118:AE118" ca="1" si="254">ROUND(U123,2)-ROUND(T123,2)</f>
        <v>0</v>
      </c>
      <c r="V118" s="260">
        <f t="shared" ca="1" si="254"/>
        <v>0</v>
      </c>
      <c r="W118" s="260">
        <f t="shared" ca="1" si="254"/>
        <v>0</v>
      </c>
      <c r="X118" s="260">
        <f t="shared" ca="1" si="254"/>
        <v>0</v>
      </c>
      <c r="Y118" s="260">
        <f t="shared" ca="1" si="254"/>
        <v>0</v>
      </c>
      <c r="Z118" s="260">
        <f t="shared" ca="1" si="254"/>
        <v>0</v>
      </c>
      <c r="AA118" s="260">
        <f t="shared" ca="1" si="254"/>
        <v>0</v>
      </c>
      <c r="AB118" s="260">
        <f t="shared" ca="1" si="254"/>
        <v>0</v>
      </c>
      <c r="AC118" s="260">
        <f t="shared" ca="1" si="254"/>
        <v>0</v>
      </c>
      <c r="AD118" s="260">
        <f t="shared" ca="1" si="254"/>
        <v>0</v>
      </c>
      <c r="AE118" s="265">
        <f t="shared" ca="1" si="254"/>
        <v>0</v>
      </c>
    </row>
    <row r="119" spans="1:32" ht="12.75" customHeight="1" x14ac:dyDescent="0.2">
      <c r="D119" s="260">
        <f ca="1">ROUND(D124,2)-ROUND(C124,2)</f>
        <v>0</v>
      </c>
      <c r="F119" s="204" t="s">
        <v>246</v>
      </c>
      <c r="H119" s="266"/>
      <c r="K119" s="267" t="s">
        <v>283</v>
      </c>
      <c r="Q119" s="254"/>
      <c r="R119" s="268"/>
      <c r="S119" s="269" t="s">
        <v>284</v>
      </c>
      <c r="T119" s="270">
        <f ca="1">ROUND(T124,2)</f>
        <v>5782.2</v>
      </c>
      <c r="U119" s="271">
        <f t="shared" ref="U119:AE119" ca="1" si="255">ROUND(U124,2)-ROUND(T124,2)</f>
        <v>19873.88</v>
      </c>
      <c r="V119" s="271">
        <f t="shared" ca="1" si="255"/>
        <v>64905.94</v>
      </c>
      <c r="W119" s="271">
        <f t="shared" ca="1" si="255"/>
        <v>67265.14</v>
      </c>
      <c r="X119" s="271">
        <f t="shared" ca="1" si="255"/>
        <v>81604.010000000009</v>
      </c>
      <c r="Y119" s="271">
        <f t="shared" ca="1" si="255"/>
        <v>51570.47</v>
      </c>
      <c r="Z119" s="271">
        <f t="shared" ca="1" si="255"/>
        <v>0</v>
      </c>
      <c r="AA119" s="271">
        <f t="shared" ca="1" si="255"/>
        <v>0</v>
      </c>
      <c r="AB119" s="271">
        <f t="shared" ca="1" si="255"/>
        <v>0</v>
      </c>
      <c r="AC119" s="271">
        <f t="shared" ca="1" si="255"/>
        <v>0</v>
      </c>
      <c r="AD119" s="271">
        <f t="shared" ca="1" si="255"/>
        <v>0</v>
      </c>
      <c r="AE119" s="272">
        <f t="shared" ca="1" si="255"/>
        <v>0</v>
      </c>
    </row>
    <row r="120" spans="1:32" x14ac:dyDescent="0.2">
      <c r="D120" s="273">
        <f ca="1">ROUND(D125,2)-ROUND(C125,2)</f>
        <v>0</v>
      </c>
      <c r="F120" s="204" t="s">
        <v>246</v>
      </c>
      <c r="H120" s="266"/>
      <c r="K120" s="267"/>
      <c r="Q120" s="254"/>
      <c r="R120" s="274"/>
      <c r="S120" s="275" t="s">
        <v>285</v>
      </c>
      <c r="T120" s="276">
        <f ca="1">ROUND(T125,2)</f>
        <v>0</v>
      </c>
      <c r="U120" s="273">
        <f t="shared" ref="U120:AE120" ca="1" si="256">ROUND(U125,2)-ROUND(T125,2)</f>
        <v>0</v>
      </c>
      <c r="V120" s="273">
        <f t="shared" ca="1" si="256"/>
        <v>0</v>
      </c>
      <c r="W120" s="273">
        <f t="shared" ca="1" si="256"/>
        <v>0</v>
      </c>
      <c r="X120" s="273">
        <f t="shared" ca="1" si="256"/>
        <v>0</v>
      </c>
      <c r="Y120" s="273">
        <f t="shared" ca="1" si="256"/>
        <v>0</v>
      </c>
      <c r="Z120" s="273">
        <f t="shared" ca="1" si="256"/>
        <v>0</v>
      </c>
      <c r="AA120" s="273">
        <f t="shared" ca="1" si="256"/>
        <v>0</v>
      </c>
      <c r="AB120" s="273">
        <f t="shared" ca="1" si="256"/>
        <v>0</v>
      </c>
      <c r="AC120" s="273">
        <f t="shared" ca="1" si="256"/>
        <v>0</v>
      </c>
      <c r="AD120" s="273">
        <f t="shared" ca="1" si="256"/>
        <v>0</v>
      </c>
      <c r="AE120" s="277">
        <f t="shared" ca="1" si="256"/>
        <v>0</v>
      </c>
    </row>
    <row r="121" spans="1:32" x14ac:dyDescent="0.2">
      <c r="D121" s="278">
        <f ca="1">ROUND(D126,2)-ROUND(C126,2)</f>
        <v>0</v>
      </c>
      <c r="F121" s="204" t="s">
        <v>246</v>
      </c>
      <c r="K121" s="279"/>
      <c r="R121" s="280"/>
      <c r="S121" s="281" t="s">
        <v>286</v>
      </c>
      <c r="T121" s="282">
        <f ca="1">ROUND(T126,2)</f>
        <v>5782.2</v>
      </c>
      <c r="U121" s="283">
        <f t="shared" ref="U121:AE121" ca="1" si="257">ROUND(U126,2)-ROUND(T126,2)</f>
        <v>19873.88</v>
      </c>
      <c r="V121" s="283">
        <f t="shared" ca="1" si="257"/>
        <v>64905.94</v>
      </c>
      <c r="W121" s="283">
        <f t="shared" ca="1" si="257"/>
        <v>67265.14</v>
      </c>
      <c r="X121" s="283">
        <f t="shared" ca="1" si="257"/>
        <v>81604.010000000009</v>
      </c>
      <c r="Y121" s="283">
        <f t="shared" ca="1" si="257"/>
        <v>51570.47</v>
      </c>
      <c r="Z121" s="283">
        <f t="shared" ca="1" si="257"/>
        <v>0</v>
      </c>
      <c r="AA121" s="283">
        <f t="shared" ca="1" si="257"/>
        <v>0</v>
      </c>
      <c r="AB121" s="283">
        <f t="shared" ca="1" si="257"/>
        <v>0</v>
      </c>
      <c r="AC121" s="283">
        <f t="shared" ca="1" si="257"/>
        <v>0</v>
      </c>
      <c r="AD121" s="283">
        <f t="shared" ca="1" si="257"/>
        <v>0</v>
      </c>
      <c r="AE121" s="284">
        <f t="shared" ca="1" si="257"/>
        <v>0</v>
      </c>
    </row>
    <row r="122" spans="1:32" x14ac:dyDescent="0.2">
      <c r="D122" s="252">
        <f ca="1">D126/$Q$117</f>
        <v>0</v>
      </c>
      <c r="F122" s="204" t="s">
        <v>246</v>
      </c>
      <c r="K122" s="253"/>
      <c r="R122" s="255"/>
      <c r="S122" s="256" t="s">
        <v>282</v>
      </c>
      <c r="T122" s="257">
        <f ca="1">ROUND(T126,2)/$Q$117</f>
        <v>1.9869991110703016E-2</v>
      </c>
      <c r="U122" s="258">
        <f t="shared" ref="U122:AE122" ca="1" si="258">ROUND(U126,2)/$Q$117</f>
        <v>8.8164726494324913E-2</v>
      </c>
      <c r="V122" s="258">
        <f t="shared" ca="1" si="258"/>
        <v>0.31120793683499515</v>
      </c>
      <c r="W122" s="258">
        <f t="shared" ca="1" si="258"/>
        <v>0.5423583179806134</v>
      </c>
      <c r="X122" s="258">
        <f t="shared" ca="1" si="258"/>
        <v>0.82278288878371952</v>
      </c>
      <c r="Y122" s="258">
        <f t="shared" ca="1" si="258"/>
        <v>1</v>
      </c>
      <c r="Z122" s="258">
        <f t="shared" ca="1" si="258"/>
        <v>1</v>
      </c>
      <c r="AA122" s="258">
        <f t="shared" ca="1" si="258"/>
        <v>1</v>
      </c>
      <c r="AB122" s="258">
        <f t="shared" ca="1" si="258"/>
        <v>1</v>
      </c>
      <c r="AC122" s="258">
        <f t="shared" ca="1" si="258"/>
        <v>1</v>
      </c>
      <c r="AD122" s="258">
        <f t="shared" ca="1" si="258"/>
        <v>1</v>
      </c>
      <c r="AE122" s="259">
        <f t="shared" ca="1" si="258"/>
        <v>1</v>
      </c>
    </row>
    <row r="123" spans="1:32" x14ac:dyDescent="0.2">
      <c r="D123" s="260">
        <f ca="1">ROUND(D126-D125-D124,2)</f>
        <v>0</v>
      </c>
      <c r="F123" s="204" t="s">
        <v>246</v>
      </c>
      <c r="K123" s="261"/>
      <c r="R123" s="262"/>
      <c r="S123" s="263" t="str">
        <f>IF(import.recurso="FGTS","Financiamento:","Repasse:")</f>
        <v>Repasse:</v>
      </c>
      <c r="T123" s="264">
        <f ca="1">ROUND(T126-T125-T124,2)</f>
        <v>0</v>
      </c>
      <c r="U123" s="260">
        <f t="shared" ref="U123:AE123" ca="1" si="259">ROUND(U126-U125-U124,2)</f>
        <v>0</v>
      </c>
      <c r="V123" s="260">
        <f t="shared" ca="1" si="259"/>
        <v>0</v>
      </c>
      <c r="W123" s="260">
        <f t="shared" ca="1" si="259"/>
        <v>0</v>
      </c>
      <c r="X123" s="260">
        <f t="shared" ca="1" si="259"/>
        <v>0</v>
      </c>
      <c r="Y123" s="260">
        <f t="shared" ca="1" si="259"/>
        <v>0</v>
      </c>
      <c r="Z123" s="260">
        <f t="shared" ca="1" si="259"/>
        <v>0</v>
      </c>
      <c r="AA123" s="260">
        <f t="shared" ca="1" si="259"/>
        <v>0</v>
      </c>
      <c r="AB123" s="260">
        <f t="shared" ca="1" si="259"/>
        <v>0</v>
      </c>
      <c r="AC123" s="260">
        <f t="shared" ca="1" si="259"/>
        <v>0</v>
      </c>
      <c r="AD123" s="260">
        <f t="shared" ca="1" si="259"/>
        <v>0</v>
      </c>
      <c r="AE123" s="265">
        <f t="shared" ca="1" si="259"/>
        <v>0</v>
      </c>
      <c r="AF123" s="205">
        <f ca="1">AE123+SUMPRODUCT((OFFSET($B$13,1,0):OFFSET($B$116,-3,0))*IF(ISNUMBER(OFFSET(AF$11,5,0):OFFSET(AF$116,-1,0)),OFFSET(AF$11,5,0):OFFSET(AF$116,-1,0),0))</f>
        <v>0</v>
      </c>
    </row>
    <row r="124" spans="1:32" x14ac:dyDescent="0.2">
      <c r="D124" s="260">
        <f t="array" aca="1" ref="D124" ca="1">C124+SUM((OFFSET($B$13,1,0):OFFSET($B$116,-3,0))*IF(ISNUMBER(OFFSET(D$11,5,0):OFFSET(D$116,-1,0)),OFFSET(D$11,5,0):OFFSET(D$116,-1,0),0))</f>
        <v>0</v>
      </c>
      <c r="F124" s="204" t="s">
        <v>246</v>
      </c>
      <c r="K124" s="267" t="s">
        <v>287</v>
      </c>
      <c r="R124" s="268"/>
      <c r="S124" s="269" t="s">
        <v>284</v>
      </c>
      <c r="T124" s="270">
        <f t="array" aca="1" ref="T124" ca="1">SUM((OFFSET($B$13,1,0):OFFSET($B$116,-3,0))*IF(ISNUMBER(OFFSET(T$11,5,0):OFFSET(T$116,-1,0)),OFFSET(T$11,5,0):OFFSET(T$116,-1,0),0))</f>
        <v>5782.2</v>
      </c>
      <c r="U124" s="271">
        <f t="array" aca="1" ref="U124" ca="1">T124+SUM((OFFSET($B$13,1,0):OFFSET($B$116,-3,0))*IF(ISNUMBER(OFFSET(U$11,5,0):OFFSET(U$116,-1,0)),OFFSET(U$11,5,0):OFFSET(U$116,-1,0),0))</f>
        <v>25656.080000000002</v>
      </c>
      <c r="V124" s="271">
        <f t="array" aca="1" ref="V124" ca="1">U124+SUM((OFFSET($B$13,1,0):OFFSET($B$116,-3,0))*IF(ISNUMBER(OFFSET(V$11,5,0):OFFSET(V$116,-1,0)),OFFSET(V$11,5,0):OFFSET(V$116,-1,0),0))</f>
        <v>90562.017499999987</v>
      </c>
      <c r="W124" s="271">
        <f t="array" aca="1" ref="W124" ca="1">V124+SUM((OFFSET($B$13,1,0):OFFSET($B$116,-3,0))*IF(ISNUMBER(OFFSET(W$11,5,0):OFFSET(W$116,-1,0)),OFFSET(W$11,5,0):OFFSET(W$116,-1,0),0))</f>
        <v>157827.15499999997</v>
      </c>
      <c r="X124" s="271">
        <f t="array" aca="1" ref="X124" ca="1">W124+SUM((OFFSET($B$13,1,0):OFFSET($B$116,-3,0))*IF(ISNUMBER(OFFSET(X$11,5,0):OFFSET(X$116,-1,0)),OFFSET(X$11,5,0):OFFSET(X$116,-1,0),0))</f>
        <v>239431.16749999998</v>
      </c>
      <c r="Y124" s="271">
        <f t="array" aca="1" ref="Y124" ca="1">X124+SUM((OFFSET($B$13,1,0):OFFSET($B$116,-3,0))*IF(ISNUMBER(OFFSET(Y$11,5,0):OFFSET(Y$116,-1,0)),OFFSET(Y$11,5,0):OFFSET(Y$116,-1,0),0))</f>
        <v>291001.63999999996</v>
      </c>
      <c r="Z124" s="271">
        <f t="array" aca="1" ref="Z124" ca="1">Y124+SUM((OFFSET($B$13,1,0):OFFSET($B$116,-3,0))*IF(ISNUMBER(OFFSET(Z$11,5,0):OFFSET(Z$116,-1,0)),OFFSET(Z$11,5,0):OFFSET(Z$116,-1,0),0))</f>
        <v>291001.63999999996</v>
      </c>
      <c r="AA124" s="271">
        <f t="array" aca="1" ref="AA124" ca="1">Z124+SUM((OFFSET($B$13,1,0):OFFSET($B$116,-3,0))*IF(ISNUMBER(OFFSET(AA$11,5,0):OFFSET(AA$116,-1,0)),OFFSET(AA$11,5,0):OFFSET(AA$116,-1,0),0))</f>
        <v>291001.63999999996</v>
      </c>
      <c r="AB124" s="271">
        <f t="array" aca="1" ref="AB124" ca="1">AA124+SUM((OFFSET($B$13,1,0):OFFSET($B$116,-3,0))*IF(ISNUMBER(OFFSET(AB$11,5,0):OFFSET(AB$116,-1,0)),OFFSET(AB$11,5,0):OFFSET(AB$116,-1,0),0))</f>
        <v>291001.63999999996</v>
      </c>
      <c r="AC124" s="271">
        <f t="array" aca="1" ref="AC124" ca="1">AB124+SUM((OFFSET($B$13,1,0):OFFSET($B$116,-3,0))*IF(ISNUMBER(OFFSET(AC$11,5,0):OFFSET(AC$116,-1,0)),OFFSET(AC$11,5,0):OFFSET(AC$116,-1,0),0))</f>
        <v>291001.63999999996</v>
      </c>
      <c r="AD124" s="271">
        <f t="array" aca="1" ref="AD124" ca="1">AC124+SUM((OFFSET($B$13,1,0):OFFSET($B$116,-3,0))*IF(ISNUMBER(OFFSET(AD$11,5,0):OFFSET(AD$116,-1,0)),OFFSET(AD$11,5,0):OFFSET(AD$116,-1,0),0))</f>
        <v>291001.63999999996</v>
      </c>
      <c r="AE124" s="272">
        <f t="array" aca="1" ref="AE124" ca="1">AD124+SUM((OFFSET($B$13,1,0):OFFSET($B$116,-3,0))*IF(ISNUMBER(OFFSET(AE$11,5,0):OFFSET(AE$116,-1,0)),OFFSET(AE$11,5,0):OFFSET(AE$116,-1,0),0))</f>
        <v>291001.63999999996</v>
      </c>
      <c r="AF124" s="205">
        <f ca="1">AE124+SUMPRODUCT((OFFSET($C$13,1,0):OFFSET($C$116,-3,0))*IF(ISNUMBER(OFFSET(AF$11,5,0):OFFSET(AF$116,-1,0)),OFFSET(AF$11,5,0):OFFSET(AF$116,-1,0),0))</f>
        <v>291001.63999999996</v>
      </c>
    </row>
    <row r="125" spans="1:32" x14ac:dyDescent="0.2">
      <c r="D125" s="273">
        <f t="array" aca="1" ref="D125" ca="1">C125+SUM((OFFSET($C$13,1,0):OFFSET($C$116,-3,0))*IF(ISNUMBER(OFFSET(D$11,5,0):OFFSET(D$116,-1,0)),OFFSET(D$11,5,0):OFFSET(D$116,-1,0),0))</f>
        <v>0</v>
      </c>
      <c r="F125" s="204" t="s">
        <v>246</v>
      </c>
      <c r="K125" s="267"/>
      <c r="R125" s="274"/>
      <c r="S125" s="275" t="s">
        <v>285</v>
      </c>
      <c r="T125" s="276">
        <f t="array" aca="1" ref="T125" ca="1">SUM((OFFSET($C$13,1,0):OFFSET($C$116,-3,0))*IF(ISNUMBER(OFFSET(T$11,5,0):OFFSET(T$116,-1,0)),OFFSET(T$11,5,0):OFFSET(T$116,-1,0),0))</f>
        <v>0</v>
      </c>
      <c r="U125" s="273">
        <f t="array" aca="1" ref="U125" ca="1">T125+SUM((OFFSET($C$13,1,0):OFFSET($C$116,-3,0))*IF(ISNUMBER(OFFSET(U$11,5,0):OFFSET(U$116,-1,0)),OFFSET(U$11,5,0):OFFSET(U$116,-1,0),0))</f>
        <v>0</v>
      </c>
      <c r="V125" s="273">
        <f t="array" aca="1" ref="V125" ca="1">U125+SUM((OFFSET($C$13,1,0):OFFSET($C$116,-3,0))*IF(ISNUMBER(OFFSET(V$11,5,0):OFFSET(V$116,-1,0)),OFFSET(V$11,5,0):OFFSET(V$116,-1,0),0))</f>
        <v>0</v>
      </c>
      <c r="W125" s="273">
        <f t="array" aca="1" ref="W125" ca="1">V125+SUM((OFFSET($C$13,1,0):OFFSET($C$116,-3,0))*IF(ISNUMBER(OFFSET(W$11,5,0):OFFSET(W$116,-1,0)),OFFSET(W$11,5,0):OFFSET(W$116,-1,0),0))</f>
        <v>0</v>
      </c>
      <c r="X125" s="273">
        <f t="array" aca="1" ref="X125" ca="1">W125+SUM((OFFSET($C$13,1,0):OFFSET($C$116,-3,0))*IF(ISNUMBER(OFFSET(X$11,5,0):OFFSET(X$116,-1,0)),OFFSET(X$11,5,0):OFFSET(X$116,-1,0),0))</f>
        <v>0</v>
      </c>
      <c r="Y125" s="273">
        <f t="array" aca="1" ref="Y125" ca="1">X125+SUM((OFFSET($C$13,1,0):OFFSET($C$116,-3,0))*IF(ISNUMBER(OFFSET(Y$11,5,0):OFFSET(Y$116,-1,0)),OFFSET(Y$11,5,0):OFFSET(Y$116,-1,0),0))</f>
        <v>0</v>
      </c>
      <c r="Z125" s="273">
        <f t="array" aca="1" ref="Z125" ca="1">Y125+SUM((OFFSET($C$13,1,0):OFFSET($C$116,-3,0))*IF(ISNUMBER(OFFSET(Z$11,5,0):OFFSET(Z$116,-1,0)),OFFSET(Z$11,5,0):OFFSET(Z$116,-1,0),0))</f>
        <v>0</v>
      </c>
      <c r="AA125" s="273">
        <f t="array" aca="1" ref="AA125" ca="1">Z125+SUM((OFFSET($C$13,1,0):OFFSET($C$116,-3,0))*IF(ISNUMBER(OFFSET(AA$11,5,0):OFFSET(AA$116,-1,0)),OFFSET(AA$11,5,0):OFFSET(AA$116,-1,0),0))</f>
        <v>0</v>
      </c>
      <c r="AB125" s="273">
        <f t="array" aca="1" ref="AB125" ca="1">AA125+SUM((OFFSET($C$13,1,0):OFFSET($C$116,-3,0))*IF(ISNUMBER(OFFSET(AB$11,5,0):OFFSET(AB$116,-1,0)),OFFSET(AB$11,5,0):OFFSET(AB$116,-1,0),0))</f>
        <v>0</v>
      </c>
      <c r="AC125" s="273">
        <f t="array" aca="1" ref="AC125" ca="1">AB125+SUM((OFFSET($C$13,1,0):OFFSET($C$116,-3,0))*IF(ISNUMBER(OFFSET(AC$11,5,0):OFFSET(AC$116,-1,0)),OFFSET(AC$11,5,0):OFFSET(AC$116,-1,0),0))</f>
        <v>0</v>
      </c>
      <c r="AD125" s="273">
        <f t="array" aca="1" ref="AD125" ca="1">AC125+SUM((OFFSET($C$13,1,0):OFFSET($C$116,-3,0))*IF(ISNUMBER(OFFSET(AD$11,5,0):OFFSET(AD$116,-1,0)),OFFSET(AD$11,5,0):OFFSET(AD$116,-1,0),0))</f>
        <v>0</v>
      </c>
      <c r="AE125" s="277">
        <f t="array" aca="1" ref="AE125" ca="1">AD125+SUM((OFFSET($C$13,1,0):OFFSET($C$116,-3,0))*IF(ISNUMBER(OFFSET(AE$11,5,0):OFFSET(AE$116,-1,0)),OFFSET(AE$11,5,0):OFFSET(AE$116,-1,0),0))</f>
        <v>0</v>
      </c>
      <c r="AF125" s="205">
        <f ca="1">ROUND(AF126-AF123-AF124,2)</f>
        <v>0</v>
      </c>
    </row>
    <row r="126" spans="1:32" x14ac:dyDescent="0.2">
      <c r="D126" s="278">
        <f ca="1">C126+SUMIF($R$12:$R$116,"1$",D12:D116)</f>
        <v>0</v>
      </c>
      <c r="F126" s="204" t="s">
        <v>246</v>
      </c>
      <c r="K126" s="279"/>
      <c r="R126" s="280"/>
      <c r="S126" s="281" t="s">
        <v>286</v>
      </c>
      <c r="T126" s="282">
        <f ca="1">SUMIF($R$12:$R$116,"1$",T12:T116)</f>
        <v>5782.2</v>
      </c>
      <c r="U126" s="283">
        <f t="shared" ref="U126:AF126" ca="1" si="260">T126+SUMIF($R$12:$R$116,"1$",U12:U116)</f>
        <v>25656.080000000002</v>
      </c>
      <c r="V126" s="283">
        <f t="shared" ca="1" si="260"/>
        <v>90562.017500000016</v>
      </c>
      <c r="W126" s="283">
        <f t="shared" ca="1" si="260"/>
        <v>157827.15500000003</v>
      </c>
      <c r="X126" s="283">
        <f t="shared" ca="1" si="260"/>
        <v>239431.16750000004</v>
      </c>
      <c r="Y126" s="283">
        <f t="shared" ca="1" si="260"/>
        <v>291001.64</v>
      </c>
      <c r="Z126" s="283">
        <f t="shared" ca="1" si="260"/>
        <v>291001.64</v>
      </c>
      <c r="AA126" s="283">
        <f t="shared" ca="1" si="260"/>
        <v>291001.64</v>
      </c>
      <c r="AB126" s="283">
        <f t="shared" ca="1" si="260"/>
        <v>291001.64</v>
      </c>
      <c r="AC126" s="283">
        <f t="shared" ca="1" si="260"/>
        <v>291001.64</v>
      </c>
      <c r="AD126" s="283">
        <f t="shared" ca="1" si="260"/>
        <v>291001.64</v>
      </c>
      <c r="AE126" s="284">
        <f t="shared" ca="1" si="260"/>
        <v>291001.64</v>
      </c>
      <c r="AF126" s="205">
        <f t="shared" ca="1" si="260"/>
        <v>291001.64</v>
      </c>
    </row>
    <row r="127" spans="1:32" x14ac:dyDescent="0.2">
      <c r="F127" s="204" t="s">
        <v>246</v>
      </c>
    </row>
    <row r="128" spans="1:32" ht="32.25" customHeight="1" x14ac:dyDescent="0.2">
      <c r="F128" s="204" t="s">
        <v>246</v>
      </c>
      <c r="H128" s="615" t="str">
        <f>Import.Município</f>
        <v>RONDINHA - RS</v>
      </c>
      <c r="I128" s="615"/>
      <c r="J128" s="615"/>
      <c r="K128" s="615"/>
      <c r="L128" s="615"/>
      <c r="M128" s="615"/>
      <c r="N128" s="615"/>
      <c r="O128" s="615"/>
      <c r="P128" s="615"/>
      <c r="Q128" s="615"/>
      <c r="R128" s="615"/>
      <c r="Z128" s="553"/>
      <c r="AA128" s="553"/>
      <c r="AB128" s="553"/>
      <c r="AC128" s="553"/>
      <c r="AD128" s="555"/>
      <c r="AE128" s="555"/>
    </row>
    <row r="129" spans="6:31" x14ac:dyDescent="0.2">
      <c r="F129" s="204" t="s">
        <v>246</v>
      </c>
      <c r="H129" s="10" t="s">
        <v>188</v>
      </c>
      <c r="I129"/>
      <c r="J129"/>
      <c r="K129"/>
      <c r="Z129" s="195" t="s">
        <v>190</v>
      </c>
      <c r="AA129" s="195"/>
      <c r="AB129" s="195"/>
      <c r="AC129" s="195"/>
      <c r="AD129" s="204"/>
      <c r="AE129" s="204"/>
    </row>
    <row r="130" spans="6:31" x14ac:dyDescent="0.2">
      <c r="F130" s="204" t="s">
        <v>246</v>
      </c>
      <c r="H130"/>
      <c r="I130"/>
      <c r="J130"/>
      <c r="K130"/>
      <c r="Z130" s="447" t="str">
        <f t="array" aca="1" ref="Z130:Z132" ca="1">OFFSET(Import.RespOrçamento,0,-1) &amp; " " &amp; Import.RespOrçamento</f>
        <v>Nome: MARCELO SETTI</v>
      </c>
      <c r="AB130"/>
      <c r="AC130" s="80"/>
      <c r="AD130" s="204"/>
      <c r="AE130" s="204"/>
    </row>
    <row r="131" spans="6:31" x14ac:dyDescent="0.2">
      <c r="F131" s="204" t="s">
        <v>246</v>
      </c>
      <c r="H131" s="638">
        <f ca="1">DADOS!$F$25</f>
        <v>45412</v>
      </c>
      <c r="I131" s="638"/>
      <c r="J131" s="638"/>
      <c r="K131" s="194"/>
      <c r="L131" s="285"/>
      <c r="M131" s="285"/>
      <c r="N131" s="285"/>
      <c r="O131" s="285"/>
      <c r="P131" s="285"/>
      <c r="Q131" s="285"/>
      <c r="R131" s="286"/>
      <c r="Z131" s="447" t="str">
        <f ca="1"/>
        <v>CREA/CAU: CREA/RS 226290</v>
      </c>
      <c r="AB131" s="80"/>
      <c r="AC131" s="80"/>
      <c r="AD131" s="204"/>
      <c r="AE131" s="204"/>
    </row>
    <row r="132" spans="6:31" x14ac:dyDescent="0.2">
      <c r="F132" s="204" t="s">
        <v>246</v>
      </c>
      <c r="H132" s="10" t="s">
        <v>189</v>
      </c>
      <c r="I132"/>
      <c r="J132"/>
      <c r="K132"/>
      <c r="Z132" s="447" t="str">
        <f ca="1"/>
        <v>ART/RRT: 13152333</v>
      </c>
      <c r="AB132" s="80"/>
      <c r="AC132" s="80"/>
      <c r="AD132" s="204"/>
      <c r="AE132" s="204"/>
    </row>
  </sheetData>
  <sheetProtection algorithmName="SHA-512" hashValue="Ewae09QGRYbIU749S7TN6XSuEmOugoQwwVcdn2MonG3Foi0czGp31IuvXGBjcQezAijYDMewM1o0JaBUBoD23Q==" saltValue="XMkgoqHr63PerXzpvgmRtQ==" spinCount="100000" sheet="1" objects="1" scenarios="1" autoFilter="0"/>
  <autoFilter ref="F13:F132" xr:uid="{00000000-0009-0000-0000-000007000000}">
    <filterColumn colId="0">
      <filters>
        <filter val="F"/>
      </filters>
    </filterColumn>
  </autoFilter>
  <mergeCells count="17">
    <mergeCell ref="H131:J131"/>
    <mergeCell ref="AD4:AE4"/>
    <mergeCell ref="AD5:AE5"/>
    <mergeCell ref="Y8:AD8"/>
    <mergeCell ref="R12:R13"/>
    <mergeCell ref="S12:S13"/>
    <mergeCell ref="K8:S8"/>
    <mergeCell ref="T8:X8"/>
    <mergeCell ref="J10:S11"/>
    <mergeCell ref="H128:R128"/>
    <mergeCell ref="F8:F11"/>
    <mergeCell ref="H8:I8"/>
    <mergeCell ref="G7:G9"/>
    <mergeCell ref="H117:J118"/>
    <mergeCell ref="G12:G13"/>
    <mergeCell ref="H12:H13"/>
    <mergeCell ref="I12:I13"/>
  </mergeCells>
  <phoneticPr fontId="38" type="noConversion"/>
  <conditionalFormatting sqref="T12:T13">
    <cfRule type="expression" dxfId="383" priority="1997" stopIfTrue="1">
      <formula>NOT(ISNUMBER(S$12))</formula>
    </cfRule>
  </conditionalFormatting>
  <conditionalFormatting sqref="D2 T2:AF2">
    <cfRule type="expression" dxfId="382" priority="1998" stopIfTrue="1">
      <formula>AND(ISNUMBER($G1),$G1&lt;&gt;0)</formula>
    </cfRule>
  </conditionalFormatting>
  <conditionalFormatting sqref="H2:R2">
    <cfRule type="expression" dxfId="381" priority="1999" stopIfTrue="1">
      <formula>$L1=2</formula>
    </cfRule>
    <cfRule type="expression" dxfId="380" priority="2000" stopIfTrue="1">
      <formula>AND($L1=1,$R1&lt;&gt;"")</formula>
    </cfRule>
  </conditionalFormatting>
  <conditionalFormatting sqref="H1:R1">
    <cfRule type="expression" dxfId="379" priority="2001" stopIfTrue="1">
      <formula>$L1=2</formula>
    </cfRule>
    <cfRule type="expression" dxfId="378" priority="2002" stopIfTrue="1">
      <formula>AND($L1=1,$R1&lt;&gt;"")</formula>
    </cfRule>
  </conditionalFormatting>
  <conditionalFormatting sqref="D117:D121 T118:AE118 T120:AE120">
    <cfRule type="expression" dxfId="377" priority="2003" stopIfTrue="1">
      <formula>D$117=0</formula>
    </cfRule>
  </conditionalFormatting>
  <conditionalFormatting sqref="D122:D126">
    <cfRule type="expression" dxfId="376" priority="2004" stopIfTrue="1">
      <formula>C$122=1</formula>
    </cfRule>
  </conditionalFormatting>
  <conditionalFormatting sqref="U122:AE122 U124:AE124 U126:AE126">
    <cfRule type="expression" dxfId="375" priority="2005" stopIfTrue="1">
      <formula>OFFSET(U$122,0,-1)&gt;=1</formula>
    </cfRule>
  </conditionalFormatting>
  <conditionalFormatting sqref="U123:AE123 U125:AE125">
    <cfRule type="expression" dxfId="374" priority="2006" stopIfTrue="1">
      <formula>OFFSET(U$122,0,-1)&gt;=1</formula>
    </cfRule>
  </conditionalFormatting>
  <conditionalFormatting sqref="T117:AE117 T119:AE119 T121:AE121">
    <cfRule type="expression" dxfId="373" priority="2007" stopIfTrue="1">
      <formula>T$117=0</formula>
    </cfRule>
  </conditionalFormatting>
  <conditionalFormatting sqref="AE7:AE8">
    <cfRule type="expression" dxfId="372" priority="2008" stopIfTrue="1">
      <formula>OR(TIPOORCAMENTO&lt;&gt;"Licitado",QCI.ExisteManual)</formula>
    </cfRule>
  </conditionalFormatting>
  <conditionalFormatting sqref="D1 T1:AE1">
    <cfRule type="expression" dxfId="371" priority="2009" stopIfTrue="1">
      <formula>D1&lt;&gt;0</formula>
    </cfRule>
  </conditionalFormatting>
  <conditionalFormatting sqref="Y7:AD8">
    <cfRule type="expression" dxfId="370" priority="1996" stopIfTrue="1">
      <formula>QCI.ExisteManual</formula>
    </cfRule>
  </conditionalFormatting>
  <conditionalFormatting sqref="D15 D18 D21 T15:AF15 T18:AF18 T21:AF21">
    <cfRule type="expression" dxfId="369" priority="157" stopIfTrue="1">
      <formula>AND(ISNUMBER($G14),$G14&lt;&gt;0)</formula>
    </cfRule>
  </conditionalFormatting>
  <conditionalFormatting sqref="H15:R15 H18:R18 H21:R21">
    <cfRule type="expression" dxfId="368" priority="158" stopIfTrue="1">
      <formula>$L14=2</formula>
    </cfRule>
    <cfRule type="expression" dxfId="367" priority="159" stopIfTrue="1">
      <formula>AND($L14=1,$R14&lt;&gt;"")</formula>
    </cfRule>
  </conditionalFormatting>
  <conditionalFormatting sqref="H14:R14 H17:R17 H20:R20">
    <cfRule type="expression" dxfId="366" priority="160" stopIfTrue="1">
      <formula>$L14=2</formula>
    </cfRule>
    <cfRule type="expression" dxfId="365" priority="161" stopIfTrue="1">
      <formula>AND($L14=1,$R14&lt;&gt;"")</formula>
    </cfRule>
  </conditionalFormatting>
  <conditionalFormatting sqref="D14 D17 D20 T14:AE14 T17:AE17 T20:AE20">
    <cfRule type="expression" dxfId="364" priority="162" stopIfTrue="1">
      <formula>D14&lt;&gt;0</formula>
    </cfRule>
  </conditionalFormatting>
  <conditionalFormatting sqref="D24 D27 D30 T24:AF24 T27:AF27 T30:AF30">
    <cfRule type="expression" dxfId="363" priority="151" stopIfTrue="1">
      <formula>AND(ISNUMBER($G23),$G23&lt;&gt;0)</formula>
    </cfRule>
  </conditionalFormatting>
  <conditionalFormatting sqref="H24:R24 H27:R27 H30:R30">
    <cfRule type="expression" dxfId="362" priority="152" stopIfTrue="1">
      <formula>$L23=2</formula>
    </cfRule>
    <cfRule type="expression" dxfId="361" priority="153" stopIfTrue="1">
      <formula>AND($L23=1,$R23&lt;&gt;"")</formula>
    </cfRule>
  </conditionalFormatting>
  <conditionalFormatting sqref="H23:R23 H26:R26 H29:R29">
    <cfRule type="expression" dxfId="360" priority="154" stopIfTrue="1">
      <formula>$L23=2</formula>
    </cfRule>
    <cfRule type="expression" dxfId="359" priority="155" stopIfTrue="1">
      <formula>AND($L23=1,$R23&lt;&gt;"")</formula>
    </cfRule>
  </conditionalFormatting>
  <conditionalFormatting sqref="D23 D26 D29 T23:AE23 T26:AE26 T29:AE29">
    <cfRule type="expression" dxfId="358" priority="156" stopIfTrue="1">
      <formula>D23&lt;&gt;0</formula>
    </cfRule>
  </conditionalFormatting>
  <conditionalFormatting sqref="D33 D36 T33:AF33 T36:AF36">
    <cfRule type="expression" dxfId="357" priority="145" stopIfTrue="1">
      <formula>AND(ISNUMBER($G32),$G32&lt;&gt;0)</formula>
    </cfRule>
  </conditionalFormatting>
  <conditionalFormatting sqref="H33:R33 H36:R36">
    <cfRule type="expression" dxfId="356" priority="146" stopIfTrue="1">
      <formula>$L32=2</formula>
    </cfRule>
    <cfRule type="expression" dxfId="355" priority="147" stopIfTrue="1">
      <formula>AND($L32=1,$R32&lt;&gt;"")</formula>
    </cfRule>
  </conditionalFormatting>
  <conditionalFormatting sqref="H32:R32 H35:R35">
    <cfRule type="expression" dxfId="354" priority="148" stopIfTrue="1">
      <formula>$L32=2</formula>
    </cfRule>
    <cfRule type="expression" dxfId="353" priority="149" stopIfTrue="1">
      <formula>AND($L32=1,$R32&lt;&gt;"")</formula>
    </cfRule>
  </conditionalFormatting>
  <conditionalFormatting sqref="D32 D35 T32:AE32 T35:AE35">
    <cfRule type="expression" dxfId="352" priority="150" stopIfTrue="1">
      <formula>D32&lt;&gt;0</formula>
    </cfRule>
  </conditionalFormatting>
  <conditionalFormatting sqref="D39 D42 D45 T39:AF39 T42:AF42 T45:AF45">
    <cfRule type="expression" dxfId="351" priority="55" stopIfTrue="1">
      <formula>AND(ISNUMBER($G38),$G38&lt;&gt;0)</formula>
    </cfRule>
  </conditionalFormatting>
  <conditionalFormatting sqref="H39:R39 H42:R42 H45:R45">
    <cfRule type="expression" dxfId="350" priority="56" stopIfTrue="1">
      <formula>$L38=2</formula>
    </cfRule>
    <cfRule type="expression" dxfId="349" priority="57" stopIfTrue="1">
      <formula>AND($L38=1,$R38&lt;&gt;"")</formula>
    </cfRule>
  </conditionalFormatting>
  <conditionalFormatting sqref="H38:R38 H41:R41 H44:R44">
    <cfRule type="expression" dxfId="348" priority="58" stopIfTrue="1">
      <formula>$L38=2</formula>
    </cfRule>
    <cfRule type="expression" dxfId="347" priority="59" stopIfTrue="1">
      <formula>AND($L38=1,$R38&lt;&gt;"")</formula>
    </cfRule>
  </conditionalFormatting>
  <conditionalFormatting sqref="D38 D41 D44 T38:AE38 T41:AE41 T44:AE44">
    <cfRule type="expression" dxfId="346" priority="60" stopIfTrue="1">
      <formula>D38&lt;&gt;0</formula>
    </cfRule>
  </conditionalFormatting>
  <conditionalFormatting sqref="D48 D51 D54 T48:AF48 T51:AF51 T54:AF54">
    <cfRule type="expression" dxfId="345" priority="49" stopIfTrue="1">
      <formula>AND(ISNUMBER($G47),$G47&lt;&gt;0)</formula>
    </cfRule>
  </conditionalFormatting>
  <conditionalFormatting sqref="H48:R48 H51:R51 H54:R54">
    <cfRule type="expression" dxfId="344" priority="50" stopIfTrue="1">
      <formula>$L47=2</formula>
    </cfRule>
    <cfRule type="expression" dxfId="343" priority="51" stopIfTrue="1">
      <formula>AND($L47=1,$R47&lt;&gt;"")</formula>
    </cfRule>
  </conditionalFormatting>
  <conditionalFormatting sqref="H47:R47 H50:R50 H53:R53">
    <cfRule type="expression" dxfId="342" priority="52" stopIfTrue="1">
      <formula>$L47=2</formula>
    </cfRule>
    <cfRule type="expression" dxfId="341" priority="53" stopIfTrue="1">
      <formula>AND($L47=1,$R47&lt;&gt;"")</formula>
    </cfRule>
  </conditionalFormatting>
  <conditionalFormatting sqref="D47 D50 D53 T47:AE47 T50:AE50 T53:AE53">
    <cfRule type="expression" dxfId="340" priority="54" stopIfTrue="1">
      <formula>D47&lt;&gt;0</formula>
    </cfRule>
  </conditionalFormatting>
  <conditionalFormatting sqref="D57 D60 D63 T57:AF57 T60:AF60 T63:AF63">
    <cfRule type="expression" dxfId="339" priority="43" stopIfTrue="1">
      <formula>AND(ISNUMBER($G56),$G56&lt;&gt;0)</formula>
    </cfRule>
  </conditionalFormatting>
  <conditionalFormatting sqref="H57:R57 H60:R60 H63:R63">
    <cfRule type="expression" dxfId="338" priority="44" stopIfTrue="1">
      <formula>$L56=2</formula>
    </cfRule>
    <cfRule type="expression" dxfId="337" priority="45" stopIfTrue="1">
      <formula>AND($L56=1,$R56&lt;&gt;"")</formula>
    </cfRule>
  </conditionalFormatting>
  <conditionalFormatting sqref="H56:R56 H59:R59 H62:R62">
    <cfRule type="expression" dxfId="336" priority="46" stopIfTrue="1">
      <formula>$L56=2</formula>
    </cfRule>
    <cfRule type="expression" dxfId="335" priority="47" stopIfTrue="1">
      <formula>AND($L56=1,$R56&lt;&gt;"")</formula>
    </cfRule>
  </conditionalFormatting>
  <conditionalFormatting sqref="D56 D59 D62 T56:AE56 T59:AE59 T62:AE62">
    <cfRule type="expression" dxfId="334" priority="48" stopIfTrue="1">
      <formula>D56&lt;&gt;0</formula>
    </cfRule>
  </conditionalFormatting>
  <conditionalFormatting sqref="D66 T66:AF66">
    <cfRule type="expression" dxfId="333" priority="37" stopIfTrue="1">
      <formula>AND(ISNUMBER($G65),$G65&lt;&gt;0)</formula>
    </cfRule>
  </conditionalFormatting>
  <conditionalFormatting sqref="H66:R66">
    <cfRule type="expression" dxfId="332" priority="38" stopIfTrue="1">
      <formula>$L65=2</formula>
    </cfRule>
    <cfRule type="expression" dxfId="331" priority="39" stopIfTrue="1">
      <formula>AND($L65=1,$R65&lt;&gt;"")</formula>
    </cfRule>
  </conditionalFormatting>
  <conditionalFormatting sqref="H65:R65">
    <cfRule type="expression" dxfId="330" priority="40" stopIfTrue="1">
      <formula>$L65=2</formula>
    </cfRule>
    <cfRule type="expression" dxfId="329" priority="41" stopIfTrue="1">
      <formula>AND($L65=1,$R65&lt;&gt;"")</formula>
    </cfRule>
  </conditionalFormatting>
  <conditionalFormatting sqref="D65 T65:AE65">
    <cfRule type="expression" dxfId="328" priority="42" stopIfTrue="1">
      <formula>D65&lt;&gt;0</formula>
    </cfRule>
  </conditionalFormatting>
  <conditionalFormatting sqref="D69 D72 D75 T69:AF69 T72:AF72 T75:AF75">
    <cfRule type="expression" dxfId="327" priority="31" stopIfTrue="1">
      <formula>AND(ISNUMBER($G68),$G68&lt;&gt;0)</formula>
    </cfRule>
  </conditionalFormatting>
  <conditionalFormatting sqref="H69:R69 H72:R72 H75:R75">
    <cfRule type="expression" dxfId="326" priority="32" stopIfTrue="1">
      <formula>$L68=2</formula>
    </cfRule>
    <cfRule type="expression" dxfId="325" priority="33" stopIfTrue="1">
      <formula>AND($L68=1,$R68&lt;&gt;"")</formula>
    </cfRule>
  </conditionalFormatting>
  <conditionalFormatting sqref="H68:R68 H71:R71 H74:R74">
    <cfRule type="expression" dxfId="324" priority="34" stopIfTrue="1">
      <formula>$L68=2</formula>
    </cfRule>
    <cfRule type="expression" dxfId="323" priority="35" stopIfTrue="1">
      <formula>AND($L68=1,$R68&lt;&gt;"")</formula>
    </cfRule>
  </conditionalFormatting>
  <conditionalFormatting sqref="D68 D71 D74 T68:AE68 T71:AE71 T74:AE74">
    <cfRule type="expression" dxfId="322" priority="36" stopIfTrue="1">
      <formula>D68&lt;&gt;0</formula>
    </cfRule>
  </conditionalFormatting>
  <conditionalFormatting sqref="D78 D81 D84 T78:AF78 T81:AF81 T84:AF84">
    <cfRule type="expression" dxfId="321" priority="25" stopIfTrue="1">
      <formula>AND(ISNUMBER($G77),$G77&lt;&gt;0)</formula>
    </cfRule>
  </conditionalFormatting>
  <conditionalFormatting sqref="H78:R78 H81:R81 H84:R84">
    <cfRule type="expression" dxfId="320" priority="26" stopIfTrue="1">
      <formula>$L77=2</formula>
    </cfRule>
    <cfRule type="expression" dxfId="319" priority="27" stopIfTrue="1">
      <formula>AND($L77=1,$R77&lt;&gt;"")</formula>
    </cfRule>
  </conditionalFormatting>
  <conditionalFormatting sqref="H77:R77 H80:R80 H83:R83">
    <cfRule type="expression" dxfId="318" priority="28" stopIfTrue="1">
      <formula>$L77=2</formula>
    </cfRule>
    <cfRule type="expression" dxfId="317" priority="29" stopIfTrue="1">
      <formula>AND($L77=1,$R77&lt;&gt;"")</formula>
    </cfRule>
  </conditionalFormatting>
  <conditionalFormatting sqref="D77 D80 D83 T77:AE77 T80:AE80 T83:AE83">
    <cfRule type="expression" dxfId="316" priority="30" stopIfTrue="1">
      <formula>D77&lt;&gt;0</formula>
    </cfRule>
  </conditionalFormatting>
  <conditionalFormatting sqref="D87 D90 D93 T87:AF87 T90:AF90 T93:AF93">
    <cfRule type="expression" dxfId="315" priority="19" stopIfTrue="1">
      <formula>AND(ISNUMBER($G86),$G86&lt;&gt;0)</formula>
    </cfRule>
  </conditionalFormatting>
  <conditionalFormatting sqref="H87:R87 H90:R90 H93:R93">
    <cfRule type="expression" dxfId="314" priority="20" stopIfTrue="1">
      <formula>$L86=2</formula>
    </cfRule>
    <cfRule type="expression" dxfId="313" priority="21" stopIfTrue="1">
      <formula>AND($L86=1,$R86&lt;&gt;"")</formula>
    </cfRule>
  </conditionalFormatting>
  <conditionalFormatting sqref="H86:R86 H89:R89 H92:R92">
    <cfRule type="expression" dxfId="312" priority="22" stopIfTrue="1">
      <formula>$L86=2</formula>
    </cfRule>
    <cfRule type="expression" dxfId="311" priority="23" stopIfTrue="1">
      <formula>AND($L86=1,$R86&lt;&gt;"")</formula>
    </cfRule>
  </conditionalFormatting>
  <conditionalFormatting sqref="D86 D89 D92 T86:AE86 T89:AE89 T92:AE92">
    <cfRule type="expression" dxfId="310" priority="24" stopIfTrue="1">
      <formula>D86&lt;&gt;0</formula>
    </cfRule>
  </conditionalFormatting>
  <conditionalFormatting sqref="D96 D99 D102 T96:AF96 T99:AF99 T102:AF102">
    <cfRule type="expression" dxfId="309" priority="13" stopIfTrue="1">
      <formula>AND(ISNUMBER($G95),$G95&lt;&gt;0)</formula>
    </cfRule>
  </conditionalFormatting>
  <conditionalFormatting sqref="H96:R96 H99:R99 H102:R102">
    <cfRule type="expression" dxfId="308" priority="14" stopIfTrue="1">
      <formula>$L95=2</formula>
    </cfRule>
    <cfRule type="expression" dxfId="307" priority="15" stopIfTrue="1">
      <formula>AND($L95=1,$R95&lt;&gt;"")</formula>
    </cfRule>
  </conditionalFormatting>
  <conditionalFormatting sqref="H95:R95 H98:R98 H101:R101">
    <cfRule type="expression" dxfId="306" priority="16" stopIfTrue="1">
      <formula>$L95=2</formula>
    </cfRule>
    <cfRule type="expression" dxfId="305" priority="17" stopIfTrue="1">
      <formula>AND($L95=1,$R95&lt;&gt;"")</formula>
    </cfRule>
  </conditionalFormatting>
  <conditionalFormatting sqref="D95 D98 D101 T95:AE95 T98:AE98 T101:AE101">
    <cfRule type="expression" dxfId="304" priority="18" stopIfTrue="1">
      <formula>D95&lt;&gt;0</formula>
    </cfRule>
  </conditionalFormatting>
  <conditionalFormatting sqref="D105 D108 D111 T105:AF105 T108:AF108 T111:AF111">
    <cfRule type="expression" dxfId="303" priority="7" stopIfTrue="1">
      <formula>AND(ISNUMBER($G104),$G104&lt;&gt;0)</formula>
    </cfRule>
  </conditionalFormatting>
  <conditionalFormatting sqref="H105:R105 H108:R108 H111:R111">
    <cfRule type="expression" dxfId="302" priority="8" stopIfTrue="1">
      <formula>$L104=2</formula>
    </cfRule>
    <cfRule type="expression" dxfId="301" priority="9" stopIfTrue="1">
      <formula>AND($L104=1,$R104&lt;&gt;"")</formula>
    </cfRule>
  </conditionalFormatting>
  <conditionalFormatting sqref="H104:R104 H107:R107 H110:R110">
    <cfRule type="expression" dxfId="300" priority="10" stopIfTrue="1">
      <formula>$L104=2</formula>
    </cfRule>
    <cfRule type="expression" dxfId="299" priority="11" stopIfTrue="1">
      <formula>AND($L104=1,$R104&lt;&gt;"")</formula>
    </cfRule>
  </conditionalFormatting>
  <conditionalFormatting sqref="D104 D107 D110 T104:AE104 T107:AE107 T110:AE110">
    <cfRule type="expression" dxfId="298" priority="12" stopIfTrue="1">
      <formula>D104&lt;&gt;0</formula>
    </cfRule>
  </conditionalFormatting>
  <conditionalFormatting sqref="D114 T114:AF114">
    <cfRule type="expression" dxfId="297" priority="1" stopIfTrue="1">
      <formula>AND(ISNUMBER($G113),$G113&lt;&gt;0)</formula>
    </cfRule>
  </conditionalFormatting>
  <conditionalFormatting sqref="H114:R114">
    <cfRule type="expression" dxfId="296" priority="2" stopIfTrue="1">
      <formula>$L113=2</formula>
    </cfRule>
    <cfRule type="expression" dxfId="295" priority="3" stopIfTrue="1">
      <formula>AND($L113=1,$R113&lt;&gt;"")</formula>
    </cfRule>
  </conditionalFormatting>
  <conditionalFormatting sqref="H113:R113">
    <cfRule type="expression" dxfId="294" priority="4" stopIfTrue="1">
      <formula>$L113=2</formula>
    </cfRule>
    <cfRule type="expression" dxfId="293" priority="5" stopIfTrue="1">
      <formula>AND($L113=1,$R113&lt;&gt;"")</formula>
    </cfRule>
  </conditionalFormatting>
  <conditionalFormatting sqref="D113 T113:AE113">
    <cfRule type="expression" dxfId="292" priority="6" stopIfTrue="1">
      <formula>D113&lt;&gt;0</formula>
    </cfRule>
  </conditionalFormatting>
  <dataValidations count="5">
    <dataValidation type="list" allowBlank="1" showErrorMessage="1" sqref="G10" xr:uid="{00000000-0002-0000-0700-000000000000}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D26 D29 T23:AE23 T26:AE26 T29:AE29 D32 D35 T32:AE32 T35:AE35 D38 D41 D44 T38:AE38 T41:AE41 T44:AE44 D47 D50 D53 T47:AE47 T50:AE50 T53:AE53 D56 D59 D62 T56:AE56 T59:AE59 T62:AE62 D65 T65:AE65 D68 D71 D74 T68:AE68 T71:AE71 T74:AE74 D77 D80 D83 T77:AE77 T80:AE80 T83:AE83 D86 D89 D92 T86:AE86 T89:AE89 T92:AE92 D95 D98 D101 T95:AE95 T98:AE98 T101:AE101 D104 D107 D110 T104:AE104 T107:AE107 T110:AE110 D113 T113:AE113" xr:uid="{00000000-0002-0000-0700-000001000000}"/>
    <dataValidation type="whole" operator="greaterThan" allowBlank="1" showErrorMessage="1" sqref="T12" xr:uid="{00000000-0002-0000-0700-000002000000}">
      <formula1>0</formula1>
      <formula2>0</formula2>
    </dataValidation>
    <dataValidation type="decimal" allowBlank="1" showErrorMessage="1" error="Porcentagem Acumulada &gt; 100%." sqref="D2 T2:AF2 D15 D18 D21 T15:AF15 T18:AF18 T21:AF21 D24 D27 D30 T24:AF24 T27:AF27 T30:AF30 D33 D36 T33:AF33 T36:AF36 D39 D42 D45 T39:AF39 T42:AF42 T45:AF45 D48 D51 D54 T48:AF48 T51:AF51 T54:AF54 D57 D60 D63 T57:AF57 T60:AF60 T63:AF63 D66 T66:AF66 D69 D72 D75 T69:AF69 T72:AF72 T75:AF75 D78 D81 D84 T78:AF78 T81:AF81 T84:AF84 D87 D90 D93 T87:AF87 T90:AF90 T93:AF93 D96 D99 D102 T96:AF96 T99:AF99 T102:AF102 D105 D108 D111 T105:AF105 T108:AF108 T111:AF111 D114 T114:AF114" xr:uid="{00000000-0002-0000-0700-000003000000}">
      <formula1>0</formula1>
      <formula2>CRONO.MaxParc</formula2>
    </dataValidation>
    <dataValidation type="date" operator="greaterThan" allowBlank="1" showInputMessage="1" showErrorMessage="1" errorTitle="Erro" error="Digite somente datas." sqref="T13" xr:uid="{00000000-0002-0000-0700-000004000000}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>
    <pageSetUpPr fitToPage="1"/>
  </sheetPr>
  <dimension ref="A1:AE65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7" t="e">
        <f ca="1">IF(AUTOEVENTO="Manual",IF(OFFSET(EVENTOS!$F$14,CRONOPLE!$B1,0)&gt;0,"F",""),IF(CRONOPLE!B1&lt;=MAX(CÁLCULO!$M$15:$M$290),"F",""))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IF(AUTOEVENTO="Manual",IF($B1&lt;&gt;1,OFFSET(EVENTOS!$D$14,$B1,0),0),IF(B1&lt;=MAX(CÁLCULO!$M$15:$M$290),VLOOKUP($B1,CÁLCULO!$M$15:$N$290,2,FALSE),0))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83" t="s">
        <v>288</v>
      </c>
    </row>
    <row r="7" spans="1:31" x14ac:dyDescent="0.2">
      <c r="B7" t="s">
        <v>289</v>
      </c>
    </row>
    <row r="9" spans="1:31" ht="15" x14ac:dyDescent="0.25">
      <c r="B9" s="290" t="str">
        <f ca="1">IF(ACOMPANHAMENTO="BM","NO ACOMPANHAMENTO POR BM, UTILIZE A ABA CRONO",IF(MAX($B$14:$B$65)&lt;MAX(CÁLCULO!$M$15:$M$290),"ERRO: NÚMERO DE EVENTOS INSUFICIENTE, CLIQUE EM ATUALIZAR LINHAS",IF(ROUND(OFFSET(CRONO!$AF$126,0,-1),2)&lt;&gt;CRONO!$Q$117,"ERRO: CRONOGRAMA NÃO FECHA 100%","")))</f>
        <v>NO ACOMPANHAMENTO POR BM, UTILIZE A ABA CRONO</v>
      </c>
    </row>
    <row r="11" spans="1:31" ht="65.25" customHeight="1" x14ac:dyDescent="0.2">
      <c r="A11" s="291"/>
      <c r="C11" s="292"/>
      <c r="E11" s="293">
        <f ca="1">IF(E$12&gt;CÁLCULO.NúmeroDeFrentes,"",OFFSET(CÁLCULO!$P$12,0,E$12))</f>
        <v>0</v>
      </c>
      <c r="G11" s="293">
        <f ca="1">IF(G$12&gt;CÁLCULO.NúmeroDeFrentes,"",OFFSET(CÁLCULO!$P$12,0,G$12))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 t="str">
        <f ca="1">IF(Q$12&gt;CÁLCULO.NúmeroDeFrentes,"",OFFSET(CÁLCULO!$P$12,0,Q$12))</f>
        <v/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">
      <c r="A12" s="108"/>
      <c r="B12" s="644" t="s">
        <v>266</v>
      </c>
      <c r="C12" s="644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">
      <c r="B13" s="644"/>
      <c r="C13" s="644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">
      <c r="A14" s="7"/>
    </row>
    <row r="15" spans="1:31" x14ac:dyDescent="0.2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">
      <c r="A16" s="7" t="str">
        <f ca="1">IF(AUTOEVENTO="Manual",IF(OFFSET(EVENTOS!$F$14,CRONOPLE!$B16,0)&gt;0,"F",""),IF(CRONOPLE!B16&lt;=MAX(CÁLCULO!$M$15:$M$290),"F",""))</f>
        <v>F</v>
      </c>
      <c r="B16" s="287">
        <f t="shared" ref="B16:B64" ca="1" si="1">OFFSET(B16,-1,0)+1</f>
        <v>2</v>
      </c>
      <c r="C16" s="288" t="str">
        <f ca="1">IF(AUTOEVENTO="Manual",IF($B16&lt;&gt;1,OFFSET(EVENTOS!$D$14,$B16,0),0),IF(B16&lt;=MAX(CÁLCULO!$M$15:$M$290),VLOOKUP($B16,CÁLCULO!$M$15:$N$290,2,FALSE),0))</f>
        <v>SERVIÇOS INICIAIS E DRENO DE ÁGUAS PLUVIAIS</v>
      </c>
      <c r="E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">
      <c r="A17" s="7" t="str">
        <f ca="1">IF(AUTOEVENTO="Manual",IF(OFFSET(EVENTOS!$F$14,CRONOPLE!$B17,0)&gt;0,"F",""),IF(CRONOPLE!B17&lt;=MAX(CÁLCULO!$M$15:$M$290),"F",""))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IF(AUTOEVENTO="Manual",IF($B17&lt;&gt;1,OFFSET(EVENTOS!$D$14,$B17,0),0),IF(B17&lt;=MAX(CÁLCULO!$M$15:$M$290),VLOOKUP($B17,CÁLCULO!$M$15:$N$290,2,FALSE),0))</f>
        <v>INSTALAÇÕES HIDRÁULICAS - ENTRADA INDIVIDUALIZADA DE ÁGUA POTÁVEL E REDE ENTERRADA</v>
      </c>
      <c r="E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">
      <c r="A18" s="7" t="str">
        <f ca="1">IF(AUTOEVENTO="Manual",IF(OFFSET(EVENTOS!$F$14,CRONOPLE!$B18,0)&gt;0,"F",""),IF(CRONOPLE!B18&lt;=MAX(CÁLCULO!$M$15:$M$290),"F",""))</f>
        <v>F</v>
      </c>
      <c r="B18" s="287">
        <f t="shared" ca="1" si="1"/>
        <v>4</v>
      </c>
      <c r="C18" s="288" t="str">
        <f ca="1">IF(AUTOEVENTO="Manual",IF($B18&lt;&gt;1,OFFSET(EVENTOS!$D$14,$B18,0),0),IF(B18&lt;=MAX(CÁLCULO!$M$15:$M$290),VLOOKUP($B18,CÁLCULO!$M$15:$N$290,2,FALSE),0))</f>
        <v>ENTRADA DE ENERGIA PADRÃO, MURETA E QGBT</v>
      </c>
      <c r="E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">
      <c r="A19" s="7" t="str">
        <f ca="1">IF(AUTOEVENTO="Manual",IF(OFFSET(EVENTOS!$F$14,CRONOPLE!$B19,0)&gt;0,"F",""),IF(CRONOPLE!B19&lt;=MAX(CÁLCULO!$M$15:$M$290),"F",""))</f>
        <v>F</v>
      </c>
      <c r="B19" s="287">
        <f t="shared" ca="1" si="1"/>
        <v>5</v>
      </c>
      <c r="C19" s="288" t="str">
        <f ca="1">IF(AUTOEVENTO="Manual",IF($B19&lt;&gt;1,OFFSET(EVENTOS!$D$14,$B19,0),0),IF(B19&lt;=MAX(CÁLCULO!$M$15:$M$290),VLOOKUP($B19,CÁLCULO!$M$15:$N$290,2,FALSE),0))</f>
        <v>INSTALAÇÕES DE ILUMINAÇÃO COM POSTEAMENTO E LUMINÁRIAS 100W</v>
      </c>
      <c r="E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">
      <c r="A20" s="7" t="str">
        <f ca="1">IF(AUTOEVENTO="Manual",IF(OFFSET(EVENTOS!$F$14,CRONOPLE!$B20,0)&gt;0,"F",""),IF(CRONOPLE!B20&lt;=MAX(CÁLCULO!$M$15:$M$290),"F",""))</f>
        <v>F</v>
      </c>
      <c r="B20" s="287">
        <f t="shared" ca="1" si="1"/>
        <v>6</v>
      </c>
      <c r="C20" s="288" t="str">
        <f ca="1">IF(AUTOEVENTO="Manual",IF($B20&lt;&gt;1,OFFSET(EVENTOS!$D$14,$B20,0),0),IF(B20&lt;=MAX(CÁLCULO!$M$15:$M$290),VLOOKUP($B20,CÁLCULO!$M$15:$N$290,2,FALSE),0))</f>
        <v>MONITORAMENTO EXTERNO, REDE SUBTERRÂNEA (ENTERRADA)</v>
      </c>
      <c r="E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">
      <c r="A21" s="7" t="str">
        <f ca="1">IF(AUTOEVENTO="Manual",IF(OFFSET(EVENTOS!$F$14,CRONOPLE!$B21,0)&gt;0,"F",""),IF(CRONOPLE!B21&lt;=MAX(CÁLCULO!$M$15:$M$290),"F",""))</f>
        <v>F</v>
      </c>
      <c r="B21" s="287">
        <f t="shared" ca="1" si="1"/>
        <v>7</v>
      </c>
      <c r="C21" s="288" t="str">
        <f ca="1">IF(AUTOEVENTO="Manual",IF($B21&lt;&gt;1,OFFSET(EVENTOS!$D$14,$B21,0),0),IF(B21&lt;=MAX(CÁLCULO!$M$15:$M$290),VLOOKUP($B21,CÁLCULO!$M$15:$N$290,2,FALSE),0))</f>
        <v>SANITÁRIO PÚBLICO ACESSÍVEL</v>
      </c>
      <c r="E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">
      <c r="A22" s="7" t="str">
        <f ca="1">IF(AUTOEVENTO="Manual",IF(OFFSET(EVENTOS!$F$14,CRONOPLE!$B22,0)&gt;0,"F",""),IF(CRONOPLE!B22&lt;=MAX(CÁLCULO!$M$15:$M$290),"F",""))</f>
        <v>F</v>
      </c>
      <c r="B22" s="287">
        <f t="shared" ca="1" si="1"/>
        <v>8</v>
      </c>
      <c r="C22" s="288" t="str">
        <f ca="1">IF(AUTOEVENTO="Manual",IF($B22&lt;&gt;1,OFFSET(EVENTOS!$D$14,$B22,0),0),IF(B22&lt;=MAX(CÁLCULO!$M$15:$M$290),VLOOKUP($B22,CÁLCULO!$M$15:$N$290,2,FALSE),0))</f>
        <v>PASSEIO PÚBLICO E PAVIMENTAÇÃO INTERNA</v>
      </c>
      <c r="E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">
      <c r="A23" s="7" t="str">
        <f ca="1">IF(AUTOEVENTO="Manual",IF(OFFSET(EVENTOS!$F$14,CRONOPLE!$B23,0)&gt;0,"F",""),IF(CRONOPLE!B23&lt;=MAX(CÁLCULO!$M$15:$M$290),"F",""))</f>
        <v>F</v>
      </c>
      <c r="B23" s="287">
        <f t="shared" ca="1" si="1"/>
        <v>9</v>
      </c>
      <c r="C23" s="288" t="str">
        <f ca="1">IF(AUTOEVENTO="Manual",IF($B23&lt;&gt;1,OFFSET(EVENTOS!$D$14,$B23,0),0),IF(B23&lt;=MAX(CÁLCULO!$M$15:$M$290),VLOOKUP($B23,CÁLCULO!$M$15:$N$290,2,FALSE),0))</f>
        <v>CAMPO DE FUTEBOL</v>
      </c>
      <c r="E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x14ac:dyDescent="0.2">
      <c r="A24" s="7" t="str">
        <f ca="1">IF(AUTOEVENTO="Manual",IF(OFFSET(EVENTOS!$F$14,CRONOPLE!$B24,0)&gt;0,"F",""),IF(CRONOPLE!B24&lt;=MAX(CÁLCULO!$M$15:$M$290),"F",""))</f>
        <v>F</v>
      </c>
      <c r="B24" s="287">
        <f t="shared" ca="1" si="1"/>
        <v>10</v>
      </c>
      <c r="C24" s="288" t="str">
        <f ca="1">IF(AUTOEVENTO="Manual",IF($B24&lt;&gt;1,OFFSET(EVENTOS!$D$14,$B24,0),0),IF(B24&lt;=MAX(CÁLCULO!$M$15:$M$290),VLOOKUP($B24,CÁLCULO!$M$15:$N$290,2,FALSE),0))</f>
        <v>QUADRA DE AREIA</v>
      </c>
      <c r="E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</row>
    <row r="25" spans="1:31" x14ac:dyDescent="0.2">
      <c r="A25" s="7" t="str">
        <f ca="1">IF(AUTOEVENTO="Manual",IF(OFFSET(EVENTOS!$F$14,CRONOPLE!$B25,0)&gt;0,"F",""),IF(CRONOPLE!B25&lt;=MAX(CÁLCULO!$M$15:$M$290),"F",""))</f>
        <v>F</v>
      </c>
      <c r="B25" s="287">
        <f t="shared" ca="1" si="1"/>
        <v>11</v>
      </c>
      <c r="C25" s="288" t="str">
        <f ca="1">IF(AUTOEVENTO="Manual",IF($B25&lt;&gt;1,OFFSET(EVENTOS!$D$14,$B25,0),0),IF(B25&lt;=MAX(CÁLCULO!$M$15:$M$290),VLOOKUP($B25,CÁLCULO!$M$15:$N$290,2,FALSE),0))</f>
        <v>PLAYGROUND</v>
      </c>
      <c r="E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</row>
    <row r="26" spans="1:31" x14ac:dyDescent="0.2">
      <c r="A26" s="7" t="str">
        <f ca="1">IF(AUTOEVENTO="Manual",IF(OFFSET(EVENTOS!$F$14,CRONOPLE!$B26,0)&gt;0,"F",""),IF(CRONOPLE!B26&lt;=MAX(CÁLCULO!$M$15:$M$290),"F",""))</f>
        <v>F</v>
      </c>
      <c r="B26" s="287">
        <f t="shared" ca="1" si="1"/>
        <v>12</v>
      </c>
      <c r="C26" s="288" t="str">
        <f ca="1">IF(AUTOEVENTO="Manual",IF($B26&lt;&gt;1,OFFSET(EVENTOS!$D$14,$B26,0),0),IF(B26&lt;=MAX(CÁLCULO!$M$15:$M$290),VLOOKUP($B26,CÁLCULO!$M$15:$N$290,2,FALSE),0))</f>
        <v>ACADEMIA DE SAÚDE AO AR LIVRE</v>
      </c>
      <c r="E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</row>
    <row r="27" spans="1:31" x14ac:dyDescent="0.2">
      <c r="A27" s="7" t="str">
        <f ca="1">IF(AUTOEVENTO="Manual",IF(OFFSET(EVENTOS!$F$14,CRONOPLE!$B27,0)&gt;0,"F",""),IF(CRONOPLE!B27&lt;=MAX(CÁLCULO!$M$15:$M$290),"F",""))</f>
        <v>F</v>
      </c>
      <c r="B27" s="287">
        <f t="shared" ca="1" si="1"/>
        <v>13</v>
      </c>
      <c r="C27" s="288" t="str">
        <f ca="1">IF(AUTOEVENTO="Manual",IF($B27&lt;&gt;1,OFFSET(EVENTOS!$D$14,$B27,0),0),IF(B27&lt;=MAX(CÁLCULO!$M$15:$M$290),VLOOKUP($B27,CÁLCULO!$M$15:$N$290,2,FALSE),0))</f>
        <v>ÁREA DE CONFRATERNIZAÇÃO</v>
      </c>
      <c r="E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x14ac:dyDescent="0.2">
      <c r="A28" s="7" t="str">
        <f ca="1">IF(AUTOEVENTO="Manual",IF(OFFSET(EVENTOS!$F$14,CRONOPLE!$B28,0)&gt;0,"F",""),IF(CRONOPLE!B28&lt;=MAX(CÁLCULO!$M$15:$M$290),"F",""))</f>
        <v>F</v>
      </c>
      <c r="B28" s="287">
        <f t="shared" ca="1" si="1"/>
        <v>14</v>
      </c>
      <c r="C28" s="288" t="str">
        <f ca="1">IF(AUTOEVENTO="Manual",IF($B28&lt;&gt;1,OFFSET(EVENTOS!$D$14,$B28,0),0),IF(B28&lt;=MAX(CÁLCULO!$M$15:$M$290),VLOOKUP($B28,CÁLCULO!$M$15:$N$290,2,FALSE),0))</f>
        <v>SERVIÇOS FINAIS</v>
      </c>
      <c r="E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x14ac:dyDescent="0.2">
      <c r="A29" s="7" t="str">
        <f ca="1">IF(AUTOEVENTO="Manual",IF(OFFSET(EVENTOS!$F$14,CRONOPLE!$B29,0)&gt;0,"F",""),IF(CRONOPLE!B29&lt;=MAX(CÁLCULO!$M$15:$M$290),"F",""))</f>
        <v/>
      </c>
      <c r="B29" s="287">
        <f t="shared" ca="1" si="1"/>
        <v>15</v>
      </c>
      <c r="C29" s="288">
        <f ca="1">IF(AUTOEVENTO="Manual",IF($B29&lt;&gt;1,OFFSET(EVENTOS!$D$14,$B29,0),0),IF(B29&lt;=MAX(CÁLCULO!$M$15:$M$290),VLOOKUP($B29,CÁLCULO!$M$15:$N$290,2,FALSE),0))</f>
        <v>0</v>
      </c>
      <c r="E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</row>
    <row r="30" spans="1:31" x14ac:dyDescent="0.2">
      <c r="A30" s="7" t="str">
        <f ca="1">IF(AUTOEVENTO="Manual",IF(OFFSET(EVENTOS!$F$14,CRONOPLE!$B30,0)&gt;0,"F",""),IF(CRONOPLE!B30&lt;=MAX(CÁLCULO!$M$15:$M$290),"F",""))</f>
        <v/>
      </c>
      <c r="B30" s="287">
        <f t="shared" ca="1" si="1"/>
        <v>16</v>
      </c>
      <c r="C30" s="288">
        <f ca="1">IF(AUTOEVENTO="Manual",IF($B30&lt;&gt;1,OFFSET(EVENTOS!$D$14,$B30,0),0),IF(B30&lt;=MAX(CÁLCULO!$M$15:$M$290),VLOOKUP($B30,CÁLCULO!$M$15:$N$290,2,FALSE),0))</f>
        <v>0</v>
      </c>
      <c r="E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</row>
    <row r="31" spans="1:31" x14ac:dyDescent="0.2">
      <c r="A31" s="7" t="str">
        <f ca="1">IF(AUTOEVENTO="Manual",IF(OFFSET(EVENTOS!$F$14,CRONOPLE!$B31,0)&gt;0,"F",""),IF(CRONOPLE!B31&lt;=MAX(CÁLCULO!$M$15:$M$290),"F",""))</f>
        <v/>
      </c>
      <c r="B31" s="287">
        <f t="shared" ca="1" si="1"/>
        <v>17</v>
      </c>
      <c r="C31" s="288">
        <f ca="1">IF(AUTOEVENTO="Manual",IF($B31&lt;&gt;1,OFFSET(EVENTOS!$D$14,$B31,0),0),IF(B31&lt;=MAX(CÁLCULO!$M$15:$M$290),VLOOKUP($B31,CÁLCULO!$M$15:$N$290,2,FALSE),0))</f>
        <v>0</v>
      </c>
      <c r="E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</row>
    <row r="32" spans="1:31" x14ac:dyDescent="0.2">
      <c r="A32" s="7" t="str">
        <f ca="1">IF(AUTOEVENTO="Manual",IF(OFFSET(EVENTOS!$F$14,CRONOPLE!$B32,0)&gt;0,"F",""),IF(CRONOPLE!B32&lt;=MAX(CÁLCULO!$M$15:$M$290),"F",""))</f>
        <v/>
      </c>
      <c r="B32" s="287">
        <f t="shared" ca="1" si="1"/>
        <v>18</v>
      </c>
      <c r="C32" s="288">
        <f ca="1">IF(AUTOEVENTO="Manual",IF($B32&lt;&gt;1,OFFSET(EVENTOS!$D$14,$B32,0),0),IF(B32&lt;=MAX(CÁLCULO!$M$15:$M$290),VLOOKUP($B32,CÁLCULO!$M$15:$N$290,2,FALSE),0))</f>
        <v>0</v>
      </c>
      <c r="E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</row>
    <row r="33" spans="1:31" x14ac:dyDescent="0.2">
      <c r="A33" s="7" t="str">
        <f ca="1">IF(AUTOEVENTO="Manual",IF(OFFSET(EVENTOS!$F$14,CRONOPLE!$B33,0)&gt;0,"F",""),IF(CRONOPLE!B33&lt;=MAX(CÁLCULO!$M$15:$M$290),"F",""))</f>
        <v/>
      </c>
      <c r="B33" s="287">
        <f t="shared" ca="1" si="1"/>
        <v>19</v>
      </c>
      <c r="C33" s="288">
        <f ca="1">IF(AUTOEVENTO="Manual",IF($B33&lt;&gt;1,OFFSET(EVENTOS!$D$14,$B33,0),0),IF(B33&lt;=MAX(CÁLCULO!$M$15:$M$290),VLOOKUP($B33,CÁLCULO!$M$15:$N$290,2,FALSE),0))</f>
        <v>0</v>
      </c>
      <c r="E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</row>
    <row r="34" spans="1:31" x14ac:dyDescent="0.2">
      <c r="A34" s="7" t="str">
        <f ca="1">IF(AUTOEVENTO="Manual",IF(OFFSET(EVENTOS!$F$14,CRONOPLE!$B34,0)&gt;0,"F",""),IF(CRONOPLE!B34&lt;=MAX(CÁLCULO!$M$15:$M$290),"F",""))</f>
        <v/>
      </c>
      <c r="B34" s="287">
        <f t="shared" ca="1" si="1"/>
        <v>20</v>
      </c>
      <c r="C34" s="288">
        <f ca="1">IF(AUTOEVENTO="Manual",IF($B34&lt;&gt;1,OFFSET(EVENTOS!$D$14,$B34,0),0),IF(B34&lt;=MAX(CÁLCULO!$M$15:$M$290),VLOOKUP($B34,CÁLCULO!$M$15:$N$290,2,FALSE),0))</f>
        <v>0</v>
      </c>
      <c r="E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x14ac:dyDescent="0.2">
      <c r="A35" s="7" t="str">
        <f ca="1">IF(AUTOEVENTO="Manual",IF(OFFSET(EVENTOS!$F$14,CRONOPLE!$B35,0)&gt;0,"F",""),IF(CRONOPLE!B35&lt;=MAX(CÁLCULO!$M$15:$M$290),"F",""))</f>
        <v/>
      </c>
      <c r="B35" s="287">
        <f t="shared" ca="1" si="1"/>
        <v>21</v>
      </c>
      <c r="C35" s="288">
        <f ca="1">IF(AUTOEVENTO="Manual",IF($B35&lt;&gt;1,OFFSET(EVENTOS!$D$14,$B35,0),0),IF(B35&lt;=MAX(CÁLCULO!$M$15:$M$290),VLOOKUP($B35,CÁLCULO!$M$15:$N$290,2,FALSE),0))</f>
        <v>0</v>
      </c>
      <c r="E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x14ac:dyDescent="0.2">
      <c r="A36" s="7" t="str">
        <f ca="1">IF(AUTOEVENTO="Manual",IF(OFFSET(EVENTOS!$F$14,CRONOPLE!$B36,0)&gt;0,"F",""),IF(CRONOPLE!B36&lt;=MAX(CÁLCULO!$M$15:$M$290),"F",""))</f>
        <v/>
      </c>
      <c r="B36" s="287">
        <f t="shared" ca="1" si="1"/>
        <v>22</v>
      </c>
      <c r="C36" s="288">
        <f ca="1">IF(AUTOEVENTO="Manual",IF($B36&lt;&gt;1,OFFSET(EVENTOS!$D$14,$B36,0),0),IF(B36&lt;=MAX(CÁLCULO!$M$15:$M$290),VLOOKUP($B36,CÁLCULO!$M$15:$N$290,2,FALSE),0))</f>
        <v>0</v>
      </c>
      <c r="E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</row>
    <row r="37" spans="1:31" x14ac:dyDescent="0.2">
      <c r="A37" s="7" t="str">
        <f ca="1">IF(AUTOEVENTO="Manual",IF(OFFSET(EVENTOS!$F$14,CRONOPLE!$B37,0)&gt;0,"F",""),IF(CRONOPLE!B37&lt;=MAX(CÁLCULO!$M$15:$M$290),"F",""))</f>
        <v/>
      </c>
      <c r="B37" s="287">
        <f t="shared" ca="1" si="1"/>
        <v>23</v>
      </c>
      <c r="C37" s="288">
        <f ca="1">IF(AUTOEVENTO="Manual",IF($B37&lt;&gt;1,OFFSET(EVENTOS!$D$14,$B37,0),0),IF(B37&lt;=MAX(CÁLCULO!$M$15:$M$290),VLOOKUP($B37,CÁLCULO!$M$15:$N$290,2,FALSE),0))</f>
        <v>0</v>
      </c>
      <c r="E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</row>
    <row r="38" spans="1:31" x14ac:dyDescent="0.2">
      <c r="A38" s="7" t="str">
        <f ca="1">IF(AUTOEVENTO="Manual",IF(OFFSET(EVENTOS!$F$14,CRONOPLE!$B38,0)&gt;0,"F",""),IF(CRONOPLE!B38&lt;=MAX(CÁLCULO!$M$15:$M$290),"F",""))</f>
        <v/>
      </c>
      <c r="B38" s="287">
        <f t="shared" ca="1" si="1"/>
        <v>24</v>
      </c>
      <c r="C38" s="288">
        <f ca="1">IF(AUTOEVENTO="Manual",IF($B38&lt;&gt;1,OFFSET(EVENTOS!$D$14,$B38,0),0),IF(B38&lt;=MAX(CÁLCULO!$M$15:$M$290),VLOOKUP($B38,CÁLCULO!$M$15:$N$290,2,FALSE),0))</f>
        <v>0</v>
      </c>
      <c r="E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</row>
    <row r="39" spans="1:31" x14ac:dyDescent="0.2">
      <c r="A39" s="7" t="str">
        <f ca="1">IF(AUTOEVENTO="Manual",IF(OFFSET(EVENTOS!$F$14,CRONOPLE!$B39,0)&gt;0,"F",""),IF(CRONOPLE!B39&lt;=MAX(CÁLCULO!$M$15:$M$290),"F",""))</f>
        <v/>
      </c>
      <c r="B39" s="287">
        <f t="shared" ca="1" si="1"/>
        <v>25</v>
      </c>
      <c r="C39" s="288">
        <f ca="1">IF(AUTOEVENTO="Manual",IF($B39&lt;&gt;1,OFFSET(EVENTOS!$D$14,$B39,0),0),IF(B39&lt;=MAX(CÁLCULO!$M$15:$M$290),VLOOKUP($B39,CÁLCULO!$M$15:$N$290,2,FALSE),0))</f>
        <v>0</v>
      </c>
      <c r="E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</row>
    <row r="40" spans="1:31" x14ac:dyDescent="0.2">
      <c r="A40" s="7" t="str">
        <f ca="1">IF(AUTOEVENTO="Manual",IF(OFFSET(EVENTOS!$F$14,CRONOPLE!$B40,0)&gt;0,"F",""),IF(CRONOPLE!B40&lt;=MAX(CÁLCULO!$M$15:$M$290),"F",""))</f>
        <v/>
      </c>
      <c r="B40" s="287">
        <f t="shared" ca="1" si="1"/>
        <v>26</v>
      </c>
      <c r="C40" s="288">
        <f ca="1">IF(AUTOEVENTO="Manual",IF($B40&lt;&gt;1,OFFSET(EVENTOS!$D$14,$B40,0),0),IF(B40&lt;=MAX(CÁLCULO!$M$15:$M$290),VLOOKUP($B40,CÁLCULO!$M$15:$N$290,2,FALSE),0))</f>
        <v>0</v>
      </c>
      <c r="E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</row>
    <row r="41" spans="1:31" x14ac:dyDescent="0.2">
      <c r="A41" s="7" t="str">
        <f ca="1">IF(AUTOEVENTO="Manual",IF(OFFSET(EVENTOS!$F$14,CRONOPLE!$B41,0)&gt;0,"F",""),IF(CRONOPLE!B41&lt;=MAX(CÁLCULO!$M$15:$M$290),"F",""))</f>
        <v/>
      </c>
      <c r="B41" s="287">
        <f t="shared" ca="1" si="1"/>
        <v>27</v>
      </c>
      <c r="C41" s="288">
        <f ca="1">IF(AUTOEVENTO="Manual",IF($B41&lt;&gt;1,OFFSET(EVENTOS!$D$14,$B41,0),0),IF(B41&lt;=MAX(CÁLCULO!$M$15:$M$290),VLOOKUP($B41,CÁLCULO!$M$15:$N$290,2,FALSE),0))</f>
        <v>0</v>
      </c>
      <c r="E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</row>
    <row r="42" spans="1:31" x14ac:dyDescent="0.2">
      <c r="A42" s="7" t="str">
        <f ca="1">IF(AUTOEVENTO="Manual",IF(OFFSET(EVENTOS!$F$14,CRONOPLE!$B42,0)&gt;0,"F",""),IF(CRONOPLE!B42&lt;=MAX(CÁLCULO!$M$15:$M$290),"F",""))</f>
        <v/>
      </c>
      <c r="B42" s="287">
        <f t="shared" ca="1" si="1"/>
        <v>28</v>
      </c>
      <c r="C42" s="288">
        <f ca="1">IF(AUTOEVENTO="Manual",IF($B42&lt;&gt;1,OFFSET(EVENTOS!$D$14,$B42,0),0),IF(B42&lt;=MAX(CÁLCULO!$M$15:$M$290),VLOOKUP($B42,CÁLCULO!$M$15:$N$290,2,FALSE),0))</f>
        <v>0</v>
      </c>
      <c r="E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</row>
    <row r="43" spans="1:31" x14ac:dyDescent="0.2">
      <c r="A43" s="7" t="str">
        <f ca="1">IF(AUTOEVENTO="Manual",IF(OFFSET(EVENTOS!$F$14,CRONOPLE!$B43,0)&gt;0,"F",""),IF(CRONOPLE!B43&lt;=MAX(CÁLCULO!$M$15:$M$290),"F",""))</f>
        <v/>
      </c>
      <c r="B43" s="287">
        <f t="shared" ca="1" si="1"/>
        <v>29</v>
      </c>
      <c r="C43" s="288">
        <f ca="1">IF(AUTOEVENTO="Manual",IF($B43&lt;&gt;1,OFFSET(EVENTOS!$D$14,$B43,0),0),IF(B43&lt;=MAX(CÁLCULO!$M$15:$M$290),VLOOKUP($B43,CÁLCULO!$M$15:$N$290,2,FALSE),0))</f>
        <v>0</v>
      </c>
      <c r="E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</row>
    <row r="44" spans="1:31" x14ac:dyDescent="0.2">
      <c r="A44" s="7" t="str">
        <f ca="1">IF(AUTOEVENTO="Manual",IF(OFFSET(EVENTOS!$F$14,CRONOPLE!$B44,0)&gt;0,"F",""),IF(CRONOPLE!B44&lt;=MAX(CÁLCULO!$M$15:$M$290),"F",""))</f>
        <v/>
      </c>
      <c r="B44" s="287">
        <f t="shared" ca="1" si="1"/>
        <v>30</v>
      </c>
      <c r="C44" s="288">
        <f ca="1">IF(AUTOEVENTO="Manual",IF($B44&lt;&gt;1,OFFSET(EVENTOS!$D$14,$B44,0),0),IF(B44&lt;=MAX(CÁLCULO!$M$15:$M$290),VLOOKUP($B44,CÁLCULO!$M$15:$N$290,2,FALSE),0))</f>
        <v>0</v>
      </c>
      <c r="E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</row>
    <row r="45" spans="1:31" x14ac:dyDescent="0.2">
      <c r="A45" s="7" t="str">
        <f ca="1">IF(AUTOEVENTO="Manual",IF(OFFSET(EVENTOS!$F$14,CRONOPLE!$B45,0)&gt;0,"F",""),IF(CRONOPLE!B45&lt;=MAX(CÁLCULO!$M$15:$M$290),"F",""))</f>
        <v/>
      </c>
      <c r="B45" s="287">
        <f t="shared" ca="1" si="1"/>
        <v>31</v>
      </c>
      <c r="C45" s="288">
        <f ca="1">IF(AUTOEVENTO="Manual",IF($B45&lt;&gt;1,OFFSET(EVENTOS!$D$14,$B45,0),0),IF(B45&lt;=MAX(CÁLCULO!$M$15:$M$290),VLOOKUP($B45,CÁLCULO!$M$15:$N$290,2,FALSE),0))</f>
        <v>0</v>
      </c>
      <c r="E45" s="289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</row>
    <row r="46" spans="1:31" x14ac:dyDescent="0.2">
      <c r="A46" s="7" t="str">
        <f ca="1">IF(AUTOEVENTO="Manual",IF(OFFSET(EVENTOS!$F$14,CRONOPLE!$B46,0)&gt;0,"F",""),IF(CRONOPLE!B46&lt;=MAX(CÁLCULO!$M$15:$M$290),"F",""))</f>
        <v/>
      </c>
      <c r="B46" s="287">
        <f t="shared" ca="1" si="1"/>
        <v>32</v>
      </c>
      <c r="C46" s="288">
        <f ca="1">IF(AUTOEVENTO="Manual",IF($B46&lt;&gt;1,OFFSET(EVENTOS!$D$14,$B46,0),0),IF(B46&lt;=MAX(CÁLCULO!$M$15:$M$290),VLOOKUP($B46,CÁLCULO!$M$15:$N$290,2,FALSE),0))</f>
        <v>0</v>
      </c>
      <c r="E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</row>
    <row r="47" spans="1:31" x14ac:dyDescent="0.2">
      <c r="A47" s="7" t="str">
        <f ca="1">IF(AUTOEVENTO="Manual",IF(OFFSET(EVENTOS!$F$14,CRONOPLE!$B47,0)&gt;0,"F",""),IF(CRONOPLE!B47&lt;=MAX(CÁLCULO!$M$15:$M$290),"F",""))</f>
        <v/>
      </c>
      <c r="B47" s="287">
        <f t="shared" ca="1" si="1"/>
        <v>33</v>
      </c>
      <c r="C47" s="288">
        <f ca="1">IF(AUTOEVENTO="Manual",IF($B47&lt;&gt;1,OFFSET(EVENTOS!$D$14,$B47,0),0),IF(B47&lt;=MAX(CÁLCULO!$M$15:$M$290),VLOOKUP($B47,CÁLCULO!$M$15:$N$290,2,FALSE),0))</f>
        <v>0</v>
      </c>
      <c r="E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</row>
    <row r="48" spans="1:31" x14ac:dyDescent="0.2">
      <c r="A48" s="7" t="str">
        <f ca="1">IF(AUTOEVENTO="Manual",IF(OFFSET(EVENTOS!$F$14,CRONOPLE!$B48,0)&gt;0,"F",""),IF(CRONOPLE!B48&lt;=MAX(CÁLCULO!$M$15:$M$290),"F",""))</f>
        <v/>
      </c>
      <c r="B48" s="287">
        <f t="shared" ca="1" si="1"/>
        <v>34</v>
      </c>
      <c r="C48" s="288">
        <f ca="1">IF(AUTOEVENTO="Manual",IF($B48&lt;&gt;1,OFFSET(EVENTOS!$D$14,$B48,0),0),IF(B48&lt;=MAX(CÁLCULO!$M$15:$M$290),VLOOKUP($B48,CÁLCULO!$M$15:$N$290,2,FALSE),0))</f>
        <v>0</v>
      </c>
      <c r="E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</row>
    <row r="49" spans="1:31" x14ac:dyDescent="0.2">
      <c r="A49" s="7" t="str">
        <f ca="1">IF(AUTOEVENTO="Manual",IF(OFFSET(EVENTOS!$F$14,CRONOPLE!$B49,0)&gt;0,"F",""),IF(CRONOPLE!B49&lt;=MAX(CÁLCULO!$M$15:$M$290),"F",""))</f>
        <v/>
      </c>
      <c r="B49" s="287">
        <f t="shared" ca="1" si="1"/>
        <v>35</v>
      </c>
      <c r="C49" s="288">
        <f ca="1">IF(AUTOEVENTO="Manual",IF($B49&lt;&gt;1,OFFSET(EVENTOS!$D$14,$B49,0),0),IF(B49&lt;=MAX(CÁLCULO!$M$15:$M$290),VLOOKUP($B49,CÁLCULO!$M$15:$N$290,2,FALSE),0))</f>
        <v>0</v>
      </c>
      <c r="E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</row>
    <row r="50" spans="1:31" x14ac:dyDescent="0.2">
      <c r="A50" s="7" t="str">
        <f ca="1">IF(AUTOEVENTO="Manual",IF(OFFSET(EVENTOS!$F$14,CRONOPLE!$B50,0)&gt;0,"F",""),IF(CRONOPLE!B50&lt;=MAX(CÁLCULO!$M$15:$M$290),"F",""))</f>
        <v/>
      </c>
      <c r="B50" s="287">
        <f t="shared" ca="1" si="1"/>
        <v>36</v>
      </c>
      <c r="C50" s="288">
        <f ca="1">IF(AUTOEVENTO="Manual",IF($B50&lt;&gt;1,OFFSET(EVENTOS!$D$14,$B50,0),0),IF(B50&lt;=MAX(CÁLCULO!$M$15:$M$290),VLOOKUP($B50,CÁLCULO!$M$15:$N$290,2,FALSE),0))</f>
        <v>0</v>
      </c>
      <c r="E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</row>
    <row r="51" spans="1:31" x14ac:dyDescent="0.2">
      <c r="A51" s="7" t="str">
        <f ca="1">IF(AUTOEVENTO="Manual",IF(OFFSET(EVENTOS!$F$14,CRONOPLE!$B51,0)&gt;0,"F",""),IF(CRONOPLE!B51&lt;=MAX(CÁLCULO!$M$15:$M$290),"F",""))</f>
        <v/>
      </c>
      <c r="B51" s="287">
        <f t="shared" ca="1" si="1"/>
        <v>37</v>
      </c>
      <c r="C51" s="288">
        <f ca="1">IF(AUTOEVENTO="Manual",IF($B51&lt;&gt;1,OFFSET(EVENTOS!$D$14,$B51,0),0),IF(B51&lt;=MAX(CÁLCULO!$M$15:$M$290),VLOOKUP($B51,CÁLCULO!$M$15:$N$290,2,FALSE),0))</f>
        <v>0</v>
      </c>
      <c r="E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</row>
    <row r="52" spans="1:31" x14ac:dyDescent="0.2">
      <c r="A52" s="7" t="str">
        <f ca="1">IF(AUTOEVENTO="Manual",IF(OFFSET(EVENTOS!$F$14,CRONOPLE!$B52,0)&gt;0,"F",""),IF(CRONOPLE!B52&lt;=MAX(CÁLCULO!$M$15:$M$290),"F",""))</f>
        <v/>
      </c>
      <c r="B52" s="287">
        <f t="shared" ca="1" si="1"/>
        <v>38</v>
      </c>
      <c r="C52" s="288">
        <f ca="1">IF(AUTOEVENTO="Manual",IF($B52&lt;&gt;1,OFFSET(EVENTOS!$D$14,$B52,0),0),IF(B52&lt;=MAX(CÁLCULO!$M$15:$M$290),VLOOKUP($B52,CÁLCULO!$M$15:$N$290,2,FALSE),0))</f>
        <v>0</v>
      </c>
      <c r="E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</row>
    <row r="53" spans="1:31" x14ac:dyDescent="0.2">
      <c r="A53" s="7" t="str">
        <f ca="1">IF(AUTOEVENTO="Manual",IF(OFFSET(EVENTOS!$F$14,CRONOPLE!$B53,0)&gt;0,"F",""),IF(CRONOPLE!B53&lt;=MAX(CÁLCULO!$M$15:$M$290),"F",""))</f>
        <v/>
      </c>
      <c r="B53" s="287">
        <f t="shared" ca="1" si="1"/>
        <v>39</v>
      </c>
      <c r="C53" s="288">
        <f ca="1">IF(AUTOEVENTO="Manual",IF($B53&lt;&gt;1,OFFSET(EVENTOS!$D$14,$B53,0),0),IF(B53&lt;=MAX(CÁLCULO!$M$15:$M$290),VLOOKUP($B53,CÁLCULO!$M$15:$N$290,2,FALSE),0))</f>
        <v>0</v>
      </c>
      <c r="E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</row>
    <row r="54" spans="1:31" x14ac:dyDescent="0.2">
      <c r="A54" s="7" t="str">
        <f ca="1">IF(AUTOEVENTO="Manual",IF(OFFSET(EVENTOS!$F$14,CRONOPLE!$B54,0)&gt;0,"F",""),IF(CRONOPLE!B54&lt;=MAX(CÁLCULO!$M$15:$M$290),"F",""))</f>
        <v/>
      </c>
      <c r="B54" s="287">
        <f t="shared" ca="1" si="1"/>
        <v>40</v>
      </c>
      <c r="C54" s="288">
        <f ca="1">IF(AUTOEVENTO="Manual",IF($B54&lt;&gt;1,OFFSET(EVENTOS!$D$14,$B54,0),0),IF(B54&lt;=MAX(CÁLCULO!$M$15:$M$290),VLOOKUP($B54,CÁLCULO!$M$15:$N$290,2,FALSE),0))</f>
        <v>0</v>
      </c>
      <c r="E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</row>
    <row r="55" spans="1:31" x14ac:dyDescent="0.2">
      <c r="A55" s="7" t="str">
        <f ca="1">IF(AUTOEVENTO="Manual",IF(OFFSET(EVENTOS!$F$14,CRONOPLE!$B55,0)&gt;0,"F",""),IF(CRONOPLE!B55&lt;=MAX(CÁLCULO!$M$15:$M$290),"F",""))</f>
        <v/>
      </c>
      <c r="B55" s="287">
        <f t="shared" ca="1" si="1"/>
        <v>41</v>
      </c>
      <c r="C55" s="288">
        <f ca="1">IF(AUTOEVENTO="Manual",IF($B55&lt;&gt;1,OFFSET(EVENTOS!$D$14,$B55,0),0),IF(B55&lt;=MAX(CÁLCULO!$M$15:$M$290),VLOOKUP($B55,CÁLCULO!$M$15:$N$290,2,FALSE),0))</f>
        <v>0</v>
      </c>
      <c r="E55" s="289"/>
      <c r="G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</row>
    <row r="56" spans="1:31" x14ac:dyDescent="0.2">
      <c r="A56" s="7" t="str">
        <f ca="1">IF(AUTOEVENTO="Manual",IF(OFFSET(EVENTOS!$F$14,CRONOPLE!$B56,0)&gt;0,"F",""),IF(CRONOPLE!B56&lt;=MAX(CÁLCULO!$M$15:$M$290),"F",""))</f>
        <v/>
      </c>
      <c r="B56" s="287">
        <f t="shared" ca="1" si="1"/>
        <v>42</v>
      </c>
      <c r="C56" s="288">
        <f ca="1">IF(AUTOEVENTO="Manual",IF($B56&lt;&gt;1,OFFSET(EVENTOS!$D$14,$B56,0),0),IF(B56&lt;=MAX(CÁLCULO!$M$15:$M$290),VLOOKUP($B56,CÁLCULO!$M$15:$N$290,2,FALSE),0))</f>
        <v>0</v>
      </c>
      <c r="E56" s="289"/>
      <c r="G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</row>
    <row r="57" spans="1:31" x14ac:dyDescent="0.2">
      <c r="A57" s="7" t="str">
        <f ca="1">IF(AUTOEVENTO="Manual",IF(OFFSET(EVENTOS!$F$14,CRONOPLE!$B57,0)&gt;0,"F",""),IF(CRONOPLE!B57&lt;=MAX(CÁLCULO!$M$15:$M$290),"F",""))</f>
        <v/>
      </c>
      <c r="B57" s="287">
        <f t="shared" ca="1" si="1"/>
        <v>43</v>
      </c>
      <c r="C57" s="288">
        <f ca="1">IF(AUTOEVENTO="Manual",IF($B57&lt;&gt;1,OFFSET(EVENTOS!$D$14,$B57,0),0),IF(B57&lt;=MAX(CÁLCULO!$M$15:$M$290),VLOOKUP($B57,CÁLCULO!$M$15:$N$290,2,FALSE),0))</f>
        <v>0</v>
      </c>
      <c r="E57" s="289"/>
      <c r="G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</row>
    <row r="58" spans="1:31" x14ac:dyDescent="0.2">
      <c r="A58" s="7" t="str">
        <f ca="1">IF(AUTOEVENTO="Manual",IF(OFFSET(EVENTOS!$F$14,CRONOPLE!$B58,0)&gt;0,"F",""),IF(CRONOPLE!B58&lt;=MAX(CÁLCULO!$M$15:$M$290),"F",""))</f>
        <v/>
      </c>
      <c r="B58" s="287">
        <f t="shared" ca="1" si="1"/>
        <v>44</v>
      </c>
      <c r="C58" s="288">
        <f ca="1">IF(AUTOEVENTO="Manual",IF($B58&lt;&gt;1,OFFSET(EVENTOS!$D$14,$B58,0),0),IF(B58&lt;=MAX(CÁLCULO!$M$15:$M$290),VLOOKUP($B58,CÁLCULO!$M$15:$N$290,2,FALSE),0))</f>
        <v>0</v>
      </c>
      <c r="E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</row>
    <row r="59" spans="1:31" x14ac:dyDescent="0.2">
      <c r="A59" s="7" t="str">
        <f ca="1">IF(AUTOEVENTO="Manual",IF(OFFSET(EVENTOS!$F$14,CRONOPLE!$B59,0)&gt;0,"F",""),IF(CRONOPLE!B59&lt;=MAX(CÁLCULO!$M$15:$M$290),"F",""))</f>
        <v/>
      </c>
      <c r="B59" s="287">
        <f t="shared" ca="1" si="1"/>
        <v>45</v>
      </c>
      <c r="C59" s="288">
        <f ca="1">IF(AUTOEVENTO="Manual",IF($B59&lt;&gt;1,OFFSET(EVENTOS!$D$14,$B59,0),0),IF(B59&lt;=MAX(CÁLCULO!$M$15:$M$290),VLOOKUP($B59,CÁLCULO!$M$15:$N$290,2,FALSE),0))</f>
        <v>0</v>
      </c>
      <c r="E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</row>
    <row r="60" spans="1:31" x14ac:dyDescent="0.2">
      <c r="A60" s="7" t="str">
        <f ca="1">IF(AUTOEVENTO="Manual",IF(OFFSET(EVENTOS!$F$14,CRONOPLE!$B60,0)&gt;0,"F",""),IF(CRONOPLE!B60&lt;=MAX(CÁLCULO!$M$15:$M$290),"F",""))</f>
        <v/>
      </c>
      <c r="B60" s="287">
        <f t="shared" ca="1" si="1"/>
        <v>46</v>
      </c>
      <c r="C60" s="288">
        <f ca="1">IF(AUTOEVENTO="Manual",IF($B60&lt;&gt;1,OFFSET(EVENTOS!$D$14,$B60,0),0),IF(B60&lt;=MAX(CÁLCULO!$M$15:$M$290),VLOOKUP($B60,CÁLCULO!$M$15:$N$290,2,FALSE),0))</f>
        <v>0</v>
      </c>
      <c r="E60" s="289"/>
      <c r="G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</row>
    <row r="61" spans="1:31" x14ac:dyDescent="0.2">
      <c r="A61" s="7" t="str">
        <f ca="1">IF(AUTOEVENTO="Manual",IF(OFFSET(EVENTOS!$F$14,CRONOPLE!$B61,0)&gt;0,"F",""),IF(CRONOPLE!B61&lt;=MAX(CÁLCULO!$M$15:$M$290),"F",""))</f>
        <v/>
      </c>
      <c r="B61" s="287">
        <f t="shared" ca="1" si="1"/>
        <v>47</v>
      </c>
      <c r="C61" s="288">
        <f ca="1">IF(AUTOEVENTO="Manual",IF($B61&lt;&gt;1,OFFSET(EVENTOS!$D$14,$B61,0),0),IF(B61&lt;=MAX(CÁLCULO!$M$15:$M$290),VLOOKUP($B61,CÁLCULO!$M$15:$N$290,2,FALSE),0))</f>
        <v>0</v>
      </c>
      <c r="E61" s="289"/>
      <c r="G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</row>
    <row r="62" spans="1:31" x14ac:dyDescent="0.2">
      <c r="A62" s="7" t="str">
        <f ca="1">IF(AUTOEVENTO="Manual",IF(OFFSET(EVENTOS!$F$14,CRONOPLE!$B62,0)&gt;0,"F",""),IF(CRONOPLE!B62&lt;=MAX(CÁLCULO!$M$15:$M$290),"F",""))</f>
        <v/>
      </c>
      <c r="B62" s="287">
        <f t="shared" ca="1" si="1"/>
        <v>48</v>
      </c>
      <c r="C62" s="288">
        <f ca="1">IF(AUTOEVENTO="Manual",IF($B62&lt;&gt;1,OFFSET(EVENTOS!$D$14,$B62,0),0),IF(B62&lt;=MAX(CÁLCULO!$M$15:$M$290),VLOOKUP($B62,CÁLCULO!$M$15:$N$290,2,FALSE),0))</f>
        <v>0</v>
      </c>
      <c r="E62" s="289"/>
      <c r="G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</row>
    <row r="63" spans="1:31" x14ac:dyDescent="0.2">
      <c r="A63" s="7" t="str">
        <f ca="1">IF(AUTOEVENTO="Manual",IF(OFFSET(EVENTOS!$F$14,CRONOPLE!$B63,0)&gt;0,"F",""),IF(CRONOPLE!B63&lt;=MAX(CÁLCULO!$M$15:$M$290),"F",""))</f>
        <v/>
      </c>
      <c r="B63" s="287">
        <f t="shared" ca="1" si="1"/>
        <v>49</v>
      </c>
      <c r="C63" s="288">
        <f ca="1">IF(AUTOEVENTO="Manual",IF($B63&lt;&gt;1,OFFSET(EVENTOS!$D$14,$B63,0),0),IF(B63&lt;=MAX(CÁLCULO!$M$15:$M$290),VLOOKUP($B63,CÁLCULO!$M$15:$N$290,2,FALSE),0))</f>
        <v>0</v>
      </c>
      <c r="E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</row>
    <row r="64" spans="1:31" x14ac:dyDescent="0.2">
      <c r="A64" s="7" t="str">
        <f ca="1">IF(AUTOEVENTO="Manual",IF(OFFSET(EVENTOS!$F$14,CRONOPLE!$B64,0)&gt;0,"F",""),IF(CRONOPLE!B64&lt;=MAX(CÁLCULO!$M$15:$M$290),"F",""))</f>
        <v/>
      </c>
      <c r="B64" s="287">
        <f t="shared" ca="1" si="1"/>
        <v>50</v>
      </c>
      <c r="C64" s="288">
        <f ca="1">IF(AUTOEVENTO="Manual",IF($B64&lt;&gt;1,OFFSET(EVENTOS!$D$14,$B64,0),0),IF(B64&lt;=MAX(CÁLCULO!$M$15:$M$290),VLOOKUP($B64,CÁLCULO!$M$15:$N$290,2,FALSE),0))</f>
        <v>0</v>
      </c>
      <c r="E64" s="289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</row>
    <row r="65" spans="2:31" ht="5.0999999999999996" customHeight="1" x14ac:dyDescent="0.2">
      <c r="B65" s="510"/>
      <c r="C65" s="511"/>
      <c r="E65" s="303"/>
      <c r="F65" s="303"/>
      <c r="G65" s="510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1"/>
    </row>
  </sheetData>
  <sheetProtection algorithmName="SHA-512" hashValue="r/feeOtj9+b5ixri/hKWOOPk25dBUKP1jNyNgN1PFCdGDn2I41Asp7YPv9uyqwy2RzZrkJUV04sfq64bPOJimQ==" saltValue="Pf6b1M27ZyWxjKec5+9fNw==" spinCount="100000" sheet="1" objects="1" scenarios="1" autoFilter="0"/>
  <mergeCells count="2">
    <mergeCell ref="B12:B13"/>
    <mergeCell ref="C12:C13"/>
  </mergeCells>
  <phoneticPr fontId="38" type="noConversion"/>
  <conditionalFormatting sqref="E1 G1:AE1">
    <cfRule type="expression" dxfId="291" priority="109" stopIfTrue="1">
      <formula>IF(OR(E$12&gt;CÁLCULO.NúmeroDeFrentes,ACOMPANHAMENTO="BM"),TRUE,CRONOPLE.ValorDoEvento=0)</formula>
    </cfRule>
  </conditionalFormatting>
  <conditionalFormatting sqref="E16:E24 G16:AE24">
    <cfRule type="expression" dxfId="290" priority="6" stopIfTrue="1">
      <formula>IF(OR(E$12&gt;CÁLCULO.NúmeroDeFrentes,ACOMPANHAMENTO="BM"),TRUE,CRONOPLE.ValorDoEvento=0)</formula>
    </cfRule>
  </conditionalFormatting>
  <conditionalFormatting sqref="E25:E33 G25:AE33">
    <cfRule type="expression" dxfId="289" priority="5" stopIfTrue="1">
      <formula>IF(OR(E$12&gt;CÁLCULO.NúmeroDeFrentes,ACOMPANHAMENTO="BM"),TRUE,CRONOPLE.ValorDoEvento=0)</formula>
    </cfRule>
  </conditionalFormatting>
  <conditionalFormatting sqref="E34:E42 G34:AE42">
    <cfRule type="expression" dxfId="288" priority="4" stopIfTrue="1">
      <formula>IF(OR(E$12&gt;CÁLCULO.NúmeroDeFrentes,ACOMPANHAMENTO="BM"),TRUE,CRONOPLE.ValorDoEvento=0)</formula>
    </cfRule>
  </conditionalFormatting>
  <conditionalFormatting sqref="E43:E51 G43:AE51">
    <cfRule type="expression" dxfId="287" priority="3" stopIfTrue="1">
      <formula>IF(OR(E$12&gt;CÁLCULO.NúmeroDeFrentes,ACOMPANHAMENTO="BM"),TRUE,CRONOPLE.ValorDoEvento=0)</formula>
    </cfRule>
  </conditionalFormatting>
  <conditionalFormatting sqref="E52:E60 G52:AE60">
    <cfRule type="expression" dxfId="286" priority="2" stopIfTrue="1">
      <formula>IF(OR(E$12&gt;CÁLCULO.NúmeroDeFrentes,ACOMPANHAMENTO="BM"),TRUE,CRONOPLE.ValorDoEvento=0)</formula>
    </cfRule>
  </conditionalFormatting>
  <conditionalFormatting sqref="E61:E64 G61:AE64">
    <cfRule type="expression" dxfId="285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64 E16:E64" xr:uid="{00000000-0002-0000-0800-000000000000}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11"/>
  <dimension ref="A1:AG80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7" t="e">
        <f ca="1">IF(AUTOEVENTO="Manual",IF(OFFSET(EVENTOS!$F$14,PLE!$B1,0)&gt;0,"F",""),IF(PLE!B1&lt;=MAX(CÁLCULO!$M$15:$M$290),"F",""))</f>
        <v>#REF!</v>
      </c>
      <c r="B1" s="287" t="e">
        <f ca="1">OFFSET(B1,-1,0)+1</f>
        <v>#REF!</v>
      </c>
      <c r="C1" s="645" t="e">
        <f ca="1">IF(AUTOEVENTO="Manual",IF($B1&lt;&gt;1,OFFSET(EVENTOS!$D$14,$B1,0),0),IF(B1&lt;=MAX(CÁLCULO!$M$15:$M$290),VLOOKUP($B1,CÁLCULO!$M$15:$N$290,2,FALSE),0))</f>
        <v>#REF!</v>
      </c>
      <c r="D1" s="645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">
      <c r="A2" s="7"/>
      <c r="B2" s="7"/>
      <c r="C2" s="13"/>
      <c r="D2" s="13"/>
      <c r="F2" s="526"/>
    </row>
    <row r="3" spans="1:33" ht="15.75" x14ac:dyDescent="0.25">
      <c r="H3" s="229" t="s">
        <v>293</v>
      </c>
      <c r="AD3" s="581" t="s">
        <v>140</v>
      </c>
      <c r="AE3" s="581"/>
      <c r="AF3" s="581"/>
    </row>
    <row r="4" spans="1:33" ht="15.75" x14ac:dyDescent="0.2">
      <c r="B4" s="83"/>
      <c r="C4" s="83"/>
      <c r="H4" s="84" t="str">
        <f>import.recurso</f>
        <v>OGU</v>
      </c>
      <c r="AD4" s="582" t="s">
        <v>143</v>
      </c>
      <c r="AE4" s="582"/>
      <c r="AF4" s="582"/>
    </row>
    <row r="6" spans="1:33" x14ac:dyDescent="0.2">
      <c r="B6" s="231" t="s">
        <v>146</v>
      </c>
      <c r="C6" s="304"/>
      <c r="D6" s="233" t="s">
        <v>443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DESCRIÇÃO DO LOTE</v>
      </c>
      <c r="W6" s="205"/>
      <c r="X6" s="205"/>
      <c r="Y6" s="205"/>
      <c r="AD6" s="4"/>
      <c r="AE6" s="646" t="str">
        <f>IF(TIPOORCAMENTO="Licitado","Nº CTEF","")</f>
        <v/>
      </c>
      <c r="AF6" s="646"/>
    </row>
    <row r="7" spans="1:33" x14ac:dyDescent="0.2">
      <c r="B7" s="632">
        <f>Import.CR</f>
        <v>0</v>
      </c>
      <c r="C7" s="632"/>
      <c r="D7" s="237">
        <f>Import.TransfereGOV</f>
        <v>0</v>
      </c>
      <c r="E7" s="43"/>
      <c r="H7" s="642" t="str">
        <f>Import.Proponente</f>
        <v>MUNICÍPIO DE RONDINHA</v>
      </c>
      <c r="I7" s="642"/>
      <c r="J7" s="642"/>
      <c r="K7" s="642"/>
      <c r="L7" s="642"/>
      <c r="M7" s="642"/>
      <c r="N7" s="642"/>
      <c r="O7" s="632" t="str">
        <f>Import.Apelido</f>
        <v>PRAÇA PÚBLICA - BAIRRO N. S. APARECIDA</v>
      </c>
      <c r="P7" s="632"/>
      <c r="Q7" s="632"/>
      <c r="R7" s="632"/>
      <c r="S7" s="632"/>
      <c r="T7" s="632"/>
      <c r="U7" s="632"/>
      <c r="V7" s="632" t="str">
        <f>IF(TIPOORCAMENTO="Licitado",Import.empresa,Import.DescLote)</f>
        <v>PRAÇA PÚBLICA - BAIRRO N. S. APARECIDA</v>
      </c>
      <c r="W7" s="632"/>
      <c r="X7" s="632"/>
      <c r="Y7" s="632"/>
      <c r="Z7" s="632"/>
      <c r="AA7" s="632"/>
      <c r="AB7" s="632"/>
      <c r="AC7" s="632"/>
      <c r="AD7" s="632"/>
      <c r="AE7" s="650" t="str">
        <f>IF(TIPOORCAMENTO="Licitado",Import.CTEF,"")</f>
        <v/>
      </c>
      <c r="AF7" s="650"/>
      <c r="AG7" s="306"/>
    </row>
    <row r="9" spans="1:33" ht="15.75" x14ac:dyDescent="0.25">
      <c r="A9" s="453">
        <v>0</v>
      </c>
      <c r="B9" s="307"/>
      <c r="C9" s="307"/>
      <c r="I9" s="308" t="s">
        <v>294</v>
      </c>
      <c r="J9" s="648">
        <v>1</v>
      </c>
      <c r="K9" s="648"/>
      <c r="M9" s="308" t="s">
        <v>283</v>
      </c>
      <c r="N9" s="649" t="str">
        <f ca="1">TEXT(IF(PLE.Medicao=1,Import.DataInicioObra,OFFSET($H$68,0,1+(PLE.Medicao-$I$69)*2-2)+1),"dd/mm/aaaa")&amp;" a "&amp;TEXT(OFFSET($H$68,0,1+(PLE.Medicao-$I$69)*2),"dd/mm/aaaa")</f>
        <v>00/01/1900 a 00/01/1900</v>
      </c>
      <c r="O9" s="649"/>
      <c r="P9" s="649"/>
      <c r="Q9" s="649"/>
      <c r="R9" s="649"/>
      <c r="S9" s="649"/>
      <c r="T9" s="649"/>
      <c r="U9" s="309"/>
      <c r="X9" s="308" t="s">
        <v>295</v>
      </c>
      <c r="Y9" s="651">
        <f ca="1">OFFSET($I$69,1+8*(ROUNDUP(($J$9-0)/((COLUMN($AG$14)-COLUMN($G$14)-1)/25*12),0)-1),ROUNDDOWN((($J$9-0)-OFFSET($I$69,8*(ROUNDUP(($J$9-0)/((COLUMN($AG$14)-COLUMN($G$14)-1)/25*12),0)-1),0))*(2+1/12),0))</f>
        <v>0</v>
      </c>
      <c r="Z9" s="651"/>
      <c r="AD9" s="308" t="s">
        <v>296</v>
      </c>
      <c r="AE9" s="651">
        <f ca="1">OFFSET($I$69,3+8*(ROUNDUP(($J$9-0)/((COLUMN($AG$14)-COLUMN($G$14)-1)/25*12),0)-1),ROUNDDOWN((($J$9-0)-OFFSET($I$69,8*(ROUNDUP(($J$9-0)/((COLUMN($AG$14)-COLUMN($G$14)-1)/25*12),0)-1),0))*(2+1/12),0))</f>
        <v>0</v>
      </c>
      <c r="AF9" s="651"/>
    </row>
    <row r="11" spans="1:33" ht="65.25" customHeight="1" x14ac:dyDescent="0.2">
      <c r="A11" s="291" t="s">
        <v>290</v>
      </c>
      <c r="C11" s="647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647"/>
      <c r="F11" s="293">
        <f ca="1">IF(F$12&gt;CÁLCULO.NúmeroDeFrentes,"",OFFSET(CÁLCULO!$P$12,0,F$12))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">
      <c r="A12" s="108" t="s">
        <v>217</v>
      </c>
      <c r="B12" s="644" t="s">
        <v>266</v>
      </c>
      <c r="C12" s="644" t="s">
        <v>291</v>
      </c>
      <c r="D12" s="644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">
      <c r="B13" s="644"/>
      <c r="C13" s="644"/>
      <c r="D13" s="644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">
      <c r="A14" s="7" t="s">
        <v>246</v>
      </c>
    </row>
    <row r="15" spans="1:33" x14ac:dyDescent="0.2">
      <c r="A15" s="7" t="str">
        <f ca="1">IF(AND(AUTOEVENTO="Manual",OFFSET(EVENTOS!$F$14,1,0)&gt;0),"F","")</f>
        <v/>
      </c>
      <c r="B15" s="298">
        <v>1</v>
      </c>
      <c r="C15" s="654" t="s">
        <v>269</v>
      </c>
      <c r="D15" s="654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">
      <c r="A16" s="7" t="str">
        <f ca="1">IF(AUTOEVENTO="Manual",IF(OFFSET(EVENTOS!$F$14,PLE!$B16,0)&gt;0,"F",""),IF(PLE!B16&lt;=MAX(CÁLCULO!$M$15:$M$290),"F",""))</f>
        <v>F</v>
      </c>
      <c r="B16" s="287">
        <f t="shared" ref="B16:B64" ca="1" si="1">OFFSET(B16,-1,0)+1</f>
        <v>2</v>
      </c>
      <c r="C16" s="645" t="str">
        <f ca="1">IF(AUTOEVENTO="Manual",IF($B16&lt;&gt;1,OFFSET(EVENTOS!$D$14,$B16,0),0),IF(B16&lt;=MAX(CÁLCULO!$M$15:$M$290),VLOOKUP($B16,CÁLCULO!$M$15:$N$290,2,FALSE),0))</f>
        <v>SERVIÇOS INICIAIS E DRENO DE ÁGUAS PLUVIAIS</v>
      </c>
      <c r="D16" s="645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">
      <c r="A17" s="7" t="str">
        <f ca="1">IF(AUTOEVENTO="Manual",IF(OFFSET(EVENTOS!$F$14,PLE!$B17,0)&gt;0,"F",""),IF(PLE!B17&lt;=MAX(CÁLCULO!$M$15:$M$290),"F",""))</f>
        <v>F</v>
      </c>
      <c r="B17" s="287">
        <f t="shared" ca="1" si="1"/>
        <v>3</v>
      </c>
      <c r="C17" s="645" t="str">
        <f ca="1">IF(AUTOEVENTO="Manual",IF($B17&lt;&gt;1,OFFSET(EVENTOS!$D$14,$B17,0),0),IF(B17&lt;=MAX(CÁLCULO!$M$15:$M$290),VLOOKUP($B17,CÁLCULO!$M$15:$N$290,2,FALSE),0))</f>
        <v>INSTALAÇÕES HIDRÁULICAS - ENTRADA INDIVIDUALIZADA DE ÁGUA POTÁVEL E REDE ENTERRADA</v>
      </c>
      <c r="D17" s="645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">
      <c r="A18" s="7" t="str">
        <f ca="1">IF(AUTOEVENTO="Manual",IF(OFFSET(EVENTOS!$F$14,PLE!$B18,0)&gt;0,"F",""),IF(PLE!B18&lt;=MAX(CÁLCULO!$M$15:$M$290),"F",""))</f>
        <v>F</v>
      </c>
      <c r="B18" s="287">
        <f t="shared" ca="1" si="1"/>
        <v>4</v>
      </c>
      <c r="C18" s="645" t="str">
        <f ca="1">IF(AUTOEVENTO="Manual",IF($B18&lt;&gt;1,OFFSET(EVENTOS!$D$14,$B18,0),0),IF(B18&lt;=MAX(CÁLCULO!$M$15:$M$290),VLOOKUP($B18,CÁLCULO!$M$15:$N$290,2,FALSE),0))</f>
        <v>ENTRADA DE ENERGIA PADRÃO, MURETA E QGBT</v>
      </c>
      <c r="D18" s="645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">
      <c r="A19" s="7" t="str">
        <f ca="1">IF(AUTOEVENTO="Manual",IF(OFFSET(EVENTOS!$F$14,PLE!$B19,0)&gt;0,"F",""),IF(PLE!B19&lt;=MAX(CÁLCULO!$M$15:$M$290),"F",""))</f>
        <v>F</v>
      </c>
      <c r="B19" s="287">
        <f t="shared" ca="1" si="1"/>
        <v>5</v>
      </c>
      <c r="C19" s="645" t="str">
        <f ca="1">IF(AUTOEVENTO="Manual",IF($B19&lt;&gt;1,OFFSET(EVENTOS!$D$14,$B19,0),0),IF(B19&lt;=MAX(CÁLCULO!$M$15:$M$290),VLOOKUP($B19,CÁLCULO!$M$15:$N$290,2,FALSE),0))</f>
        <v>INSTALAÇÕES DE ILUMINAÇÃO COM POSTEAMENTO E LUMINÁRIAS 100W</v>
      </c>
      <c r="D19" s="645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">
      <c r="A20" s="7" t="str">
        <f ca="1">IF(AUTOEVENTO="Manual",IF(OFFSET(EVENTOS!$F$14,PLE!$B20,0)&gt;0,"F",""),IF(PLE!B20&lt;=MAX(CÁLCULO!$M$15:$M$290),"F",""))</f>
        <v>F</v>
      </c>
      <c r="B20" s="287">
        <f t="shared" ca="1" si="1"/>
        <v>6</v>
      </c>
      <c r="C20" s="645" t="str">
        <f ca="1">IF(AUTOEVENTO="Manual",IF($B20&lt;&gt;1,OFFSET(EVENTOS!$D$14,$B20,0),0),IF(B20&lt;=MAX(CÁLCULO!$M$15:$M$290),VLOOKUP($B20,CÁLCULO!$M$15:$N$290,2,FALSE),0))</f>
        <v>MONITORAMENTO EXTERNO, REDE SUBTERRÂNEA (ENTERRADA)</v>
      </c>
      <c r="D20" s="645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">
      <c r="A21" s="7" t="str">
        <f ca="1">IF(AUTOEVENTO="Manual",IF(OFFSET(EVENTOS!$F$14,PLE!$B21,0)&gt;0,"F",""),IF(PLE!B21&lt;=MAX(CÁLCULO!$M$15:$M$290),"F",""))</f>
        <v>F</v>
      </c>
      <c r="B21" s="287">
        <f t="shared" ca="1" si="1"/>
        <v>7</v>
      </c>
      <c r="C21" s="645" t="str">
        <f ca="1">IF(AUTOEVENTO="Manual",IF($B21&lt;&gt;1,OFFSET(EVENTOS!$D$14,$B21,0),0),IF(B21&lt;=MAX(CÁLCULO!$M$15:$M$290),VLOOKUP($B21,CÁLCULO!$M$15:$N$290,2,FALSE),0))</f>
        <v>SANITÁRIO PÚBLICO ACESSÍVEL</v>
      </c>
      <c r="D21" s="645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">
      <c r="A22" s="7" t="str">
        <f ca="1">IF(AUTOEVENTO="Manual",IF(OFFSET(EVENTOS!$F$14,PLE!$B22,0)&gt;0,"F",""),IF(PLE!B22&lt;=MAX(CÁLCULO!$M$15:$M$290),"F",""))</f>
        <v>F</v>
      </c>
      <c r="B22" s="287">
        <f t="shared" ca="1" si="1"/>
        <v>8</v>
      </c>
      <c r="C22" s="645" t="str">
        <f ca="1">IF(AUTOEVENTO="Manual",IF($B22&lt;&gt;1,OFFSET(EVENTOS!$D$14,$B22,0),0),IF(B22&lt;=MAX(CÁLCULO!$M$15:$M$290),VLOOKUP($B22,CÁLCULO!$M$15:$N$290,2,FALSE),0))</f>
        <v>PASSEIO PÚBLICO E PAVIMENTAÇÃO INTERNA</v>
      </c>
      <c r="D22" s="645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">
      <c r="A23" s="7" t="str">
        <f ca="1">IF(AUTOEVENTO="Manual",IF(OFFSET(EVENTOS!$F$14,PLE!$B23,0)&gt;0,"F",""),IF(PLE!B23&lt;=MAX(CÁLCULO!$M$15:$M$290),"F",""))</f>
        <v>F</v>
      </c>
      <c r="B23" s="287">
        <f t="shared" ca="1" si="1"/>
        <v>9</v>
      </c>
      <c r="C23" s="645" t="str">
        <f ca="1">IF(AUTOEVENTO="Manual",IF($B23&lt;&gt;1,OFFSET(EVENTOS!$D$14,$B23,0),0),IF(B23&lt;=MAX(CÁLCULO!$M$15:$M$290),VLOOKUP($B23,CÁLCULO!$M$15:$N$290,2,FALSE),0))</f>
        <v>CAMPO DE FUTEBOL</v>
      </c>
      <c r="D23" s="645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x14ac:dyDescent="0.2">
      <c r="A24" s="7" t="str">
        <f ca="1">IF(AUTOEVENTO="Manual",IF(OFFSET(EVENTOS!$F$14,PLE!$B24,0)&gt;0,"F",""),IF(PLE!B24&lt;=MAX(CÁLCULO!$M$15:$M$290),"F",""))</f>
        <v>F</v>
      </c>
      <c r="B24" s="287">
        <f t="shared" ca="1" si="1"/>
        <v>10</v>
      </c>
      <c r="C24" s="645" t="str">
        <f ca="1">IF(AUTOEVENTO="Manual",IF($B24&lt;&gt;1,OFFSET(EVENTOS!$D$14,$B24,0),0),IF(B24&lt;=MAX(CÁLCULO!$M$15:$M$290),VLOOKUP($B24,CÁLCULO!$M$15:$N$290,2,FALSE),0))</f>
        <v>QUADRA DE AREIA</v>
      </c>
      <c r="D24" s="645"/>
      <c r="F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</row>
    <row r="25" spans="1:32" x14ac:dyDescent="0.2">
      <c r="A25" s="7" t="str">
        <f ca="1">IF(AUTOEVENTO="Manual",IF(OFFSET(EVENTOS!$F$14,PLE!$B25,0)&gt;0,"F",""),IF(PLE!B25&lt;=MAX(CÁLCULO!$M$15:$M$290),"F",""))</f>
        <v>F</v>
      </c>
      <c r="B25" s="287">
        <f t="shared" ca="1" si="1"/>
        <v>11</v>
      </c>
      <c r="C25" s="645" t="str">
        <f ca="1">IF(AUTOEVENTO="Manual",IF($B25&lt;&gt;1,OFFSET(EVENTOS!$D$14,$B25,0),0),IF(B25&lt;=MAX(CÁLCULO!$M$15:$M$290),VLOOKUP($B25,CÁLCULO!$M$15:$N$290,2,FALSE),0))</f>
        <v>PLAYGROUND</v>
      </c>
      <c r="D25" s="645"/>
      <c r="F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</row>
    <row r="26" spans="1:32" x14ac:dyDescent="0.2">
      <c r="A26" s="7" t="str">
        <f ca="1">IF(AUTOEVENTO="Manual",IF(OFFSET(EVENTOS!$F$14,PLE!$B26,0)&gt;0,"F",""),IF(PLE!B26&lt;=MAX(CÁLCULO!$M$15:$M$290),"F",""))</f>
        <v>F</v>
      </c>
      <c r="B26" s="287">
        <f t="shared" ca="1" si="1"/>
        <v>12</v>
      </c>
      <c r="C26" s="645" t="str">
        <f ca="1">IF(AUTOEVENTO="Manual",IF($B26&lt;&gt;1,OFFSET(EVENTOS!$D$14,$B26,0),0),IF(B26&lt;=MAX(CÁLCULO!$M$15:$M$290),VLOOKUP($B26,CÁLCULO!$M$15:$N$290,2,FALSE),0))</f>
        <v>ACADEMIA DE SAÚDE AO AR LIVRE</v>
      </c>
      <c r="D26" s="645"/>
      <c r="F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">
      <c r="A27" s="7" t="str">
        <f ca="1">IF(AUTOEVENTO="Manual",IF(OFFSET(EVENTOS!$F$14,PLE!$B27,0)&gt;0,"F",""),IF(PLE!B27&lt;=MAX(CÁLCULO!$M$15:$M$290),"F",""))</f>
        <v>F</v>
      </c>
      <c r="B27" s="287">
        <f t="shared" ca="1" si="1"/>
        <v>13</v>
      </c>
      <c r="C27" s="645" t="str">
        <f ca="1">IF(AUTOEVENTO="Manual",IF($B27&lt;&gt;1,OFFSET(EVENTOS!$D$14,$B27,0),0),IF(B27&lt;=MAX(CÁLCULO!$M$15:$M$290),VLOOKUP($B27,CÁLCULO!$M$15:$N$290,2,FALSE),0))</f>
        <v>ÁREA DE CONFRATERNIZAÇÃO</v>
      </c>
      <c r="D27" s="645"/>
      <c r="F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</row>
    <row r="28" spans="1:32" x14ac:dyDescent="0.2">
      <c r="A28" s="7" t="str">
        <f ca="1">IF(AUTOEVENTO="Manual",IF(OFFSET(EVENTOS!$F$14,PLE!$B28,0)&gt;0,"F",""),IF(PLE!B28&lt;=MAX(CÁLCULO!$M$15:$M$290),"F",""))</f>
        <v>F</v>
      </c>
      <c r="B28" s="287">
        <f t="shared" ca="1" si="1"/>
        <v>14</v>
      </c>
      <c r="C28" s="645" t="str">
        <f ca="1">IF(AUTOEVENTO="Manual",IF($B28&lt;&gt;1,OFFSET(EVENTOS!$D$14,$B28,0),0),IF(B28&lt;=MAX(CÁLCULO!$M$15:$M$290),VLOOKUP($B28,CÁLCULO!$M$15:$N$290,2,FALSE),0))</f>
        <v>SERVIÇOS FINAIS</v>
      </c>
      <c r="D28" s="645"/>
      <c r="F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</row>
    <row r="29" spans="1:32" x14ac:dyDescent="0.2">
      <c r="A29" s="7" t="str">
        <f ca="1">IF(AUTOEVENTO="Manual",IF(OFFSET(EVENTOS!$F$14,PLE!$B29,0)&gt;0,"F",""),IF(PLE!B29&lt;=MAX(CÁLCULO!$M$15:$M$290),"F",""))</f>
        <v/>
      </c>
      <c r="B29" s="287">
        <f t="shared" ca="1" si="1"/>
        <v>15</v>
      </c>
      <c r="C29" s="645">
        <f ca="1">IF(AUTOEVENTO="Manual",IF($B29&lt;&gt;1,OFFSET(EVENTOS!$D$14,$B29,0),0),IF(B29&lt;=MAX(CÁLCULO!$M$15:$M$290),VLOOKUP($B29,CÁLCULO!$M$15:$N$290,2,FALSE),0))</f>
        <v>0</v>
      </c>
      <c r="D29" s="645"/>
      <c r="F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</row>
    <row r="30" spans="1:32" x14ac:dyDescent="0.2">
      <c r="A30" s="7" t="str">
        <f ca="1">IF(AUTOEVENTO="Manual",IF(OFFSET(EVENTOS!$F$14,PLE!$B30,0)&gt;0,"F",""),IF(PLE!B30&lt;=MAX(CÁLCULO!$M$15:$M$290),"F",""))</f>
        <v/>
      </c>
      <c r="B30" s="287">
        <f t="shared" ca="1" si="1"/>
        <v>16</v>
      </c>
      <c r="C30" s="645">
        <f ca="1">IF(AUTOEVENTO="Manual",IF($B30&lt;&gt;1,OFFSET(EVENTOS!$D$14,$B30,0),0),IF(B30&lt;=MAX(CÁLCULO!$M$15:$M$290),VLOOKUP($B30,CÁLCULO!$M$15:$N$290,2,FALSE),0))</f>
        <v>0</v>
      </c>
      <c r="D30" s="645"/>
      <c r="F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</row>
    <row r="31" spans="1:32" x14ac:dyDescent="0.2">
      <c r="A31" s="7" t="str">
        <f ca="1">IF(AUTOEVENTO="Manual",IF(OFFSET(EVENTOS!$F$14,PLE!$B31,0)&gt;0,"F",""),IF(PLE!B31&lt;=MAX(CÁLCULO!$M$15:$M$290),"F",""))</f>
        <v/>
      </c>
      <c r="B31" s="287">
        <f t="shared" ca="1" si="1"/>
        <v>17</v>
      </c>
      <c r="C31" s="645">
        <f ca="1">IF(AUTOEVENTO="Manual",IF($B31&lt;&gt;1,OFFSET(EVENTOS!$D$14,$B31,0),0),IF(B31&lt;=MAX(CÁLCULO!$M$15:$M$290),VLOOKUP($B31,CÁLCULO!$M$15:$N$290,2,FALSE),0))</f>
        <v>0</v>
      </c>
      <c r="D31" s="645"/>
      <c r="F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</row>
    <row r="32" spans="1:32" x14ac:dyDescent="0.2">
      <c r="A32" s="7" t="str">
        <f ca="1">IF(AUTOEVENTO="Manual",IF(OFFSET(EVENTOS!$F$14,PLE!$B32,0)&gt;0,"F",""),IF(PLE!B32&lt;=MAX(CÁLCULO!$M$15:$M$290),"F",""))</f>
        <v/>
      </c>
      <c r="B32" s="287">
        <f t="shared" ca="1" si="1"/>
        <v>18</v>
      </c>
      <c r="C32" s="645">
        <f ca="1">IF(AUTOEVENTO="Manual",IF($B32&lt;&gt;1,OFFSET(EVENTOS!$D$14,$B32,0),0),IF(B32&lt;=MAX(CÁLCULO!$M$15:$M$290),VLOOKUP($B32,CÁLCULO!$M$15:$N$290,2,FALSE),0))</f>
        <v>0</v>
      </c>
      <c r="D32" s="645"/>
      <c r="F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</row>
    <row r="33" spans="1:32" x14ac:dyDescent="0.2">
      <c r="A33" s="7" t="str">
        <f ca="1">IF(AUTOEVENTO="Manual",IF(OFFSET(EVENTOS!$F$14,PLE!$B33,0)&gt;0,"F",""),IF(PLE!B33&lt;=MAX(CÁLCULO!$M$15:$M$290),"F",""))</f>
        <v/>
      </c>
      <c r="B33" s="287">
        <f t="shared" ca="1" si="1"/>
        <v>19</v>
      </c>
      <c r="C33" s="645">
        <f ca="1">IF(AUTOEVENTO="Manual",IF($B33&lt;&gt;1,OFFSET(EVENTOS!$D$14,$B33,0),0),IF(B33&lt;=MAX(CÁLCULO!$M$15:$M$290),VLOOKUP($B33,CÁLCULO!$M$15:$N$290,2,FALSE),0))</f>
        <v>0</v>
      </c>
      <c r="D33" s="645"/>
      <c r="F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</row>
    <row r="34" spans="1:32" x14ac:dyDescent="0.2">
      <c r="A34" s="7" t="str">
        <f ca="1">IF(AUTOEVENTO="Manual",IF(OFFSET(EVENTOS!$F$14,PLE!$B34,0)&gt;0,"F",""),IF(PLE!B34&lt;=MAX(CÁLCULO!$M$15:$M$290),"F",""))</f>
        <v/>
      </c>
      <c r="B34" s="287">
        <f t="shared" ca="1" si="1"/>
        <v>20</v>
      </c>
      <c r="C34" s="645">
        <f ca="1">IF(AUTOEVENTO="Manual",IF($B34&lt;&gt;1,OFFSET(EVENTOS!$D$14,$B34,0),0),IF(B34&lt;=MAX(CÁLCULO!$M$15:$M$290),VLOOKUP($B34,CÁLCULO!$M$15:$N$290,2,FALSE),0))</f>
        <v>0</v>
      </c>
      <c r="D34" s="645"/>
      <c r="F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</row>
    <row r="35" spans="1:32" x14ac:dyDescent="0.2">
      <c r="A35" s="7" t="str">
        <f ca="1">IF(AUTOEVENTO="Manual",IF(OFFSET(EVENTOS!$F$14,PLE!$B35,0)&gt;0,"F",""),IF(PLE!B35&lt;=MAX(CÁLCULO!$M$15:$M$290),"F",""))</f>
        <v/>
      </c>
      <c r="B35" s="287">
        <f t="shared" ca="1" si="1"/>
        <v>21</v>
      </c>
      <c r="C35" s="645">
        <f ca="1">IF(AUTOEVENTO="Manual",IF($B35&lt;&gt;1,OFFSET(EVENTOS!$D$14,$B35,0),0),IF(B35&lt;=MAX(CÁLCULO!$M$15:$M$290),VLOOKUP($B35,CÁLCULO!$M$15:$N$290,2,FALSE),0))</f>
        <v>0</v>
      </c>
      <c r="D35" s="645"/>
      <c r="F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</row>
    <row r="36" spans="1:32" x14ac:dyDescent="0.2">
      <c r="A36" s="7" t="str">
        <f ca="1">IF(AUTOEVENTO="Manual",IF(OFFSET(EVENTOS!$F$14,PLE!$B36,0)&gt;0,"F",""),IF(PLE!B36&lt;=MAX(CÁLCULO!$M$15:$M$290),"F",""))</f>
        <v/>
      </c>
      <c r="B36" s="287">
        <f t="shared" ca="1" si="1"/>
        <v>22</v>
      </c>
      <c r="C36" s="645">
        <f ca="1">IF(AUTOEVENTO="Manual",IF($B36&lt;&gt;1,OFFSET(EVENTOS!$D$14,$B36,0),0),IF(B36&lt;=MAX(CÁLCULO!$M$15:$M$290),VLOOKUP($B36,CÁLCULO!$M$15:$N$290,2,FALSE),0))</f>
        <v>0</v>
      </c>
      <c r="D36" s="645"/>
      <c r="F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</row>
    <row r="37" spans="1:32" x14ac:dyDescent="0.2">
      <c r="A37" s="7" t="str">
        <f ca="1">IF(AUTOEVENTO="Manual",IF(OFFSET(EVENTOS!$F$14,PLE!$B37,0)&gt;0,"F",""),IF(PLE!B37&lt;=MAX(CÁLCULO!$M$15:$M$290),"F",""))</f>
        <v/>
      </c>
      <c r="B37" s="287">
        <f t="shared" ca="1" si="1"/>
        <v>23</v>
      </c>
      <c r="C37" s="645">
        <f ca="1">IF(AUTOEVENTO="Manual",IF($B37&lt;&gt;1,OFFSET(EVENTOS!$D$14,$B37,0),0),IF(B37&lt;=MAX(CÁLCULO!$M$15:$M$290),VLOOKUP($B37,CÁLCULO!$M$15:$N$290,2,FALSE),0))</f>
        <v>0</v>
      </c>
      <c r="D37" s="645"/>
      <c r="F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</row>
    <row r="38" spans="1:32" x14ac:dyDescent="0.2">
      <c r="A38" s="7" t="str">
        <f ca="1">IF(AUTOEVENTO="Manual",IF(OFFSET(EVENTOS!$F$14,PLE!$B38,0)&gt;0,"F",""),IF(PLE!B38&lt;=MAX(CÁLCULO!$M$15:$M$290),"F",""))</f>
        <v/>
      </c>
      <c r="B38" s="287">
        <f t="shared" ca="1" si="1"/>
        <v>24</v>
      </c>
      <c r="C38" s="645">
        <f ca="1">IF(AUTOEVENTO="Manual",IF($B38&lt;&gt;1,OFFSET(EVENTOS!$D$14,$B38,0),0),IF(B38&lt;=MAX(CÁLCULO!$M$15:$M$290),VLOOKUP($B38,CÁLCULO!$M$15:$N$290,2,FALSE),0))</f>
        <v>0</v>
      </c>
      <c r="D38" s="645"/>
      <c r="F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</row>
    <row r="39" spans="1:32" x14ac:dyDescent="0.2">
      <c r="A39" s="7" t="str">
        <f ca="1">IF(AUTOEVENTO="Manual",IF(OFFSET(EVENTOS!$F$14,PLE!$B39,0)&gt;0,"F",""),IF(PLE!B39&lt;=MAX(CÁLCULO!$M$15:$M$290),"F",""))</f>
        <v/>
      </c>
      <c r="B39" s="287">
        <f t="shared" ca="1" si="1"/>
        <v>25</v>
      </c>
      <c r="C39" s="645">
        <f ca="1">IF(AUTOEVENTO="Manual",IF($B39&lt;&gt;1,OFFSET(EVENTOS!$D$14,$B39,0),0),IF(B39&lt;=MAX(CÁLCULO!$M$15:$M$290),VLOOKUP($B39,CÁLCULO!$M$15:$N$290,2,FALSE),0))</f>
        <v>0</v>
      </c>
      <c r="D39" s="645"/>
      <c r="F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</row>
    <row r="40" spans="1:32" x14ac:dyDescent="0.2">
      <c r="A40" s="7" t="str">
        <f ca="1">IF(AUTOEVENTO="Manual",IF(OFFSET(EVENTOS!$F$14,PLE!$B40,0)&gt;0,"F",""),IF(PLE!B40&lt;=MAX(CÁLCULO!$M$15:$M$290),"F",""))</f>
        <v/>
      </c>
      <c r="B40" s="287">
        <f t="shared" ca="1" si="1"/>
        <v>26</v>
      </c>
      <c r="C40" s="645">
        <f ca="1">IF(AUTOEVENTO="Manual",IF($B40&lt;&gt;1,OFFSET(EVENTOS!$D$14,$B40,0),0),IF(B40&lt;=MAX(CÁLCULO!$M$15:$M$290),VLOOKUP($B40,CÁLCULO!$M$15:$N$290,2,FALSE),0))</f>
        <v>0</v>
      </c>
      <c r="D40" s="645"/>
      <c r="F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</row>
    <row r="41" spans="1:32" x14ac:dyDescent="0.2">
      <c r="A41" s="7" t="str">
        <f ca="1">IF(AUTOEVENTO="Manual",IF(OFFSET(EVENTOS!$F$14,PLE!$B41,0)&gt;0,"F",""),IF(PLE!B41&lt;=MAX(CÁLCULO!$M$15:$M$290),"F",""))</f>
        <v/>
      </c>
      <c r="B41" s="287">
        <f t="shared" ca="1" si="1"/>
        <v>27</v>
      </c>
      <c r="C41" s="645">
        <f ca="1">IF(AUTOEVENTO="Manual",IF($B41&lt;&gt;1,OFFSET(EVENTOS!$D$14,$B41,0),0),IF(B41&lt;=MAX(CÁLCULO!$M$15:$M$290),VLOOKUP($B41,CÁLCULO!$M$15:$N$290,2,FALSE),0))</f>
        <v>0</v>
      </c>
      <c r="D41" s="645"/>
      <c r="F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</row>
    <row r="42" spans="1:32" x14ac:dyDescent="0.2">
      <c r="A42" s="7" t="str">
        <f ca="1">IF(AUTOEVENTO="Manual",IF(OFFSET(EVENTOS!$F$14,PLE!$B42,0)&gt;0,"F",""),IF(PLE!B42&lt;=MAX(CÁLCULO!$M$15:$M$290),"F",""))</f>
        <v/>
      </c>
      <c r="B42" s="287">
        <f t="shared" ca="1" si="1"/>
        <v>28</v>
      </c>
      <c r="C42" s="645">
        <f ca="1">IF(AUTOEVENTO="Manual",IF($B42&lt;&gt;1,OFFSET(EVENTOS!$D$14,$B42,0),0),IF(B42&lt;=MAX(CÁLCULO!$M$15:$M$290),VLOOKUP($B42,CÁLCULO!$M$15:$N$290,2,FALSE),0))</f>
        <v>0</v>
      </c>
      <c r="D42" s="645"/>
      <c r="F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</row>
    <row r="43" spans="1:32" x14ac:dyDescent="0.2">
      <c r="A43" s="7" t="str">
        <f ca="1">IF(AUTOEVENTO="Manual",IF(OFFSET(EVENTOS!$F$14,PLE!$B43,0)&gt;0,"F",""),IF(PLE!B43&lt;=MAX(CÁLCULO!$M$15:$M$290),"F",""))</f>
        <v/>
      </c>
      <c r="B43" s="287">
        <f t="shared" ca="1" si="1"/>
        <v>29</v>
      </c>
      <c r="C43" s="645">
        <f ca="1">IF(AUTOEVENTO="Manual",IF($B43&lt;&gt;1,OFFSET(EVENTOS!$D$14,$B43,0),0),IF(B43&lt;=MAX(CÁLCULO!$M$15:$M$290),VLOOKUP($B43,CÁLCULO!$M$15:$N$290,2,FALSE),0))</f>
        <v>0</v>
      </c>
      <c r="D43" s="645"/>
      <c r="F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</row>
    <row r="44" spans="1:32" x14ac:dyDescent="0.2">
      <c r="A44" s="7" t="str">
        <f ca="1">IF(AUTOEVENTO="Manual",IF(OFFSET(EVENTOS!$F$14,PLE!$B44,0)&gt;0,"F",""),IF(PLE!B44&lt;=MAX(CÁLCULO!$M$15:$M$290),"F",""))</f>
        <v/>
      </c>
      <c r="B44" s="287">
        <f t="shared" ca="1" si="1"/>
        <v>30</v>
      </c>
      <c r="C44" s="645">
        <f ca="1">IF(AUTOEVENTO="Manual",IF($B44&lt;&gt;1,OFFSET(EVENTOS!$D$14,$B44,0),0),IF(B44&lt;=MAX(CÁLCULO!$M$15:$M$290),VLOOKUP($B44,CÁLCULO!$M$15:$N$290,2,FALSE),0))</f>
        <v>0</v>
      </c>
      <c r="D44" s="645"/>
      <c r="F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</row>
    <row r="45" spans="1:32" x14ac:dyDescent="0.2">
      <c r="A45" s="7" t="str">
        <f ca="1">IF(AUTOEVENTO="Manual",IF(OFFSET(EVENTOS!$F$14,PLE!$B45,0)&gt;0,"F",""),IF(PLE!B45&lt;=MAX(CÁLCULO!$M$15:$M$290),"F",""))</f>
        <v/>
      </c>
      <c r="B45" s="287">
        <f t="shared" ca="1" si="1"/>
        <v>31</v>
      </c>
      <c r="C45" s="645">
        <f ca="1">IF(AUTOEVENTO="Manual",IF($B45&lt;&gt;1,OFFSET(EVENTOS!$D$14,$B45,0),0),IF(B45&lt;=MAX(CÁLCULO!$M$15:$M$290),VLOOKUP($B45,CÁLCULO!$M$15:$N$290,2,FALSE),0))</f>
        <v>0</v>
      </c>
      <c r="D45" s="645"/>
      <c r="F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</row>
    <row r="46" spans="1:32" x14ac:dyDescent="0.2">
      <c r="A46" s="7" t="str">
        <f ca="1">IF(AUTOEVENTO="Manual",IF(OFFSET(EVENTOS!$F$14,PLE!$B46,0)&gt;0,"F",""),IF(PLE!B46&lt;=MAX(CÁLCULO!$M$15:$M$290),"F",""))</f>
        <v/>
      </c>
      <c r="B46" s="287">
        <f t="shared" ca="1" si="1"/>
        <v>32</v>
      </c>
      <c r="C46" s="645">
        <f ca="1">IF(AUTOEVENTO="Manual",IF($B46&lt;&gt;1,OFFSET(EVENTOS!$D$14,$B46,0),0),IF(B46&lt;=MAX(CÁLCULO!$M$15:$M$290),VLOOKUP($B46,CÁLCULO!$M$15:$N$290,2,FALSE),0))</f>
        <v>0</v>
      </c>
      <c r="D46" s="645"/>
      <c r="F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</row>
    <row r="47" spans="1:32" x14ac:dyDescent="0.2">
      <c r="A47" s="7" t="str">
        <f ca="1">IF(AUTOEVENTO="Manual",IF(OFFSET(EVENTOS!$F$14,PLE!$B47,0)&gt;0,"F",""),IF(PLE!B47&lt;=MAX(CÁLCULO!$M$15:$M$290),"F",""))</f>
        <v/>
      </c>
      <c r="B47" s="287">
        <f t="shared" ca="1" si="1"/>
        <v>33</v>
      </c>
      <c r="C47" s="645">
        <f ca="1">IF(AUTOEVENTO="Manual",IF($B47&lt;&gt;1,OFFSET(EVENTOS!$D$14,$B47,0),0),IF(B47&lt;=MAX(CÁLCULO!$M$15:$M$290),VLOOKUP($B47,CÁLCULO!$M$15:$N$290,2,FALSE),0))</f>
        <v>0</v>
      </c>
      <c r="D47" s="645"/>
      <c r="F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</row>
    <row r="48" spans="1:32" x14ac:dyDescent="0.2">
      <c r="A48" s="7" t="str">
        <f ca="1">IF(AUTOEVENTO="Manual",IF(OFFSET(EVENTOS!$F$14,PLE!$B48,0)&gt;0,"F",""),IF(PLE!B48&lt;=MAX(CÁLCULO!$M$15:$M$290),"F",""))</f>
        <v/>
      </c>
      <c r="B48" s="287">
        <f t="shared" ca="1" si="1"/>
        <v>34</v>
      </c>
      <c r="C48" s="645">
        <f ca="1">IF(AUTOEVENTO="Manual",IF($B48&lt;&gt;1,OFFSET(EVENTOS!$D$14,$B48,0),0),IF(B48&lt;=MAX(CÁLCULO!$M$15:$M$290),VLOOKUP($B48,CÁLCULO!$M$15:$N$290,2,FALSE),0))</f>
        <v>0</v>
      </c>
      <c r="D48" s="645"/>
      <c r="F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</row>
    <row r="49" spans="1:32" x14ac:dyDescent="0.2">
      <c r="A49" s="7" t="str">
        <f ca="1">IF(AUTOEVENTO="Manual",IF(OFFSET(EVENTOS!$F$14,PLE!$B49,0)&gt;0,"F",""),IF(PLE!B49&lt;=MAX(CÁLCULO!$M$15:$M$290),"F",""))</f>
        <v/>
      </c>
      <c r="B49" s="287">
        <f t="shared" ca="1" si="1"/>
        <v>35</v>
      </c>
      <c r="C49" s="645">
        <f ca="1">IF(AUTOEVENTO="Manual",IF($B49&lt;&gt;1,OFFSET(EVENTOS!$D$14,$B49,0),0),IF(B49&lt;=MAX(CÁLCULO!$M$15:$M$290),VLOOKUP($B49,CÁLCULO!$M$15:$N$290,2,FALSE),0))</f>
        <v>0</v>
      </c>
      <c r="D49" s="645"/>
      <c r="F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</row>
    <row r="50" spans="1:32" x14ac:dyDescent="0.2">
      <c r="A50" s="7" t="str">
        <f ca="1">IF(AUTOEVENTO="Manual",IF(OFFSET(EVENTOS!$F$14,PLE!$B50,0)&gt;0,"F",""),IF(PLE!B50&lt;=MAX(CÁLCULO!$M$15:$M$290),"F",""))</f>
        <v/>
      </c>
      <c r="B50" s="287">
        <f t="shared" ca="1" si="1"/>
        <v>36</v>
      </c>
      <c r="C50" s="645">
        <f ca="1">IF(AUTOEVENTO="Manual",IF($B50&lt;&gt;1,OFFSET(EVENTOS!$D$14,$B50,0),0),IF(B50&lt;=MAX(CÁLCULO!$M$15:$M$290),VLOOKUP($B50,CÁLCULO!$M$15:$N$290,2,FALSE),0))</f>
        <v>0</v>
      </c>
      <c r="D50" s="645"/>
      <c r="F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</row>
    <row r="51" spans="1:32" x14ac:dyDescent="0.2">
      <c r="A51" s="7" t="str">
        <f ca="1">IF(AUTOEVENTO="Manual",IF(OFFSET(EVENTOS!$F$14,PLE!$B51,0)&gt;0,"F",""),IF(PLE!B51&lt;=MAX(CÁLCULO!$M$15:$M$290),"F",""))</f>
        <v/>
      </c>
      <c r="B51" s="287">
        <f t="shared" ca="1" si="1"/>
        <v>37</v>
      </c>
      <c r="C51" s="645">
        <f ca="1">IF(AUTOEVENTO="Manual",IF($B51&lt;&gt;1,OFFSET(EVENTOS!$D$14,$B51,0),0),IF(B51&lt;=MAX(CÁLCULO!$M$15:$M$290),VLOOKUP($B51,CÁLCULO!$M$15:$N$290,2,FALSE),0))</f>
        <v>0</v>
      </c>
      <c r="D51" s="645"/>
      <c r="F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</row>
    <row r="52" spans="1:32" x14ac:dyDescent="0.2">
      <c r="A52" s="7" t="str">
        <f ca="1">IF(AUTOEVENTO="Manual",IF(OFFSET(EVENTOS!$F$14,PLE!$B52,0)&gt;0,"F",""),IF(PLE!B52&lt;=MAX(CÁLCULO!$M$15:$M$290),"F",""))</f>
        <v/>
      </c>
      <c r="B52" s="287">
        <f t="shared" ca="1" si="1"/>
        <v>38</v>
      </c>
      <c r="C52" s="645">
        <f ca="1">IF(AUTOEVENTO="Manual",IF($B52&lt;&gt;1,OFFSET(EVENTOS!$D$14,$B52,0),0),IF(B52&lt;=MAX(CÁLCULO!$M$15:$M$290),VLOOKUP($B52,CÁLCULO!$M$15:$N$290,2,FALSE),0))</f>
        <v>0</v>
      </c>
      <c r="D52" s="645"/>
      <c r="F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</row>
    <row r="53" spans="1:32" x14ac:dyDescent="0.2">
      <c r="A53" s="7" t="str">
        <f ca="1">IF(AUTOEVENTO="Manual",IF(OFFSET(EVENTOS!$F$14,PLE!$B53,0)&gt;0,"F",""),IF(PLE!B53&lt;=MAX(CÁLCULO!$M$15:$M$290),"F",""))</f>
        <v/>
      </c>
      <c r="B53" s="287">
        <f t="shared" ca="1" si="1"/>
        <v>39</v>
      </c>
      <c r="C53" s="645">
        <f ca="1">IF(AUTOEVENTO="Manual",IF($B53&lt;&gt;1,OFFSET(EVENTOS!$D$14,$B53,0),0),IF(B53&lt;=MAX(CÁLCULO!$M$15:$M$290),VLOOKUP($B53,CÁLCULO!$M$15:$N$290,2,FALSE),0))</f>
        <v>0</v>
      </c>
      <c r="D53" s="645"/>
      <c r="F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</row>
    <row r="54" spans="1:32" x14ac:dyDescent="0.2">
      <c r="A54" s="7" t="str">
        <f ca="1">IF(AUTOEVENTO="Manual",IF(OFFSET(EVENTOS!$F$14,PLE!$B54,0)&gt;0,"F",""),IF(PLE!B54&lt;=MAX(CÁLCULO!$M$15:$M$290),"F",""))</f>
        <v/>
      </c>
      <c r="B54" s="287">
        <f t="shared" ca="1" si="1"/>
        <v>40</v>
      </c>
      <c r="C54" s="645">
        <f ca="1">IF(AUTOEVENTO="Manual",IF($B54&lt;&gt;1,OFFSET(EVENTOS!$D$14,$B54,0),0),IF(B54&lt;=MAX(CÁLCULO!$M$15:$M$290),VLOOKUP($B54,CÁLCULO!$M$15:$N$290,2,FALSE),0))</f>
        <v>0</v>
      </c>
      <c r="D54" s="645"/>
      <c r="F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</row>
    <row r="55" spans="1:32" x14ac:dyDescent="0.2">
      <c r="A55" s="7" t="str">
        <f ca="1">IF(AUTOEVENTO="Manual",IF(OFFSET(EVENTOS!$F$14,PLE!$B55,0)&gt;0,"F",""),IF(PLE!B55&lt;=MAX(CÁLCULO!$M$15:$M$290),"F",""))</f>
        <v/>
      </c>
      <c r="B55" s="287">
        <f t="shared" ca="1" si="1"/>
        <v>41</v>
      </c>
      <c r="C55" s="645">
        <f ca="1">IF(AUTOEVENTO="Manual",IF($B55&lt;&gt;1,OFFSET(EVENTOS!$D$14,$B55,0),0),IF(B55&lt;=MAX(CÁLCULO!$M$15:$M$290),VLOOKUP($B55,CÁLCULO!$M$15:$N$290,2,FALSE),0))</f>
        <v>0</v>
      </c>
      <c r="D55" s="645"/>
      <c r="F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</row>
    <row r="56" spans="1:32" x14ac:dyDescent="0.2">
      <c r="A56" s="7" t="str">
        <f ca="1">IF(AUTOEVENTO="Manual",IF(OFFSET(EVENTOS!$F$14,PLE!$B56,0)&gt;0,"F",""),IF(PLE!B56&lt;=MAX(CÁLCULO!$M$15:$M$290),"F",""))</f>
        <v/>
      </c>
      <c r="B56" s="287">
        <f t="shared" ca="1" si="1"/>
        <v>42</v>
      </c>
      <c r="C56" s="645">
        <f ca="1">IF(AUTOEVENTO="Manual",IF($B56&lt;&gt;1,OFFSET(EVENTOS!$D$14,$B56,0),0),IF(B56&lt;=MAX(CÁLCULO!$M$15:$M$290),VLOOKUP($B56,CÁLCULO!$M$15:$N$290,2,FALSE),0))</f>
        <v>0</v>
      </c>
      <c r="D56" s="645"/>
      <c r="F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</row>
    <row r="57" spans="1:32" x14ac:dyDescent="0.2">
      <c r="A57" s="7" t="str">
        <f ca="1">IF(AUTOEVENTO="Manual",IF(OFFSET(EVENTOS!$F$14,PLE!$B57,0)&gt;0,"F",""),IF(PLE!B57&lt;=MAX(CÁLCULO!$M$15:$M$290),"F",""))</f>
        <v/>
      </c>
      <c r="B57" s="287">
        <f t="shared" ca="1" si="1"/>
        <v>43</v>
      </c>
      <c r="C57" s="645">
        <f ca="1">IF(AUTOEVENTO="Manual",IF($B57&lt;&gt;1,OFFSET(EVENTOS!$D$14,$B57,0),0),IF(B57&lt;=MAX(CÁLCULO!$M$15:$M$290),VLOOKUP($B57,CÁLCULO!$M$15:$N$290,2,FALSE),0))</f>
        <v>0</v>
      </c>
      <c r="D57" s="645"/>
      <c r="F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</row>
    <row r="58" spans="1:32" x14ac:dyDescent="0.2">
      <c r="A58" s="7" t="str">
        <f ca="1">IF(AUTOEVENTO="Manual",IF(OFFSET(EVENTOS!$F$14,PLE!$B58,0)&gt;0,"F",""),IF(PLE!B58&lt;=MAX(CÁLCULO!$M$15:$M$290),"F",""))</f>
        <v/>
      </c>
      <c r="B58" s="287">
        <f t="shared" ca="1" si="1"/>
        <v>44</v>
      </c>
      <c r="C58" s="645">
        <f ca="1">IF(AUTOEVENTO="Manual",IF($B58&lt;&gt;1,OFFSET(EVENTOS!$D$14,$B58,0),0),IF(B58&lt;=MAX(CÁLCULO!$M$15:$M$290),VLOOKUP($B58,CÁLCULO!$M$15:$N$290,2,FALSE),0))</f>
        <v>0</v>
      </c>
      <c r="D58" s="645"/>
      <c r="F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</row>
    <row r="59" spans="1:32" x14ac:dyDescent="0.2">
      <c r="A59" s="7" t="str">
        <f ca="1">IF(AUTOEVENTO="Manual",IF(OFFSET(EVENTOS!$F$14,PLE!$B59,0)&gt;0,"F",""),IF(PLE!B59&lt;=MAX(CÁLCULO!$M$15:$M$290),"F",""))</f>
        <v/>
      </c>
      <c r="B59" s="287">
        <f t="shared" ca="1" si="1"/>
        <v>45</v>
      </c>
      <c r="C59" s="645">
        <f ca="1">IF(AUTOEVENTO="Manual",IF($B59&lt;&gt;1,OFFSET(EVENTOS!$D$14,$B59,0),0),IF(B59&lt;=MAX(CÁLCULO!$M$15:$M$290),VLOOKUP($B59,CÁLCULO!$M$15:$N$290,2,FALSE),0))</f>
        <v>0</v>
      </c>
      <c r="D59" s="645"/>
      <c r="F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</row>
    <row r="60" spans="1:32" x14ac:dyDescent="0.2">
      <c r="A60" s="7" t="str">
        <f ca="1">IF(AUTOEVENTO="Manual",IF(OFFSET(EVENTOS!$F$14,PLE!$B60,0)&gt;0,"F",""),IF(PLE!B60&lt;=MAX(CÁLCULO!$M$15:$M$290),"F",""))</f>
        <v/>
      </c>
      <c r="B60" s="287">
        <f t="shared" ca="1" si="1"/>
        <v>46</v>
      </c>
      <c r="C60" s="645">
        <f ca="1">IF(AUTOEVENTO="Manual",IF($B60&lt;&gt;1,OFFSET(EVENTOS!$D$14,$B60,0),0),IF(B60&lt;=MAX(CÁLCULO!$M$15:$M$290),VLOOKUP($B60,CÁLCULO!$M$15:$N$290,2,FALSE),0))</f>
        <v>0</v>
      </c>
      <c r="D60" s="645"/>
      <c r="F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</row>
    <row r="61" spans="1:32" x14ac:dyDescent="0.2">
      <c r="A61" s="7" t="str">
        <f ca="1">IF(AUTOEVENTO="Manual",IF(OFFSET(EVENTOS!$F$14,PLE!$B61,0)&gt;0,"F",""),IF(PLE!B61&lt;=MAX(CÁLCULO!$M$15:$M$290),"F",""))</f>
        <v/>
      </c>
      <c r="B61" s="287">
        <f t="shared" ca="1" si="1"/>
        <v>47</v>
      </c>
      <c r="C61" s="645">
        <f ca="1">IF(AUTOEVENTO="Manual",IF($B61&lt;&gt;1,OFFSET(EVENTOS!$D$14,$B61,0),0),IF(B61&lt;=MAX(CÁLCULO!$M$15:$M$290),VLOOKUP($B61,CÁLCULO!$M$15:$N$290,2,FALSE),0))</f>
        <v>0</v>
      </c>
      <c r="D61" s="645"/>
      <c r="F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</row>
    <row r="62" spans="1:32" x14ac:dyDescent="0.2">
      <c r="A62" s="7" t="str">
        <f ca="1">IF(AUTOEVENTO="Manual",IF(OFFSET(EVENTOS!$F$14,PLE!$B62,0)&gt;0,"F",""),IF(PLE!B62&lt;=MAX(CÁLCULO!$M$15:$M$290),"F",""))</f>
        <v/>
      </c>
      <c r="B62" s="287">
        <f t="shared" ca="1" si="1"/>
        <v>48</v>
      </c>
      <c r="C62" s="645">
        <f ca="1">IF(AUTOEVENTO="Manual",IF($B62&lt;&gt;1,OFFSET(EVENTOS!$D$14,$B62,0),0),IF(B62&lt;=MAX(CÁLCULO!$M$15:$M$290),VLOOKUP($B62,CÁLCULO!$M$15:$N$290,2,FALSE),0))</f>
        <v>0</v>
      </c>
      <c r="D62" s="645"/>
      <c r="F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</row>
    <row r="63" spans="1:32" x14ac:dyDescent="0.2">
      <c r="A63" s="7" t="str">
        <f ca="1">IF(AUTOEVENTO="Manual",IF(OFFSET(EVENTOS!$F$14,PLE!$B63,0)&gt;0,"F",""),IF(PLE!B63&lt;=MAX(CÁLCULO!$M$15:$M$290),"F",""))</f>
        <v/>
      </c>
      <c r="B63" s="287">
        <f t="shared" ca="1" si="1"/>
        <v>49</v>
      </c>
      <c r="C63" s="645">
        <f ca="1">IF(AUTOEVENTO="Manual",IF($B63&lt;&gt;1,OFFSET(EVENTOS!$D$14,$B63,0),0),IF(B63&lt;=MAX(CÁLCULO!$M$15:$M$290),VLOOKUP($B63,CÁLCULO!$M$15:$N$290,2,FALSE),0))</f>
        <v>0</v>
      </c>
      <c r="D63" s="645"/>
      <c r="F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</row>
    <row r="64" spans="1:32" x14ac:dyDescent="0.2">
      <c r="A64" s="7" t="str">
        <f ca="1">IF(AUTOEVENTO="Manual",IF(OFFSET(EVENTOS!$F$14,PLE!$B64,0)&gt;0,"F",""),IF(PLE!B64&lt;=MAX(CÁLCULO!$M$15:$M$290),"F",""))</f>
        <v/>
      </c>
      <c r="B64" s="287">
        <f t="shared" ca="1" si="1"/>
        <v>50</v>
      </c>
      <c r="C64" s="645">
        <f ca="1">IF(AUTOEVENTO="Manual",IF($B64&lt;&gt;1,OFFSET(EVENTOS!$D$14,$B64,0),0),IF(B64&lt;=MAX(CÁLCULO!$M$15:$M$290),VLOOKUP($B64,CÁLCULO!$M$15:$N$290,2,FALSE),0))</f>
        <v>0</v>
      </c>
      <c r="D64" s="645"/>
      <c r="F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</row>
    <row r="65" spans="1:32" ht="4.5" customHeight="1" x14ac:dyDescent="0.2">
      <c r="A65" s="7" t="s">
        <v>246</v>
      </c>
      <c r="B65" s="484"/>
      <c r="C65" s="485"/>
      <c r="D65" s="486"/>
      <c r="F65" s="138"/>
      <c r="H65" s="484"/>
      <c r="I65" s="485"/>
      <c r="J65" s="485"/>
      <c r="K65" s="485"/>
      <c r="L65" s="485"/>
      <c r="M65" s="485"/>
      <c r="N65" s="485"/>
      <c r="O65" s="485"/>
      <c r="P65" s="485"/>
      <c r="Q65" s="485"/>
      <c r="R65" s="485"/>
      <c r="S65" s="485"/>
      <c r="T65" s="485"/>
      <c r="U65" s="485"/>
      <c r="V65" s="485"/>
      <c r="W65" s="485"/>
      <c r="X65" s="485"/>
      <c r="Y65" s="485"/>
      <c r="Z65" s="485"/>
      <c r="AA65" s="485"/>
      <c r="AB65" s="485"/>
      <c r="AC65" s="485"/>
      <c r="AD65" s="485"/>
      <c r="AE65" s="485"/>
      <c r="AF65" s="486"/>
    </row>
    <row r="66" spans="1:32" x14ac:dyDescent="0.2">
      <c r="A66" s="7" t="s">
        <v>246</v>
      </c>
    </row>
    <row r="67" spans="1:32" x14ac:dyDescent="0.2">
      <c r="A67" s="7" t="s">
        <v>246</v>
      </c>
      <c r="I67" s="652" t="s">
        <v>298</v>
      </c>
      <c r="J67" s="652"/>
      <c r="K67" s="652"/>
      <c r="L67" s="652"/>
      <c r="M67" s="652"/>
      <c r="N67" s="652"/>
      <c r="O67" s="652"/>
      <c r="P67" s="652"/>
      <c r="Q67" s="652"/>
      <c r="R67" s="652"/>
      <c r="S67" s="652"/>
      <c r="T67" s="652"/>
      <c r="U67" s="652"/>
      <c r="V67" s="652"/>
      <c r="W67" s="652"/>
      <c r="X67" s="652"/>
      <c r="Y67" s="652"/>
      <c r="Z67" s="652"/>
      <c r="AA67" s="652"/>
      <c r="AB67" s="652"/>
      <c r="AC67" s="652"/>
      <c r="AD67" s="652"/>
      <c r="AE67" s="652"/>
      <c r="AF67" s="652"/>
    </row>
    <row r="68" spans="1:32" x14ac:dyDescent="0.2">
      <c r="A68" s="7" t="s">
        <v>246</v>
      </c>
      <c r="I68" s="667"/>
      <c r="J68" s="653"/>
      <c r="K68" s="653"/>
      <c r="L68" s="653"/>
      <c r="M68" s="653"/>
      <c r="N68" s="653"/>
      <c r="O68" s="653"/>
      <c r="P68" s="653"/>
      <c r="Q68" s="653"/>
      <c r="R68" s="653"/>
      <c r="S68" s="653"/>
      <c r="T68" s="653"/>
      <c r="U68" s="653"/>
      <c r="V68" s="653"/>
      <c r="W68" s="653"/>
      <c r="X68" s="653"/>
      <c r="Y68" s="653"/>
      <c r="Z68" s="653"/>
      <c r="AA68" s="653"/>
      <c r="AB68" s="653"/>
      <c r="AC68" s="653"/>
      <c r="AD68" s="653"/>
      <c r="AE68" s="653"/>
      <c r="AF68" s="658"/>
    </row>
    <row r="69" spans="1:32" x14ac:dyDescent="0.2">
      <c r="A69" s="7" t="s">
        <v>246</v>
      </c>
      <c r="D69" s="310" t="s">
        <v>299</v>
      </c>
      <c r="I69" s="657">
        <f>IF(PLE.Medicao&lt;=12,1,TRUNC((PLE.Medicao - 2)/11,0) * 11 + 1)</f>
        <v>1</v>
      </c>
      <c r="J69" s="657"/>
      <c r="K69" s="657">
        <f>I69+1</f>
        <v>2</v>
      </c>
      <c r="L69" s="657"/>
      <c r="M69" s="657">
        <f>K69+1</f>
        <v>3</v>
      </c>
      <c r="N69" s="657"/>
      <c r="O69" s="657">
        <f>M69+1</f>
        <v>4</v>
      </c>
      <c r="P69" s="657"/>
      <c r="Q69" s="657">
        <f>O69+1</f>
        <v>5</v>
      </c>
      <c r="R69" s="657"/>
      <c r="S69" s="657">
        <f>Q69+1</f>
        <v>6</v>
      </c>
      <c r="T69" s="657"/>
      <c r="U69" s="657">
        <f>S69+1</f>
        <v>7</v>
      </c>
      <c r="V69" s="657"/>
      <c r="W69" s="657">
        <f>U69+1</f>
        <v>8</v>
      </c>
      <c r="X69" s="657"/>
      <c r="Y69" s="657">
        <f>W69+1</f>
        <v>9</v>
      </c>
      <c r="Z69" s="657"/>
      <c r="AA69" s="657">
        <f>Y69+1</f>
        <v>10</v>
      </c>
      <c r="AB69" s="657"/>
      <c r="AC69" s="657">
        <f>AA69+1</f>
        <v>11</v>
      </c>
      <c r="AD69" s="657"/>
      <c r="AE69" s="657">
        <f>AC69+1</f>
        <v>12</v>
      </c>
      <c r="AF69" s="657"/>
    </row>
    <row r="70" spans="1:32" x14ac:dyDescent="0.2">
      <c r="A70" s="7" t="s">
        <v>246</v>
      </c>
      <c r="D70" s="662" t="s">
        <v>283</v>
      </c>
      <c r="H70" s="311" t="s">
        <v>300</v>
      </c>
      <c r="I70" s="666">
        <f ca="1">ROUND(I71,2)/ORÇAMENTO!$X$15</f>
        <v>0</v>
      </c>
      <c r="J70" s="666"/>
      <c r="K70" s="656">
        <f ca="1">ROUND(K71,2)/ORÇAMENTO!$X$15</f>
        <v>0</v>
      </c>
      <c r="L70" s="656"/>
      <c r="M70" s="655">
        <f ca="1">ROUND(M71,2)/ORÇAMENTO!$X$15</f>
        <v>0</v>
      </c>
      <c r="N70" s="655"/>
      <c r="O70" s="656">
        <f ca="1">ROUND(O71,2)/ORÇAMENTO!$X$15</f>
        <v>0</v>
      </c>
      <c r="P70" s="656"/>
      <c r="Q70" s="655">
        <f ca="1">ROUND(Q71,2)/ORÇAMENTO!$X$15</f>
        <v>0</v>
      </c>
      <c r="R70" s="655"/>
      <c r="S70" s="656">
        <f ca="1">ROUND(S71,2)/ORÇAMENTO!$X$15</f>
        <v>0</v>
      </c>
      <c r="T70" s="656"/>
      <c r="U70" s="655">
        <f ca="1">ROUND(U71,2)/ORÇAMENTO!$X$15</f>
        <v>0</v>
      </c>
      <c r="V70" s="655"/>
      <c r="W70" s="656">
        <f ca="1">ROUND(W71,2)/ORÇAMENTO!$X$15</f>
        <v>0</v>
      </c>
      <c r="X70" s="656"/>
      <c r="Y70" s="655">
        <f ca="1">ROUND(Y71,2)/ORÇAMENTO!$X$15</f>
        <v>0</v>
      </c>
      <c r="Z70" s="655"/>
      <c r="AA70" s="656">
        <f ca="1">ROUND(AA71,2)/ORÇAMENTO!$X$15</f>
        <v>0</v>
      </c>
      <c r="AB70" s="656"/>
      <c r="AC70" s="655">
        <f ca="1">ROUND(AC71,2)/ORÇAMENTO!$X$15</f>
        <v>0</v>
      </c>
      <c r="AD70" s="655"/>
      <c r="AE70" s="656">
        <f ca="1">ROUND(AE71,2)/ORÇAMENTO!$X$15</f>
        <v>0</v>
      </c>
      <c r="AF70" s="656"/>
    </row>
    <row r="71" spans="1:32" x14ac:dyDescent="0.2">
      <c r="A71" s="7" t="s">
        <v>246</v>
      </c>
      <c r="D71" s="662"/>
      <c r="H71" s="12" t="s">
        <v>301</v>
      </c>
      <c r="I71" s="659">
        <f ca="1">IF(I69=1,I73,ROUND(I73,2)-ROUND(SUMIF(CÁLCULO!$AX$15:$BH$290,"&lt;="&amp;PLE!I69-1,CÁLCULO!$AB$15:$AL$290)*(1+CÁLCULO.TotalAdmLocal/(ORÇAMENTO!$X$15-CÁLCULO.TotalAdmLocal)),2))</f>
        <v>0</v>
      </c>
      <c r="J71" s="659"/>
      <c r="K71" s="659">
        <f ca="1">ROUND(K73,2)-ROUND(I73,2)</f>
        <v>0</v>
      </c>
      <c r="L71" s="659"/>
      <c r="M71" s="664">
        <f ca="1">ROUND(M73,2)-ROUND(K73,2)</f>
        <v>0</v>
      </c>
      <c r="N71" s="664"/>
      <c r="O71" s="659">
        <f ca="1">ROUND(O73,2)-ROUND(M73,2)</f>
        <v>0</v>
      </c>
      <c r="P71" s="659"/>
      <c r="Q71" s="664">
        <f ca="1">ROUND(Q73,2)-ROUND(O73,2)</f>
        <v>0</v>
      </c>
      <c r="R71" s="664"/>
      <c r="S71" s="659">
        <f ca="1">ROUND(S73,2)-ROUND(Q73,2)</f>
        <v>0</v>
      </c>
      <c r="T71" s="659"/>
      <c r="U71" s="664">
        <f ca="1">ROUND(U73,2)-ROUND(S73,2)</f>
        <v>0</v>
      </c>
      <c r="V71" s="664"/>
      <c r="W71" s="659">
        <f ca="1">ROUND(W73,2)-ROUND(U73,2)</f>
        <v>0</v>
      </c>
      <c r="X71" s="659"/>
      <c r="Y71" s="664">
        <f ca="1">ROUND(Y73,2)-ROUND(W73,2)</f>
        <v>0</v>
      </c>
      <c r="Z71" s="664"/>
      <c r="AA71" s="659">
        <f ca="1">ROUND(AA73,2)-ROUND(Y73,2)</f>
        <v>0</v>
      </c>
      <c r="AB71" s="659"/>
      <c r="AC71" s="664">
        <f ca="1">ROUND(AC73,2)-ROUND(AA73,2)</f>
        <v>0</v>
      </c>
      <c r="AD71" s="664"/>
      <c r="AE71" s="659">
        <f ca="1">ROUND(AE73,2)-ROUND(AC73,2)</f>
        <v>0</v>
      </c>
      <c r="AF71" s="659"/>
    </row>
    <row r="72" spans="1:32" x14ac:dyDescent="0.2">
      <c r="A72" s="7" t="s">
        <v>246</v>
      </c>
      <c r="D72" s="662" t="s">
        <v>287</v>
      </c>
      <c r="H72" s="311" t="s">
        <v>300</v>
      </c>
      <c r="I72" s="661">
        <f ca="1">ROUND(I73,2)/ORÇAMENTO!$X$15</f>
        <v>0</v>
      </c>
      <c r="J72" s="661"/>
      <c r="K72" s="660">
        <f ca="1">ROUND(K73,2)/ORÇAMENTO!$X$15</f>
        <v>0</v>
      </c>
      <c r="L72" s="660"/>
      <c r="M72" s="663">
        <f ca="1">ROUND(M73,2)/ORÇAMENTO!$X$15</f>
        <v>0</v>
      </c>
      <c r="N72" s="663"/>
      <c r="O72" s="660">
        <f ca="1">ROUND(O73,2)/ORÇAMENTO!$X$15</f>
        <v>0</v>
      </c>
      <c r="P72" s="660"/>
      <c r="Q72" s="663">
        <f ca="1">ROUND(Q73,2)/ORÇAMENTO!$X$15</f>
        <v>0</v>
      </c>
      <c r="R72" s="663"/>
      <c r="S72" s="660">
        <f ca="1">ROUND(S73,2)/ORÇAMENTO!$X$15</f>
        <v>0</v>
      </c>
      <c r="T72" s="660"/>
      <c r="U72" s="663">
        <f ca="1">ROUND(U73,2)/ORÇAMENTO!$X$15</f>
        <v>0</v>
      </c>
      <c r="V72" s="663"/>
      <c r="W72" s="660">
        <f ca="1">ROUND(W73,2)/ORÇAMENTO!$X$15</f>
        <v>0</v>
      </c>
      <c r="X72" s="660"/>
      <c r="Y72" s="663">
        <f ca="1">ROUND(Y73,2)/ORÇAMENTO!$X$15</f>
        <v>0</v>
      </c>
      <c r="Z72" s="663"/>
      <c r="AA72" s="660">
        <f ca="1">ROUND(AA73,2)/ORÇAMENTO!$X$15</f>
        <v>0</v>
      </c>
      <c r="AB72" s="660"/>
      <c r="AC72" s="663">
        <f ca="1">ROUND(AC73,2)/ORÇAMENTO!$X$15</f>
        <v>0</v>
      </c>
      <c r="AD72" s="663"/>
      <c r="AE72" s="660">
        <f ca="1">ROUND(AE73,2)/ORÇAMENTO!$X$15</f>
        <v>0</v>
      </c>
      <c r="AF72" s="660"/>
    </row>
    <row r="73" spans="1:32" x14ac:dyDescent="0.2">
      <c r="A73" s="7" t="s">
        <v>246</v>
      </c>
      <c r="D73" s="662"/>
      <c r="H73" s="12" t="s">
        <v>301</v>
      </c>
      <c r="I73" s="665">
        <f ca="1">SUMIF(CÁLCULO!$AX$15:$BH$290,"&lt;="&amp;PLE!I69,CÁLCULO!$AB$15:$AL$290)*(1+CÁLCULO.TotalAdmLocal/(ORÇAMENTO!$X$15-CÁLCULO.TotalAdmLocal))</f>
        <v>0</v>
      </c>
      <c r="J73" s="665"/>
      <c r="K73" s="659">
        <f ca="1">SUMIF(CÁLCULO!$AX$15:$BH$290,"&lt;="&amp;PLE!K69,CÁLCULO!$AB$15:$AL$290)*(1+CÁLCULO.TotalAdmLocal/(ORÇAMENTO!$X$15-CÁLCULO.TotalAdmLocal))</f>
        <v>0</v>
      </c>
      <c r="L73" s="659"/>
      <c r="M73" s="664">
        <f ca="1">SUMIF(CÁLCULO!$AX$15:$BH$290,"&lt;="&amp;PLE!M69,CÁLCULO!$AB$15:$AL$290)*(1+CÁLCULO.TotalAdmLocal/(ORÇAMENTO!$X$15-CÁLCULO.TotalAdmLocal))</f>
        <v>0</v>
      </c>
      <c r="N73" s="664"/>
      <c r="O73" s="659">
        <f ca="1">SUMIF(CÁLCULO!$AX$15:$BH$290,"&lt;="&amp;PLE!O69,CÁLCULO!$AB$15:$AL$290)*(1+CÁLCULO.TotalAdmLocal/(ORÇAMENTO!$X$15-CÁLCULO.TotalAdmLocal))</f>
        <v>0</v>
      </c>
      <c r="P73" s="659"/>
      <c r="Q73" s="664">
        <f ca="1">SUMIF(CÁLCULO!$AX$15:$BH$290,"&lt;="&amp;PLE!Q69,CÁLCULO!$AB$15:$AL$290)*(1+CÁLCULO.TotalAdmLocal/(ORÇAMENTO!$X$15-CÁLCULO.TotalAdmLocal))</f>
        <v>0</v>
      </c>
      <c r="R73" s="664"/>
      <c r="S73" s="659">
        <f ca="1">SUMIF(CÁLCULO!$AX$15:$BH$290,"&lt;="&amp;PLE!S69,CÁLCULO!$AB$15:$AL$290)*(1+CÁLCULO.TotalAdmLocal/(ORÇAMENTO!$X$15-CÁLCULO.TotalAdmLocal))</f>
        <v>0</v>
      </c>
      <c r="T73" s="659"/>
      <c r="U73" s="664">
        <f ca="1">SUMIF(CÁLCULO!$AX$15:$BH$290,"&lt;="&amp;PLE!U69,CÁLCULO!$AB$15:$AL$290)*(1+CÁLCULO.TotalAdmLocal/(ORÇAMENTO!$X$15-CÁLCULO.TotalAdmLocal))</f>
        <v>0</v>
      </c>
      <c r="V73" s="664"/>
      <c r="W73" s="659">
        <f ca="1">SUMIF(CÁLCULO!$AX$15:$BH$290,"&lt;="&amp;PLE!W69,CÁLCULO!$AB$15:$AL$290)*(1+CÁLCULO.TotalAdmLocal/(ORÇAMENTO!$X$15-CÁLCULO.TotalAdmLocal))</f>
        <v>0</v>
      </c>
      <c r="X73" s="659"/>
      <c r="Y73" s="664">
        <f ca="1">SUMIF(CÁLCULO!$AX$15:$BH$290,"&lt;="&amp;PLE!Y69,CÁLCULO!$AB$15:$AL$290)*(1+CÁLCULO.TotalAdmLocal/(ORÇAMENTO!$X$15-CÁLCULO.TotalAdmLocal))</f>
        <v>0</v>
      </c>
      <c r="Z73" s="664"/>
      <c r="AA73" s="659">
        <f ca="1">SUMIF(CÁLCULO!$AX$15:$BH$290,"&lt;="&amp;PLE!AA69,CÁLCULO!$AB$15:$AL$290)*(1+CÁLCULO.TotalAdmLocal/(ORÇAMENTO!$X$15-CÁLCULO.TotalAdmLocal))</f>
        <v>0</v>
      </c>
      <c r="AB73" s="659"/>
      <c r="AC73" s="664">
        <f ca="1">SUMIF(CÁLCULO!$AX$15:$BH$290,"&lt;="&amp;PLE!AC69,CÁLCULO!$AB$15:$AL$290)*(1+CÁLCULO.TotalAdmLocal/(ORÇAMENTO!$X$15-CÁLCULO.TotalAdmLocal))</f>
        <v>0</v>
      </c>
      <c r="AD73" s="664"/>
      <c r="AE73" s="659">
        <f ca="1">SUMIF(CÁLCULO!$AX$15:$BH$290,"&lt;="&amp;PLE!AE69,CÁLCULO!$AB$15:$AL$290)*(1+CÁLCULO.TotalAdmLocal/(ORÇAMENTO!$X$15-CÁLCULO.TotalAdmLocal))</f>
        <v>0</v>
      </c>
      <c r="AF73" s="659"/>
    </row>
    <row r="74" spans="1:32" ht="20.25" customHeight="1" x14ac:dyDescent="0.2">
      <c r="A74" s="7" t="s">
        <v>246</v>
      </c>
    </row>
    <row r="75" spans="1:32" ht="15" x14ac:dyDescent="0.2">
      <c r="A75" s="7" t="s">
        <v>246</v>
      </c>
      <c r="B75" s="615" t="str">
        <f>Import.Município</f>
        <v>RONDINHA - RS</v>
      </c>
      <c r="C75" s="615"/>
      <c r="D75" s="615"/>
      <c r="U75" s="145"/>
      <c r="V75" s="145"/>
      <c r="W75" s="145"/>
      <c r="X75" s="145"/>
      <c r="Y75" s="194"/>
      <c r="Z75" s="194"/>
      <c r="AA75" s="194"/>
      <c r="AB75" s="194"/>
      <c r="AC75" s="194"/>
      <c r="AD75" s="194"/>
    </row>
    <row r="76" spans="1:32" x14ac:dyDescent="0.2">
      <c r="A76" s="7" t="s">
        <v>246</v>
      </c>
      <c r="B76" s="10" t="s">
        <v>188</v>
      </c>
      <c r="U76" s="195" t="s">
        <v>302</v>
      </c>
    </row>
    <row r="77" spans="1:32" x14ac:dyDescent="0.2">
      <c r="A77" s="7" t="s">
        <v>246</v>
      </c>
      <c r="I77" s="80"/>
      <c r="U77" s="78" t="s">
        <v>108</v>
      </c>
      <c r="W77" s="312" t="str">
        <f t="array" ref="W77:W80">Import.RespFiscalização</f>
        <v>MARCELO SETTI</v>
      </c>
    </row>
    <row r="78" spans="1:32" x14ac:dyDescent="0.2">
      <c r="A78" s="7" t="s">
        <v>246</v>
      </c>
      <c r="B78" s="610">
        <f ca="1">DADOS!$F$48</f>
        <v>45412</v>
      </c>
      <c r="C78" s="610"/>
      <c r="D78" s="610"/>
      <c r="I78" s="80"/>
      <c r="U78" s="78" t="s">
        <v>127</v>
      </c>
      <c r="W78" s="312" t="str">
        <v>ENGENHEIRO CIVIL</v>
      </c>
    </row>
    <row r="79" spans="1:32" x14ac:dyDescent="0.2">
      <c r="A79" s="7" t="s">
        <v>246</v>
      </c>
      <c r="B79" s="146" t="s">
        <v>189</v>
      </c>
      <c r="C79" s="1"/>
      <c r="D79" s="1"/>
      <c r="I79" s="80"/>
      <c r="U79" s="78" t="s">
        <v>109</v>
      </c>
      <c r="W79" s="312" t="str">
        <v>CREA/RS 226290</v>
      </c>
    </row>
    <row r="80" spans="1:32" x14ac:dyDescent="0.2">
      <c r="U80" s="78" t="s">
        <v>110</v>
      </c>
      <c r="W80" s="13" t="str">
        <v>13152333</v>
      </c>
    </row>
  </sheetData>
  <sheetProtection algorithmName="SHA-512" hashValue="+AhcW0MRNa7aACeXBSxtQ+zvCTd3cVaUDFEvJv9OiaD4uqtDRzi/TCxQWAyJTisZKBq6OUJ0X+L853bBEsb5aw==" saltValue="k61BN55TWt6v7HSzNdzYtg==" spinCount="100000" sheet="1" objects="1" scenarios="1" autoFilter="0"/>
  <autoFilter ref="A13:A79" xr:uid="{00000000-0009-0000-0000-000009000000}"/>
  <mergeCells count="143">
    <mergeCell ref="I69:J69"/>
    <mergeCell ref="I70:J70"/>
    <mergeCell ref="I68:J68"/>
    <mergeCell ref="C31:D31"/>
    <mergeCell ref="C32:D32"/>
    <mergeCell ref="C30:D30"/>
    <mergeCell ref="C33:D33"/>
    <mergeCell ref="C50:D50"/>
    <mergeCell ref="C51:D51"/>
    <mergeCell ref="D70:D71"/>
    <mergeCell ref="C62:D62"/>
    <mergeCell ref="C63:D63"/>
    <mergeCell ref="C64:D64"/>
    <mergeCell ref="C56:D56"/>
    <mergeCell ref="C57:D57"/>
    <mergeCell ref="C58:D58"/>
    <mergeCell ref="C59:D59"/>
    <mergeCell ref="C60:D60"/>
    <mergeCell ref="C61:D61"/>
    <mergeCell ref="K69:L69"/>
    <mergeCell ref="M69:N69"/>
    <mergeCell ref="O69:P69"/>
    <mergeCell ref="W69:X69"/>
    <mergeCell ref="M71:N71"/>
    <mergeCell ref="AA71:AB71"/>
    <mergeCell ref="S71:T71"/>
    <mergeCell ref="O70:P70"/>
    <mergeCell ref="K68:L68"/>
    <mergeCell ref="K70:L70"/>
    <mergeCell ref="AA70:AB70"/>
    <mergeCell ref="M70:N70"/>
    <mergeCell ref="Y70:Z70"/>
    <mergeCell ref="W70:X70"/>
    <mergeCell ref="U70:V70"/>
    <mergeCell ref="Q70:R70"/>
    <mergeCell ref="S70:T70"/>
    <mergeCell ref="M68:N68"/>
    <mergeCell ref="AE71:AF71"/>
    <mergeCell ref="AE73:AF73"/>
    <mergeCell ref="Q73:R73"/>
    <mergeCell ref="Y73:Z73"/>
    <mergeCell ref="AA73:AB73"/>
    <mergeCell ref="O71:P71"/>
    <mergeCell ref="Q71:R71"/>
    <mergeCell ref="AE72:AF72"/>
    <mergeCell ref="Q72:R72"/>
    <mergeCell ref="W71:X71"/>
    <mergeCell ref="S73:T73"/>
    <mergeCell ref="Y71:Z71"/>
    <mergeCell ref="U71:V71"/>
    <mergeCell ref="W73:X73"/>
    <mergeCell ref="W72:X72"/>
    <mergeCell ref="U72:V72"/>
    <mergeCell ref="Y72:Z72"/>
    <mergeCell ref="U73:V73"/>
    <mergeCell ref="AC73:AD73"/>
    <mergeCell ref="AC71:AD71"/>
    <mergeCell ref="AC72:AD72"/>
    <mergeCell ref="AA72:AB72"/>
    <mergeCell ref="K73:L73"/>
    <mergeCell ref="K72:L72"/>
    <mergeCell ref="I72:J72"/>
    <mergeCell ref="K71:L71"/>
    <mergeCell ref="I71:J71"/>
    <mergeCell ref="O73:P73"/>
    <mergeCell ref="S72:T72"/>
    <mergeCell ref="B78:D78"/>
    <mergeCell ref="B75:D75"/>
    <mergeCell ref="D72:D73"/>
    <mergeCell ref="M72:N72"/>
    <mergeCell ref="M73:N73"/>
    <mergeCell ref="I73:J73"/>
    <mergeCell ref="O72:P72"/>
    <mergeCell ref="AC70:AD70"/>
    <mergeCell ref="AE70:AF70"/>
    <mergeCell ref="AA68:AB68"/>
    <mergeCell ref="Y68:Z68"/>
    <mergeCell ref="AE69:AF69"/>
    <mergeCell ref="AC69:AD69"/>
    <mergeCell ref="AA69:AB69"/>
    <mergeCell ref="U69:V69"/>
    <mergeCell ref="Q69:R69"/>
    <mergeCell ref="S69:T69"/>
    <mergeCell ref="U68:V68"/>
    <mergeCell ref="AE68:AF68"/>
    <mergeCell ref="AC68:AD68"/>
    <mergeCell ref="W68:X68"/>
    <mergeCell ref="Y69:Z69"/>
    <mergeCell ref="Q68:R68"/>
    <mergeCell ref="S68:T68"/>
    <mergeCell ref="C24:D24"/>
    <mergeCell ref="C34:D34"/>
    <mergeCell ref="I67:AF67"/>
    <mergeCell ref="B12:B13"/>
    <mergeCell ref="O68:P68"/>
    <mergeCell ref="C15:D15"/>
    <mergeCell ref="C39:D39"/>
    <mergeCell ref="C41:D41"/>
    <mergeCell ref="C42:D42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52:D52"/>
    <mergeCell ref="C53:D53"/>
    <mergeCell ref="C54:D54"/>
    <mergeCell ref="C55:D55"/>
    <mergeCell ref="C25:D25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6:D26"/>
    <mergeCell ref="C27:D27"/>
    <mergeCell ref="C28:D28"/>
    <mergeCell ref="C29:D29"/>
    <mergeCell ref="C35:D35"/>
    <mergeCell ref="C49:D49"/>
    <mergeCell ref="C44:D44"/>
    <mergeCell ref="C45:D45"/>
    <mergeCell ref="C46:D46"/>
    <mergeCell ref="C47:D47"/>
    <mergeCell ref="C48:D48"/>
    <mergeCell ref="C38:D38"/>
    <mergeCell ref="C40:D40"/>
    <mergeCell ref="C43:D43"/>
  </mergeCells>
  <phoneticPr fontId="38" type="noConversion"/>
  <conditionalFormatting sqref="F1:F2">
    <cfRule type="expression" dxfId="284" priority="439" stopIfTrue="1">
      <formula>IF(OR(ACOMPANHAMENTO="BM",F$12&gt;CÁLCULO.NúmeroDeFrentes),TRUE,PLE.ValorDoEvento=0)</formula>
    </cfRule>
    <cfRule type="cellIs" dxfId="283" priority="440" stopIfTrue="1" operator="equal">
      <formula>$J$9</formula>
    </cfRule>
  </conditionalFormatting>
  <conditionalFormatting sqref="I70:AF70">
    <cfRule type="expression" dxfId="282" priority="441" stopIfTrue="1">
      <formula>I69=$J$9</formula>
    </cfRule>
  </conditionalFormatting>
  <conditionalFormatting sqref="I71:AF71">
    <cfRule type="expression" dxfId="281" priority="442" stopIfTrue="1">
      <formula>I69=$J$9</formula>
    </cfRule>
  </conditionalFormatting>
  <conditionalFormatting sqref="I72:AF72">
    <cfRule type="expression" dxfId="280" priority="443" stopIfTrue="1">
      <formula>I69=$J$9</formula>
    </cfRule>
  </conditionalFormatting>
  <conditionalFormatting sqref="I73:AF73">
    <cfRule type="expression" dxfId="279" priority="444" stopIfTrue="1">
      <formula>I69=$J$9</formula>
    </cfRule>
  </conditionalFormatting>
  <conditionalFormatting sqref="I69:J69">
    <cfRule type="cellIs" dxfId="278" priority="438" stopIfTrue="1" operator="notEqual">
      <formula>1</formula>
    </cfRule>
  </conditionalFormatting>
  <conditionalFormatting sqref="H1:AF1">
    <cfRule type="expression" dxfId="277" priority="456" stopIfTrue="1">
      <formula>IF(OR(ACOMPANHAMENTO="BM",TIPOORCAMENTO="Proposto",H$12&gt;CÁLCULO.NúmeroDeFrentes),TRUE,PLE.ValorDoEvento=0)</formula>
    </cfRule>
    <cfRule type="cellIs" dxfId="276" priority="457" stopIfTrue="1" operator="equal">
      <formula>$J$9</formula>
    </cfRule>
  </conditionalFormatting>
  <conditionalFormatting sqref="AE6:AE7">
    <cfRule type="expression" dxfId="275" priority="445" stopIfTrue="1">
      <formula>TIPOORCAMENTO&lt;&gt;"Licitado"</formula>
    </cfRule>
  </conditionalFormatting>
  <conditionalFormatting sqref="N9:T9">
    <cfRule type="expression" dxfId="274" priority="446" stopIfTrue="1">
      <formula>COLUMN(N9)&gt;COLUMN($AF$12)</formula>
    </cfRule>
    <cfRule type="expression" dxfId="273" priority="447" stopIfTrue="1">
      <formula>$N$9="DIGITE A DATA DA MEDIÇÃO"</formula>
    </cfRule>
  </conditionalFormatting>
  <conditionalFormatting sqref="I9:M9 U9:AF9">
    <cfRule type="expression" dxfId="272" priority="448" stopIfTrue="1">
      <formula>COLUMN(I9)&gt;COLUMN($AF$12)</formula>
    </cfRule>
  </conditionalFormatting>
  <conditionalFormatting sqref="F16:F24">
    <cfRule type="expression" dxfId="271" priority="21" stopIfTrue="1">
      <formula>IF(OR(ACOMPANHAMENTO="BM",F$12&gt;CÁLCULO.NúmeroDeFrentes),TRUE,PLE.ValorDoEvento=0)</formula>
    </cfRule>
    <cfRule type="cellIs" dxfId="270" priority="22" stopIfTrue="1" operator="equal">
      <formula>$J$9</formula>
    </cfRule>
  </conditionalFormatting>
  <conditionalFormatting sqref="H16:AF24">
    <cfRule type="expression" dxfId="269" priority="23" stopIfTrue="1">
      <formula>IF(OR(ACOMPANHAMENTO="BM",TIPOORCAMENTO="Proposto",H$12&gt;CÁLCULO.NúmeroDeFrentes),TRUE,PLE.ValorDoEvento=0)</formula>
    </cfRule>
    <cfRule type="cellIs" dxfId="268" priority="24" stopIfTrue="1" operator="equal">
      <formula>$J$9</formula>
    </cfRule>
  </conditionalFormatting>
  <conditionalFormatting sqref="F25:F33">
    <cfRule type="expression" dxfId="267" priority="17" stopIfTrue="1">
      <formula>IF(OR(ACOMPANHAMENTO="BM",F$12&gt;CÁLCULO.NúmeroDeFrentes),TRUE,PLE.ValorDoEvento=0)</formula>
    </cfRule>
    <cfRule type="cellIs" dxfId="266" priority="18" stopIfTrue="1" operator="equal">
      <formula>$J$9</formula>
    </cfRule>
  </conditionalFormatting>
  <conditionalFormatting sqref="H25:AF33">
    <cfRule type="expression" dxfId="265" priority="19" stopIfTrue="1">
      <formula>IF(OR(ACOMPANHAMENTO="BM",TIPOORCAMENTO="Proposto",H$12&gt;CÁLCULO.NúmeroDeFrentes),TRUE,PLE.ValorDoEvento=0)</formula>
    </cfRule>
    <cfRule type="cellIs" dxfId="264" priority="20" stopIfTrue="1" operator="equal">
      <formula>$J$9</formula>
    </cfRule>
  </conditionalFormatting>
  <conditionalFormatting sqref="F34:F42">
    <cfRule type="expression" dxfId="263" priority="13" stopIfTrue="1">
      <formula>IF(OR(ACOMPANHAMENTO="BM",F$12&gt;CÁLCULO.NúmeroDeFrentes),TRUE,PLE.ValorDoEvento=0)</formula>
    </cfRule>
    <cfRule type="cellIs" dxfId="262" priority="14" stopIfTrue="1" operator="equal">
      <formula>$J$9</formula>
    </cfRule>
  </conditionalFormatting>
  <conditionalFormatting sqref="H34:AF42">
    <cfRule type="expression" dxfId="261" priority="15" stopIfTrue="1">
      <formula>IF(OR(ACOMPANHAMENTO="BM",TIPOORCAMENTO="Proposto",H$12&gt;CÁLCULO.NúmeroDeFrentes),TRUE,PLE.ValorDoEvento=0)</formula>
    </cfRule>
    <cfRule type="cellIs" dxfId="260" priority="16" stopIfTrue="1" operator="equal">
      <formula>$J$9</formula>
    </cfRule>
  </conditionalFormatting>
  <conditionalFormatting sqref="F43:F51">
    <cfRule type="expression" dxfId="259" priority="9" stopIfTrue="1">
      <formula>IF(OR(ACOMPANHAMENTO="BM",F$12&gt;CÁLCULO.NúmeroDeFrentes),TRUE,PLE.ValorDoEvento=0)</formula>
    </cfRule>
    <cfRule type="cellIs" dxfId="258" priority="10" stopIfTrue="1" operator="equal">
      <formula>$J$9</formula>
    </cfRule>
  </conditionalFormatting>
  <conditionalFormatting sqref="H43:AF51">
    <cfRule type="expression" dxfId="257" priority="11" stopIfTrue="1">
      <formula>IF(OR(ACOMPANHAMENTO="BM",TIPOORCAMENTO="Proposto",H$12&gt;CÁLCULO.NúmeroDeFrentes),TRUE,PLE.ValorDoEvento=0)</formula>
    </cfRule>
    <cfRule type="cellIs" dxfId="256" priority="12" stopIfTrue="1" operator="equal">
      <formula>$J$9</formula>
    </cfRule>
  </conditionalFormatting>
  <conditionalFormatting sqref="F52:F60">
    <cfRule type="expression" dxfId="255" priority="5" stopIfTrue="1">
      <formula>IF(OR(ACOMPANHAMENTO="BM",F$12&gt;CÁLCULO.NúmeroDeFrentes),TRUE,PLE.ValorDoEvento=0)</formula>
    </cfRule>
    <cfRule type="cellIs" dxfId="254" priority="6" stopIfTrue="1" operator="equal">
      <formula>$J$9</formula>
    </cfRule>
  </conditionalFormatting>
  <conditionalFormatting sqref="H52:AF60">
    <cfRule type="expression" dxfId="253" priority="7" stopIfTrue="1">
      <formula>IF(OR(ACOMPANHAMENTO="BM",TIPOORCAMENTO="Proposto",H$12&gt;CÁLCULO.NúmeroDeFrentes),TRUE,PLE.ValorDoEvento=0)</formula>
    </cfRule>
    <cfRule type="cellIs" dxfId="252" priority="8" stopIfTrue="1" operator="equal">
      <formula>$J$9</formula>
    </cfRule>
  </conditionalFormatting>
  <conditionalFormatting sqref="F61:F64">
    <cfRule type="expression" dxfId="251" priority="1" stopIfTrue="1">
      <formula>IF(OR(ACOMPANHAMENTO="BM",F$12&gt;CÁLCULO.NúmeroDeFrentes),TRUE,PLE.ValorDoEvento=0)</formula>
    </cfRule>
    <cfRule type="cellIs" dxfId="250" priority="2" stopIfTrue="1" operator="equal">
      <formula>$J$9</formula>
    </cfRule>
  </conditionalFormatting>
  <conditionalFormatting sqref="H61:AF64">
    <cfRule type="expression" dxfId="249" priority="3" stopIfTrue="1">
      <formula>IF(OR(ACOMPANHAMENTO="BM",TIPOORCAMENTO="Proposto",H$12&gt;CÁLCULO.NúmeroDeFrentes),TRUE,PLE.ValorDoEvento=0)</formula>
    </cfRule>
    <cfRule type="cellIs" dxfId="248" priority="4" stopIfTrue="1" operator="equal">
      <formula>$J$9</formula>
    </cfRule>
  </conditionalFormatting>
  <dataValidations count="3">
    <dataValidation type="whole" operator="greaterThan" allowBlank="1" showErrorMessage="1" sqref="F1:F4 I3:AC4 J9:K9 F16:F64" xr:uid="{00000000-0002-0000-0900-000000000000}">
      <formula1>0</formula1>
      <formula2>0</formula2>
    </dataValidation>
    <dataValidation allowBlank="1" showInputMessage="1" showErrorMessage="1" prompt="Digite a data de medição abaixo dos eventos." sqref="N9:T9" xr:uid="{00000000-0002-0000-0900-000001000000}">
      <formula1>0</formula1>
      <formula2>0</formula2>
    </dataValidation>
    <dataValidation type="whole" operator="equal" allowBlank="1" showErrorMessage="1" errorTitle="Errp de entrada" error="Preencha somente com o número da medição atual." sqref="H1:AF1 H16:AF64" xr:uid="{00000000-0002-0000-0900-000002000000}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7" filterMode="1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 activeCell="G26" sqref="G26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13" t="s">
        <v>303</v>
      </c>
      <c r="I1" s="8"/>
      <c r="J1" s="8"/>
    </row>
    <row r="2" spans="1:31" x14ac:dyDescent="0.2">
      <c r="Z2" t="s">
        <v>304</v>
      </c>
      <c r="AA2" s="90" t="s">
        <v>305</v>
      </c>
      <c r="AB2" s="78"/>
    </row>
    <row r="3" spans="1:31" x14ac:dyDescent="0.2">
      <c r="D3" s="583" t="s">
        <v>146</v>
      </c>
      <c r="E3" s="583"/>
      <c r="F3" s="89" t="s">
        <v>443</v>
      </c>
      <c r="G3" s="583" t="s">
        <v>147</v>
      </c>
      <c r="H3" s="583"/>
      <c r="I3" s="583"/>
      <c r="J3" s="668" t="s">
        <v>306</v>
      </c>
      <c r="K3" s="668"/>
      <c r="L3" s="668"/>
      <c r="M3" s="669" t="s">
        <v>307</v>
      </c>
      <c r="N3" s="669"/>
      <c r="O3" s="669"/>
      <c r="Z3" s="104">
        <f ca="1">MAX(Z7:AB7)</f>
        <v>1</v>
      </c>
      <c r="AA3" s="314">
        <f ca="1">IF(OR($O$24=ORÇAMENTO.SumINVMANUAL+QCI.SumINVMANUAL,$O$24=0),0,MIN(MAX(0,($Z$3*$O$24-ORÇAMENTO.SumCPMANUAL-QCI.SumCPMANUAL)/($O$24-ORÇAMENTO.SumINVMANUAL-QCI.SumINVMANUAL)),1))</f>
        <v>1</v>
      </c>
      <c r="AB3" s="94"/>
    </row>
    <row r="4" spans="1:31" x14ac:dyDescent="0.2">
      <c r="D4" s="580">
        <f>Import.CR</f>
        <v>0</v>
      </c>
      <c r="E4" s="580"/>
      <c r="F4" s="57">
        <f>Import.TransfereGOV</f>
        <v>0</v>
      </c>
      <c r="G4" s="580" t="str">
        <f>Import.Proponente</f>
        <v>MUNICÍPIO DE RONDINHA</v>
      </c>
      <c r="H4" s="580"/>
      <c r="I4" s="580"/>
      <c r="J4" s="670" t="str">
        <f>Import.Município</f>
        <v>RONDINHA - RS</v>
      </c>
      <c r="K4" s="670"/>
      <c r="L4" s="670"/>
      <c r="M4" s="669"/>
      <c r="N4" s="669"/>
      <c r="O4" s="669"/>
      <c r="R4" s="131"/>
      <c r="Z4" s="94"/>
      <c r="AA4" s="94"/>
      <c r="AB4" s="94"/>
    </row>
    <row r="5" spans="1:31" ht="5.0999999999999996" customHeight="1" x14ac:dyDescent="0.2">
      <c r="M5" s="306"/>
      <c r="O5" s="4"/>
    </row>
    <row r="6" spans="1:31" x14ac:dyDescent="0.2">
      <c r="D6" s="583" t="s">
        <v>202</v>
      </c>
      <c r="E6" s="583"/>
      <c r="F6" s="583"/>
      <c r="G6" s="583"/>
      <c r="H6" s="583"/>
      <c r="I6" s="583"/>
      <c r="J6" s="583"/>
      <c r="K6" s="583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">
      <c r="C7" s="609" t="s">
        <v>209</v>
      </c>
      <c r="D7" s="580" t="str">
        <f>Import.Apelido</f>
        <v>PRAÇA PÚBLICA - BAIRRO N. S. APARECIDA</v>
      </c>
      <c r="E7" s="580"/>
      <c r="F7" s="580"/>
      <c r="G7" s="580"/>
      <c r="H7" s="580"/>
      <c r="I7" s="580"/>
      <c r="J7" s="580"/>
      <c r="K7" s="580"/>
      <c r="L7" s="316" t="str">
        <f>import.recurso</f>
        <v>OGU</v>
      </c>
      <c r="M7" s="317">
        <f>Import.Repasse</f>
        <v>0</v>
      </c>
      <c r="N7" s="317">
        <f>Import.Contrapartida</f>
        <v>291001.64</v>
      </c>
      <c r="O7" s="317">
        <f>M7+N7</f>
        <v>291001.64</v>
      </c>
      <c r="Z7" s="104">
        <f>ROUND(Import.CPMinPerc,4)</f>
        <v>0</v>
      </c>
      <c r="AA7" s="104">
        <f ca="1">IF($O$24=0,0,Import.CPMinAbsoluta/$O$24)</f>
        <v>0</v>
      </c>
      <c r="AB7" s="104">
        <f ca="1">IF($O$24=0,0,($O$24-$AB$24-Import.Repasse)/($O$24))</f>
        <v>1</v>
      </c>
    </row>
    <row r="8" spans="1:31" x14ac:dyDescent="0.2">
      <c r="C8" s="609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">
      <c r="C9" s="609"/>
      <c r="G9" s="673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$290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673"/>
      <c r="I9" s="673"/>
      <c r="J9" s="673"/>
      <c r="K9" s="674" t="s">
        <v>313</v>
      </c>
      <c r="L9" s="319" t="str">
        <f>$L$13</f>
        <v>Repasse (R$)</v>
      </c>
      <c r="M9" s="319" t="s">
        <v>238</v>
      </c>
      <c r="AD9" s="671"/>
      <c r="AE9" s="671"/>
    </row>
    <row r="10" spans="1:31" ht="12.75" customHeight="1" x14ac:dyDescent="0.2">
      <c r="A10" s="675" t="s">
        <v>314</v>
      </c>
      <c r="C10" s="609"/>
      <c r="G10" s="673"/>
      <c r="H10" s="673"/>
      <c r="I10" s="673"/>
      <c r="J10" s="673"/>
      <c r="K10" s="674"/>
      <c r="L10" s="320">
        <f ca="1">Import.Repasse-L24</f>
        <v>0</v>
      </c>
      <c r="M10" s="321">
        <f ca="1">Import.Contrapartida-M24</f>
        <v>0</v>
      </c>
      <c r="Z10" s="622" t="s">
        <v>216</v>
      </c>
      <c r="AA10" s="622"/>
      <c r="AB10" s="622"/>
      <c r="AD10" s="671" t="s">
        <v>315</v>
      </c>
      <c r="AE10" s="671"/>
    </row>
    <row r="11" spans="1:31" ht="20.100000000000001" customHeight="1" x14ac:dyDescent="0.2">
      <c r="A11" s="675"/>
      <c r="C11" s="609"/>
      <c r="Z11" s="112" t="s">
        <v>316</v>
      </c>
      <c r="AA11" s="112" t="s">
        <v>238</v>
      </c>
      <c r="AB11" s="113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IF(NOT(ISBLANK(QCI.DescManual)),IF(QCI.Divisao="Calculado","Manual","SemiAuto"),IF(ISERROR(MATCH($A12,ORÇAMENTO!$E$15:$E$290,0)),"Branco","Automático"))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IF(OR($B12="Manual",$B12="SemiAuto"),QCI.DescManual,IF($B12="Automático",INDEX(ORÇAMENTO!$R$15:$R$290,MATCH($A12,ORÇAMENTO!$E$15:$E$290,0)),""))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IF($B12="Branco",0,IF(OR($B12="Manual",$B12="SemiAuto"),QCI.InvManual,INDEX(ORÇAMENTO!X$15:X$290,MATCH($A12,ORÇAMENTO!$E$15:$E$290,0))))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IF($B12="Branco",0,IF($B12="Manual",QCI.CPManual,IF($B12="SemiAuto",ROUND(QCI!$AA$3*QCI.InvManual,2),INDEX(ORÇAMENTO!$AA$15:$AA$290,MATCH($A12,ORÇAMENTO!$E$15:$E$290,0)))))</f>
        <v>0</v>
      </c>
      <c r="AB12">
        <f ca="1">IF($B12="Branco",0,IF($B12="Manual",QCI.OutrosManual,IF($B12="SemiAuto",0,INDEX(ORÇAMENTO!$AB$15:$AB$290,MATCH($A12,ORÇAMENTO!$E$15:$E$290,0)))))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ht="38.25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IF(NOT(ISBLANK(QCI.DescManual)),IF(QCI.Divisao="Calculado","Manual","SemiAuto"),IF(ISERROR(MATCH($A14,ORÇAMENTO!$E$15:$E$290,0)),"Branco","Automático"))</f>
        <v>Automático</v>
      </c>
      <c r="C14" t="str">
        <f t="shared" ref="C14:C22" ca="1" si="1">IF(O14&gt;0,"F","")</f>
        <v>F</v>
      </c>
      <c r="D14" s="322">
        <f t="shared" ref="D14:D22" si="2">ROW()-ROW($D$13)</f>
        <v>1</v>
      </c>
      <c r="E14" s="120" t="s">
        <v>9</v>
      </c>
      <c r="F14" s="120" t="s">
        <v>71</v>
      </c>
      <c r="G14" s="172" t="str">
        <f ca="1">IF(OR($B14="Manual",$B14="SemiAuto"),QCI.DescManual,IF($B14="Automático",INDEX(ORÇAMENTO!$R$15:$R$290,MATCH($A14,ORÇAMENTO!$E$15:$E$290,0)),""))</f>
        <v>PRAÇA PÚBLICA - BAIRRO N. S. APARECIDA</v>
      </c>
      <c r="H14" s="120" t="s">
        <v>613</v>
      </c>
      <c r="I14" s="557">
        <v>1426</v>
      </c>
      <c r="J14" s="323" t="str">
        <f ca="1">IF(AND(ISBLANK(E14),ISBLANK(F14)),"",VLOOKUP($F14,OFFSET(DADOS!$A$2,1,MATCH(QCI!$E14,DADOS!$2:$2,0)-1,100,50),2,FALSE))</f>
        <v>m²</v>
      </c>
      <c r="K14" s="556" t="str">
        <f ca="1">IF(OR($B14="Manual",$B14="SemiAuto"),QCI.LoteManual,IF($B14="Automático",IF(TIPOORCAMENTO="Licitado",Import.CTEF,"LOTE 1"),""))</f>
        <v>LOTE 1</v>
      </c>
      <c r="L14" s="324">
        <f t="shared" ref="L14:L22" ca="1" si="3">ROUND($O14,2)-ROUND($M14,2)-ROUND($N14,2)</f>
        <v>0</v>
      </c>
      <c r="M14" s="325">
        <f t="shared" ref="M14:M22" ca="1" si="4">ROUND($AA14,2)-ROUND($AE14,2)</f>
        <v>291001.64</v>
      </c>
      <c r="N14" s="326">
        <f t="shared" ref="N14:N22" ca="1" si="5">ROUND($AB14,2)</f>
        <v>0</v>
      </c>
      <c r="O14" s="327">
        <f ca="1">IF($B14="Branco",0,IF(OR($B14="Manual",$B14="SemiAuto"),QCI.InvManual,INDEX(ORÇAMENTO!X$15:X$290,MATCH($A14,ORÇAMENTO!$E$15:$E$290,0))))</f>
        <v>291001.64</v>
      </c>
      <c r="P14" s="532"/>
      <c r="R14" s="558"/>
      <c r="T14" s="559"/>
      <c r="U14" s="329"/>
      <c r="V14" s="560" t="s">
        <v>317</v>
      </c>
      <c r="W14" s="330">
        <f t="shared" ref="W14:W22" ca="1" si="6">$O14</f>
        <v>291001.64</v>
      </c>
      <c r="X14" s="331">
        <v>0</v>
      </c>
      <c r="Z14">
        <f t="shared" ref="Z14:Z22" ca="1" si="7">$O14-$AA14-$AB14</f>
        <v>0</v>
      </c>
      <c r="AA14">
        <f ca="1">IF($B14="Branco",0,IF($B14="Manual",QCI.CPManual,IF($B14="SemiAuto",ROUND(QCI!$AA$3*QCI.InvManual,2),INDEX(ORÇAMENTO!$AA$15:$AA$290,MATCH($A14,ORÇAMENTO!$E$15:$E$290,0)))))</f>
        <v>291001.64</v>
      </c>
      <c r="AB14">
        <f ca="1">IF($B14="Branco",0,IF($B14="Manual",QCI.OutrosManual,IF($B14="SemiAuto",0,INDEX(ORÇAMENTO!$AB$15:$AB$290,MATCH($A14,ORÇAMENTO!$E$15:$E$290,0)))))</f>
        <v>0</v>
      </c>
      <c r="AD14" s="332" t="b">
        <f ca="1">AND($AA$3&gt;0,$AA$3&lt;1,$O14&gt;0,OR($B14="Automático",$B14="SemiAuto"),OR(QCI!$Z$3=QCI!$Z$7,QCI!$Z$3=QCI!$AA$7,QCI!$Z$3=QCI!$AB$7))</f>
        <v>0</v>
      </c>
      <c r="AE14" s="332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hidden="1" x14ac:dyDescent="0.2">
      <c r="A15">
        <f t="shared" ca="1" si="0"/>
        <v>2</v>
      </c>
      <c r="B15" t="str">
        <f ca="1">IF(NOT(ISBLANK(QCI.DescManual)),IF(QCI.Divisao="Calculado","Manual","SemiAuto"),IF(ISERROR(MATCH($A15,ORÇAMENTO!$E$15:$E$290,0)),"Branco","Automático"))</f>
        <v>Branco</v>
      </c>
      <c r="C15" t="str">
        <f t="shared" ca="1" si="1"/>
        <v/>
      </c>
      <c r="D15" s="322">
        <f t="shared" si="2"/>
        <v>2</v>
      </c>
      <c r="E15" s="120"/>
      <c r="F15" s="120"/>
      <c r="G15" s="172" t="str">
        <f ca="1">IF(OR($B15="Manual",$B15="SemiAuto"),QCI.DescManual,IF($B15="Automático",INDEX(ORÇAMENTO!$R$15:$R$290,MATCH($A15,ORÇAMENTO!$E$15:$E$290,0)),""))</f>
        <v/>
      </c>
      <c r="H15" s="120"/>
      <c r="I15" s="557"/>
      <c r="J15" s="323" t="str">
        <f ca="1">IF(AND(ISBLANK(E15),ISBLANK(F15)),"",VLOOKUP($F15,OFFSET(DADOS!$A$2,1,MATCH(QCI!$E15,DADOS!$2:$2,0)-1,100,50),2,FALSE))</f>
        <v/>
      </c>
      <c r="K15" s="556" t="str">
        <f ca="1">IF(OR($B15="Manual",$B15="SemiAuto"),QCI.LoteManual,IF($B15="Automático",IF(TIPOORCAMENTO="Licitado",Import.CTEF,"LOTE 1"),""))</f>
        <v/>
      </c>
      <c r="L15" s="324">
        <f t="shared" ca="1" si="3"/>
        <v>0</v>
      </c>
      <c r="M15" s="325">
        <f t="shared" ca="1" si="4"/>
        <v>0</v>
      </c>
      <c r="N15" s="326">
        <f t="shared" ca="1" si="5"/>
        <v>0</v>
      </c>
      <c r="O15" s="327">
        <f ca="1">IF($B15="Branco",0,IF(OR($B15="Manual",$B15="SemiAuto"),QCI.InvManual,INDEX(ORÇAMENTO!X$15:X$290,MATCH($A15,ORÇAMENTO!$E$15:$E$290,0))))</f>
        <v>0</v>
      </c>
      <c r="P15" s="532"/>
      <c r="R15" s="558"/>
      <c r="T15" s="559"/>
      <c r="U15" s="329"/>
      <c r="V15" s="560" t="s">
        <v>317</v>
      </c>
      <c r="W15" s="330">
        <f t="shared" ca="1" si="6"/>
        <v>0</v>
      </c>
      <c r="X15" s="331">
        <v>0</v>
      </c>
      <c r="Z15">
        <f t="shared" ca="1" si="7"/>
        <v>0</v>
      </c>
      <c r="AA15">
        <f ca="1">IF($B15="Branco",0,IF($B15="Manual",QCI.CPManual,IF($B15="SemiAuto",ROUND(QCI!$AA$3*QCI.InvManual,2),INDEX(ORÇAMENTO!$AA$15:$AA$290,MATCH($A15,ORÇAMENTO!$E$15:$E$290,0)))))</f>
        <v>0</v>
      </c>
      <c r="AB15">
        <f ca="1">IF($B15="Branco",0,IF($B15="Manual",QCI.OutrosManual,IF($B15="SemiAuto",0,INDEX(ORÇAMENTO!$AB$15:$AB$290,MATCH($A15,ORÇAMENTO!$E$15:$E$290,0)))))</f>
        <v>0</v>
      </c>
      <c r="AD15" s="332" t="b">
        <f ca="1">AND($AA$3&gt;0,$AA$3&lt;1,$O15&gt;0,OR($B15="Automático",$B15="SemiAuto"),OR(QCI!$Z$3=QCI!$Z$7,QCI!$Z$3=QCI!$AA$7,QCI!$Z$3=QCI!$AB$7))</f>
        <v>0</v>
      </c>
      <c r="AE15" s="332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hidden="1" x14ac:dyDescent="0.2">
      <c r="A16">
        <f t="shared" ca="1" si="0"/>
        <v>3</v>
      </c>
      <c r="B16" t="str">
        <f ca="1">IF(NOT(ISBLANK(QCI.DescManual)),IF(QCI.Divisao="Calculado","Manual","SemiAuto"),IF(ISERROR(MATCH($A16,ORÇAMENTO!$E$15:$E$290,0)),"Branco","Automático"))</f>
        <v>Branco</v>
      </c>
      <c r="C16" t="str">
        <f t="shared" ca="1" si="1"/>
        <v/>
      </c>
      <c r="D16" s="322">
        <f t="shared" si="2"/>
        <v>3</v>
      </c>
      <c r="E16" s="120"/>
      <c r="F16" s="120"/>
      <c r="G16" s="172" t="str">
        <f ca="1">IF(OR($B16="Manual",$B16="SemiAuto"),QCI.DescManual,IF($B16="Automático",INDEX(ORÇAMENTO!$R$15:$R$290,MATCH($A16,ORÇAMENTO!$E$15:$E$290,0)),""))</f>
        <v/>
      </c>
      <c r="H16" s="120"/>
      <c r="I16" s="557"/>
      <c r="J16" s="323" t="str">
        <f ca="1">IF(AND(ISBLANK(E16),ISBLANK(F16)),"",VLOOKUP($F16,OFFSET(DADOS!$A$2,1,MATCH(QCI!$E16,DADOS!$2:$2,0)-1,100,50),2,FALSE))</f>
        <v/>
      </c>
      <c r="K16" s="556" t="str">
        <f ca="1">IF(OR($B16="Manual",$B16="SemiAuto"),QCI.LoteManual,IF($B16="Automático",IF(TIPOORCAMENTO="Licitado",Import.CTEF,"LOTE 1"),""))</f>
        <v/>
      </c>
      <c r="L16" s="324">
        <f t="shared" ca="1" si="3"/>
        <v>0</v>
      </c>
      <c r="M16" s="325">
        <f t="shared" ca="1" si="4"/>
        <v>0</v>
      </c>
      <c r="N16" s="326">
        <f t="shared" ca="1" si="5"/>
        <v>0</v>
      </c>
      <c r="O16" s="327">
        <f ca="1">IF($B16="Branco",0,IF(OR($B16="Manual",$B16="SemiAuto"),QCI.InvManual,INDEX(ORÇAMENTO!X$15:X$290,MATCH($A16,ORÇAMENTO!$E$15:$E$290,0))))</f>
        <v>0</v>
      </c>
      <c r="P16" s="532"/>
      <c r="R16" s="558"/>
      <c r="T16" s="559"/>
      <c r="U16" s="329"/>
      <c r="V16" s="560" t="s">
        <v>317</v>
      </c>
      <c r="W16" s="330">
        <f t="shared" ca="1" si="6"/>
        <v>0</v>
      </c>
      <c r="X16" s="331">
        <v>0</v>
      </c>
      <c r="Z16">
        <f t="shared" ca="1" si="7"/>
        <v>0</v>
      </c>
      <c r="AA16">
        <f ca="1">IF($B16="Branco",0,IF($B16="Manual",QCI.CPManual,IF($B16="SemiAuto",ROUND(QCI!$AA$3*QCI.InvManual,2),INDEX(ORÇAMENTO!$AA$15:$AA$290,MATCH($A16,ORÇAMENTO!$E$15:$E$290,0)))))</f>
        <v>0</v>
      </c>
      <c r="AB16">
        <f ca="1">IF($B16="Branco",0,IF($B16="Manual",QCI.OutrosManual,IF($B16="SemiAuto",0,INDEX(ORÇAMENTO!$AB$15:$AB$290,MATCH($A16,ORÇAMENTO!$E$15:$E$290,0)))))</f>
        <v>0</v>
      </c>
      <c r="AD16" s="332" t="b">
        <f ca="1">AND($AA$3&gt;0,$AA$3&lt;1,$O16&gt;0,OR($B16="Automático",$B16="SemiAuto"),OR(QCI!$Z$3=QCI!$Z$7,QCI!$Z$3=QCI!$AA$7,QCI!$Z$3=QCI!$AB$7))</f>
        <v>0</v>
      </c>
      <c r="AE16" s="332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hidden="1" x14ac:dyDescent="0.2">
      <c r="A17">
        <f t="shared" ca="1" si="0"/>
        <v>4</v>
      </c>
      <c r="B17" t="str">
        <f ca="1">IF(NOT(ISBLANK(QCI.DescManual)),IF(QCI.Divisao="Calculado","Manual","SemiAuto"),IF(ISERROR(MATCH($A17,ORÇAMENTO!$E$15:$E$290,0)),"Branco","Automático"))</f>
        <v>Branco</v>
      </c>
      <c r="C17" t="str">
        <f t="shared" ca="1" si="1"/>
        <v/>
      </c>
      <c r="D17" s="322">
        <f t="shared" si="2"/>
        <v>4</v>
      </c>
      <c r="E17" s="120"/>
      <c r="F17" s="120"/>
      <c r="G17" s="172" t="str">
        <f ca="1">IF(OR($B17="Manual",$B17="SemiAuto"),QCI.DescManual,IF($B17="Automático",INDEX(ORÇAMENTO!$R$15:$R$290,MATCH($A17,ORÇAMENTO!$E$15:$E$290,0)),""))</f>
        <v/>
      </c>
      <c r="H17" s="120"/>
      <c r="I17" s="557"/>
      <c r="J17" s="323" t="str">
        <f ca="1">IF(AND(ISBLANK(E17),ISBLANK(F17)),"",VLOOKUP($F17,OFFSET(DADOS!$A$2,1,MATCH(QCI!$E17,DADOS!$2:$2,0)-1,100,50),2,FALSE))</f>
        <v/>
      </c>
      <c r="K17" s="556" t="str">
        <f ca="1">IF(OR($B17="Manual",$B17="SemiAuto"),QCI.LoteManual,IF($B17="Automático",IF(TIPOORCAMENTO="Licitado",Import.CTEF,"LOTE 1"),""))</f>
        <v/>
      </c>
      <c r="L17" s="324">
        <f t="shared" ca="1" si="3"/>
        <v>0</v>
      </c>
      <c r="M17" s="325">
        <f t="shared" ca="1" si="4"/>
        <v>0</v>
      </c>
      <c r="N17" s="326">
        <f t="shared" ca="1" si="5"/>
        <v>0</v>
      </c>
      <c r="O17" s="327">
        <f ca="1">IF($B17="Branco",0,IF(OR($B17="Manual",$B17="SemiAuto"),QCI.InvManual,INDEX(ORÇAMENTO!X$15:X$290,MATCH($A17,ORÇAMENTO!$E$15:$E$290,0))))</f>
        <v>0</v>
      </c>
      <c r="P17" s="532"/>
      <c r="R17" s="558"/>
      <c r="T17" s="559"/>
      <c r="U17" s="329"/>
      <c r="V17" s="560" t="s">
        <v>317</v>
      </c>
      <c r="W17" s="330">
        <f t="shared" ca="1" si="6"/>
        <v>0</v>
      </c>
      <c r="X17" s="331">
        <v>0</v>
      </c>
      <c r="Z17">
        <f t="shared" ca="1" si="7"/>
        <v>0</v>
      </c>
      <c r="AA17">
        <f ca="1">IF($B17="Branco",0,IF($B17="Manual",QCI.CPManual,IF($B17="SemiAuto",ROUND(QCI!$AA$3*QCI.InvManual,2),INDEX(ORÇAMENTO!$AA$15:$AA$290,MATCH($A17,ORÇAMENTO!$E$15:$E$290,0)))))</f>
        <v>0</v>
      </c>
      <c r="AB17">
        <f ca="1">IF($B17="Branco",0,IF($B17="Manual",QCI.OutrosManual,IF($B17="SemiAuto",0,INDEX(ORÇAMENTO!$AB$15:$AB$290,MATCH($A17,ORÇAMENTO!$E$15:$E$290,0)))))</f>
        <v>0</v>
      </c>
      <c r="AD17" s="332" t="b">
        <f ca="1">AND($AA$3&gt;0,$AA$3&lt;1,$O17&gt;0,OR($B17="Automático",$B17="SemiAuto"),OR(QCI!$Z$3=QCI!$Z$7,QCI!$Z$3=QCI!$AA$7,QCI!$Z$3=QCI!$AB$7))</f>
        <v>0</v>
      </c>
      <c r="AE17" s="332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hidden="1" x14ac:dyDescent="0.2">
      <c r="A18">
        <f t="shared" ca="1" si="0"/>
        <v>5</v>
      </c>
      <c r="B18" t="str">
        <f ca="1">IF(NOT(ISBLANK(QCI.DescManual)),IF(QCI.Divisao="Calculado","Manual","SemiAuto"),IF(ISERROR(MATCH($A18,ORÇAMENTO!$E$15:$E$290,0)),"Branco","Automático"))</f>
        <v>Branco</v>
      </c>
      <c r="C18" t="str">
        <f t="shared" ca="1" si="1"/>
        <v/>
      </c>
      <c r="D18" s="322">
        <f t="shared" si="2"/>
        <v>5</v>
      </c>
      <c r="E18" s="120"/>
      <c r="F18" s="120"/>
      <c r="G18" s="172" t="str">
        <f ca="1">IF(OR($B18="Manual",$B18="SemiAuto"),QCI.DescManual,IF($B18="Automático",INDEX(ORÇAMENTO!$R$15:$R$290,MATCH($A18,ORÇAMENTO!$E$15:$E$290,0)),""))</f>
        <v/>
      </c>
      <c r="H18" s="120"/>
      <c r="I18" s="557"/>
      <c r="J18" s="323" t="str">
        <f ca="1">IF(AND(ISBLANK(E18),ISBLANK(F18)),"",VLOOKUP($F18,OFFSET(DADOS!$A$2,1,MATCH(QCI!$E18,DADOS!$2:$2,0)-1,100,50),2,FALSE))</f>
        <v/>
      </c>
      <c r="K18" s="556" t="str">
        <f ca="1">IF(OR($B18="Manual",$B18="SemiAuto"),QCI.LoteManual,IF($B18="Automático",IF(TIPOORCAMENTO="Licitado",Import.CTEF,"LOTE 1"),""))</f>
        <v/>
      </c>
      <c r="L18" s="324">
        <f t="shared" ca="1" si="3"/>
        <v>0</v>
      </c>
      <c r="M18" s="325">
        <f t="shared" ca="1" si="4"/>
        <v>0</v>
      </c>
      <c r="N18" s="326">
        <f t="shared" ca="1" si="5"/>
        <v>0</v>
      </c>
      <c r="O18" s="327">
        <f ca="1">IF($B18="Branco",0,IF(OR($B18="Manual",$B18="SemiAuto"),QCI.InvManual,INDEX(ORÇAMENTO!X$15:X$290,MATCH($A18,ORÇAMENTO!$E$15:$E$290,0))))</f>
        <v>0</v>
      </c>
      <c r="P18" s="532"/>
      <c r="R18" s="558"/>
      <c r="T18" s="559"/>
      <c r="U18" s="329"/>
      <c r="V18" s="560" t="s">
        <v>317</v>
      </c>
      <c r="W18" s="330">
        <f t="shared" ca="1" si="6"/>
        <v>0</v>
      </c>
      <c r="X18" s="331">
        <v>0</v>
      </c>
      <c r="Z18">
        <f t="shared" ca="1" si="7"/>
        <v>0</v>
      </c>
      <c r="AA18">
        <f ca="1">IF($B18="Branco",0,IF($B18="Manual",QCI.CPManual,IF($B18="SemiAuto",ROUND(QCI!$AA$3*QCI.InvManual,2),INDEX(ORÇAMENTO!$AA$15:$AA$290,MATCH($A18,ORÇAMENTO!$E$15:$E$290,0)))))</f>
        <v>0</v>
      </c>
      <c r="AB18">
        <f ca="1">IF($B18="Branco",0,IF($B18="Manual",QCI.OutrosManual,IF($B18="SemiAuto",0,INDEX(ORÇAMENTO!$AB$15:$AB$290,MATCH($A18,ORÇAMENTO!$E$15:$E$290,0)))))</f>
        <v>0</v>
      </c>
      <c r="AD18" s="332" t="b">
        <f ca="1">AND($AA$3&gt;0,$AA$3&lt;1,$O18&gt;0,OR($B18="Automático",$B18="SemiAuto"),OR(QCI!$Z$3=QCI!$Z$7,QCI!$Z$3=QCI!$AA$7,QCI!$Z$3=QCI!$AB$7))</f>
        <v>0</v>
      </c>
      <c r="AE18" s="332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hidden="1" x14ac:dyDescent="0.2">
      <c r="A19">
        <f t="shared" ca="1" si="0"/>
        <v>6</v>
      </c>
      <c r="B19" t="str">
        <f ca="1">IF(NOT(ISBLANK(QCI.DescManual)),IF(QCI.Divisao="Calculado","Manual","SemiAuto"),IF(ISERROR(MATCH($A19,ORÇAMENTO!$E$15:$E$290,0)),"Branco","Automático"))</f>
        <v>Branco</v>
      </c>
      <c r="C19" t="str">
        <f t="shared" ca="1" si="1"/>
        <v/>
      </c>
      <c r="D19" s="322">
        <f t="shared" si="2"/>
        <v>6</v>
      </c>
      <c r="E19" s="120"/>
      <c r="F19" s="120"/>
      <c r="G19" s="172" t="str">
        <f ca="1">IF(OR($B19="Manual",$B19="SemiAuto"),QCI.DescManual,IF($B19="Automático",INDEX(ORÇAMENTO!$R$15:$R$290,MATCH($A19,ORÇAMENTO!$E$15:$E$290,0)),""))</f>
        <v/>
      </c>
      <c r="H19" s="120"/>
      <c r="I19" s="557"/>
      <c r="J19" s="323" t="str">
        <f ca="1">IF(AND(ISBLANK(E19),ISBLANK(F19)),"",VLOOKUP($F19,OFFSET(DADOS!$A$2,1,MATCH(QCI!$E19,DADOS!$2:$2,0)-1,100,50),2,FALSE))</f>
        <v/>
      </c>
      <c r="K19" s="556" t="str">
        <f ca="1">IF(OR($B19="Manual",$B19="SemiAuto"),QCI.LoteManual,IF($B19="Automático",IF(TIPOORCAMENTO="Licitado",Import.CTEF,"LOTE 1"),""))</f>
        <v/>
      </c>
      <c r="L19" s="324">
        <f t="shared" ca="1" si="3"/>
        <v>0</v>
      </c>
      <c r="M19" s="325">
        <f t="shared" ca="1" si="4"/>
        <v>0</v>
      </c>
      <c r="N19" s="326">
        <f t="shared" ca="1" si="5"/>
        <v>0</v>
      </c>
      <c r="O19" s="327">
        <f ca="1">IF($B19="Branco",0,IF(OR($B19="Manual",$B19="SemiAuto"),QCI.InvManual,INDEX(ORÇAMENTO!X$15:X$290,MATCH($A19,ORÇAMENTO!$E$15:$E$290,0))))</f>
        <v>0</v>
      </c>
      <c r="P19" s="532"/>
      <c r="R19" s="558"/>
      <c r="T19" s="559"/>
      <c r="U19" s="329"/>
      <c r="V19" s="560" t="s">
        <v>317</v>
      </c>
      <c r="W19" s="330">
        <f t="shared" ca="1" si="6"/>
        <v>0</v>
      </c>
      <c r="X19" s="331">
        <v>0</v>
      </c>
      <c r="Z19">
        <f t="shared" ca="1" si="7"/>
        <v>0</v>
      </c>
      <c r="AA19">
        <f ca="1">IF($B19="Branco",0,IF($B19="Manual",QCI.CPManual,IF($B19="SemiAuto",ROUND(QCI!$AA$3*QCI.InvManual,2),INDEX(ORÇAMENTO!$AA$15:$AA$290,MATCH($A19,ORÇAMENTO!$E$15:$E$290,0)))))</f>
        <v>0</v>
      </c>
      <c r="AB19">
        <f ca="1">IF($B19="Branco",0,IF($B19="Manual",QCI.OutrosManual,IF($B19="SemiAuto",0,INDEX(ORÇAMENTO!$AB$15:$AB$290,MATCH($A19,ORÇAMENTO!$E$15:$E$290,0)))))</f>
        <v>0</v>
      </c>
      <c r="AD19" s="332" t="b">
        <f ca="1">AND($AA$3&gt;0,$AA$3&lt;1,$O19&gt;0,OR($B19="Automático",$B19="SemiAuto"),OR(QCI!$Z$3=QCI!$Z$7,QCI!$Z$3=QCI!$AA$7,QCI!$Z$3=QCI!$AB$7))</f>
        <v>0</v>
      </c>
      <c r="AE19" s="332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hidden="1" x14ac:dyDescent="0.2">
      <c r="A20">
        <f t="shared" ca="1" si="0"/>
        <v>7</v>
      </c>
      <c r="B20" t="str">
        <f ca="1">IF(NOT(ISBLANK(QCI.DescManual)),IF(QCI.Divisao="Calculado","Manual","SemiAuto"),IF(ISERROR(MATCH($A20,ORÇAMENTO!$E$15:$E$290,0)),"Branco","Automático"))</f>
        <v>Branco</v>
      </c>
      <c r="C20" t="str">
        <f t="shared" ca="1" si="1"/>
        <v/>
      </c>
      <c r="D20" s="322">
        <f t="shared" si="2"/>
        <v>7</v>
      </c>
      <c r="E20" s="120"/>
      <c r="F20" s="120"/>
      <c r="G20" s="172" t="str">
        <f ca="1">IF(OR($B20="Manual",$B20="SemiAuto"),QCI.DescManual,IF($B20="Automático",INDEX(ORÇAMENTO!$R$15:$R$290,MATCH($A20,ORÇAMENTO!$E$15:$E$290,0)),""))</f>
        <v/>
      </c>
      <c r="H20" s="120"/>
      <c r="I20" s="557"/>
      <c r="J20" s="323" t="str">
        <f ca="1">IF(AND(ISBLANK(E20),ISBLANK(F20)),"",VLOOKUP($F20,OFFSET(DADOS!$A$2,1,MATCH(QCI!$E20,DADOS!$2:$2,0)-1,100,50),2,FALSE))</f>
        <v/>
      </c>
      <c r="K20" s="556" t="str">
        <f ca="1">IF(OR($B20="Manual",$B20="SemiAuto"),QCI.LoteManual,IF($B20="Automático",IF(TIPOORCAMENTO="Licitado",Import.CTEF,"LOTE 1"),""))</f>
        <v/>
      </c>
      <c r="L20" s="324">
        <f t="shared" ca="1" si="3"/>
        <v>0</v>
      </c>
      <c r="M20" s="325">
        <f t="shared" ca="1" si="4"/>
        <v>0</v>
      </c>
      <c r="N20" s="326">
        <f t="shared" ca="1" si="5"/>
        <v>0</v>
      </c>
      <c r="O20" s="327">
        <f ca="1">IF($B20="Branco",0,IF(OR($B20="Manual",$B20="SemiAuto"),QCI.InvManual,INDEX(ORÇAMENTO!X$15:X$290,MATCH($A20,ORÇAMENTO!$E$15:$E$290,0))))</f>
        <v>0</v>
      </c>
      <c r="P20" s="532"/>
      <c r="R20" s="558"/>
      <c r="T20" s="559"/>
      <c r="U20" s="329"/>
      <c r="V20" s="560" t="s">
        <v>317</v>
      </c>
      <c r="W20" s="330">
        <f t="shared" ca="1" si="6"/>
        <v>0</v>
      </c>
      <c r="X20" s="331">
        <v>0</v>
      </c>
      <c r="Z20">
        <f t="shared" ca="1" si="7"/>
        <v>0</v>
      </c>
      <c r="AA20">
        <f ca="1">IF($B20="Branco",0,IF($B20="Manual",QCI.CPManual,IF($B20="SemiAuto",ROUND(QCI!$AA$3*QCI.InvManual,2),INDEX(ORÇAMENTO!$AA$15:$AA$290,MATCH($A20,ORÇAMENTO!$E$15:$E$290,0)))))</f>
        <v>0</v>
      </c>
      <c r="AB20">
        <f ca="1">IF($B20="Branco",0,IF($B20="Manual",QCI.OutrosManual,IF($B20="SemiAuto",0,INDEX(ORÇAMENTO!$AB$15:$AB$290,MATCH($A20,ORÇAMENTO!$E$15:$E$290,0)))))</f>
        <v>0</v>
      </c>
      <c r="AD20" s="332" t="b">
        <f ca="1">AND($AA$3&gt;0,$AA$3&lt;1,$O20&gt;0,OR($B20="Automático",$B20="SemiAuto"),OR(QCI!$Z$3=QCI!$Z$7,QCI!$Z$3=QCI!$AA$7,QCI!$Z$3=QCI!$AB$7))</f>
        <v>0</v>
      </c>
      <c r="AE20" s="332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hidden="1" x14ac:dyDescent="0.2">
      <c r="A21">
        <f t="shared" ca="1" si="0"/>
        <v>8</v>
      </c>
      <c r="B21" t="str">
        <f ca="1">IF(NOT(ISBLANK(QCI.DescManual)),IF(QCI.Divisao="Calculado","Manual","SemiAuto"),IF(ISERROR(MATCH($A21,ORÇAMENTO!$E$15:$E$290,0)),"Branco","Automático"))</f>
        <v>Branco</v>
      </c>
      <c r="C21" t="str">
        <f t="shared" ca="1" si="1"/>
        <v/>
      </c>
      <c r="D21" s="322">
        <f t="shared" si="2"/>
        <v>8</v>
      </c>
      <c r="E21" s="120"/>
      <c r="F21" s="120"/>
      <c r="G21" s="172" t="str">
        <f ca="1">IF(OR($B21="Manual",$B21="SemiAuto"),QCI.DescManual,IF($B21="Automático",INDEX(ORÇAMENTO!$R$15:$R$290,MATCH($A21,ORÇAMENTO!$E$15:$E$290,0)),""))</f>
        <v/>
      </c>
      <c r="H21" s="120"/>
      <c r="I21" s="557"/>
      <c r="J21" s="323" t="str">
        <f ca="1">IF(AND(ISBLANK(E21),ISBLANK(F21)),"",VLOOKUP($F21,OFFSET(DADOS!$A$2,1,MATCH(QCI!$E21,DADOS!$2:$2,0)-1,100,50),2,FALSE))</f>
        <v/>
      </c>
      <c r="K21" s="556" t="str">
        <f ca="1">IF(OR($B21="Manual",$B21="SemiAuto"),QCI.LoteManual,IF($B21="Automático",IF(TIPOORCAMENTO="Licitado",Import.CTEF,"LOTE 1"),""))</f>
        <v/>
      </c>
      <c r="L21" s="324">
        <f t="shared" ca="1" si="3"/>
        <v>0</v>
      </c>
      <c r="M21" s="325">
        <f t="shared" ca="1" si="4"/>
        <v>0</v>
      </c>
      <c r="N21" s="326">
        <f t="shared" ca="1" si="5"/>
        <v>0</v>
      </c>
      <c r="O21" s="327">
        <f ca="1">IF($B21="Branco",0,IF(OR($B21="Manual",$B21="SemiAuto"),QCI.InvManual,INDEX(ORÇAMENTO!X$15:X$290,MATCH($A21,ORÇAMENTO!$E$15:$E$290,0))))</f>
        <v>0</v>
      </c>
      <c r="P21" s="532"/>
      <c r="R21" s="558"/>
      <c r="T21" s="559"/>
      <c r="U21" s="329"/>
      <c r="V21" s="560" t="s">
        <v>317</v>
      </c>
      <c r="W21" s="330">
        <f t="shared" ca="1" si="6"/>
        <v>0</v>
      </c>
      <c r="X21" s="331">
        <v>0</v>
      </c>
      <c r="Z21">
        <f t="shared" ca="1" si="7"/>
        <v>0</v>
      </c>
      <c r="AA21">
        <f ca="1">IF($B21="Branco",0,IF($B21="Manual",QCI.CPManual,IF($B21="SemiAuto",ROUND(QCI!$AA$3*QCI.InvManual,2),INDEX(ORÇAMENTO!$AA$15:$AA$290,MATCH($A21,ORÇAMENTO!$E$15:$E$290,0)))))</f>
        <v>0</v>
      </c>
      <c r="AB21">
        <f ca="1">IF($B21="Branco",0,IF($B21="Manual",QCI.OutrosManual,IF($B21="SemiAuto",0,INDEX(ORÇAMENTO!$AB$15:$AB$290,MATCH($A21,ORÇAMENTO!$E$15:$E$290,0)))))</f>
        <v>0</v>
      </c>
      <c r="AD21" s="332" t="b">
        <f ca="1">AND($AA$3&gt;0,$AA$3&lt;1,$O21&gt;0,OR($B21="Automático",$B21="SemiAuto"),OR(QCI!$Z$3=QCI!$Z$7,QCI!$Z$3=QCI!$AA$7,QCI!$Z$3=QCI!$AB$7))</f>
        <v>0</v>
      </c>
      <c r="AE21" s="332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hidden="1" x14ac:dyDescent="0.2">
      <c r="A22">
        <f t="shared" ca="1" si="0"/>
        <v>9</v>
      </c>
      <c r="B22" t="str">
        <f ca="1">IF(NOT(ISBLANK(QCI.DescManual)),IF(QCI.Divisao="Calculado","Manual","SemiAuto"),IF(ISERROR(MATCH($A22,ORÇAMENTO!$E$15:$E$290,0)),"Branco","Automático"))</f>
        <v>Branco</v>
      </c>
      <c r="C22" t="str">
        <f t="shared" ca="1" si="1"/>
        <v/>
      </c>
      <c r="D22" s="322">
        <f t="shared" si="2"/>
        <v>9</v>
      </c>
      <c r="E22" s="120"/>
      <c r="F22" s="120"/>
      <c r="G22" s="172" t="str">
        <f ca="1">IF(OR($B22="Manual",$B22="SemiAuto"),QCI.DescManual,IF($B22="Automático",INDEX(ORÇAMENTO!$R$15:$R$290,MATCH($A22,ORÇAMENTO!$E$15:$E$290,0)),""))</f>
        <v/>
      </c>
      <c r="H22" s="120"/>
      <c r="I22" s="557"/>
      <c r="J22" s="323" t="str">
        <f ca="1">IF(AND(ISBLANK(E22),ISBLANK(F22)),"",VLOOKUP($F22,OFFSET(DADOS!$A$2,1,MATCH(QCI!$E22,DADOS!$2:$2,0)-1,100,50),2,FALSE))</f>
        <v/>
      </c>
      <c r="K22" s="556" t="str">
        <f ca="1">IF(OR($B22="Manual",$B22="SemiAuto"),QCI.LoteManual,IF($B22="Automático",IF(TIPOORCAMENTO="Licitado",Import.CTEF,"LOTE 1"),""))</f>
        <v/>
      </c>
      <c r="L22" s="324">
        <f t="shared" ca="1" si="3"/>
        <v>0</v>
      </c>
      <c r="M22" s="325">
        <f t="shared" ca="1" si="4"/>
        <v>0</v>
      </c>
      <c r="N22" s="326">
        <f t="shared" ca="1" si="5"/>
        <v>0</v>
      </c>
      <c r="O22" s="327">
        <f ca="1">IF($B22="Branco",0,IF(OR($B22="Manual",$B22="SemiAuto"),QCI.InvManual,INDEX(ORÇAMENTO!X$15:X$290,MATCH($A22,ORÇAMENTO!$E$15:$E$290,0))))</f>
        <v>0</v>
      </c>
      <c r="P22" s="532"/>
      <c r="R22" s="558"/>
      <c r="T22" s="559"/>
      <c r="U22" s="329"/>
      <c r="V22" s="560" t="s">
        <v>317</v>
      </c>
      <c r="W22" s="330">
        <f t="shared" ca="1" si="6"/>
        <v>0</v>
      </c>
      <c r="X22" s="331">
        <v>0</v>
      </c>
      <c r="Z22">
        <f t="shared" ca="1" si="7"/>
        <v>0</v>
      </c>
      <c r="AA22">
        <f ca="1">IF($B22="Branco",0,IF($B22="Manual",QCI.CPManual,IF($B22="SemiAuto",ROUND(QCI!$AA$3*QCI.InvManual,2),INDEX(ORÇAMENTO!$AA$15:$AA$290,MATCH($A22,ORÇAMENTO!$E$15:$E$290,0)))))</f>
        <v>0</v>
      </c>
      <c r="AB22">
        <f ca="1">IF($B22="Branco",0,IF($B22="Manual",QCI.OutrosManual,IF($B22="SemiAuto",0,INDEX(ORÇAMENTO!$AB$15:$AB$290,MATCH($A22,ORÇAMENTO!$E$15:$E$290,0)))))</f>
        <v>0</v>
      </c>
      <c r="AD22" s="332" t="b">
        <f ca="1">AND($AA$3&gt;0,$AA$3&lt;1,$O22&gt;0,OR($B22="Automático",$B22="SemiAuto"),OR(QCI!$Z$3=QCI!$Z$7,QCI!$Z$3=QCI!$AA$7,QCI!$Z$3=QCI!$AB$7))</f>
        <v>0</v>
      </c>
      <c r="AE22" s="332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hidden="1" x14ac:dyDescent="0.2">
      <c r="A23">
        <f t="shared" ca="1" si="0"/>
        <v>10</v>
      </c>
      <c r="B23" t="str">
        <f ca="1">IF(NOT(ISBLANK(QCI.DescManual)),IF(QCI.Divisao="Calculado","Manual","SemiAuto"),IF(ISERROR(MATCH($A23,ORÇAMENTO!$E$15:$E$290,0)),"Branco","Automático"))</f>
        <v>Branco</v>
      </c>
      <c r="C23" t="str">
        <f ca="1">IF(O23&gt;0,"F","")</f>
        <v/>
      </c>
      <c r="D23" s="322">
        <f>ROW()-ROW($D$13)</f>
        <v>10</v>
      </c>
      <c r="E23" s="120"/>
      <c r="F23" s="120"/>
      <c r="G23" s="172" t="str">
        <f ca="1">IF(OR($B23="Manual",$B23="SemiAuto"),QCI.DescManual,IF($B23="Automático",INDEX(ORÇAMENTO!$R$15:$R$290,MATCH($A23,ORÇAMENTO!$E$15:$E$290,0)),""))</f>
        <v/>
      </c>
      <c r="H23" s="120"/>
      <c r="I23" s="557"/>
      <c r="J23" s="323" t="str">
        <f ca="1">IF(AND(ISBLANK(E23),ISBLANK(F23)),"",VLOOKUP($F23,OFFSET(DADOS!$A$2,1,MATCH(QCI!$E23,DADOS!$2:$2,0)-1,100,50),2,FALSE))</f>
        <v/>
      </c>
      <c r="K23" s="556" t="str">
        <f ca="1">IF(OR($B23="Manual",$B23="SemiAuto"),QCI.LoteManual,IF($B23="Automático",IF(TIPOORCAMENTO="Licitado",Import.CTEF,"LOTE 1"),""))</f>
        <v/>
      </c>
      <c r="L23" s="324">
        <f ca="1">ROUND($O23,2)-ROUND($M23,2)-ROUND($N23,2)</f>
        <v>0</v>
      </c>
      <c r="M23" s="325">
        <f ca="1">ROUND($AA23,2)-ROUND($AE23,2)</f>
        <v>0</v>
      </c>
      <c r="N23" s="326">
        <f ca="1">ROUND($AB23,2)</f>
        <v>0</v>
      </c>
      <c r="O23" s="327">
        <f ca="1">IF($B23="Branco",0,IF(OR($B23="Manual",$B23="SemiAuto"),QCI.InvManual,INDEX(ORÇAMENTO!X$15:X$290,MATCH($A23,ORÇAMENTO!$E$15:$E$290,0))))</f>
        <v>0</v>
      </c>
      <c r="P23" s="532"/>
      <c r="R23" s="558"/>
      <c r="T23" s="559"/>
      <c r="U23" s="329"/>
      <c r="V23" s="560" t="s">
        <v>317</v>
      </c>
      <c r="W23" s="330">
        <f ca="1">$O23</f>
        <v>0</v>
      </c>
      <c r="X23" s="331">
        <v>0</v>
      </c>
      <c r="Z23">
        <f ca="1">$O23-$AA23-$AB23</f>
        <v>0</v>
      </c>
      <c r="AA23">
        <f ca="1">IF($B23="Branco",0,IF($B23="Manual",QCI.CPManual,IF($B23="SemiAuto",ROUND(QCI!$AA$3*QCI.InvManual,2),INDEX(ORÇAMENTO!$AA$15:$AA$290,MATCH($A23,ORÇAMENTO!$E$15:$E$290,0)))))</f>
        <v>0</v>
      </c>
      <c r="AB23">
        <f ca="1">IF($B23="Branco",0,IF($B23="Manual",QCI.OutrosManual,IF($B23="SemiAuto",0,INDEX(ORÇAMENTO!$AB$15:$AB$290,MATCH($A23,ORÇAMENTO!$E$15:$E$290,0)))))</f>
        <v>0</v>
      </c>
      <c r="AD23" s="332" t="b">
        <f ca="1">AND($AA$3&gt;0,$AA$3&lt;1,$O23&gt;0,OR($B23="Automático",$B23="SemiAuto"),OR(QCI!$Z$3=QCI!$Z$7,QCI!$Z$3=QCI!$AA$7,QCI!$Z$3=QCI!$AB$7))</f>
        <v>0</v>
      </c>
      <c r="AE23" s="332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39"/>
      <c r="E24" s="340"/>
      <c r="F24" s="340"/>
      <c r="G24" s="340"/>
      <c r="H24" s="340"/>
      <c r="I24" s="340"/>
      <c r="J24" s="340"/>
      <c r="K24" s="672" t="s">
        <v>328</v>
      </c>
      <c r="L24" s="341">
        <f ca="1">SUM(L13:OFFSET(L24,-1,0))</f>
        <v>0</v>
      </c>
      <c r="M24" s="342">
        <f ca="1">SUM(M13:OFFSET(M24,-1,0))</f>
        <v>291001.64</v>
      </c>
      <c r="N24" s="343">
        <f ca="1">SUM(N13:OFFSET(N24,-1,0))</f>
        <v>0</v>
      </c>
      <c r="O24" s="344">
        <f ca="1">SUM(O13:OFFSET(O24,-1,0))</f>
        <v>291001.64</v>
      </c>
      <c r="R24" s="345"/>
      <c r="T24" s="346"/>
      <c r="U24" s="347"/>
      <c r="V24" s="348"/>
      <c r="W24" s="349"/>
      <c r="X24" s="350"/>
      <c r="Z24" s="90">
        <f ca="1">SUMPRODUCT(ROUND(Z13:OFFSET(Z24,-1,0),2))</f>
        <v>0</v>
      </c>
      <c r="AA24" s="90">
        <f ca="1">SUMPRODUCT(ROUND(AA13:OFFSET(AA24,-1,0),2))</f>
        <v>291001.64</v>
      </c>
      <c r="AB24" s="90">
        <f ca="1">SUM(AB13:OFFSET(AB24,-1,0))</f>
        <v>0</v>
      </c>
    </row>
    <row r="25" spans="1:31" x14ac:dyDescent="0.2">
      <c r="B25" t="s">
        <v>329</v>
      </c>
      <c r="C25" t="s">
        <v>246</v>
      </c>
      <c r="D25" s="351"/>
      <c r="E25" s="352"/>
      <c r="F25" s="352"/>
      <c r="G25" s="352"/>
      <c r="H25" s="352"/>
      <c r="I25" s="352"/>
      <c r="J25" s="352"/>
      <c r="K25" s="672"/>
      <c r="L25" s="353">
        <f ca="1">IF(ISERROR(L24/$O24),0,ROUND(L24/$O24,4))</f>
        <v>0</v>
      </c>
      <c r="M25" s="354">
        <f ca="1">IF(ISERROR(M24/$O24),0,ROUND(M24/$O24,4))</f>
        <v>1</v>
      </c>
      <c r="N25" s="355">
        <f ca="1">IF(ISERROR(N24/$O24),0,ROUND(N24/$O24,4))</f>
        <v>0</v>
      </c>
      <c r="O25" s="356">
        <f ca="1">IF(ISERROR(O24/$O24),0,ROUND(O24/$O24,4))</f>
        <v>1</v>
      </c>
      <c r="R25" s="357"/>
      <c r="T25" s="358"/>
      <c r="U25" s="359"/>
      <c r="V25" s="360"/>
      <c r="W25" s="361"/>
      <c r="X25" s="362"/>
    </row>
    <row r="27" spans="1:31" ht="14.25" x14ac:dyDescent="0.2">
      <c r="D27" s="141" t="s">
        <v>187</v>
      </c>
    </row>
    <row r="28" spans="1:31" ht="12.75" customHeight="1" x14ac:dyDescent="0.2">
      <c r="D28" s="613"/>
      <c r="E28" s="613"/>
      <c r="F28" s="613"/>
      <c r="G28" s="613"/>
      <c r="H28" s="613"/>
      <c r="I28" s="613"/>
      <c r="J28" s="613"/>
      <c r="K28" s="613"/>
      <c r="L28" s="613"/>
      <c r="M28" s="613"/>
      <c r="N28" s="613"/>
      <c r="O28" s="613"/>
    </row>
    <row r="29" spans="1:31" ht="12.75" customHeight="1" x14ac:dyDescent="0.2">
      <c r="D29" s="613"/>
      <c r="E29" s="613"/>
      <c r="F29" s="613"/>
      <c r="G29" s="613"/>
      <c r="H29" s="613"/>
      <c r="I29" s="613"/>
      <c r="J29" s="613"/>
      <c r="K29" s="613"/>
      <c r="L29" s="613"/>
      <c r="M29" s="613"/>
      <c r="N29" s="613"/>
      <c r="O29" s="613"/>
    </row>
    <row r="30" spans="1:31" ht="12.75" customHeight="1" x14ac:dyDescent="0.2">
      <c r="D30" s="613"/>
      <c r="E30" s="613"/>
      <c r="F30" s="613"/>
      <c r="G30" s="613"/>
      <c r="H30" s="613"/>
      <c r="I30" s="613"/>
      <c r="J30" s="613"/>
      <c r="K30" s="613"/>
      <c r="L30" s="613"/>
      <c r="M30" s="613"/>
      <c r="N30" s="613"/>
      <c r="O30" s="613"/>
    </row>
    <row r="33" spans="4:12" ht="15" x14ac:dyDescent="0.2">
      <c r="D33" s="615" t="str">
        <f>Import.Município</f>
        <v>RONDINHA - RS</v>
      </c>
      <c r="E33" s="615"/>
      <c r="F33" s="615"/>
      <c r="I33" s="145"/>
      <c r="J33" s="145"/>
      <c r="K33" s="194"/>
      <c r="L33" s="194"/>
    </row>
    <row r="34" spans="4:12" x14ac:dyDescent="0.2">
      <c r="D34" s="10" t="s">
        <v>188</v>
      </c>
      <c r="I34" s="195" t="s">
        <v>330</v>
      </c>
      <c r="J34" s="195"/>
    </row>
    <row r="35" spans="4:12" x14ac:dyDescent="0.2">
      <c r="I35" s="78" t="str">
        <f>"Nome:" &amp;  " " &amp; DADOS!F28</f>
        <v>Nome: ALDOMIR LUIZ CANTONI</v>
      </c>
    </row>
    <row r="36" spans="4:12" x14ac:dyDescent="0.2">
      <c r="D36" s="610">
        <f ca="1">DADOS!$F$25</f>
        <v>45412</v>
      </c>
      <c r="E36" s="610"/>
      <c r="F36" s="610"/>
      <c r="I36" s="78" t="str">
        <f>"Cargo:"  &amp; " " &amp; DADOS!F29</f>
        <v>Cargo: PREFEITO MUNICIPAL</v>
      </c>
    </row>
    <row r="37" spans="4:12" x14ac:dyDescent="0.2">
      <c r="D37" s="146" t="s">
        <v>189</v>
      </c>
      <c r="E37" s="1"/>
      <c r="F37" s="1"/>
      <c r="K37" s="78"/>
      <c r="L37" s="79"/>
    </row>
  </sheetData>
  <sheetProtection algorithmName="SHA-512" hashValue="ZLX28XRD/ro80nLueUYdFgBwIZU2IovfwjC5JiV5eVsmckm0UnmAEJtHRKRfFPXeZY+PisUdYv1qA6+gA3KcvA==" saltValue="HTTl+JbA2pXMhwciNIQgjQ==" spinCount="100000" sheet="1" objects="1" scenarios="1" autoFilter="0"/>
  <autoFilter ref="C13:C25" xr:uid="{00000000-0009-0000-0000-00000A000000}">
    <filterColumn colId="0">
      <customFilters>
        <customFilter operator="notEqual" val=" "/>
      </customFilters>
    </filterColumn>
  </autoFilter>
  <mergeCells count="20">
    <mergeCell ref="D6:K6"/>
    <mergeCell ref="A10:A11"/>
    <mergeCell ref="Z10:AB10"/>
    <mergeCell ref="D36:F36"/>
    <mergeCell ref="D28:O30"/>
    <mergeCell ref="D33:F33"/>
    <mergeCell ref="AD10:AE10"/>
    <mergeCell ref="K24:K25"/>
    <mergeCell ref="C7:C11"/>
    <mergeCell ref="G9:J10"/>
    <mergeCell ref="K9:K10"/>
    <mergeCell ref="AD9:AE9"/>
    <mergeCell ref="D7:K7"/>
    <mergeCell ref="D3:E3"/>
    <mergeCell ref="G3:I3"/>
    <mergeCell ref="J3:L3"/>
    <mergeCell ref="M3:O4"/>
    <mergeCell ref="D4:E4"/>
    <mergeCell ref="G4:I4"/>
    <mergeCell ref="J4:L4"/>
  </mergeCells>
  <phoneticPr fontId="38" type="noConversion"/>
  <conditionalFormatting sqref="T12:V12">
    <cfRule type="expression" dxfId="247" priority="157" stopIfTrue="1">
      <formula>OR($B12="Automático",$B12="Branco")</formula>
    </cfRule>
  </conditionalFormatting>
  <conditionalFormatting sqref="L12">
    <cfRule type="expression" dxfId="246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245" priority="159" stopIfTrue="1">
      <formula>OR($B12="Automático",$B12="Branco",$V12&lt;&gt;"Calculado")</formula>
    </cfRule>
  </conditionalFormatting>
  <conditionalFormatting sqref="M25">
    <cfRule type="expression" dxfId="244" priority="161" stopIfTrue="1">
      <formula>AND($G$9&lt;&gt;"",OR($M$25&lt;Import.CPMinPerc,$M$25&gt;Import.CPMaxPerc))</formula>
    </cfRule>
  </conditionalFormatting>
  <conditionalFormatting sqref="M24">
    <cfRule type="expression" dxfId="243" priority="162" stopIfTrue="1">
      <formula>AND($G$9&lt;&gt;"",$M$24&lt;Import.CPMinAbsoluta)</formula>
    </cfRule>
  </conditionalFormatting>
  <conditionalFormatting sqref="L10:M10">
    <cfRule type="cellIs" dxfId="242" priority="163" stopIfTrue="1" operator="lessThan">
      <formula>0</formula>
    </cfRule>
  </conditionalFormatting>
  <conditionalFormatting sqref="G12">
    <cfRule type="cellIs" dxfId="241" priority="164" stopIfTrue="1" operator="equal">
      <formula>"(digite a descrição aqui)"</formula>
    </cfRule>
  </conditionalFormatting>
  <conditionalFormatting sqref="T14:V22">
    <cfRule type="expression" dxfId="240" priority="5" stopIfTrue="1">
      <formula>OR($B14="Automático",$B14="Branco")</formula>
    </cfRule>
  </conditionalFormatting>
  <conditionalFormatting sqref="L14:L22">
    <cfRule type="expression" dxfId="239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238" priority="7" stopIfTrue="1">
      <formula>OR($B14="Automático",$B14="Branco",$V14&lt;&gt;"Calculado")</formula>
    </cfRule>
  </conditionalFormatting>
  <conditionalFormatting sqref="G14:G22">
    <cfRule type="cellIs" dxfId="237" priority="8" stopIfTrue="1" operator="equal">
      <formula>"(digite a descrição aqui)"</formula>
    </cfRule>
  </conditionalFormatting>
  <conditionalFormatting sqref="T23:V23">
    <cfRule type="expression" dxfId="236" priority="1" stopIfTrue="1">
      <formula>OR($B23="Automático",$B23="Branco")</formula>
    </cfRule>
  </conditionalFormatting>
  <conditionalFormatting sqref="L23">
    <cfRule type="expression" dxfId="235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234" priority="3" stopIfTrue="1">
      <formula>OR($B23="Automático",$B23="Branco",$V23&lt;&gt;"Calculado")</formula>
    </cfRule>
  </conditionalFormatting>
  <conditionalFormatting sqref="G23">
    <cfRule type="cellIs" dxfId="233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 xr:uid="{00000000-0002-0000-0A00-000000000000}">
      <formula1>0</formula1>
      <formula2>0</formula2>
    </dataValidation>
    <dataValidation type="list" allowBlank="1" sqref="E12 E14:E23" xr:uid="{00000000-0002-0000-0A00-000001000000}">
      <formula1>QCI.ItemInvestimento</formula1>
      <formula2>0</formula2>
    </dataValidation>
    <dataValidation type="list" allowBlank="1" sqref="F12 F14:F23" xr:uid="{00000000-0002-0000-0A00-000002000000}">
      <formula1>QCI.SubItemInvestimento</formula1>
      <formula2>0</formula2>
    </dataValidation>
    <dataValidation type="list" allowBlank="1" sqref="H12 H14:H23" xr:uid="{00000000-0002-0000-0A00-000003000000}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 xr:uid="{00000000-0002-0000-0A00-000004000000}">
      <formula1>0</formula1>
      <formula2>0</formula2>
    </dataValidation>
    <dataValidation type="list" allowBlank="1" showErrorMessage="1" sqref="V12 V14:V23" xr:uid="{00000000-0002-0000-0A00-000005000000}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 xr:uid="{00000000-0002-0000-0A00-000006000000}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 xr:uid="{00000000-0002-0000-0A00-000007000000}">
      <formula1>0</formula1>
      <formula2>QCI.MaxOUManual</formula2>
    </dataValidation>
    <dataValidation allowBlank="1" showInputMessage="1" showErrorMessage="1" prompt="Preencha somente se a meta não fizer parte do Orçamento desta Plan. Mult." sqref="R12 R14:R23" xr:uid="{00000000-0002-0000-0A00-000008000000}"/>
  </dataValidations>
  <pageMargins left="0.78740157480314998" right="0.78740157480314998" top="0.78740157480314998" bottom="0.78740157480314998" header="0.59055118110236204" footer="0.59055118110236204"/>
  <pageSetup paperSize="9" scale="6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AO305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249" sqref="A249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>EMPREITADA POR PREÇO GLOBAL - OGU</v>
      </c>
      <c r="O2" s="12" t="s">
        <v>143</v>
      </c>
    </row>
    <row r="3" spans="1:41" x14ac:dyDescent="0.2">
      <c r="A3" s="676" t="b">
        <v>0</v>
      </c>
      <c r="B3" s="676"/>
      <c r="E3" s="87"/>
    </row>
    <row r="4" spans="1:41" x14ac:dyDescent="0.2">
      <c r="D4" s="583" t="s">
        <v>147</v>
      </c>
      <c r="E4" s="583"/>
      <c r="F4" s="620" t="s">
        <v>146</v>
      </c>
      <c r="G4" s="620"/>
      <c r="H4" s="620"/>
      <c r="I4" s="151" t="s">
        <v>443</v>
      </c>
      <c r="J4" s="583" t="s">
        <v>202</v>
      </c>
      <c r="K4" s="583"/>
      <c r="L4" s="583"/>
      <c r="M4" s="583"/>
      <c r="N4" s="583"/>
      <c r="O4" s="153" t="s">
        <v>332</v>
      </c>
    </row>
    <row r="5" spans="1:41" ht="12.75" customHeight="1" x14ac:dyDescent="0.2">
      <c r="A5" t="s">
        <v>333</v>
      </c>
      <c r="D5" s="580" t="str">
        <f>Import.Proponente</f>
        <v>MUNICÍPIO DE RONDINHA</v>
      </c>
      <c r="E5" s="580"/>
      <c r="F5" s="618">
        <f>Import.CR</f>
        <v>0</v>
      </c>
      <c r="G5" s="618"/>
      <c r="H5" s="618"/>
      <c r="I5" s="367">
        <f>Import.TransfereGOV</f>
        <v>0</v>
      </c>
      <c r="J5" s="580" t="str">
        <f>Import.Apelido</f>
        <v>PRAÇA PÚBLICA - BAIRRO N. S. APARECIDA</v>
      </c>
      <c r="K5" s="580"/>
      <c r="L5" s="580"/>
      <c r="M5" s="580"/>
      <c r="N5" s="580"/>
      <c r="O5" s="368">
        <f>Import.DataInicioObra</f>
        <v>0</v>
      </c>
      <c r="AO5" s="369" t="s">
        <v>334</v>
      </c>
    </row>
    <row r="6" spans="1:41" ht="5.0999999999999996" customHeight="1" x14ac:dyDescent="0.2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">
      <c r="A7" t="str">
        <f ca="1">RegimeExecucao</f>
        <v>Global</v>
      </c>
      <c r="D7" s="89" t="s">
        <v>335</v>
      </c>
      <c r="E7" s="89" t="s">
        <v>336</v>
      </c>
      <c r="F7" s="583" t="s">
        <v>337</v>
      </c>
      <c r="G7" s="583"/>
      <c r="H7" s="583"/>
      <c r="I7" s="583" t="str">
        <f>IF(TIPOORCAMENTO="Licitado","REGIME DE EXECUÇÃO","MUNICÍPIO / UF")</f>
        <v>MUNICÍPIO / UF</v>
      </c>
      <c r="J7" s="583"/>
      <c r="K7" s="583"/>
      <c r="L7" s="583"/>
      <c r="M7" s="583" t="s">
        <v>338</v>
      </c>
      <c r="N7" s="583"/>
      <c r="O7" s="89" t="s">
        <v>339</v>
      </c>
      <c r="AO7" s="316">
        <f ca="1">BM.MEDAcumulado</f>
        <v>0</v>
      </c>
    </row>
    <row r="8" spans="1:41" ht="12.75" customHeight="1" x14ac:dyDescent="0.2">
      <c r="A8" s="365" t="s">
        <v>340</v>
      </c>
      <c r="B8" s="2"/>
      <c r="C8" s="609" t="s">
        <v>209</v>
      </c>
      <c r="D8" s="371">
        <f>Import.CTEF</f>
        <v>0</v>
      </c>
      <c r="E8" s="57">
        <f>Import.empresa</f>
        <v>0</v>
      </c>
      <c r="F8" s="580">
        <f>Import.CNPJ</f>
        <v>0</v>
      </c>
      <c r="G8" s="580"/>
      <c r="H8" s="580"/>
      <c r="I8" s="580" t="str">
        <f>IF(TIPOORCAMENTO="Licitado",Import.RegimeExecução,Import.Município)</f>
        <v>RONDINHA - RS</v>
      </c>
      <c r="J8" s="580"/>
      <c r="K8" s="580"/>
      <c r="L8" s="580"/>
      <c r="M8" s="580" t="str">
        <f ca="1">TEXT(IF(BM.medicao=1,Import.DataInicioObra,OFFSET($AB$12,0,BM.medicao-1-$AB$13)+1),"dd/mm/aaaa")&amp;" a "&amp;TEXT(OFFSET($AB$12,0,BM.medicao-$AB$13),"dd/mm/aaaa")</f>
        <v>00/01/1900 a 00/01/1900</v>
      </c>
      <c r="N8" s="580"/>
      <c r="O8" s="490">
        <v>1</v>
      </c>
    </row>
    <row r="9" spans="1:41" ht="12.75" customHeight="1" x14ac:dyDescent="0.2">
      <c r="A9" s="531" t="b">
        <v>1</v>
      </c>
      <c r="B9" s="43"/>
      <c r="C9" s="609"/>
    </row>
    <row r="10" spans="1:41" x14ac:dyDescent="0.2">
      <c r="C10" s="609"/>
      <c r="E10" s="677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677"/>
      <c r="G10" s="677"/>
      <c r="H10" s="677"/>
      <c r="I10" s="677"/>
      <c r="N10" s="678" t="str">
        <f ca="1">"Realizado Acumulado: "&amp;TEXT(ROUND($O$15/($I$15+10^-12),4),"0,00%")</f>
        <v>Realizado Acumulado: 0,00%</v>
      </c>
      <c r="O10" s="678"/>
    </row>
    <row r="11" spans="1:41" ht="15" customHeight="1" x14ac:dyDescent="0.25">
      <c r="C11" s="609"/>
      <c r="E11" s="677"/>
      <c r="F11" s="677"/>
      <c r="G11" s="677"/>
      <c r="H11" s="677"/>
      <c r="I11" s="677"/>
      <c r="N11" s="678"/>
      <c r="O11" s="678"/>
      <c r="T11" s="679" t="s">
        <v>341</v>
      </c>
      <c r="U11" s="679"/>
      <c r="Z11" s="4"/>
      <c r="AB11" s="652" t="s">
        <v>342</v>
      </c>
      <c r="AC11" s="652"/>
      <c r="AD11" s="652"/>
      <c r="AE11" s="652"/>
      <c r="AF11" s="652"/>
      <c r="AG11" s="652"/>
      <c r="AH11" s="652"/>
      <c r="AI11" s="652"/>
      <c r="AJ11" s="652"/>
      <c r="AK11" s="652"/>
      <c r="AL11" s="652"/>
      <c r="AM11" s="652"/>
    </row>
    <row r="12" spans="1:41" ht="15" customHeight="1" x14ac:dyDescent="0.25">
      <c r="C12" s="609"/>
      <c r="E12" s="85" t="s">
        <v>343</v>
      </c>
      <c r="J12" s="582" t="str">
        <f ca="1">"Evolução Física "&amp;CHOOSE(MATCH(RegimeExecucao,{"Unitário","Global"},0),"(Qtde.)","(%)")</f>
        <v>Evolução Física (%)</v>
      </c>
      <c r="K12" s="582"/>
      <c r="L12" s="582"/>
      <c r="M12" s="582" t="s">
        <v>344</v>
      </c>
      <c r="N12" s="582"/>
      <c r="O12" s="582"/>
      <c r="Q12" s="582" t="str">
        <f ca="1">"Aferido (CAIXA) "&amp;CHOOSE(MATCH(RegimeExecucao,{"Unitário","Global"},0),"(Qtde.)","(%)")</f>
        <v>Aferido (CAIXA) (%)</v>
      </c>
      <c r="R12" s="582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/>
      </c>
      <c r="W13" s="337" t="str">
        <f ca="1">CHOOSE(MATCH(RegimeExecucao,{"Unitário","Global"},0),"Quant. Glosada (unid)","Percentual Glosado (%)")</f>
        <v>Percentual Glosado (%)</v>
      </c>
      <c r="X13" s="337" t="str">
        <f ca="1">CHOOSE(MATCH(RegimeExecucao,{"Unitário","Global"},0),"Preço Unitário (R$)","Valor Total do Item (R$)")</f>
        <v>Valor Total do Item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(abra o arquivo 'Referência 03-2024.xlsm)</v>
      </c>
      <c r="F14" s="173" t="str">
        <f ca="1">IF(RegimeExecucao="Global","",ORÇAMENTO.Unidade)</f>
        <v/>
      </c>
      <c r="G14" s="124" t="str">
        <f ca="1">IF(RegimeExecucao="Global","",ORÇAMENTO!T14)</f>
        <v/>
      </c>
      <c r="H14" s="124" t="str">
        <f ca="1">IF(RegimeExecucao="Global","",ORÇAMENTO!W14)</f>
        <v/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16" t="s">
        <v>246</v>
      </c>
      <c r="D15" s="685" t="str">
        <f>"Objeto do CTEF: "&amp;Import.DescLote</f>
        <v>Objeto do CTEF: PRAÇA PÚBLICA - BAIRRO N. S. APARECIDA</v>
      </c>
      <c r="E15" s="685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IF(OR(ACOMPANHAMENTO="PLE",TIPOORCAMENTO="Proposto"),0,SUMIF(OFFSET($A15,1,0):$A$290,"S",OFFSET(M15,1,0):M$290))</f>
        <v>0</v>
      </c>
      <c r="N15" s="386">
        <f ca="1">O15-M15</f>
        <v>0</v>
      </c>
      <c r="O15" s="386">
        <f ca="1">IF(OR(ACOMPANHAMENTO="PLE",TIPOORCAMENTO="Proposto"),0,SUMIF(OFFSET($A15,1,0):$A$290,"S",OFFSET(O15,1,0):O$290))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1" t="str">
        <f ca="1">"Preencher abaixo com a "&amp;CHOOSE(MATCH(RegimeExecucao,{"Unitário","Global"},0),"QUANTIDADE","PORCENTAGEM")&amp;" executada no PERÍODO"</f>
        <v>Preencher abaixo com a PORCENTAGEM executada no PERÍODO</v>
      </c>
      <c r="AC15" s="681"/>
      <c r="AD15" s="681"/>
      <c r="AE15" s="681"/>
      <c r="AF15" s="681"/>
      <c r="AG15" s="681"/>
      <c r="AH15" s="681"/>
      <c r="AI15" s="681"/>
      <c r="AJ15" s="681"/>
      <c r="AK15" s="681"/>
      <c r="AL15" s="681"/>
      <c r="AM15" s="681"/>
    </row>
    <row r="16" spans="1:41" x14ac:dyDescent="0.2">
      <c r="A16">
        <f ca="1">ORÇAMENTO!C16</f>
        <v>1</v>
      </c>
      <c r="B16">
        <f ca="1">ORÇAMENTO!D16</f>
        <v>274</v>
      </c>
      <c r="C16" s="116" t="str">
        <f t="shared" ref="C16:C86" ca="1" si="1">IF(OR($I16&gt;0,$A16=1,$A16=2,$A16=3,$A16=4),"F","")</f>
        <v>F</v>
      </c>
      <c r="D16" s="119" t="str">
        <f ca="1">ORÇAMENTO!O16</f>
        <v>1.</v>
      </c>
      <c r="E16" s="172" t="str">
        <f t="shared" ref="E16:E86" si="2">ORÇAMENTO.Descricao</f>
        <v>PRAÇA PÚBLICA - BAIRRO N. S. APARECIDA</v>
      </c>
      <c r="F16" s="173" t="str">
        <f ca="1">IF(RegimeExecucao="Global","",ORÇAMENTO.Unidade)</f>
        <v/>
      </c>
      <c r="G16" s="124" t="str">
        <f ca="1">IF(RegimeExecucao="Global","",ORÇAMENTO!T16)</f>
        <v/>
      </c>
      <c r="H16" s="124" t="str">
        <f ca="1">IF(RegimeExecucao="Global","",ORÇAMENTO!W16)</f>
        <v/>
      </c>
      <c r="I16" s="127">
        <f ca="1">ORÇAMENTO!X16</f>
        <v>291001.64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t="shared" ref="K16:K86" ca="1" si="3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t="shared" ref="N16:N86" ca="1" si="4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t="shared" ref="T16:T86" ca="1" si="5">IF($W16&gt;0,$D16,"")</f>
        <v/>
      </c>
      <c r="U16" s="172" t="str">
        <f t="shared" ref="U16:U86" ca="1" si="6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t="shared" ref="Y16:Y86" ca="1" si="7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8</v>
      </c>
      <c r="C17" s="116" t="str">
        <f t="shared" ca="1" si="1"/>
        <v>F</v>
      </c>
      <c r="D17" s="119" t="str">
        <f ca="1">ORÇAMENTO!O17</f>
        <v>1.1.</v>
      </c>
      <c r="E17" s="172" t="str">
        <f t="shared" si="2"/>
        <v>SERVIÇOS INICIAIS E DRENO DE ÁGUAS PLUVIAIS</v>
      </c>
      <c r="F17" s="173" t="str">
        <f ca="1">IF(RegimeExecucao="Global","",ORÇAMENTO.Unidade)</f>
        <v/>
      </c>
      <c r="G17" s="124" t="str">
        <f ca="1">IF(RegimeExecucao="Global","",ORÇAMENTO!T17)</f>
        <v/>
      </c>
      <c r="H17" s="124" t="str">
        <f ca="1">IF(RegimeExecucao="Global","",ORÇAMENTO!W17)</f>
        <v/>
      </c>
      <c r="I17" s="127">
        <f ca="1">ORÇAMENTO!X17</f>
        <v>2076.06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ca="1" si="3"/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ca="1" si="4"/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ca="1" si="5"/>
        <v/>
      </c>
      <c r="U17" s="172" t="str">
        <f t="shared" ca="1" si="6"/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ca="1" si="7"/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63.75" x14ac:dyDescent="0.2">
      <c r="A18" t="str">
        <f ca="1">ORÇAMENTO!C18</f>
        <v>S</v>
      </c>
      <c r="B18">
        <f ca="1">ORÇAMENTO!D18</f>
        <v>0</v>
      </c>
      <c r="C18" s="116" t="str">
        <f t="shared" ca="1" si="1"/>
        <v>F</v>
      </c>
      <c r="D18" s="119" t="str">
        <f ca="1">ORÇAMENTO!O18</f>
        <v>1.1.0.1.</v>
      </c>
      <c r="E18" s="172" t="str">
        <f t="shared" ca="1" si="2"/>
        <v>(abra o arquivo 'Referência 03-2024.xlsm)</v>
      </c>
      <c r="F18" s="173" t="str">
        <f ca="1">IF(RegimeExecucao="Global","",ORÇAMENTO.Unidade)</f>
        <v/>
      </c>
      <c r="G18" s="124" t="str">
        <f ca="1">IF(RegimeExecucao="Global","",ORÇAMENTO!T18)</f>
        <v/>
      </c>
      <c r="H18" s="124" t="str">
        <f ca="1">IF(RegimeExecucao="Global","",ORÇAMENTO!W18)</f>
        <v/>
      </c>
      <c r="I18" s="127">
        <f ca="1">ORÇAMENTO!X18</f>
        <v>451.21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ht="51" x14ac:dyDescent="0.2">
      <c r="A19" t="str">
        <f ca="1">ORÇAMENTO!C19</f>
        <v>S</v>
      </c>
      <c r="B19">
        <f ca="1">ORÇAMENTO!D19</f>
        <v>0</v>
      </c>
      <c r="C19" s="116" t="str">
        <f t="shared" ca="1" si="1"/>
        <v>F</v>
      </c>
      <c r="D19" s="119" t="str">
        <f ca="1">ORÇAMENTO!O19</f>
        <v>1.1.0.2.</v>
      </c>
      <c r="E19" s="172" t="str">
        <f t="shared" ca="1" si="2"/>
        <v>(abra o arquivo 'Referência 03-2024.xlsm)</v>
      </c>
      <c r="F19" s="173" t="str">
        <f ca="1">IF(RegimeExecucao="Global","",ORÇAMENTO.Unidade)</f>
        <v/>
      </c>
      <c r="G19" s="124" t="str">
        <f ca="1">IF(RegimeExecucao="Global","",ORÇAMENTO!T19)</f>
        <v/>
      </c>
      <c r="H19" s="124" t="str">
        <f ca="1">IF(RegimeExecucao="Global","",ORÇAMENTO!W19)</f>
        <v/>
      </c>
      <c r="I19" s="127">
        <f ca="1">ORÇAMENTO!X19</f>
        <v>217.89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t="shared" ca="1" si="3"/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t="shared" ca="1" si="4"/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t="shared" ca="1" si="5"/>
        <v/>
      </c>
      <c r="U19" s="172" t="str">
        <f t="shared" ca="1" si="6"/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t="shared" ca="1" si="7"/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25.5" x14ac:dyDescent="0.2">
      <c r="A20" t="str">
        <f ca="1">ORÇAMENTO!C20</f>
        <v>S</v>
      </c>
      <c r="B20">
        <f ca="1">ORÇAMENTO!D20</f>
        <v>0</v>
      </c>
      <c r="C20" s="116" t="str">
        <f t="shared" ca="1" si="1"/>
        <v>F</v>
      </c>
      <c r="D20" s="119" t="str">
        <f ca="1">ORÇAMENTO!O20</f>
        <v>1.1.0.3.</v>
      </c>
      <c r="E20" s="172" t="str">
        <f t="shared" ca="1" si="2"/>
        <v>(abra o arquivo 'Referência 03-2024.xlsm)</v>
      </c>
      <c r="F20" s="173" t="str">
        <f ca="1">IF(RegimeExecucao="Global","",ORÇAMENTO.Unidade)</f>
        <v/>
      </c>
      <c r="G20" s="124" t="str">
        <f ca="1">IF(RegimeExecucao="Global","",ORÇAMENTO!T20)</f>
        <v/>
      </c>
      <c r="H20" s="124" t="str">
        <f ca="1">IF(RegimeExecucao="Global","",ORÇAMENTO!W20)</f>
        <v/>
      </c>
      <c r="I20" s="127">
        <f ca="1">ORÇAMENTO!X20</f>
        <v>658.8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t="shared" ca="1" si="3"/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t="shared" ca="1" si="4"/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t="shared" ca="1" si="5"/>
        <v/>
      </c>
      <c r="U20" s="172" t="str">
        <f t="shared" ca="1" si="6"/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t="shared" ca="1" si="7"/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25.5" x14ac:dyDescent="0.2">
      <c r="A21" t="str">
        <f ca="1">ORÇAMENTO!C21</f>
        <v>S</v>
      </c>
      <c r="B21">
        <f ca="1">ORÇAMENTO!D21</f>
        <v>0</v>
      </c>
      <c r="C21" s="116" t="str">
        <f ca="1">IF(OR($I21&gt;0,$A21=1,$A21=2,$A21=3,$A21=4),"F","")</f>
        <v>F</v>
      </c>
      <c r="D21" s="119" t="str">
        <f ca="1">ORÇAMENTO!O21</f>
        <v>1.1.0.4.</v>
      </c>
      <c r="E21" s="172" t="str">
        <f ca="1">ORÇAMENTO.Descricao</f>
        <v>(abra o arquivo 'Referência 03-2024.xlsm)</v>
      </c>
      <c r="F21" s="173" t="str">
        <f ca="1">IF(RegimeExecucao="Global","",ORÇAMENTO.Unidade)</f>
        <v/>
      </c>
      <c r="G21" s="124" t="str">
        <f ca="1">IF(RegimeExecucao="Global","",ORÇAMENTO!T21)</f>
        <v/>
      </c>
      <c r="H21" s="124" t="str">
        <f ca="1">IF(RegimeExecucao="Global","",ORÇAMENTO!W21)</f>
        <v/>
      </c>
      <c r="I21" s="127">
        <f ca="1">ORÇAMENTO!X21</f>
        <v>380.4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ca="1">L21-J21</f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ca="1">O21-M21</f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ca="1">IF($W21&gt;0,$D21,"")</f>
        <v/>
      </c>
      <c r="U21" s="172" t="str">
        <f ca="1">IF($W21&gt;0,$E21,"")</f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ca="1">AO21-O21</f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x14ac:dyDescent="0.2">
      <c r="A22" t="str">
        <f ca="1">ORÇAMENTO!C22</f>
        <v>S</v>
      </c>
      <c r="B22">
        <f ca="1">ORÇAMENTO!D22</f>
        <v>0</v>
      </c>
      <c r="C22" s="116" t="str">
        <f t="shared" ca="1" si="1"/>
        <v>F</v>
      </c>
      <c r="D22" s="119" t="str">
        <f ca="1">ORÇAMENTO!O22</f>
        <v>1.1.0.5.</v>
      </c>
      <c r="E22" s="172" t="str">
        <f t="shared" ca="1" si="2"/>
        <v>(abra o arquivo 'Referência 03-2024.xlsm)</v>
      </c>
      <c r="F22" s="173" t="str">
        <f ca="1">IF(RegimeExecucao="Global","",ORÇAMENTO.Unidade)</f>
        <v/>
      </c>
      <c r="G22" s="124" t="str">
        <f ca="1">IF(RegimeExecucao="Global","",ORÇAMENTO!T22)</f>
        <v/>
      </c>
      <c r="H22" s="124" t="str">
        <f ca="1">IF(RegimeExecucao="Global","",ORÇAMENTO!W22)</f>
        <v/>
      </c>
      <c r="I22" s="127">
        <f ca="1">ORÇAMENTO!X22</f>
        <v>143.76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3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4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5"/>
        <v/>
      </c>
      <c r="U22" s="172" t="str">
        <f t="shared" ca="1" si="6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7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x14ac:dyDescent="0.2">
      <c r="A23" t="str">
        <f ca="1">ORÇAMENTO!C23</f>
        <v>S</v>
      </c>
      <c r="B23">
        <f ca="1">ORÇAMENTO!D23</f>
        <v>0</v>
      </c>
      <c r="C23" s="116" t="str">
        <f t="shared" ca="1" si="1"/>
        <v>F</v>
      </c>
      <c r="D23" s="119" t="str">
        <f ca="1">ORÇAMENTO!O23</f>
        <v>1.1.0.6.</v>
      </c>
      <c r="E23" s="172" t="str">
        <f t="shared" ca="1" si="2"/>
        <v>(abra o arquivo 'Referência 03-2024.xlsm)</v>
      </c>
      <c r="F23" s="173" t="str">
        <f ca="1">IF(RegimeExecucao="Global","",ORÇAMENTO.Unidade)</f>
        <v/>
      </c>
      <c r="G23" s="124" t="str">
        <f ca="1">IF(RegimeExecucao="Global","",ORÇAMENTO!T23)</f>
        <v/>
      </c>
      <c r="H23" s="124" t="str">
        <f ca="1">IF(RegimeExecucao="Global","",ORÇAMENTO!W23)</f>
        <v/>
      </c>
      <c r="I23" s="127">
        <f ca="1">ORÇAMENTO!X23</f>
        <v>89.87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t="shared" ca="1" si="3"/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t="shared" ca="1" si="4"/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t="shared" ca="1" si="5"/>
        <v/>
      </c>
      <c r="U23" s="172" t="str">
        <f t="shared" ca="1" si="6"/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t="shared" ca="1" si="7"/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25.5" x14ac:dyDescent="0.2">
      <c r="A24" t="str">
        <f ca="1">ORÇAMENTO!C24</f>
        <v>S</v>
      </c>
      <c r="B24">
        <f ca="1">ORÇAMENTO!D24</f>
        <v>0</v>
      </c>
      <c r="C24" s="116" t="str">
        <f t="shared" ca="1" si="1"/>
        <v>F</v>
      </c>
      <c r="D24" s="119" t="str">
        <f ca="1">ORÇAMENTO!O24</f>
        <v>1.1.0.7.</v>
      </c>
      <c r="E24" s="172" t="str">
        <f t="shared" ca="1" si="2"/>
        <v>(abra o arquivo 'Referência 03-2024.xlsm)</v>
      </c>
      <c r="F24" s="173" t="str">
        <f ca="1">IF(RegimeExecucao="Global","",ORÇAMENTO.Unidade)</f>
        <v/>
      </c>
      <c r="G24" s="124" t="str">
        <f ca="1">IF(RegimeExecucao="Global","",ORÇAMENTO!T24)</f>
        <v/>
      </c>
      <c r="H24" s="124" t="str">
        <f ca="1">IF(RegimeExecucao="Global","",ORÇAMENTO!W24)</f>
        <v/>
      </c>
      <c r="I24" s="127">
        <f ca="1">ORÇAMENTO!X24</f>
        <v>134.13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3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4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5"/>
        <v/>
      </c>
      <c r="U24" s="172" t="str">
        <f t="shared" ca="1" si="6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7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ht="25.5" x14ac:dyDescent="0.2">
      <c r="A25">
        <f ca="1">ORÇAMENTO!C25</f>
        <v>2</v>
      </c>
      <c r="B25">
        <f ca="1">ORÇAMENTO!D25</f>
        <v>16</v>
      </c>
      <c r="C25" s="116" t="str">
        <f t="shared" ca="1" si="1"/>
        <v>F</v>
      </c>
      <c r="D25" s="119" t="str">
        <f ca="1">ORÇAMENTO!O25</f>
        <v>1.2.</v>
      </c>
      <c r="E25" s="172" t="str">
        <f t="shared" si="2"/>
        <v>INSTALAÇÕES HIDRÁULICAS - ENTRADA INDIVIDUALIZADA DE ÁGUA POTÁVEL E REDE ENTERRADA</v>
      </c>
      <c r="F25" s="173" t="str">
        <f ca="1">IF(RegimeExecucao="Global","",ORÇAMENTO.Unidade)</f>
        <v/>
      </c>
      <c r="G25" s="124" t="str">
        <f ca="1">IF(RegimeExecucao="Global","",ORÇAMENTO!T25)</f>
        <v/>
      </c>
      <c r="H25" s="124" t="str">
        <f ca="1">IF(RegimeExecucao="Global","",ORÇAMENTO!W25)</f>
        <v/>
      </c>
      <c r="I25" s="127">
        <f ca="1">ORÇAMENTO!X25</f>
        <v>1353.13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t="shared" ca="1" si="3"/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t="shared" ca="1" si="4"/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t="shared" ca="1" si="5"/>
        <v/>
      </c>
      <c r="U25" s="172" t="str">
        <f t="shared" ca="1" si="6"/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t="shared" ca="1" si="7"/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25.5" x14ac:dyDescent="0.2">
      <c r="A26" t="str">
        <f ca="1">ORÇAMENTO!C26</f>
        <v>S</v>
      </c>
      <c r="B26">
        <f ca="1">ORÇAMENTO!D26</f>
        <v>0</v>
      </c>
      <c r="C26" s="116" t="str">
        <f t="shared" ca="1" si="1"/>
        <v>F</v>
      </c>
      <c r="D26" s="119" t="str">
        <f ca="1">ORÇAMENTO!O26</f>
        <v>1.2.0.1.</v>
      </c>
      <c r="E26" s="172" t="str">
        <f t="shared" ca="1" si="2"/>
        <v>(abra o arquivo 'Referência 03-2024.xlsm)</v>
      </c>
      <c r="F26" s="173" t="str">
        <f ca="1">IF(RegimeExecucao="Global","",ORÇAMENTO.Unidade)</f>
        <v/>
      </c>
      <c r="G26" s="124" t="str">
        <f ca="1">IF(RegimeExecucao="Global","",ORÇAMENTO!T26)</f>
        <v/>
      </c>
      <c r="H26" s="124" t="str">
        <f ca="1">IF(RegimeExecucao="Global","",ORÇAMENTO!W26)</f>
        <v/>
      </c>
      <c r="I26" s="127">
        <f ca="1">ORÇAMENTO!X26</f>
        <v>15.27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3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4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5"/>
        <v/>
      </c>
      <c r="U26" s="172" t="str">
        <f t="shared" ca="1" si="6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7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25.5" x14ac:dyDescent="0.2">
      <c r="A27" t="str">
        <f ca="1">ORÇAMENTO!C27</f>
        <v>S</v>
      </c>
      <c r="B27">
        <f ca="1">ORÇAMENTO!D27</f>
        <v>0</v>
      </c>
      <c r="C27" s="116" t="str">
        <f t="shared" ca="1" si="1"/>
        <v>F</v>
      </c>
      <c r="D27" s="119" t="str">
        <f ca="1">ORÇAMENTO!O27</f>
        <v>1.2.0.2.</v>
      </c>
      <c r="E27" s="172" t="str">
        <f t="shared" ca="1" si="2"/>
        <v>(abra o arquivo 'Referência 03-2024.xlsm)</v>
      </c>
      <c r="F27" s="173" t="str">
        <f ca="1">IF(RegimeExecucao="Global","",ORÇAMENTO.Unidade)</f>
        <v/>
      </c>
      <c r="G27" s="124" t="str">
        <f ca="1">IF(RegimeExecucao="Global","",ORÇAMENTO!T27)</f>
        <v/>
      </c>
      <c r="H27" s="124" t="str">
        <f ca="1">IF(RegimeExecucao="Global","",ORÇAMENTO!W27)</f>
        <v/>
      </c>
      <c r="I27" s="127">
        <f ca="1">ORÇAMENTO!X27</f>
        <v>3.7</v>
      </c>
      <c r="J27" s="378">
        <f ca="1">IF($A27="S",IF(CAIXA.Modo,BM.AFAnterior,BM.MEDAnterior),IF(AND(RegimeExecucao="Global",$I27&gt;0,COUNTIF($AB$13:$AM$13,BM.medicao-1)&gt;0),M27/$I27*100,0))</f>
        <v>0</v>
      </c>
      <c r="K27" s="124">
        <f t="shared" ca="1" si="3"/>
        <v>0</v>
      </c>
      <c r="L27" s="379">
        <f ca="1">IF($A27="S",IF(CAIXA.Modo,BM.AFAcumulado,BM.MEDAcumulado),IF(AND(RegimeExecucao="Global",$I27&gt;0,COUNTIF($AB$13:$AM$13,BM.medicao)&gt;0),O27/$I27*100,0))</f>
        <v>0</v>
      </c>
      <c r="M27" s="380">
        <f ca="1">IF($A27="S",VTOTALBM,IF($A27=0,0,ROUND(SomaAgrupBM,15-13*ORÇAMENTO!$AF$11)))</f>
        <v>0</v>
      </c>
      <c r="N27" s="381">
        <f t="shared" ca="1" si="4"/>
        <v>0</v>
      </c>
      <c r="O27" s="127">
        <f ca="1">IF($A27="S",VTOTALBM,IF($A27=0,0,ROUND(SomaAgrupBM,15-13*ORÇAMENTO!$AF$11)))</f>
        <v>0</v>
      </c>
      <c r="Q27" s="382"/>
      <c r="R27" s="383"/>
      <c r="T27" s="119" t="str">
        <f t="shared" ca="1" si="5"/>
        <v/>
      </c>
      <c r="U27" s="172" t="str">
        <f t="shared" ca="1" si="6"/>
        <v/>
      </c>
      <c r="V27" s="173" t="str">
        <f ca="1">IF(AND($W27&gt;0,RegimeExecucao="Unitário"),$F27,"")</f>
        <v/>
      </c>
      <c r="W27" s="547">
        <f ca="1">IF($Y27&gt;0,CHOOSE(MATCH(RegimeExecucao,{"Unitário","Global"},0),IF($A27="S",$Y27/$X27,""),($Y27/$X27)*100),0)</f>
        <v>0</v>
      </c>
      <c r="X27" s="384" t="str">
        <f ca="1">IF($Y27&gt;0,CHOOSE(MATCH(RegimeExecucao,{"Unitário","Global"},0),IF($A27="S",ROUND($H27,ORÇAMENTO!$AF$10),""),ROUND($I27,ORÇAMENTO!$AF$11)),"")</f>
        <v/>
      </c>
      <c r="Y27" s="384">
        <f t="shared" ca="1" si="7"/>
        <v>0</v>
      </c>
      <c r="Z27" s="572"/>
      <c r="AB27" s="382"/>
      <c r="AC27" s="516"/>
      <c r="AD27" s="516"/>
      <c r="AE27" s="516"/>
      <c r="AF27" s="516"/>
      <c r="AG27" s="516"/>
      <c r="AH27" s="516"/>
      <c r="AI27" s="516"/>
      <c r="AJ27" s="516"/>
      <c r="AK27" s="516"/>
      <c r="AL27" s="516"/>
      <c r="AM27" s="383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ht="25.5" x14ac:dyDescent="0.2">
      <c r="A28" t="str">
        <f ca="1">ORÇAMENTO!C28</f>
        <v>S</v>
      </c>
      <c r="B28">
        <f ca="1">ORÇAMENTO!D28</f>
        <v>0</v>
      </c>
      <c r="C28" s="116" t="str">
        <f t="shared" ca="1" si="1"/>
        <v>F</v>
      </c>
      <c r="D28" s="119" t="str">
        <f ca="1">ORÇAMENTO!O28</f>
        <v>1.2.0.3.</v>
      </c>
      <c r="E28" s="172" t="str">
        <f t="shared" ca="1" si="2"/>
        <v>(abra o arquivo 'Referência 03-2024.xlsm)</v>
      </c>
      <c r="F28" s="173" t="str">
        <f ca="1">IF(RegimeExecucao="Global","",ORÇAMENTO.Unidade)</f>
        <v/>
      </c>
      <c r="G28" s="124" t="str">
        <f ca="1">IF(RegimeExecucao="Global","",ORÇAMENTO!T28)</f>
        <v/>
      </c>
      <c r="H28" s="124" t="str">
        <f ca="1">IF(RegimeExecucao="Global","",ORÇAMENTO!W28)</f>
        <v/>
      </c>
      <c r="I28" s="127">
        <f ca="1">ORÇAMENTO!X28</f>
        <v>7.07</v>
      </c>
      <c r="J28" s="378">
        <f ca="1">IF($A28="S",IF(CAIXA.Modo,BM.AFAnterior,BM.MEDAnterior),IF(AND(RegimeExecucao="Global",$I28&gt;0,COUNTIF($AB$13:$AM$13,BM.medicao-1)&gt;0),M28/$I28*100,0))</f>
        <v>0</v>
      </c>
      <c r="K28" s="124">
        <f t="shared" ca="1" si="3"/>
        <v>0</v>
      </c>
      <c r="L28" s="379">
        <f ca="1">IF($A28="S",IF(CAIXA.Modo,BM.AFAcumulado,BM.MEDAcumulado),IF(AND(RegimeExecucao="Global",$I28&gt;0,COUNTIF($AB$13:$AM$13,BM.medicao)&gt;0),O28/$I28*100,0))</f>
        <v>0</v>
      </c>
      <c r="M28" s="380">
        <f ca="1">IF($A28="S",VTOTALBM,IF($A28=0,0,ROUND(SomaAgrupBM,15-13*ORÇAMENTO!$AF$11)))</f>
        <v>0</v>
      </c>
      <c r="N28" s="381">
        <f t="shared" ca="1" si="4"/>
        <v>0</v>
      </c>
      <c r="O28" s="127">
        <f ca="1">IF($A28="S",VTOTALBM,IF($A28=0,0,ROUND(SomaAgrupBM,15-13*ORÇAMENTO!$AF$11)))</f>
        <v>0</v>
      </c>
      <c r="Q28" s="382"/>
      <c r="R28" s="383"/>
      <c r="T28" s="119" t="str">
        <f t="shared" ca="1" si="5"/>
        <v/>
      </c>
      <c r="U28" s="172" t="str">
        <f t="shared" ca="1" si="6"/>
        <v/>
      </c>
      <c r="V28" s="173" t="str">
        <f ca="1">IF(AND($W28&gt;0,RegimeExecucao="Unitário"),$F28,"")</f>
        <v/>
      </c>
      <c r="W28" s="547">
        <f ca="1">IF($Y28&gt;0,CHOOSE(MATCH(RegimeExecucao,{"Unitário","Global"},0),IF($A28="S",$Y28/$X28,""),($Y28/$X28)*100),0)</f>
        <v>0</v>
      </c>
      <c r="X28" s="384" t="str">
        <f ca="1">IF($Y28&gt;0,CHOOSE(MATCH(RegimeExecucao,{"Unitário","Global"},0),IF($A28="S",ROUND($H28,ORÇAMENTO!$AF$10),""),ROUND($I28,ORÇAMENTO!$AF$11)),"")</f>
        <v/>
      </c>
      <c r="Y28" s="384">
        <f t="shared" ca="1" si="7"/>
        <v>0</v>
      </c>
      <c r="Z28" s="572"/>
      <c r="AB28" s="382"/>
      <c r="AC28" s="516"/>
      <c r="AD28" s="516"/>
      <c r="AE28" s="516"/>
      <c r="AF28" s="516"/>
      <c r="AG28" s="516"/>
      <c r="AH28" s="516"/>
      <c r="AI28" s="516"/>
      <c r="AJ28" s="516"/>
      <c r="AK28" s="516"/>
      <c r="AL28" s="516"/>
      <c r="AM28" s="383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51" x14ac:dyDescent="0.2">
      <c r="A29" t="str">
        <f ca="1">ORÇAMENTO!C29</f>
        <v>S</v>
      </c>
      <c r="B29">
        <f ca="1">ORÇAMENTO!D29</f>
        <v>0</v>
      </c>
      <c r="C29" s="116" t="str">
        <f t="shared" ca="1" si="1"/>
        <v>F</v>
      </c>
      <c r="D29" s="119" t="str">
        <f ca="1">ORÇAMENTO!O29</f>
        <v>1.2.0.4.</v>
      </c>
      <c r="E29" s="172" t="str">
        <f t="shared" ca="1" si="2"/>
        <v>(abra o arquivo 'Referência 03-2024.xlsm)</v>
      </c>
      <c r="F29" s="173" t="str">
        <f ca="1">IF(RegimeExecucao="Global","",ORÇAMENTO.Unidade)</f>
        <v/>
      </c>
      <c r="G29" s="124" t="str">
        <f ca="1">IF(RegimeExecucao="Global","",ORÇAMENTO!T29)</f>
        <v/>
      </c>
      <c r="H29" s="124" t="str">
        <f ca="1">IF(RegimeExecucao="Global","",ORÇAMENTO!W29)</f>
        <v/>
      </c>
      <c r="I29" s="127">
        <f ca="1">ORÇAMENTO!X29</f>
        <v>231.48</v>
      </c>
      <c r="J29" s="378">
        <f ca="1">IF($A29="S",IF(CAIXA.Modo,BM.AFAnterior,BM.MEDAnterior),IF(AND(RegimeExecucao="Global",$I29&gt;0,COUNTIF($AB$13:$AM$13,BM.medicao-1)&gt;0),M29/$I29*100,0))</f>
        <v>0</v>
      </c>
      <c r="K29" s="124">
        <f t="shared" ca="1" si="3"/>
        <v>0</v>
      </c>
      <c r="L29" s="379">
        <f ca="1">IF($A29="S",IF(CAIXA.Modo,BM.AFAcumulado,BM.MEDAcumulado),IF(AND(RegimeExecucao="Global",$I29&gt;0,COUNTIF($AB$13:$AM$13,BM.medicao)&gt;0),O29/$I29*100,0))</f>
        <v>0</v>
      </c>
      <c r="M29" s="380">
        <f ca="1">IF($A29="S",VTOTALBM,IF($A29=0,0,ROUND(SomaAgrupBM,15-13*ORÇAMENTO!$AF$11)))</f>
        <v>0</v>
      </c>
      <c r="N29" s="381">
        <f t="shared" ca="1" si="4"/>
        <v>0</v>
      </c>
      <c r="O29" s="127">
        <f ca="1">IF($A29="S",VTOTALBM,IF($A29=0,0,ROUND(SomaAgrupBM,15-13*ORÇAMENTO!$AF$11)))</f>
        <v>0</v>
      </c>
      <c r="Q29" s="382"/>
      <c r="R29" s="383"/>
      <c r="T29" s="119" t="str">
        <f t="shared" ca="1" si="5"/>
        <v/>
      </c>
      <c r="U29" s="172" t="str">
        <f t="shared" ca="1" si="6"/>
        <v/>
      </c>
      <c r="V29" s="173" t="str">
        <f ca="1">IF(AND($W29&gt;0,RegimeExecucao="Unitário"),$F29,"")</f>
        <v/>
      </c>
      <c r="W29" s="547">
        <f ca="1">IF($Y29&gt;0,CHOOSE(MATCH(RegimeExecucao,{"Unitário","Global"},0),IF($A29="S",$Y29/$X29,""),($Y29/$X29)*100),0)</f>
        <v>0</v>
      </c>
      <c r="X29" s="384" t="str">
        <f ca="1">IF($Y29&gt;0,CHOOSE(MATCH(RegimeExecucao,{"Unitário","Global"},0),IF($A29="S",ROUND($H29,ORÇAMENTO!$AF$10),""),ROUND($I29,ORÇAMENTO!$AF$11)),"")</f>
        <v/>
      </c>
      <c r="Y29" s="384">
        <f t="shared" ca="1" si="7"/>
        <v>0</v>
      </c>
      <c r="Z29" s="572"/>
      <c r="AB29" s="382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383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51" x14ac:dyDescent="0.2">
      <c r="A30" t="str">
        <f ca="1">ORÇAMENTO!C30</f>
        <v>S</v>
      </c>
      <c r="B30">
        <f ca="1">ORÇAMENTO!D30</f>
        <v>0</v>
      </c>
      <c r="C30" s="116" t="str">
        <f t="shared" ca="1" si="1"/>
        <v>F</v>
      </c>
      <c r="D30" s="119" t="str">
        <f ca="1">ORÇAMENTO!O30</f>
        <v>1.2.0.5.</v>
      </c>
      <c r="E30" s="172" t="str">
        <f t="shared" ca="1" si="2"/>
        <v>(abra o arquivo 'Referência 03-2024.xlsm)</v>
      </c>
      <c r="F30" s="173" t="str">
        <f ca="1">IF(RegimeExecucao="Global","",ORÇAMENTO.Unidade)</f>
        <v/>
      </c>
      <c r="G30" s="124" t="str">
        <f ca="1">IF(RegimeExecucao="Global","",ORÇAMENTO!T30)</f>
        <v/>
      </c>
      <c r="H30" s="124" t="str">
        <f ca="1">IF(RegimeExecucao="Global","",ORÇAMENTO!W30)</f>
        <v/>
      </c>
      <c r="I30" s="127">
        <f ca="1">ORÇAMENTO!X30</f>
        <v>228.23</v>
      </c>
      <c r="J30" s="378">
        <f ca="1">IF($A30="S",IF(CAIXA.Modo,BM.AFAnterior,BM.MEDAnterior),IF(AND(RegimeExecucao="Global",$I30&gt;0,COUNTIF($AB$13:$AM$13,BM.medicao-1)&gt;0),M30/$I30*100,0))</f>
        <v>0</v>
      </c>
      <c r="K30" s="124">
        <f t="shared" ca="1" si="3"/>
        <v>0</v>
      </c>
      <c r="L30" s="379">
        <f ca="1">IF($A30="S",IF(CAIXA.Modo,BM.AFAcumulado,BM.MEDAcumulado),IF(AND(RegimeExecucao="Global",$I30&gt;0,COUNTIF($AB$13:$AM$13,BM.medicao)&gt;0),O30/$I30*100,0))</f>
        <v>0</v>
      </c>
      <c r="M30" s="380">
        <f ca="1">IF($A30="S",VTOTALBM,IF($A30=0,0,ROUND(SomaAgrupBM,15-13*ORÇAMENTO!$AF$11)))</f>
        <v>0</v>
      </c>
      <c r="N30" s="381">
        <f t="shared" ca="1" si="4"/>
        <v>0</v>
      </c>
      <c r="O30" s="127">
        <f ca="1">IF($A30="S",VTOTALBM,IF($A30=0,0,ROUND(SomaAgrupBM,15-13*ORÇAMENTO!$AF$11)))</f>
        <v>0</v>
      </c>
      <c r="Q30" s="382"/>
      <c r="R30" s="383"/>
      <c r="T30" s="119" t="str">
        <f t="shared" ca="1" si="5"/>
        <v/>
      </c>
      <c r="U30" s="172" t="str">
        <f t="shared" ca="1" si="6"/>
        <v/>
      </c>
      <c r="V30" s="173" t="str">
        <f ca="1">IF(AND($W30&gt;0,RegimeExecucao="Unitário"),$F30,"")</f>
        <v/>
      </c>
      <c r="W30" s="547">
        <f ca="1">IF($Y30&gt;0,CHOOSE(MATCH(RegimeExecucao,{"Unitário","Global"},0),IF($A30="S",$Y30/$X30,""),($Y30/$X30)*100),0)</f>
        <v>0</v>
      </c>
      <c r="X30" s="384" t="str">
        <f ca="1">IF($Y30&gt;0,CHOOSE(MATCH(RegimeExecucao,{"Unitário","Global"},0),IF($A30="S",ROUND($H30,ORÇAMENTO!$AF$10),""),ROUND($I30,ORÇAMENTO!$AF$11)),"")</f>
        <v/>
      </c>
      <c r="Y30" s="384">
        <f t="shared" ca="1" si="7"/>
        <v>0</v>
      </c>
      <c r="Z30" s="572"/>
      <c r="AB30" s="382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383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51" x14ac:dyDescent="0.2">
      <c r="A31" t="str">
        <f ca="1">ORÇAMENTO!C31</f>
        <v>S</v>
      </c>
      <c r="B31">
        <f ca="1">ORÇAMENTO!D31</f>
        <v>0</v>
      </c>
      <c r="C31" s="116" t="str">
        <f t="shared" ca="1" si="1"/>
        <v>F</v>
      </c>
      <c r="D31" s="119" t="str">
        <f ca="1">ORÇAMENTO!O31</f>
        <v>1.2.0.6.</v>
      </c>
      <c r="E31" s="172" t="str">
        <f t="shared" ca="1" si="2"/>
        <v>(abra o arquivo 'Referência 03-2024.xlsm)</v>
      </c>
      <c r="F31" s="173" t="str">
        <f ca="1">IF(RegimeExecucao="Global","",ORÇAMENTO.Unidade)</f>
        <v/>
      </c>
      <c r="G31" s="124" t="str">
        <f ca="1">IF(RegimeExecucao="Global","",ORÇAMENTO!T31)</f>
        <v/>
      </c>
      <c r="H31" s="124" t="str">
        <f ca="1">IF(RegimeExecucao="Global","",ORÇAMENTO!W31)</f>
        <v/>
      </c>
      <c r="I31" s="127">
        <f ca="1">ORÇAMENTO!X31</f>
        <v>11.29</v>
      </c>
      <c r="J31" s="378">
        <f ca="1">IF($A31="S",IF(CAIXA.Modo,BM.AFAnterior,BM.MEDAnterior),IF(AND(RegimeExecucao="Global",$I31&gt;0,COUNTIF($AB$13:$AM$13,BM.medicao-1)&gt;0),M31/$I31*100,0))</f>
        <v>0</v>
      </c>
      <c r="K31" s="124">
        <f t="shared" ca="1" si="3"/>
        <v>0</v>
      </c>
      <c r="L31" s="379">
        <f ca="1">IF($A31="S",IF(CAIXA.Modo,BM.AFAcumulado,BM.MEDAcumulado),IF(AND(RegimeExecucao="Global",$I31&gt;0,COUNTIF($AB$13:$AM$13,BM.medicao)&gt;0),O31/$I31*100,0))</f>
        <v>0</v>
      </c>
      <c r="M31" s="380">
        <f ca="1">IF($A31="S",VTOTALBM,IF($A31=0,0,ROUND(SomaAgrupBM,15-13*ORÇAMENTO!$AF$11)))</f>
        <v>0</v>
      </c>
      <c r="N31" s="381">
        <f t="shared" ca="1" si="4"/>
        <v>0</v>
      </c>
      <c r="O31" s="127">
        <f ca="1">IF($A31="S",VTOTALBM,IF($A31=0,0,ROUND(SomaAgrupBM,15-13*ORÇAMENTO!$AF$11)))</f>
        <v>0</v>
      </c>
      <c r="Q31" s="382"/>
      <c r="R31" s="383"/>
      <c r="T31" s="119" t="str">
        <f t="shared" ca="1" si="5"/>
        <v/>
      </c>
      <c r="U31" s="172" t="str">
        <f t="shared" ca="1" si="6"/>
        <v/>
      </c>
      <c r="V31" s="173" t="str">
        <f ca="1">IF(AND($W31&gt;0,RegimeExecucao="Unitário"),$F31,"")</f>
        <v/>
      </c>
      <c r="W31" s="547">
        <f ca="1">IF($Y31&gt;0,CHOOSE(MATCH(RegimeExecucao,{"Unitário","Global"},0),IF($A31="S",$Y31/$X31,""),($Y31/$X31)*100),0)</f>
        <v>0</v>
      </c>
      <c r="X31" s="384" t="str">
        <f ca="1">IF($Y31&gt;0,CHOOSE(MATCH(RegimeExecucao,{"Unitário","Global"},0),IF($A31="S",ROUND($H31,ORÇAMENTO!$AF$10),""),ROUND($I31,ORÇAMENTO!$AF$11)),"")</f>
        <v/>
      </c>
      <c r="Y31" s="384">
        <f t="shared" ca="1" si="7"/>
        <v>0</v>
      </c>
      <c r="Z31" s="572"/>
      <c r="AB31" s="382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383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51" x14ac:dyDescent="0.2">
      <c r="A32" t="str">
        <f ca="1">ORÇAMENTO!C32</f>
        <v>S</v>
      </c>
      <c r="B32">
        <f ca="1">ORÇAMENTO!D32</f>
        <v>0</v>
      </c>
      <c r="C32" s="116" t="str">
        <f t="shared" ca="1" si="1"/>
        <v>F</v>
      </c>
      <c r="D32" s="119" t="str">
        <f ca="1">ORÇAMENTO!O32</f>
        <v>1.2.0.7.</v>
      </c>
      <c r="E32" s="172" t="str">
        <f t="shared" ca="1" si="2"/>
        <v>(abra o arquivo 'Referência 03-2024.xlsm)</v>
      </c>
      <c r="F32" s="173" t="str">
        <f ca="1">IF(RegimeExecucao="Global","",ORÇAMENTO.Unidade)</f>
        <v/>
      </c>
      <c r="G32" s="124" t="str">
        <f ca="1">IF(RegimeExecucao="Global","",ORÇAMENTO!T32)</f>
        <v/>
      </c>
      <c r="H32" s="124" t="str">
        <f ca="1">IF(RegimeExecucao="Global","",ORÇAMENTO!W32)</f>
        <v/>
      </c>
      <c r="I32" s="127">
        <f ca="1">ORÇAMENTO!X32</f>
        <v>53.74</v>
      </c>
      <c r="J32" s="378">
        <f ca="1">IF($A32="S",IF(CAIXA.Modo,BM.AFAnterior,BM.MEDAnterior),IF(AND(RegimeExecucao="Global",$I32&gt;0,COUNTIF($AB$13:$AM$13,BM.medicao-1)&gt;0),M32/$I32*100,0))</f>
        <v>0</v>
      </c>
      <c r="K32" s="124">
        <f t="shared" ca="1" si="3"/>
        <v>0</v>
      </c>
      <c r="L32" s="379">
        <f ca="1">IF($A32="S",IF(CAIXA.Modo,BM.AFAcumulado,BM.MEDAcumulado),IF(AND(RegimeExecucao="Global",$I32&gt;0,COUNTIF($AB$13:$AM$13,BM.medicao)&gt;0),O32/$I32*100,0))</f>
        <v>0</v>
      </c>
      <c r="M32" s="380">
        <f ca="1">IF($A32="S",VTOTALBM,IF($A32=0,0,ROUND(SomaAgrupBM,15-13*ORÇAMENTO!$AF$11)))</f>
        <v>0</v>
      </c>
      <c r="N32" s="381">
        <f t="shared" ca="1" si="4"/>
        <v>0</v>
      </c>
      <c r="O32" s="127">
        <f ca="1">IF($A32="S",VTOTALBM,IF($A32=0,0,ROUND(SomaAgrupBM,15-13*ORÇAMENTO!$AF$11)))</f>
        <v>0</v>
      </c>
      <c r="Q32" s="382"/>
      <c r="R32" s="383"/>
      <c r="T32" s="119" t="str">
        <f t="shared" ca="1" si="5"/>
        <v/>
      </c>
      <c r="U32" s="172" t="str">
        <f t="shared" ca="1" si="6"/>
        <v/>
      </c>
      <c r="V32" s="173" t="str">
        <f ca="1">IF(AND($W32&gt;0,RegimeExecucao="Unitário"),$F32,"")</f>
        <v/>
      </c>
      <c r="W32" s="547">
        <f ca="1">IF($Y32&gt;0,CHOOSE(MATCH(RegimeExecucao,{"Unitário","Global"},0),IF($A32="S",$Y32/$X32,""),($Y32/$X32)*100),0)</f>
        <v>0</v>
      </c>
      <c r="X32" s="384" t="str">
        <f ca="1">IF($Y32&gt;0,CHOOSE(MATCH(RegimeExecucao,{"Unitário","Global"},0),IF($A32="S",ROUND($H32,ORÇAMENTO!$AF$10),""),ROUND($I32,ORÇAMENTO!$AF$11)),"")</f>
        <v/>
      </c>
      <c r="Y32" s="384">
        <f t="shared" ca="1" si="7"/>
        <v>0</v>
      </c>
      <c r="Z32" s="572"/>
      <c r="AB32" s="382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383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ht="25.5" x14ac:dyDescent="0.2">
      <c r="A33" t="str">
        <f ca="1">ORÇAMENTO!C33</f>
        <v>S</v>
      </c>
      <c r="B33">
        <f ca="1">ORÇAMENTO!D33</f>
        <v>0</v>
      </c>
      <c r="C33" s="116" t="str">
        <f t="shared" ca="1" si="1"/>
        <v>F</v>
      </c>
      <c r="D33" s="119" t="str">
        <f ca="1">ORÇAMENTO!O33</f>
        <v>1.2.0.8.</v>
      </c>
      <c r="E33" s="172" t="str">
        <f t="shared" ca="1" si="2"/>
        <v>(abra o arquivo 'Referência 03-2024.xlsm)</v>
      </c>
      <c r="F33" s="173" t="str">
        <f ca="1">IF(RegimeExecucao="Global","",ORÇAMENTO.Unidade)</f>
        <v/>
      </c>
      <c r="G33" s="124" t="str">
        <f ca="1">IF(RegimeExecucao="Global","",ORÇAMENTO!T33)</f>
        <v/>
      </c>
      <c r="H33" s="124" t="str">
        <f ca="1">IF(RegimeExecucao="Global","",ORÇAMENTO!W33)</f>
        <v/>
      </c>
      <c r="I33" s="127">
        <f ca="1">ORÇAMENTO!X33</f>
        <v>6.28</v>
      </c>
      <c r="J33" s="378">
        <f ca="1">IF($A33="S",IF(CAIXA.Modo,BM.AFAnterior,BM.MEDAnterior),IF(AND(RegimeExecucao="Global",$I33&gt;0,COUNTIF($AB$13:$AM$13,BM.medicao-1)&gt;0),M33/$I33*100,0))</f>
        <v>0</v>
      </c>
      <c r="K33" s="124">
        <f t="shared" ca="1" si="3"/>
        <v>0</v>
      </c>
      <c r="L33" s="379">
        <f ca="1">IF($A33="S",IF(CAIXA.Modo,BM.AFAcumulado,BM.MEDAcumulado),IF(AND(RegimeExecucao="Global",$I33&gt;0,COUNTIF($AB$13:$AM$13,BM.medicao)&gt;0),O33/$I33*100,0))</f>
        <v>0</v>
      </c>
      <c r="M33" s="380">
        <f ca="1">IF($A33="S",VTOTALBM,IF($A33=0,0,ROUND(SomaAgrupBM,15-13*ORÇAMENTO!$AF$11)))</f>
        <v>0</v>
      </c>
      <c r="N33" s="381">
        <f t="shared" ca="1" si="4"/>
        <v>0</v>
      </c>
      <c r="O33" s="127">
        <f ca="1">IF($A33="S",VTOTALBM,IF($A33=0,0,ROUND(SomaAgrupBM,15-13*ORÇAMENTO!$AF$11)))</f>
        <v>0</v>
      </c>
      <c r="Q33" s="382"/>
      <c r="R33" s="383"/>
      <c r="T33" s="119" t="str">
        <f t="shared" ca="1" si="5"/>
        <v/>
      </c>
      <c r="U33" s="172" t="str">
        <f t="shared" ca="1" si="6"/>
        <v/>
      </c>
      <c r="V33" s="173" t="str">
        <f ca="1">IF(AND($W33&gt;0,RegimeExecucao="Unitário"),$F33,"")</f>
        <v/>
      </c>
      <c r="W33" s="547">
        <f ca="1">IF($Y33&gt;0,CHOOSE(MATCH(RegimeExecucao,{"Unitário","Global"},0),IF($A33="S",$Y33/$X33,""),($Y33/$X33)*100),0)</f>
        <v>0</v>
      </c>
      <c r="X33" s="384" t="str">
        <f ca="1">IF($Y33&gt;0,CHOOSE(MATCH(RegimeExecucao,{"Unitário","Global"},0),IF($A33="S",ROUND($H33,ORÇAMENTO!$AF$10),""),ROUND($I33,ORÇAMENTO!$AF$11)),"")</f>
        <v/>
      </c>
      <c r="Y33" s="384">
        <f t="shared" ca="1" si="7"/>
        <v>0</v>
      </c>
      <c r="Z33" s="572"/>
      <c r="AB33" s="382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383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25.5" x14ac:dyDescent="0.2">
      <c r="A34" t="str">
        <f ca="1">ORÇAMENTO!C34</f>
        <v>S</v>
      </c>
      <c r="B34">
        <f ca="1">ORÇAMENTO!D34</f>
        <v>0</v>
      </c>
      <c r="C34" s="116" t="str">
        <f t="shared" ca="1" si="1"/>
        <v>F</v>
      </c>
      <c r="D34" s="119" t="str">
        <f ca="1">ORÇAMENTO!O34</f>
        <v>1.2.0.9.</v>
      </c>
      <c r="E34" s="172" t="str">
        <f t="shared" ca="1" si="2"/>
        <v>(abra o arquivo 'Referência 03-2024.xlsm)</v>
      </c>
      <c r="F34" s="173" t="str">
        <f ca="1">IF(RegimeExecucao="Global","",ORÇAMENTO.Unidade)</f>
        <v/>
      </c>
      <c r="G34" s="124" t="str">
        <f ca="1">IF(RegimeExecucao="Global","",ORÇAMENTO!T34)</f>
        <v/>
      </c>
      <c r="H34" s="124" t="str">
        <f ca="1">IF(RegimeExecucao="Global","",ORÇAMENTO!W34)</f>
        <v/>
      </c>
      <c r="I34" s="127">
        <f ca="1">ORÇAMENTO!X34</f>
        <v>33.229999999999997</v>
      </c>
      <c r="J34" s="378">
        <f ca="1">IF($A34="S",IF(CAIXA.Modo,BM.AFAnterior,BM.MEDAnterior),IF(AND(RegimeExecucao="Global",$I34&gt;0,COUNTIF($AB$13:$AM$13,BM.medicao-1)&gt;0),M34/$I34*100,0))</f>
        <v>0</v>
      </c>
      <c r="K34" s="124">
        <f t="shared" ca="1" si="3"/>
        <v>0</v>
      </c>
      <c r="L34" s="379">
        <f ca="1">IF($A34="S",IF(CAIXA.Modo,BM.AFAcumulado,BM.MEDAcumulado),IF(AND(RegimeExecucao="Global",$I34&gt;0,COUNTIF($AB$13:$AM$13,BM.medicao)&gt;0),O34/$I34*100,0))</f>
        <v>0</v>
      </c>
      <c r="M34" s="380">
        <f ca="1">IF($A34="S",VTOTALBM,IF($A34=0,0,ROUND(SomaAgrupBM,15-13*ORÇAMENTO!$AF$11)))</f>
        <v>0</v>
      </c>
      <c r="N34" s="381">
        <f t="shared" ca="1" si="4"/>
        <v>0</v>
      </c>
      <c r="O34" s="127">
        <f ca="1">IF($A34="S",VTOTALBM,IF($A34=0,0,ROUND(SomaAgrupBM,15-13*ORÇAMENTO!$AF$11)))</f>
        <v>0</v>
      </c>
      <c r="Q34" s="382"/>
      <c r="R34" s="383"/>
      <c r="T34" s="119" t="str">
        <f t="shared" ca="1" si="5"/>
        <v/>
      </c>
      <c r="U34" s="172" t="str">
        <f t="shared" ca="1" si="6"/>
        <v/>
      </c>
      <c r="V34" s="173" t="str">
        <f ca="1">IF(AND($W34&gt;0,RegimeExecucao="Unitário"),$F34,"")</f>
        <v/>
      </c>
      <c r="W34" s="547">
        <f ca="1">IF($Y34&gt;0,CHOOSE(MATCH(RegimeExecucao,{"Unitário","Global"},0),IF($A34="S",$Y34/$X34,""),($Y34/$X34)*100),0)</f>
        <v>0</v>
      </c>
      <c r="X34" s="384" t="str">
        <f ca="1">IF($Y34&gt;0,CHOOSE(MATCH(RegimeExecucao,{"Unitário","Global"},0),IF($A34="S",ROUND($H34,ORÇAMENTO!$AF$10),""),ROUND($I34,ORÇAMENTO!$AF$11)),"")</f>
        <v/>
      </c>
      <c r="Y34" s="384">
        <f t="shared" ca="1" si="7"/>
        <v>0</v>
      </c>
      <c r="Z34" s="572"/>
      <c r="AB34" s="382"/>
      <c r="AC34" s="516"/>
      <c r="AD34" s="516"/>
      <c r="AE34" s="516"/>
      <c r="AF34" s="516"/>
      <c r="AG34" s="516"/>
      <c r="AH34" s="516"/>
      <c r="AI34" s="516"/>
      <c r="AJ34" s="516"/>
      <c r="AK34" s="516"/>
      <c r="AL34" s="516"/>
      <c r="AM34" s="383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ht="63.75" x14ac:dyDescent="0.2">
      <c r="A35" t="str">
        <f ca="1">ORÇAMENTO!C35</f>
        <v>S</v>
      </c>
      <c r="B35">
        <f ca="1">ORÇAMENTO!D35</f>
        <v>0</v>
      </c>
      <c r="C35" s="116" t="str">
        <f ca="1">IF(OR($I35&gt;0,$A35=1,$A35=2,$A35=3,$A35=4),"F","")</f>
        <v>F</v>
      </c>
      <c r="D35" s="119" t="str">
        <f ca="1">ORÇAMENTO!O35</f>
        <v>1.2.0.10.</v>
      </c>
      <c r="E35" s="172" t="str">
        <f ca="1">ORÇAMENTO.Descricao</f>
        <v>(abra o arquivo 'Referência 03-2024.xlsm)</v>
      </c>
      <c r="F35" s="173" t="str">
        <f ca="1">IF(RegimeExecucao="Global","",ORÇAMENTO.Unidade)</f>
        <v/>
      </c>
      <c r="G35" s="124" t="str">
        <f ca="1">IF(RegimeExecucao="Global","",ORÇAMENTO!T35)</f>
        <v/>
      </c>
      <c r="H35" s="124" t="str">
        <f ca="1">IF(RegimeExecucao="Global","",ORÇAMENTO!W35)</f>
        <v/>
      </c>
      <c r="I35" s="127">
        <f ca="1">ORÇAMENTO!X35</f>
        <v>52.93</v>
      </c>
      <c r="J35" s="378">
        <f ca="1">IF($A35="S",IF(CAIXA.Modo,BM.AFAnterior,BM.MEDAnterior),IF(AND(RegimeExecucao="Global",$I35&gt;0,COUNTIF($AB$13:$AM$13,BM.medicao-1)&gt;0),M35/$I35*100,0))</f>
        <v>0</v>
      </c>
      <c r="K35" s="124">
        <f ca="1">L35-J35</f>
        <v>0</v>
      </c>
      <c r="L35" s="379">
        <f ca="1">IF($A35="S",IF(CAIXA.Modo,BM.AFAcumulado,BM.MEDAcumulado),IF(AND(RegimeExecucao="Global",$I35&gt;0,COUNTIF($AB$13:$AM$13,BM.medicao)&gt;0),O35/$I35*100,0))</f>
        <v>0</v>
      </c>
      <c r="M35" s="380">
        <f ca="1">IF($A35="S",VTOTALBM,IF($A35=0,0,ROUND(SomaAgrupBM,15-13*ORÇAMENTO!$AF$11)))</f>
        <v>0</v>
      </c>
      <c r="N35" s="381">
        <f ca="1">O35-M35</f>
        <v>0</v>
      </c>
      <c r="O35" s="127">
        <f ca="1">IF($A35="S",VTOTALBM,IF($A35=0,0,ROUND(SomaAgrupBM,15-13*ORÇAMENTO!$AF$11)))</f>
        <v>0</v>
      </c>
      <c r="Q35" s="382"/>
      <c r="R35" s="383"/>
      <c r="T35" s="119" t="str">
        <f ca="1">IF($W35&gt;0,$D35,"")</f>
        <v/>
      </c>
      <c r="U35" s="172" t="str">
        <f ca="1">IF($W35&gt;0,$E35,"")</f>
        <v/>
      </c>
      <c r="V35" s="173" t="str">
        <f ca="1">IF(AND($W35&gt;0,RegimeExecucao="Unitário"),$F35,"")</f>
        <v/>
      </c>
      <c r="W35" s="547">
        <f ca="1">IF($Y35&gt;0,CHOOSE(MATCH(RegimeExecucao,{"Unitário","Global"},0),IF($A35="S",$Y35/$X35,""),($Y35/$X35)*100),0)</f>
        <v>0</v>
      </c>
      <c r="X35" s="384" t="str">
        <f ca="1">IF($Y35&gt;0,CHOOSE(MATCH(RegimeExecucao,{"Unitário","Global"},0),IF($A35="S",ROUND($H35,ORÇAMENTO!$AF$10),""),ROUND($I35,ORÇAMENTO!$AF$11)),"")</f>
        <v/>
      </c>
      <c r="Y35" s="384">
        <f ca="1">AO35-O35</f>
        <v>0</v>
      </c>
      <c r="Z35" s="572"/>
      <c r="AB35" s="382"/>
      <c r="AC35" s="516"/>
      <c r="AD35" s="516"/>
      <c r="AE35" s="516"/>
      <c r="AF35" s="516"/>
      <c r="AG35" s="516"/>
      <c r="AH35" s="516"/>
      <c r="AI35" s="516"/>
      <c r="AJ35" s="516"/>
      <c r="AK35" s="516"/>
      <c r="AL35" s="516"/>
      <c r="AM35" s="383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51" x14ac:dyDescent="0.2">
      <c r="A36" t="str">
        <f ca="1">ORÇAMENTO!C36</f>
        <v>S</v>
      </c>
      <c r="B36">
        <f ca="1">ORÇAMENTO!D36</f>
        <v>0</v>
      </c>
      <c r="C36" s="116" t="str">
        <f ca="1">IF(OR($I36&gt;0,$A36=1,$A36=2,$A36=3,$A36=4),"F","")</f>
        <v>F</v>
      </c>
      <c r="D36" s="119" t="str">
        <f ca="1">ORÇAMENTO!O36</f>
        <v>1.2.0.11.</v>
      </c>
      <c r="E36" s="172" t="str">
        <f ca="1">ORÇAMENTO.Descricao</f>
        <v>(abra o arquivo 'Referência 03-2024.xlsm)</v>
      </c>
      <c r="F36" s="173" t="str">
        <f ca="1">IF(RegimeExecucao="Global","",ORÇAMENTO.Unidade)</f>
        <v/>
      </c>
      <c r="G36" s="124" t="str">
        <f ca="1">IF(RegimeExecucao="Global","",ORÇAMENTO!T36)</f>
        <v/>
      </c>
      <c r="H36" s="124" t="str">
        <f ca="1">IF(RegimeExecucao="Global","",ORÇAMENTO!W36)</f>
        <v/>
      </c>
      <c r="I36" s="127">
        <f ca="1">ORÇAMENTO!X36</f>
        <v>75.14</v>
      </c>
      <c r="J36" s="378">
        <f ca="1">IF($A36="S",IF(CAIXA.Modo,BM.AFAnterior,BM.MEDAnterior),IF(AND(RegimeExecucao="Global",$I36&gt;0,COUNTIF($AB$13:$AM$13,BM.medicao-1)&gt;0),M36/$I36*100,0))</f>
        <v>0</v>
      </c>
      <c r="K36" s="124">
        <f ca="1">L36-J36</f>
        <v>0</v>
      </c>
      <c r="L36" s="379">
        <f ca="1">IF($A36="S",IF(CAIXA.Modo,BM.AFAcumulado,BM.MEDAcumulado),IF(AND(RegimeExecucao="Global",$I36&gt;0,COUNTIF($AB$13:$AM$13,BM.medicao)&gt;0),O36/$I36*100,0))</f>
        <v>0</v>
      </c>
      <c r="M36" s="380">
        <f ca="1">IF($A36="S",VTOTALBM,IF($A36=0,0,ROUND(SomaAgrupBM,15-13*ORÇAMENTO!$AF$11)))</f>
        <v>0</v>
      </c>
      <c r="N36" s="381">
        <f ca="1">O36-M36</f>
        <v>0</v>
      </c>
      <c r="O36" s="127">
        <f ca="1">IF($A36="S",VTOTALBM,IF($A36=0,0,ROUND(SomaAgrupBM,15-13*ORÇAMENTO!$AF$11)))</f>
        <v>0</v>
      </c>
      <c r="Q36" s="382"/>
      <c r="R36" s="383"/>
      <c r="T36" s="119" t="str">
        <f ca="1">IF($W36&gt;0,$D36,"")</f>
        <v/>
      </c>
      <c r="U36" s="172" t="str">
        <f ca="1">IF($W36&gt;0,$E36,"")</f>
        <v/>
      </c>
      <c r="V36" s="173" t="str">
        <f ca="1">IF(AND($W36&gt;0,RegimeExecucao="Unitário"),$F36,"")</f>
        <v/>
      </c>
      <c r="W36" s="547">
        <f ca="1">IF($Y36&gt;0,CHOOSE(MATCH(RegimeExecucao,{"Unitário","Global"},0),IF($A36="S",$Y36/$X36,""),($Y36/$X36)*100),0)</f>
        <v>0</v>
      </c>
      <c r="X36" s="384" t="str">
        <f ca="1">IF($Y36&gt;0,CHOOSE(MATCH(RegimeExecucao,{"Unitário","Global"},0),IF($A36="S",ROUND($H36,ORÇAMENTO!$AF$10),""),ROUND($I36,ORÇAMENTO!$AF$11)),"")</f>
        <v/>
      </c>
      <c r="Y36" s="384">
        <f ca="1">AO36-O36</f>
        <v>0</v>
      </c>
      <c r="Z36" s="572"/>
      <c r="AB36" s="382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383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ht="25.5" x14ac:dyDescent="0.2">
      <c r="A37" t="str">
        <f ca="1">ORÇAMENTO!C37</f>
        <v>S</v>
      </c>
      <c r="B37">
        <f ca="1">ORÇAMENTO!D37</f>
        <v>0</v>
      </c>
      <c r="C37" s="116" t="str">
        <f t="shared" ca="1" si="1"/>
        <v>F</v>
      </c>
      <c r="D37" s="119" t="str">
        <f ca="1">ORÇAMENTO!O37</f>
        <v>1.2.0.12.</v>
      </c>
      <c r="E37" s="172" t="str">
        <f t="shared" ca="1" si="2"/>
        <v>(abra o arquivo 'Referência 03-2024.xlsm)</v>
      </c>
      <c r="F37" s="173" t="str">
        <f ca="1">IF(RegimeExecucao="Global","",ORÇAMENTO.Unidade)</f>
        <v/>
      </c>
      <c r="G37" s="124" t="str">
        <f ca="1">IF(RegimeExecucao="Global","",ORÇAMENTO!T37)</f>
        <v/>
      </c>
      <c r="H37" s="124" t="str">
        <f ca="1">IF(RegimeExecucao="Global","",ORÇAMENTO!W37)</f>
        <v/>
      </c>
      <c r="I37" s="127">
        <f ca="1">ORÇAMENTO!X37</f>
        <v>526.5</v>
      </c>
      <c r="J37" s="378">
        <f ca="1">IF($A37="S",IF(CAIXA.Modo,BM.AFAnterior,BM.MEDAnterior),IF(AND(RegimeExecucao="Global",$I37&gt;0,COUNTIF($AB$13:$AM$13,BM.medicao-1)&gt;0),M37/$I37*100,0))</f>
        <v>0</v>
      </c>
      <c r="K37" s="124">
        <f t="shared" ca="1" si="3"/>
        <v>0</v>
      </c>
      <c r="L37" s="379">
        <f ca="1">IF($A37="S",IF(CAIXA.Modo,BM.AFAcumulado,BM.MEDAcumulado),IF(AND(RegimeExecucao="Global",$I37&gt;0,COUNTIF($AB$13:$AM$13,BM.medicao)&gt;0),O37/$I37*100,0))</f>
        <v>0</v>
      </c>
      <c r="M37" s="380">
        <f ca="1">IF($A37="S",VTOTALBM,IF($A37=0,0,ROUND(SomaAgrupBM,15-13*ORÇAMENTO!$AF$11)))</f>
        <v>0</v>
      </c>
      <c r="N37" s="381">
        <f t="shared" ca="1" si="4"/>
        <v>0</v>
      </c>
      <c r="O37" s="127">
        <f ca="1">IF($A37="S",VTOTALBM,IF($A37=0,0,ROUND(SomaAgrupBM,15-13*ORÇAMENTO!$AF$11)))</f>
        <v>0</v>
      </c>
      <c r="Q37" s="382"/>
      <c r="R37" s="383"/>
      <c r="T37" s="119" t="str">
        <f t="shared" ca="1" si="5"/>
        <v/>
      </c>
      <c r="U37" s="172" t="str">
        <f t="shared" ca="1" si="6"/>
        <v/>
      </c>
      <c r="V37" s="173" t="str">
        <f ca="1">IF(AND($W37&gt;0,RegimeExecucao="Unitário"),$F37,"")</f>
        <v/>
      </c>
      <c r="W37" s="547">
        <f ca="1">IF($Y37&gt;0,CHOOSE(MATCH(RegimeExecucao,{"Unitário","Global"},0),IF($A37="S",$Y37/$X37,""),($Y37/$X37)*100),0)</f>
        <v>0</v>
      </c>
      <c r="X37" s="384" t="str">
        <f ca="1">IF($Y37&gt;0,CHOOSE(MATCH(RegimeExecucao,{"Unitário","Global"},0),IF($A37="S",ROUND($H37,ORÇAMENTO!$AF$10),""),ROUND($I37,ORÇAMENTO!$AF$11)),"")</f>
        <v/>
      </c>
      <c r="Y37" s="384">
        <f t="shared" ca="1" si="7"/>
        <v>0</v>
      </c>
      <c r="Z37" s="572"/>
      <c r="AB37" s="382"/>
      <c r="AC37" s="516"/>
      <c r="AD37" s="516"/>
      <c r="AE37" s="516"/>
      <c r="AF37" s="516"/>
      <c r="AG37" s="516"/>
      <c r="AH37" s="516"/>
      <c r="AI37" s="516"/>
      <c r="AJ37" s="516"/>
      <c r="AK37" s="516"/>
      <c r="AL37" s="516"/>
      <c r="AM37" s="383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38.25" x14ac:dyDescent="0.2">
      <c r="A38" t="str">
        <f ca="1">ORÇAMENTO!C38</f>
        <v>S</v>
      </c>
      <c r="B38">
        <f ca="1">ORÇAMENTO!D38</f>
        <v>0</v>
      </c>
      <c r="C38" s="116" t="str">
        <f t="shared" ca="1" si="1"/>
        <v>F</v>
      </c>
      <c r="D38" s="119" t="str">
        <f ca="1">ORÇAMENTO!O38</f>
        <v>1.2.0.13.</v>
      </c>
      <c r="E38" s="172" t="str">
        <f t="shared" ca="1" si="2"/>
        <v>(abra o arquivo 'Referência 03-2024.xlsm)</v>
      </c>
      <c r="F38" s="173" t="str">
        <f ca="1">IF(RegimeExecucao="Global","",ORÇAMENTO.Unidade)</f>
        <v/>
      </c>
      <c r="G38" s="124" t="str">
        <f ca="1">IF(RegimeExecucao="Global","",ORÇAMENTO!T38)</f>
        <v/>
      </c>
      <c r="H38" s="124" t="str">
        <f ca="1">IF(RegimeExecucao="Global","",ORÇAMENTO!W38)</f>
        <v/>
      </c>
      <c r="I38" s="127">
        <f ca="1">ORÇAMENTO!X38</f>
        <v>31.1</v>
      </c>
      <c r="J38" s="378">
        <f ca="1">IF($A38="S",IF(CAIXA.Modo,BM.AFAnterior,BM.MEDAnterior),IF(AND(RegimeExecucao="Global",$I38&gt;0,COUNTIF($AB$13:$AM$13,BM.medicao-1)&gt;0),M38/$I38*100,0))</f>
        <v>0</v>
      </c>
      <c r="K38" s="124">
        <f t="shared" ca="1" si="3"/>
        <v>0</v>
      </c>
      <c r="L38" s="379">
        <f ca="1">IF($A38="S",IF(CAIXA.Modo,BM.AFAcumulado,BM.MEDAcumulado),IF(AND(RegimeExecucao="Global",$I38&gt;0,COUNTIF($AB$13:$AM$13,BM.medicao)&gt;0),O38/$I38*100,0))</f>
        <v>0</v>
      </c>
      <c r="M38" s="380">
        <f ca="1">IF($A38="S",VTOTALBM,IF($A38=0,0,ROUND(SomaAgrupBM,15-13*ORÇAMENTO!$AF$11)))</f>
        <v>0</v>
      </c>
      <c r="N38" s="381">
        <f t="shared" ca="1" si="4"/>
        <v>0</v>
      </c>
      <c r="O38" s="127">
        <f ca="1">IF($A38="S",VTOTALBM,IF($A38=0,0,ROUND(SomaAgrupBM,15-13*ORÇAMENTO!$AF$11)))</f>
        <v>0</v>
      </c>
      <c r="Q38" s="382"/>
      <c r="R38" s="383"/>
      <c r="T38" s="119" t="str">
        <f t="shared" ca="1" si="5"/>
        <v/>
      </c>
      <c r="U38" s="172" t="str">
        <f t="shared" ca="1" si="6"/>
        <v/>
      </c>
      <c r="V38" s="173" t="str">
        <f ca="1">IF(AND($W38&gt;0,RegimeExecucao="Unitário"),$F38,"")</f>
        <v/>
      </c>
      <c r="W38" s="547">
        <f ca="1">IF($Y38&gt;0,CHOOSE(MATCH(RegimeExecucao,{"Unitário","Global"},0),IF($A38="S",$Y38/$X38,""),($Y38/$X38)*100),0)</f>
        <v>0</v>
      </c>
      <c r="X38" s="384" t="str">
        <f ca="1">IF($Y38&gt;0,CHOOSE(MATCH(RegimeExecucao,{"Unitário","Global"},0),IF($A38="S",ROUND($H38,ORÇAMENTO!$AF$10),""),ROUND($I38,ORÇAMENTO!$AF$11)),"")</f>
        <v/>
      </c>
      <c r="Y38" s="384">
        <f t="shared" ca="1" si="7"/>
        <v>0</v>
      </c>
      <c r="Z38" s="572"/>
      <c r="AB38" s="382"/>
      <c r="AC38" s="516"/>
      <c r="AD38" s="516"/>
      <c r="AE38" s="516"/>
      <c r="AF38" s="516"/>
      <c r="AG38" s="516"/>
      <c r="AH38" s="516"/>
      <c r="AI38" s="516"/>
      <c r="AJ38" s="516"/>
      <c r="AK38" s="516"/>
      <c r="AL38" s="516"/>
      <c r="AM38" s="383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25.5" x14ac:dyDescent="0.2">
      <c r="A39" t="str">
        <f ca="1">ORÇAMENTO!C39</f>
        <v>S</v>
      </c>
      <c r="B39">
        <f ca="1">ORÇAMENTO!D39</f>
        <v>0</v>
      </c>
      <c r="C39" s="116" t="str">
        <f t="shared" ca="1" si="1"/>
        <v>F</v>
      </c>
      <c r="D39" s="119" t="str">
        <f ca="1">ORÇAMENTO!O39</f>
        <v>1.2.0.14.</v>
      </c>
      <c r="E39" s="172" t="str">
        <f t="shared" ca="1" si="2"/>
        <v>(abra o arquivo 'Referência 03-2024.xlsm)</v>
      </c>
      <c r="F39" s="173" t="str">
        <f ca="1">IF(RegimeExecucao="Global","",ORÇAMENTO.Unidade)</f>
        <v/>
      </c>
      <c r="G39" s="124" t="str">
        <f ca="1">IF(RegimeExecucao="Global","",ORÇAMENTO!T39)</f>
        <v/>
      </c>
      <c r="H39" s="124" t="str">
        <f ca="1">IF(RegimeExecucao="Global","",ORÇAMENTO!W39)</f>
        <v/>
      </c>
      <c r="I39" s="127">
        <f ca="1">ORÇAMENTO!X39</f>
        <v>53.51</v>
      </c>
      <c r="J39" s="378">
        <f ca="1">IF($A39="S",IF(CAIXA.Modo,BM.AFAnterior,BM.MEDAnterior),IF(AND(RegimeExecucao="Global",$I39&gt;0,COUNTIF($AB$13:$AM$13,BM.medicao-1)&gt;0),M39/$I39*100,0))</f>
        <v>0</v>
      </c>
      <c r="K39" s="124">
        <f t="shared" ca="1" si="3"/>
        <v>0</v>
      </c>
      <c r="L39" s="379">
        <f ca="1">IF($A39="S",IF(CAIXA.Modo,BM.AFAcumulado,BM.MEDAcumulado),IF(AND(RegimeExecucao="Global",$I39&gt;0,COUNTIF($AB$13:$AM$13,BM.medicao)&gt;0),O39/$I39*100,0))</f>
        <v>0</v>
      </c>
      <c r="M39" s="380">
        <f ca="1">IF($A39="S",VTOTALBM,IF($A39=0,0,ROUND(SomaAgrupBM,15-13*ORÇAMENTO!$AF$11)))</f>
        <v>0</v>
      </c>
      <c r="N39" s="381">
        <f t="shared" ca="1" si="4"/>
        <v>0</v>
      </c>
      <c r="O39" s="127">
        <f ca="1">IF($A39="S",VTOTALBM,IF($A39=0,0,ROUND(SomaAgrupBM,15-13*ORÇAMENTO!$AF$11)))</f>
        <v>0</v>
      </c>
      <c r="Q39" s="382"/>
      <c r="R39" s="383"/>
      <c r="T39" s="119" t="str">
        <f t="shared" ca="1" si="5"/>
        <v/>
      </c>
      <c r="U39" s="172" t="str">
        <f t="shared" ca="1" si="6"/>
        <v/>
      </c>
      <c r="V39" s="173" t="str">
        <f ca="1">IF(AND($W39&gt;0,RegimeExecucao="Unitário"),$F39,"")</f>
        <v/>
      </c>
      <c r="W39" s="547">
        <f ca="1">IF($Y39&gt;0,CHOOSE(MATCH(RegimeExecucao,{"Unitário","Global"},0),IF($A39="S",$Y39/$X39,""),($Y39/$X39)*100),0)</f>
        <v>0</v>
      </c>
      <c r="X39" s="384" t="str">
        <f ca="1">IF($Y39&gt;0,CHOOSE(MATCH(RegimeExecucao,{"Unitário","Global"},0),IF($A39="S",ROUND($H39,ORÇAMENTO!$AF$10),""),ROUND($I39,ORÇAMENTO!$AF$11)),"")</f>
        <v/>
      </c>
      <c r="Y39" s="384">
        <f t="shared" ca="1" si="7"/>
        <v>0</v>
      </c>
      <c r="Z39" s="572"/>
      <c r="AB39" s="382"/>
      <c r="AC39" s="516"/>
      <c r="AD39" s="516"/>
      <c r="AE39" s="516"/>
      <c r="AF39" s="516"/>
      <c r="AG39" s="516"/>
      <c r="AH39" s="516"/>
      <c r="AI39" s="516"/>
      <c r="AJ39" s="516"/>
      <c r="AK39" s="516"/>
      <c r="AL39" s="516"/>
      <c r="AM39" s="383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ht="25.5" x14ac:dyDescent="0.2">
      <c r="A40" t="str">
        <f ca="1">ORÇAMENTO!C40</f>
        <v>S</v>
      </c>
      <c r="B40">
        <f ca="1">ORÇAMENTO!D40</f>
        <v>0</v>
      </c>
      <c r="C40" s="116" t="str">
        <f t="shared" ca="1" si="1"/>
        <v>F</v>
      </c>
      <c r="D40" s="119" t="str">
        <f ca="1">ORÇAMENTO!O40</f>
        <v>1.2.0.15.</v>
      </c>
      <c r="E40" s="172" t="str">
        <f t="shared" ca="1" si="2"/>
        <v>(abra o arquivo 'Referência 03-2024.xlsm)</v>
      </c>
      <c r="F40" s="173" t="str">
        <f ca="1">IF(RegimeExecucao="Global","",ORÇAMENTO.Unidade)</f>
        <v/>
      </c>
      <c r="G40" s="124" t="str">
        <f ca="1">IF(RegimeExecucao="Global","",ORÇAMENTO!T40)</f>
        <v/>
      </c>
      <c r="H40" s="124" t="str">
        <f ca="1">IF(RegimeExecucao="Global","",ORÇAMENTO!W40)</f>
        <v/>
      </c>
      <c r="I40" s="127">
        <f ca="1">ORÇAMENTO!X40</f>
        <v>23.66</v>
      </c>
      <c r="J40" s="378">
        <f ca="1">IF($A40="S",IF(CAIXA.Modo,BM.AFAnterior,BM.MEDAnterior),IF(AND(RegimeExecucao="Global",$I40&gt;0,COUNTIF($AB$13:$AM$13,BM.medicao-1)&gt;0),M40/$I40*100,0))</f>
        <v>0</v>
      </c>
      <c r="K40" s="124">
        <f t="shared" ca="1" si="3"/>
        <v>0</v>
      </c>
      <c r="L40" s="379">
        <f ca="1">IF($A40="S",IF(CAIXA.Modo,BM.AFAcumulado,BM.MEDAcumulado),IF(AND(RegimeExecucao="Global",$I40&gt;0,COUNTIF($AB$13:$AM$13,BM.medicao)&gt;0),O40/$I40*100,0))</f>
        <v>0</v>
      </c>
      <c r="M40" s="380">
        <f ca="1">IF($A40="S",VTOTALBM,IF($A40=0,0,ROUND(SomaAgrupBM,15-13*ORÇAMENTO!$AF$11)))</f>
        <v>0</v>
      </c>
      <c r="N40" s="381">
        <f t="shared" ca="1" si="4"/>
        <v>0</v>
      </c>
      <c r="O40" s="127">
        <f ca="1">IF($A40="S",VTOTALBM,IF($A40=0,0,ROUND(SomaAgrupBM,15-13*ORÇAMENTO!$AF$11)))</f>
        <v>0</v>
      </c>
      <c r="Q40" s="382"/>
      <c r="R40" s="383"/>
      <c r="T40" s="119" t="str">
        <f t="shared" ca="1" si="5"/>
        <v/>
      </c>
      <c r="U40" s="172" t="str">
        <f t="shared" ca="1" si="6"/>
        <v/>
      </c>
      <c r="V40" s="173" t="str">
        <f ca="1">IF(AND($W40&gt;0,RegimeExecucao="Unitário"),$F40,"")</f>
        <v/>
      </c>
      <c r="W40" s="547">
        <f ca="1">IF($Y40&gt;0,CHOOSE(MATCH(RegimeExecucao,{"Unitário","Global"},0),IF($A40="S",$Y40/$X40,""),($Y40/$X40)*100),0)</f>
        <v>0</v>
      </c>
      <c r="X40" s="384" t="str">
        <f ca="1">IF($Y40&gt;0,CHOOSE(MATCH(RegimeExecucao,{"Unitário","Global"},0),IF($A40="S",ROUND($H40,ORÇAMENTO!$AF$10),""),ROUND($I40,ORÇAMENTO!$AF$11)),"")</f>
        <v/>
      </c>
      <c r="Y40" s="384">
        <f t="shared" ca="1" si="7"/>
        <v>0</v>
      </c>
      <c r="Z40" s="572"/>
      <c r="AB40" s="382"/>
      <c r="AC40" s="516"/>
      <c r="AD40" s="516"/>
      <c r="AE40" s="516"/>
      <c r="AF40" s="516"/>
      <c r="AG40" s="516"/>
      <c r="AH40" s="516"/>
      <c r="AI40" s="516"/>
      <c r="AJ40" s="516"/>
      <c r="AK40" s="516"/>
      <c r="AL40" s="516"/>
      <c r="AM40" s="383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x14ac:dyDescent="0.2">
      <c r="A41">
        <f ca="1">ORÇAMENTO!C41</f>
        <v>2</v>
      </c>
      <c r="B41">
        <f ca="1">ORÇAMENTO!D41</f>
        <v>28</v>
      </c>
      <c r="C41" s="116" t="str">
        <f t="shared" ca="1" si="1"/>
        <v>F</v>
      </c>
      <c r="D41" s="119" t="str">
        <f ca="1">ORÇAMENTO!O41</f>
        <v>1.3.</v>
      </c>
      <c r="E41" s="172" t="str">
        <f t="shared" si="2"/>
        <v>ENTRADA DE ENERGIA PADRÃO, MURETA E QGBT</v>
      </c>
      <c r="F41" s="173" t="str">
        <f ca="1">IF(RegimeExecucao="Global","",ORÇAMENTO.Unidade)</f>
        <v/>
      </c>
      <c r="G41" s="124" t="str">
        <f ca="1">IF(RegimeExecucao="Global","",ORÇAMENTO!T41)</f>
        <v/>
      </c>
      <c r="H41" s="124" t="str">
        <f ca="1">IF(RegimeExecucao="Global","",ORÇAMENTO!W41)</f>
        <v/>
      </c>
      <c r="I41" s="127">
        <f ca="1">ORÇAMENTO!X41</f>
        <v>7842.77</v>
      </c>
      <c r="J41" s="378">
        <f ca="1">IF($A41="S",IF(CAIXA.Modo,BM.AFAnterior,BM.MEDAnterior),IF(AND(RegimeExecucao="Global",$I41&gt;0,COUNTIF($AB$13:$AM$13,BM.medicao-1)&gt;0),M41/$I41*100,0))</f>
        <v>0</v>
      </c>
      <c r="K41" s="124">
        <f t="shared" ca="1" si="3"/>
        <v>0</v>
      </c>
      <c r="L41" s="379">
        <f ca="1">IF($A41="S",IF(CAIXA.Modo,BM.AFAcumulado,BM.MEDAcumulado),IF(AND(RegimeExecucao="Global",$I41&gt;0,COUNTIF($AB$13:$AM$13,BM.medicao)&gt;0),O41/$I41*100,0))</f>
        <v>0</v>
      </c>
      <c r="M41" s="380">
        <f ca="1">IF($A41="S",VTOTALBM,IF($A41=0,0,ROUND(SomaAgrupBM,15-13*ORÇAMENTO!$AF$11)))</f>
        <v>0</v>
      </c>
      <c r="N41" s="381">
        <f t="shared" ca="1" si="4"/>
        <v>0</v>
      </c>
      <c r="O41" s="127">
        <f ca="1">IF($A41="S",VTOTALBM,IF($A41=0,0,ROUND(SomaAgrupBM,15-13*ORÇAMENTO!$AF$11)))</f>
        <v>0</v>
      </c>
      <c r="Q41" s="382"/>
      <c r="R41" s="383"/>
      <c r="T41" s="119" t="str">
        <f t="shared" ca="1" si="5"/>
        <v/>
      </c>
      <c r="U41" s="172" t="str">
        <f t="shared" ca="1" si="6"/>
        <v/>
      </c>
      <c r="V41" s="173" t="str">
        <f ca="1">IF(AND($W41&gt;0,RegimeExecucao="Unitário"),$F41,"")</f>
        <v/>
      </c>
      <c r="W41" s="547">
        <f ca="1">IF($Y41&gt;0,CHOOSE(MATCH(RegimeExecucao,{"Unitário","Global"},0),IF($A41="S",$Y41/$X41,""),($Y41/$X41)*100),0)</f>
        <v>0</v>
      </c>
      <c r="X41" s="384" t="str">
        <f ca="1">IF($Y41&gt;0,CHOOSE(MATCH(RegimeExecucao,{"Unitário","Global"},0),IF($A41="S",ROUND($H41,ORÇAMENTO!$AF$10),""),ROUND($I41,ORÇAMENTO!$AF$11)),"")</f>
        <v/>
      </c>
      <c r="Y41" s="384">
        <f t="shared" ca="1" si="7"/>
        <v>0</v>
      </c>
      <c r="Z41" s="572"/>
      <c r="AB41" s="382"/>
      <c r="AC41" s="516"/>
      <c r="AD41" s="516"/>
      <c r="AE41" s="516"/>
      <c r="AF41" s="516"/>
      <c r="AG41" s="516"/>
      <c r="AH41" s="516"/>
      <c r="AI41" s="516"/>
      <c r="AJ41" s="516"/>
      <c r="AK41" s="516"/>
      <c r="AL41" s="516"/>
      <c r="AM41" s="383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x14ac:dyDescent="0.2">
      <c r="A42">
        <f ca="1">ORÇAMENTO!C42</f>
        <v>3</v>
      </c>
      <c r="B42">
        <f ca="1">ORÇAMENTO!D42</f>
        <v>22</v>
      </c>
      <c r="C42" s="116" t="str">
        <f ca="1">IF(OR($I42&gt;0,$A42=1,$A42=2,$A42=3,$A42=4),"F","")</f>
        <v>F</v>
      </c>
      <c r="D42" s="119" t="str">
        <f ca="1">ORÇAMENTO!O42</f>
        <v>1.3.1.</v>
      </c>
      <c r="E42" s="172" t="str">
        <f>ORÇAMENTO.Descricao</f>
        <v>PADRÃO E MURETA</v>
      </c>
      <c r="F42" s="173" t="str">
        <f ca="1">IF(RegimeExecucao="Global","",ORÇAMENTO.Unidade)</f>
        <v/>
      </c>
      <c r="G42" s="124" t="str">
        <f ca="1">IF(RegimeExecucao="Global","",ORÇAMENTO!T42)</f>
        <v/>
      </c>
      <c r="H42" s="124" t="str">
        <f ca="1">IF(RegimeExecucao="Global","",ORÇAMENTO!W42)</f>
        <v/>
      </c>
      <c r="I42" s="127">
        <f ca="1">ORÇAMENTO!X42</f>
        <v>6059.15</v>
      </c>
      <c r="J42" s="378">
        <f ca="1">IF($A42="S",IF(CAIXA.Modo,BM.AFAnterior,BM.MEDAnterior),IF(AND(RegimeExecucao="Global",$I42&gt;0,COUNTIF($AB$13:$AM$13,BM.medicao-1)&gt;0),M42/$I42*100,0))</f>
        <v>0</v>
      </c>
      <c r="K42" s="124">
        <f ca="1">L42-J42</f>
        <v>0</v>
      </c>
      <c r="L42" s="379">
        <f ca="1">IF($A42="S",IF(CAIXA.Modo,BM.AFAcumulado,BM.MEDAcumulado),IF(AND(RegimeExecucao="Global",$I42&gt;0,COUNTIF($AB$13:$AM$13,BM.medicao)&gt;0),O42/$I42*100,0))</f>
        <v>0</v>
      </c>
      <c r="M42" s="380">
        <f ca="1">IF($A42="S",VTOTALBM,IF($A42=0,0,ROUND(SomaAgrupBM,15-13*ORÇAMENTO!$AF$11)))</f>
        <v>0</v>
      </c>
      <c r="N42" s="381">
        <f ca="1">O42-M42</f>
        <v>0</v>
      </c>
      <c r="O42" s="127">
        <f ca="1">IF($A42="S",VTOTALBM,IF($A42=0,0,ROUND(SomaAgrupBM,15-13*ORÇAMENTO!$AF$11)))</f>
        <v>0</v>
      </c>
      <c r="Q42" s="382"/>
      <c r="R42" s="383"/>
      <c r="T42" s="119" t="str">
        <f ca="1">IF($W42&gt;0,$D42,"")</f>
        <v/>
      </c>
      <c r="U42" s="172" t="str">
        <f ca="1">IF($W42&gt;0,$E42,"")</f>
        <v/>
      </c>
      <c r="V42" s="173" t="str">
        <f ca="1">IF(AND($W42&gt;0,RegimeExecucao="Unitário"),$F42,"")</f>
        <v/>
      </c>
      <c r="W42" s="547">
        <f ca="1">IF($Y42&gt;0,CHOOSE(MATCH(RegimeExecucao,{"Unitário","Global"},0),IF($A42="S",$Y42/$X42,""),($Y42/$X42)*100),0)</f>
        <v>0</v>
      </c>
      <c r="X42" s="384" t="str">
        <f ca="1">IF($Y42&gt;0,CHOOSE(MATCH(RegimeExecucao,{"Unitário","Global"},0),IF($A42="S",ROUND($H42,ORÇAMENTO!$AF$10),""),ROUND($I42,ORÇAMENTO!$AF$11)),"")</f>
        <v/>
      </c>
      <c r="Y42" s="384">
        <f ca="1">AO42-O42</f>
        <v>0</v>
      </c>
      <c r="Z42" s="572"/>
      <c r="AB42" s="382"/>
      <c r="AC42" s="516"/>
      <c r="AD42" s="516"/>
      <c r="AE42" s="516"/>
      <c r="AF42" s="516"/>
      <c r="AG42" s="516"/>
      <c r="AH42" s="516"/>
      <c r="AI42" s="516"/>
      <c r="AJ42" s="516"/>
      <c r="AK42" s="516"/>
      <c r="AL42" s="516"/>
      <c r="AM42" s="383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25.5" x14ac:dyDescent="0.2">
      <c r="A43" t="str">
        <f ca="1">ORÇAMENTO!C43</f>
        <v>S</v>
      </c>
      <c r="B43">
        <f ca="1">ORÇAMENTO!D43</f>
        <v>0</v>
      </c>
      <c r="C43" s="116" t="str">
        <f t="shared" ca="1" si="1"/>
        <v>F</v>
      </c>
      <c r="D43" s="119" t="str">
        <f ca="1">ORÇAMENTO!O43</f>
        <v>1.3.1.1.</v>
      </c>
      <c r="E43" s="172" t="str">
        <f t="shared" ca="1" si="2"/>
        <v>(abra o arquivo 'Referência 03-2024.xlsm)</v>
      </c>
      <c r="F43" s="173" t="str">
        <f ca="1">IF(RegimeExecucao="Global","",ORÇAMENTO.Unidade)</f>
        <v/>
      </c>
      <c r="G43" s="124" t="str">
        <f ca="1">IF(RegimeExecucao="Global","",ORÇAMENTO!T43)</f>
        <v/>
      </c>
      <c r="H43" s="124" t="str">
        <f ca="1">IF(RegimeExecucao="Global","",ORÇAMENTO!W43)</f>
        <v/>
      </c>
      <c r="I43" s="127">
        <f ca="1">ORÇAMENTO!X43</f>
        <v>9.16</v>
      </c>
      <c r="J43" s="378">
        <f ca="1">IF($A43="S",IF(CAIXA.Modo,BM.AFAnterior,BM.MEDAnterior),IF(AND(RegimeExecucao="Global",$I43&gt;0,COUNTIF($AB$13:$AM$13,BM.medicao-1)&gt;0),M43/$I43*100,0))</f>
        <v>0</v>
      </c>
      <c r="K43" s="124">
        <f t="shared" ca="1" si="3"/>
        <v>0</v>
      </c>
      <c r="L43" s="379">
        <f ca="1">IF($A43="S",IF(CAIXA.Modo,BM.AFAcumulado,BM.MEDAcumulado),IF(AND(RegimeExecucao="Global",$I43&gt;0,COUNTIF($AB$13:$AM$13,BM.medicao)&gt;0),O43/$I43*100,0))</f>
        <v>0</v>
      </c>
      <c r="M43" s="380">
        <f ca="1">IF($A43="S",VTOTALBM,IF($A43=0,0,ROUND(SomaAgrupBM,15-13*ORÇAMENTO!$AF$11)))</f>
        <v>0</v>
      </c>
      <c r="N43" s="381">
        <f t="shared" ca="1" si="4"/>
        <v>0</v>
      </c>
      <c r="O43" s="127">
        <f ca="1">IF($A43="S",VTOTALBM,IF($A43=0,0,ROUND(SomaAgrupBM,15-13*ORÇAMENTO!$AF$11)))</f>
        <v>0</v>
      </c>
      <c r="Q43" s="382"/>
      <c r="R43" s="383"/>
      <c r="T43" s="119" t="str">
        <f t="shared" ca="1" si="5"/>
        <v/>
      </c>
      <c r="U43" s="172" t="str">
        <f t="shared" ca="1" si="6"/>
        <v/>
      </c>
      <c r="V43" s="173" t="str">
        <f ca="1">IF(AND($W43&gt;0,RegimeExecucao="Unitário"),$F43,"")</f>
        <v/>
      </c>
      <c r="W43" s="547">
        <f ca="1">IF($Y43&gt;0,CHOOSE(MATCH(RegimeExecucao,{"Unitário","Global"},0),IF($A43="S",$Y43/$X43,""),($Y43/$X43)*100),0)</f>
        <v>0</v>
      </c>
      <c r="X43" s="384" t="str">
        <f ca="1">IF($Y43&gt;0,CHOOSE(MATCH(RegimeExecucao,{"Unitário","Global"},0),IF($A43="S",ROUND($H43,ORÇAMENTO!$AF$10),""),ROUND($I43,ORÇAMENTO!$AF$11)),"")</f>
        <v/>
      </c>
      <c r="Y43" s="384">
        <f t="shared" ca="1" si="7"/>
        <v>0</v>
      </c>
      <c r="Z43" s="572"/>
      <c r="AB43" s="382"/>
      <c r="AC43" s="516"/>
      <c r="AD43" s="516"/>
      <c r="AE43" s="516"/>
      <c r="AF43" s="516"/>
      <c r="AG43" s="516"/>
      <c r="AH43" s="516"/>
      <c r="AI43" s="516"/>
      <c r="AJ43" s="516"/>
      <c r="AK43" s="516"/>
      <c r="AL43" s="516"/>
      <c r="AM43" s="383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ht="25.5" x14ac:dyDescent="0.2">
      <c r="A44" t="str">
        <f ca="1">ORÇAMENTO!C44</f>
        <v>S</v>
      </c>
      <c r="B44">
        <f ca="1">ORÇAMENTO!D44</f>
        <v>0</v>
      </c>
      <c r="C44" s="116" t="str">
        <f t="shared" ca="1" si="1"/>
        <v>F</v>
      </c>
      <c r="D44" s="119" t="str">
        <f ca="1">ORÇAMENTO!O44</f>
        <v>1.3.1.2.</v>
      </c>
      <c r="E44" s="172" t="str">
        <f t="shared" ca="1" si="2"/>
        <v>(abra o arquivo 'Referência 03-2024.xlsm)</v>
      </c>
      <c r="F44" s="173" t="str">
        <f ca="1">IF(RegimeExecucao="Global","",ORÇAMENTO.Unidade)</f>
        <v/>
      </c>
      <c r="G44" s="124" t="str">
        <f ca="1">IF(RegimeExecucao="Global","",ORÇAMENTO!T44)</f>
        <v/>
      </c>
      <c r="H44" s="124" t="str">
        <f ca="1">IF(RegimeExecucao="Global","",ORÇAMENTO!W44)</f>
        <v/>
      </c>
      <c r="I44" s="127">
        <f ca="1">ORÇAMENTO!X44</f>
        <v>1.85</v>
      </c>
      <c r="J44" s="378">
        <f ca="1">IF($A44="S",IF(CAIXA.Modo,BM.AFAnterior,BM.MEDAnterior),IF(AND(RegimeExecucao="Global",$I44&gt;0,COUNTIF($AB$13:$AM$13,BM.medicao-1)&gt;0),M44/$I44*100,0))</f>
        <v>0</v>
      </c>
      <c r="K44" s="124">
        <f t="shared" ca="1" si="3"/>
        <v>0</v>
      </c>
      <c r="L44" s="379">
        <f ca="1">IF($A44="S",IF(CAIXA.Modo,BM.AFAcumulado,BM.MEDAcumulado),IF(AND(RegimeExecucao="Global",$I44&gt;0,COUNTIF($AB$13:$AM$13,BM.medicao)&gt;0),O44/$I44*100,0))</f>
        <v>0</v>
      </c>
      <c r="M44" s="380">
        <f ca="1">IF($A44="S",VTOTALBM,IF($A44=0,0,ROUND(SomaAgrupBM,15-13*ORÇAMENTO!$AF$11)))</f>
        <v>0</v>
      </c>
      <c r="N44" s="381">
        <f t="shared" ca="1" si="4"/>
        <v>0</v>
      </c>
      <c r="O44" s="127">
        <f ca="1">IF($A44="S",VTOTALBM,IF($A44=0,0,ROUND(SomaAgrupBM,15-13*ORÇAMENTO!$AF$11)))</f>
        <v>0</v>
      </c>
      <c r="Q44" s="382"/>
      <c r="R44" s="383"/>
      <c r="T44" s="119" t="str">
        <f t="shared" ca="1" si="5"/>
        <v/>
      </c>
      <c r="U44" s="172" t="str">
        <f t="shared" ca="1" si="6"/>
        <v/>
      </c>
      <c r="V44" s="173" t="str">
        <f ca="1">IF(AND($W44&gt;0,RegimeExecucao="Unitário"),$F44,"")</f>
        <v/>
      </c>
      <c r="W44" s="547">
        <f ca="1">IF($Y44&gt;0,CHOOSE(MATCH(RegimeExecucao,{"Unitário","Global"},0),IF($A44="S",$Y44/$X44,""),($Y44/$X44)*100),0)</f>
        <v>0</v>
      </c>
      <c r="X44" s="384" t="str">
        <f ca="1">IF($Y44&gt;0,CHOOSE(MATCH(RegimeExecucao,{"Unitário","Global"},0),IF($A44="S",ROUND($H44,ORÇAMENTO!$AF$10),""),ROUND($I44,ORÇAMENTO!$AF$11)),"")</f>
        <v/>
      </c>
      <c r="Y44" s="384">
        <f t="shared" ca="1" si="7"/>
        <v>0</v>
      </c>
      <c r="Z44" s="572"/>
      <c r="AB44" s="382"/>
      <c r="AC44" s="516"/>
      <c r="AD44" s="516"/>
      <c r="AE44" s="516"/>
      <c r="AF44" s="516"/>
      <c r="AG44" s="516"/>
      <c r="AH44" s="516"/>
      <c r="AI44" s="516"/>
      <c r="AJ44" s="516"/>
      <c r="AK44" s="516"/>
      <c r="AL44" s="516"/>
      <c r="AM44" s="383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25.5" x14ac:dyDescent="0.2">
      <c r="A45" t="str">
        <f ca="1">ORÇAMENTO!C45</f>
        <v>S</v>
      </c>
      <c r="B45">
        <f ca="1">ORÇAMENTO!D45</f>
        <v>0</v>
      </c>
      <c r="C45" s="116" t="str">
        <f t="shared" ca="1" si="1"/>
        <v>F</v>
      </c>
      <c r="D45" s="119" t="str">
        <f ca="1">ORÇAMENTO!O45</f>
        <v>1.3.1.3.</v>
      </c>
      <c r="E45" s="172" t="str">
        <f t="shared" ca="1" si="2"/>
        <v>(abra o arquivo 'Referência 03-2024.xlsm)</v>
      </c>
      <c r="F45" s="173" t="str">
        <f ca="1">IF(RegimeExecucao="Global","",ORÇAMENTO.Unidade)</f>
        <v/>
      </c>
      <c r="G45" s="124" t="str">
        <f ca="1">IF(RegimeExecucao="Global","",ORÇAMENTO!T45)</f>
        <v/>
      </c>
      <c r="H45" s="124" t="str">
        <f ca="1">IF(RegimeExecucao="Global","",ORÇAMENTO!W45)</f>
        <v/>
      </c>
      <c r="I45" s="127">
        <f ca="1">ORÇAMENTO!X45</f>
        <v>0.47</v>
      </c>
      <c r="J45" s="378">
        <f ca="1">IF($A45="S",IF(CAIXA.Modo,BM.AFAnterior,BM.MEDAnterior),IF(AND(RegimeExecucao="Global",$I45&gt;0,COUNTIF($AB$13:$AM$13,BM.medicao-1)&gt;0),M45/$I45*100,0))</f>
        <v>0</v>
      </c>
      <c r="K45" s="124">
        <f t="shared" ca="1" si="3"/>
        <v>0</v>
      </c>
      <c r="L45" s="379">
        <f ca="1">IF($A45="S",IF(CAIXA.Modo,BM.AFAcumulado,BM.MEDAcumulado),IF(AND(RegimeExecucao="Global",$I45&gt;0,COUNTIF($AB$13:$AM$13,BM.medicao)&gt;0),O45/$I45*100,0))</f>
        <v>0</v>
      </c>
      <c r="M45" s="380">
        <f ca="1">IF($A45="S",VTOTALBM,IF($A45=0,0,ROUND(SomaAgrupBM,15-13*ORÇAMENTO!$AF$11)))</f>
        <v>0</v>
      </c>
      <c r="N45" s="381">
        <f t="shared" ca="1" si="4"/>
        <v>0</v>
      </c>
      <c r="O45" s="127">
        <f ca="1">IF($A45="S",VTOTALBM,IF($A45=0,0,ROUND(SomaAgrupBM,15-13*ORÇAMENTO!$AF$11)))</f>
        <v>0</v>
      </c>
      <c r="Q45" s="382"/>
      <c r="R45" s="383"/>
      <c r="T45" s="119" t="str">
        <f t="shared" ca="1" si="5"/>
        <v/>
      </c>
      <c r="U45" s="172" t="str">
        <f t="shared" ca="1" si="6"/>
        <v/>
      </c>
      <c r="V45" s="173" t="str">
        <f ca="1">IF(AND($W45&gt;0,RegimeExecucao="Unitário"),$F45,"")</f>
        <v/>
      </c>
      <c r="W45" s="547">
        <f ca="1">IF($Y45&gt;0,CHOOSE(MATCH(RegimeExecucao,{"Unitário","Global"},0),IF($A45="S",$Y45/$X45,""),($Y45/$X45)*100),0)</f>
        <v>0</v>
      </c>
      <c r="X45" s="384" t="str">
        <f ca="1">IF($Y45&gt;0,CHOOSE(MATCH(RegimeExecucao,{"Unitário","Global"},0),IF($A45="S",ROUND($H45,ORÇAMENTO!$AF$10),""),ROUND($I45,ORÇAMENTO!$AF$11)),"")</f>
        <v/>
      </c>
      <c r="Y45" s="384">
        <f t="shared" ca="1" si="7"/>
        <v>0</v>
      </c>
      <c r="Z45" s="572"/>
      <c r="AB45" s="382"/>
      <c r="AC45" s="516"/>
      <c r="AD45" s="516"/>
      <c r="AE45" s="516"/>
      <c r="AF45" s="516"/>
      <c r="AG45" s="516"/>
      <c r="AH45" s="516"/>
      <c r="AI45" s="516"/>
      <c r="AJ45" s="516"/>
      <c r="AK45" s="516"/>
      <c r="AL45" s="516"/>
      <c r="AM45" s="383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ht="38.25" x14ac:dyDescent="0.2">
      <c r="A46" t="str">
        <f ca="1">ORÇAMENTO!C46</f>
        <v>S</v>
      </c>
      <c r="B46">
        <f ca="1">ORÇAMENTO!D46</f>
        <v>0</v>
      </c>
      <c r="C46" s="116" t="str">
        <f t="shared" ca="1" si="1"/>
        <v>F</v>
      </c>
      <c r="D46" s="119" t="str">
        <f ca="1">ORÇAMENTO!O46</f>
        <v>1.3.1.4.</v>
      </c>
      <c r="E46" s="172" t="str">
        <f t="shared" ca="1" si="2"/>
        <v>(abra o arquivo 'Referência 03-2024.xlsm)</v>
      </c>
      <c r="F46" s="173" t="str">
        <f ca="1">IF(RegimeExecucao="Global","",ORÇAMENTO.Unidade)</f>
        <v/>
      </c>
      <c r="G46" s="124" t="str">
        <f ca="1">IF(RegimeExecucao="Global","",ORÇAMENTO!T46)</f>
        <v/>
      </c>
      <c r="H46" s="124" t="str">
        <f ca="1">IF(RegimeExecucao="Global","",ORÇAMENTO!W46)</f>
        <v/>
      </c>
      <c r="I46" s="127">
        <f ca="1">ORÇAMENTO!X46</f>
        <v>33.1</v>
      </c>
      <c r="J46" s="378">
        <f ca="1">IF($A46="S",IF(CAIXA.Modo,BM.AFAnterior,BM.MEDAnterior),IF(AND(RegimeExecucao="Global",$I46&gt;0,COUNTIF($AB$13:$AM$13,BM.medicao-1)&gt;0),M46/$I46*100,0))</f>
        <v>0</v>
      </c>
      <c r="K46" s="124">
        <f t="shared" ca="1" si="3"/>
        <v>0</v>
      </c>
      <c r="L46" s="379">
        <f ca="1">IF($A46="S",IF(CAIXA.Modo,BM.AFAcumulado,BM.MEDAcumulado),IF(AND(RegimeExecucao="Global",$I46&gt;0,COUNTIF($AB$13:$AM$13,BM.medicao)&gt;0),O46/$I46*100,0))</f>
        <v>0</v>
      </c>
      <c r="M46" s="380">
        <f ca="1">IF($A46="S",VTOTALBM,IF($A46=0,0,ROUND(SomaAgrupBM,15-13*ORÇAMENTO!$AF$11)))</f>
        <v>0</v>
      </c>
      <c r="N46" s="381">
        <f t="shared" ca="1" si="4"/>
        <v>0</v>
      </c>
      <c r="O46" s="127">
        <f ca="1">IF($A46="S",VTOTALBM,IF($A46=0,0,ROUND(SomaAgrupBM,15-13*ORÇAMENTO!$AF$11)))</f>
        <v>0</v>
      </c>
      <c r="Q46" s="382"/>
      <c r="R46" s="383"/>
      <c r="T46" s="119" t="str">
        <f t="shared" ca="1" si="5"/>
        <v/>
      </c>
      <c r="U46" s="172" t="str">
        <f t="shared" ca="1" si="6"/>
        <v/>
      </c>
      <c r="V46" s="173" t="str">
        <f ca="1">IF(AND($W46&gt;0,RegimeExecucao="Unitário"),$F46,"")</f>
        <v/>
      </c>
      <c r="W46" s="547">
        <f ca="1">IF($Y46&gt;0,CHOOSE(MATCH(RegimeExecucao,{"Unitário","Global"},0),IF($A46="S",$Y46/$X46,""),($Y46/$X46)*100),0)</f>
        <v>0</v>
      </c>
      <c r="X46" s="384" t="str">
        <f ca="1">IF($Y46&gt;0,CHOOSE(MATCH(RegimeExecucao,{"Unitário","Global"},0),IF($A46="S",ROUND($H46,ORÇAMENTO!$AF$10),""),ROUND($I46,ORÇAMENTO!$AF$11)),"")</f>
        <v/>
      </c>
      <c r="Y46" s="384">
        <f t="shared" ca="1" si="7"/>
        <v>0</v>
      </c>
      <c r="Z46" s="572"/>
      <c r="AB46" s="382"/>
      <c r="AC46" s="516"/>
      <c r="AD46" s="516"/>
      <c r="AE46" s="516"/>
      <c r="AF46" s="516"/>
      <c r="AG46" s="516"/>
      <c r="AH46" s="516"/>
      <c r="AI46" s="516"/>
      <c r="AJ46" s="516"/>
      <c r="AK46" s="516"/>
      <c r="AL46" s="516"/>
      <c r="AM46" s="383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ht="51" x14ac:dyDescent="0.2">
      <c r="A47" t="str">
        <f ca="1">ORÇAMENTO!C47</f>
        <v>S</v>
      </c>
      <c r="B47">
        <f ca="1">ORÇAMENTO!D47</f>
        <v>0</v>
      </c>
      <c r="C47" s="116" t="str">
        <f t="shared" ca="1" si="1"/>
        <v>F</v>
      </c>
      <c r="D47" s="119" t="str">
        <f ca="1">ORÇAMENTO!O47</f>
        <v>1.3.1.5.</v>
      </c>
      <c r="E47" s="172" t="str">
        <f t="shared" ca="1" si="2"/>
        <v>(abra o arquivo 'Referência 03-2024.xlsm)</v>
      </c>
      <c r="F47" s="173" t="str">
        <f ca="1">IF(RegimeExecucao="Global","",ORÇAMENTO.Unidade)</f>
        <v/>
      </c>
      <c r="G47" s="124" t="str">
        <f ca="1">IF(RegimeExecucao="Global","",ORÇAMENTO!T47)</f>
        <v/>
      </c>
      <c r="H47" s="124" t="str">
        <f ca="1">IF(RegimeExecucao="Global","",ORÇAMENTO!W47)</f>
        <v/>
      </c>
      <c r="I47" s="127">
        <f ca="1">ORÇAMENTO!X47</f>
        <v>51.5</v>
      </c>
      <c r="J47" s="378">
        <f ca="1">IF($A47="S",IF(CAIXA.Modo,BM.AFAnterior,BM.MEDAnterior),IF(AND(RegimeExecucao="Global",$I47&gt;0,COUNTIF($AB$13:$AM$13,BM.medicao-1)&gt;0),M47/$I47*100,0))</f>
        <v>0</v>
      </c>
      <c r="K47" s="124">
        <f t="shared" ca="1" si="3"/>
        <v>0</v>
      </c>
      <c r="L47" s="379">
        <f ca="1">IF($A47="S",IF(CAIXA.Modo,BM.AFAcumulado,BM.MEDAcumulado),IF(AND(RegimeExecucao="Global",$I47&gt;0,COUNTIF($AB$13:$AM$13,BM.medicao)&gt;0),O47/$I47*100,0))</f>
        <v>0</v>
      </c>
      <c r="M47" s="380">
        <f ca="1">IF($A47="S",VTOTALBM,IF($A47=0,0,ROUND(SomaAgrupBM,15-13*ORÇAMENTO!$AF$11)))</f>
        <v>0</v>
      </c>
      <c r="N47" s="381">
        <f t="shared" ca="1" si="4"/>
        <v>0</v>
      </c>
      <c r="O47" s="127">
        <f ca="1">IF($A47="S",VTOTALBM,IF($A47=0,0,ROUND(SomaAgrupBM,15-13*ORÇAMENTO!$AF$11)))</f>
        <v>0</v>
      </c>
      <c r="Q47" s="382"/>
      <c r="R47" s="383"/>
      <c r="T47" s="119" t="str">
        <f t="shared" ca="1" si="5"/>
        <v/>
      </c>
      <c r="U47" s="172" t="str">
        <f t="shared" ca="1" si="6"/>
        <v/>
      </c>
      <c r="V47" s="173" t="str">
        <f ca="1">IF(AND($W47&gt;0,RegimeExecucao="Unitário"),$F47,"")</f>
        <v/>
      </c>
      <c r="W47" s="547">
        <f ca="1">IF($Y47&gt;0,CHOOSE(MATCH(RegimeExecucao,{"Unitário","Global"},0),IF($A47="S",$Y47/$X47,""),($Y47/$X47)*100),0)</f>
        <v>0</v>
      </c>
      <c r="X47" s="384" t="str">
        <f ca="1">IF($Y47&gt;0,CHOOSE(MATCH(RegimeExecucao,{"Unitário","Global"},0),IF($A47="S",ROUND($H47,ORÇAMENTO!$AF$10),""),ROUND($I47,ORÇAMENTO!$AF$11)),"")</f>
        <v/>
      </c>
      <c r="Y47" s="384">
        <f t="shared" ca="1" si="7"/>
        <v>0</v>
      </c>
      <c r="Z47" s="572"/>
      <c r="AB47" s="382"/>
      <c r="AC47" s="516"/>
      <c r="AD47" s="516"/>
      <c r="AE47" s="516"/>
      <c r="AF47" s="516"/>
      <c r="AG47" s="516"/>
      <c r="AH47" s="516"/>
      <c r="AI47" s="516"/>
      <c r="AJ47" s="516"/>
      <c r="AK47" s="516"/>
      <c r="AL47" s="516"/>
      <c r="AM47" s="383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ht="38.25" x14ac:dyDescent="0.2">
      <c r="A48" t="str">
        <f ca="1">ORÇAMENTO!C48</f>
        <v>S</v>
      </c>
      <c r="B48">
        <f ca="1">ORÇAMENTO!D48</f>
        <v>0</v>
      </c>
      <c r="C48" s="116" t="str">
        <f t="shared" ca="1" si="1"/>
        <v>F</v>
      </c>
      <c r="D48" s="119" t="str">
        <f ca="1">ORÇAMENTO!O48</f>
        <v>1.3.1.6.</v>
      </c>
      <c r="E48" s="172" t="str">
        <f t="shared" ca="1" si="2"/>
        <v>(abra o arquivo 'Referência 03-2024.xlsm)</v>
      </c>
      <c r="F48" s="173" t="str">
        <f ca="1">IF(RegimeExecucao="Global","",ORÇAMENTO.Unidade)</f>
        <v/>
      </c>
      <c r="G48" s="124" t="str">
        <f ca="1">IF(RegimeExecucao="Global","",ORÇAMENTO!T48)</f>
        <v/>
      </c>
      <c r="H48" s="124" t="str">
        <f ca="1">IF(RegimeExecucao="Global","",ORÇAMENTO!W48)</f>
        <v/>
      </c>
      <c r="I48" s="127">
        <f ca="1">ORÇAMENTO!X48</f>
        <v>2.2200000000000002</v>
      </c>
      <c r="J48" s="378">
        <f ca="1">IF($A48="S",IF(CAIXA.Modo,BM.AFAnterior,BM.MEDAnterior),IF(AND(RegimeExecucao="Global",$I48&gt;0,COUNTIF($AB$13:$AM$13,BM.medicao-1)&gt;0),M48/$I48*100,0))</f>
        <v>0</v>
      </c>
      <c r="K48" s="124">
        <f t="shared" ca="1" si="3"/>
        <v>0</v>
      </c>
      <c r="L48" s="379">
        <f ca="1">IF($A48="S",IF(CAIXA.Modo,BM.AFAcumulado,BM.MEDAcumulado),IF(AND(RegimeExecucao="Global",$I48&gt;0,COUNTIF($AB$13:$AM$13,BM.medicao)&gt;0),O48/$I48*100,0))</f>
        <v>0</v>
      </c>
      <c r="M48" s="380">
        <f ca="1">IF($A48="S",VTOTALBM,IF($A48=0,0,ROUND(SomaAgrupBM,15-13*ORÇAMENTO!$AF$11)))</f>
        <v>0</v>
      </c>
      <c r="N48" s="381">
        <f t="shared" ca="1" si="4"/>
        <v>0</v>
      </c>
      <c r="O48" s="127">
        <f ca="1">IF($A48="S",VTOTALBM,IF($A48=0,0,ROUND(SomaAgrupBM,15-13*ORÇAMENTO!$AF$11)))</f>
        <v>0</v>
      </c>
      <c r="Q48" s="382"/>
      <c r="R48" s="383"/>
      <c r="T48" s="119" t="str">
        <f t="shared" ca="1" si="5"/>
        <v/>
      </c>
      <c r="U48" s="172" t="str">
        <f t="shared" ca="1" si="6"/>
        <v/>
      </c>
      <c r="V48" s="173" t="str">
        <f ca="1">IF(AND($W48&gt;0,RegimeExecucao="Unitário"),$F48,"")</f>
        <v/>
      </c>
      <c r="W48" s="547">
        <f ca="1">IF($Y48&gt;0,CHOOSE(MATCH(RegimeExecucao,{"Unitário","Global"},0),IF($A48="S",$Y48/$X48,""),($Y48/$X48)*100),0)</f>
        <v>0</v>
      </c>
      <c r="X48" s="384" t="str">
        <f ca="1">IF($Y48&gt;0,CHOOSE(MATCH(RegimeExecucao,{"Unitário","Global"},0),IF($A48="S",ROUND($H48,ORÇAMENTO!$AF$10),""),ROUND($I48,ORÇAMENTO!$AF$11)),"")</f>
        <v/>
      </c>
      <c r="Y48" s="384">
        <f t="shared" ca="1" si="7"/>
        <v>0</v>
      </c>
      <c r="Z48" s="572"/>
      <c r="AB48" s="382"/>
      <c r="AC48" s="516"/>
      <c r="AD48" s="516"/>
      <c r="AE48" s="516"/>
      <c r="AF48" s="516"/>
      <c r="AG48" s="516"/>
      <c r="AH48" s="516"/>
      <c r="AI48" s="516"/>
      <c r="AJ48" s="516"/>
      <c r="AK48" s="516"/>
      <c r="AL48" s="516"/>
      <c r="AM48" s="383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ht="38.25" x14ac:dyDescent="0.2">
      <c r="A49" t="str">
        <f ca="1">ORÇAMENTO!C49</f>
        <v>S</v>
      </c>
      <c r="B49">
        <f ca="1">ORÇAMENTO!D49</f>
        <v>0</v>
      </c>
      <c r="C49" s="116" t="str">
        <f t="shared" ca="1" si="1"/>
        <v>F</v>
      </c>
      <c r="D49" s="119" t="str">
        <f ca="1">ORÇAMENTO!O49</f>
        <v>1.3.1.7.</v>
      </c>
      <c r="E49" s="172" t="str">
        <f t="shared" ca="1" si="2"/>
        <v>(abra o arquivo 'Referência 03-2024.xlsm)</v>
      </c>
      <c r="F49" s="173" t="str">
        <f ca="1">IF(RegimeExecucao="Global","",ORÇAMENTO.Unidade)</f>
        <v/>
      </c>
      <c r="G49" s="124" t="str">
        <f ca="1">IF(RegimeExecucao="Global","",ORÇAMENTO!T49)</f>
        <v/>
      </c>
      <c r="H49" s="124" t="str">
        <f ca="1">IF(RegimeExecucao="Global","",ORÇAMENTO!W49)</f>
        <v/>
      </c>
      <c r="I49" s="127">
        <f ca="1">ORÇAMENTO!X49</f>
        <v>69.88</v>
      </c>
      <c r="J49" s="378">
        <f ca="1">IF($A49="S",IF(CAIXA.Modo,BM.AFAnterior,BM.MEDAnterior),IF(AND(RegimeExecucao="Global",$I49&gt;0,COUNTIF($AB$13:$AM$13,BM.medicao-1)&gt;0),M49/$I49*100,0))</f>
        <v>0</v>
      </c>
      <c r="K49" s="124">
        <f t="shared" ca="1" si="3"/>
        <v>0</v>
      </c>
      <c r="L49" s="379">
        <f ca="1">IF($A49="S",IF(CAIXA.Modo,BM.AFAcumulado,BM.MEDAcumulado),IF(AND(RegimeExecucao="Global",$I49&gt;0,COUNTIF($AB$13:$AM$13,BM.medicao)&gt;0),O49/$I49*100,0))</f>
        <v>0</v>
      </c>
      <c r="M49" s="380">
        <f ca="1">IF($A49="S",VTOTALBM,IF($A49=0,0,ROUND(SomaAgrupBM,15-13*ORÇAMENTO!$AF$11)))</f>
        <v>0</v>
      </c>
      <c r="N49" s="381">
        <f t="shared" ca="1" si="4"/>
        <v>0</v>
      </c>
      <c r="O49" s="127">
        <f ca="1">IF($A49="S",VTOTALBM,IF($A49=0,0,ROUND(SomaAgrupBM,15-13*ORÇAMENTO!$AF$11)))</f>
        <v>0</v>
      </c>
      <c r="Q49" s="382"/>
      <c r="R49" s="383"/>
      <c r="T49" s="119" t="str">
        <f t="shared" ca="1" si="5"/>
        <v/>
      </c>
      <c r="U49" s="172" t="str">
        <f t="shared" ca="1" si="6"/>
        <v/>
      </c>
      <c r="V49" s="173" t="str">
        <f ca="1">IF(AND($W49&gt;0,RegimeExecucao="Unitário"),$F49,"")</f>
        <v/>
      </c>
      <c r="W49" s="547">
        <f ca="1">IF($Y49&gt;0,CHOOSE(MATCH(RegimeExecucao,{"Unitário","Global"},0),IF($A49="S",$Y49/$X49,""),($Y49/$X49)*100),0)</f>
        <v>0</v>
      </c>
      <c r="X49" s="384" t="str">
        <f ca="1">IF($Y49&gt;0,CHOOSE(MATCH(RegimeExecucao,{"Unitário","Global"},0),IF($A49="S",ROUND($H49,ORÇAMENTO!$AF$10),""),ROUND($I49,ORÇAMENTO!$AF$11)),"")</f>
        <v/>
      </c>
      <c r="Y49" s="384">
        <f t="shared" ca="1" si="7"/>
        <v>0</v>
      </c>
      <c r="Z49" s="572"/>
      <c r="AB49" s="382"/>
      <c r="AC49" s="516"/>
      <c r="AD49" s="516"/>
      <c r="AE49" s="516"/>
      <c r="AF49" s="516"/>
      <c r="AG49" s="516"/>
      <c r="AH49" s="516"/>
      <c r="AI49" s="516"/>
      <c r="AJ49" s="516"/>
      <c r="AK49" s="516"/>
      <c r="AL49" s="516"/>
      <c r="AM49" s="383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ht="25.5" x14ac:dyDescent="0.2">
      <c r="A50" t="str">
        <f ca="1">ORÇAMENTO!C50</f>
        <v>S</v>
      </c>
      <c r="B50">
        <f ca="1">ORÇAMENTO!D50</f>
        <v>0</v>
      </c>
      <c r="C50" s="116" t="str">
        <f t="shared" ca="1" si="1"/>
        <v>F</v>
      </c>
      <c r="D50" s="119" t="str">
        <f ca="1">ORÇAMENTO!O50</f>
        <v>1.3.1.8.</v>
      </c>
      <c r="E50" s="172" t="str">
        <f t="shared" ca="1" si="2"/>
        <v>(abra o arquivo 'Referência 03-2024.xlsm)</v>
      </c>
      <c r="F50" s="173" t="str">
        <f ca="1">IF(RegimeExecucao="Global","",ORÇAMENTO.Unidade)</f>
        <v/>
      </c>
      <c r="G50" s="124" t="str">
        <f ca="1">IF(RegimeExecucao="Global","",ORÇAMENTO!T50)</f>
        <v/>
      </c>
      <c r="H50" s="124" t="str">
        <f ca="1">IF(RegimeExecucao="Global","",ORÇAMENTO!W50)</f>
        <v/>
      </c>
      <c r="I50" s="127">
        <f ca="1">ORÇAMENTO!X50</f>
        <v>19.71</v>
      </c>
      <c r="J50" s="378">
        <f ca="1">IF($A50="S",IF(CAIXA.Modo,BM.AFAnterior,BM.MEDAnterior),IF(AND(RegimeExecucao="Global",$I50&gt;0,COUNTIF($AB$13:$AM$13,BM.medicao-1)&gt;0),M50/$I50*100,0))</f>
        <v>0</v>
      </c>
      <c r="K50" s="124">
        <f t="shared" ca="1" si="3"/>
        <v>0</v>
      </c>
      <c r="L50" s="379">
        <f ca="1">IF($A50="S",IF(CAIXA.Modo,BM.AFAcumulado,BM.MEDAcumulado),IF(AND(RegimeExecucao="Global",$I50&gt;0,COUNTIF($AB$13:$AM$13,BM.medicao)&gt;0),O50/$I50*100,0))</f>
        <v>0</v>
      </c>
      <c r="M50" s="380">
        <f ca="1">IF($A50="S",VTOTALBM,IF($A50=0,0,ROUND(SomaAgrupBM,15-13*ORÇAMENTO!$AF$11)))</f>
        <v>0</v>
      </c>
      <c r="N50" s="381">
        <f t="shared" ca="1" si="4"/>
        <v>0</v>
      </c>
      <c r="O50" s="127">
        <f ca="1">IF($A50="S",VTOTALBM,IF($A50=0,0,ROUND(SomaAgrupBM,15-13*ORÇAMENTO!$AF$11)))</f>
        <v>0</v>
      </c>
      <c r="Q50" s="382"/>
      <c r="R50" s="383"/>
      <c r="T50" s="119" t="str">
        <f t="shared" ca="1" si="5"/>
        <v/>
      </c>
      <c r="U50" s="172" t="str">
        <f t="shared" ca="1" si="6"/>
        <v/>
      </c>
      <c r="V50" s="173" t="str">
        <f ca="1">IF(AND($W50&gt;0,RegimeExecucao="Unitário"),$F50,"")</f>
        <v/>
      </c>
      <c r="W50" s="547">
        <f ca="1">IF($Y50&gt;0,CHOOSE(MATCH(RegimeExecucao,{"Unitário","Global"},0),IF($A50="S",$Y50/$X50,""),($Y50/$X50)*100),0)</f>
        <v>0</v>
      </c>
      <c r="X50" s="384" t="str">
        <f ca="1">IF($Y50&gt;0,CHOOSE(MATCH(RegimeExecucao,{"Unitário","Global"},0),IF($A50="S",ROUND($H50,ORÇAMENTO!$AF$10),""),ROUND($I50,ORÇAMENTO!$AF$11)),"")</f>
        <v/>
      </c>
      <c r="Y50" s="384">
        <f t="shared" ca="1" si="7"/>
        <v>0</v>
      </c>
      <c r="Z50" s="572"/>
      <c r="AB50" s="382"/>
      <c r="AC50" s="516"/>
      <c r="AD50" s="516"/>
      <c r="AE50" s="516"/>
      <c r="AF50" s="516"/>
      <c r="AG50" s="516"/>
      <c r="AH50" s="516"/>
      <c r="AI50" s="516"/>
      <c r="AJ50" s="516"/>
      <c r="AK50" s="516"/>
      <c r="AL50" s="516"/>
      <c r="AM50" s="383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ht="38.25" x14ac:dyDescent="0.2">
      <c r="A51" t="str">
        <f ca="1">ORÇAMENTO!C51</f>
        <v>S</v>
      </c>
      <c r="B51">
        <f ca="1">ORÇAMENTO!D51</f>
        <v>0</v>
      </c>
      <c r="C51" s="116" t="str">
        <f t="shared" ca="1" si="1"/>
        <v>F</v>
      </c>
      <c r="D51" s="119" t="str">
        <f ca="1">ORÇAMENTO!O51</f>
        <v>1.3.1.9.</v>
      </c>
      <c r="E51" s="172" t="str">
        <f t="shared" ca="1" si="2"/>
        <v>(abra o arquivo 'Referência 03-2024.xlsm)</v>
      </c>
      <c r="F51" s="173" t="str">
        <f ca="1">IF(RegimeExecucao="Global","",ORÇAMENTO.Unidade)</f>
        <v/>
      </c>
      <c r="G51" s="124" t="str">
        <f ca="1">IF(RegimeExecucao="Global","",ORÇAMENTO!T51)</f>
        <v/>
      </c>
      <c r="H51" s="124" t="str">
        <f ca="1">IF(RegimeExecucao="Global","",ORÇAMENTO!W51)</f>
        <v/>
      </c>
      <c r="I51" s="127">
        <f ca="1">ORÇAMENTO!X51</f>
        <v>263.17</v>
      </c>
      <c r="J51" s="378">
        <f ca="1">IF($A51="S",IF(CAIXA.Modo,BM.AFAnterior,BM.MEDAnterior),IF(AND(RegimeExecucao="Global",$I51&gt;0,COUNTIF($AB$13:$AM$13,BM.medicao-1)&gt;0),M51/$I51*100,0))</f>
        <v>0</v>
      </c>
      <c r="K51" s="124">
        <f t="shared" ca="1" si="3"/>
        <v>0</v>
      </c>
      <c r="L51" s="379">
        <f ca="1">IF($A51="S",IF(CAIXA.Modo,BM.AFAcumulado,BM.MEDAcumulado),IF(AND(RegimeExecucao="Global",$I51&gt;0,COUNTIF($AB$13:$AM$13,BM.medicao)&gt;0),O51/$I51*100,0))</f>
        <v>0</v>
      </c>
      <c r="M51" s="380">
        <f ca="1">IF($A51="S",VTOTALBM,IF($A51=0,0,ROUND(SomaAgrupBM,15-13*ORÇAMENTO!$AF$11)))</f>
        <v>0</v>
      </c>
      <c r="N51" s="381">
        <f t="shared" ca="1" si="4"/>
        <v>0</v>
      </c>
      <c r="O51" s="127">
        <f ca="1">IF($A51="S",VTOTALBM,IF($A51=0,0,ROUND(SomaAgrupBM,15-13*ORÇAMENTO!$AF$11)))</f>
        <v>0</v>
      </c>
      <c r="Q51" s="382"/>
      <c r="R51" s="383"/>
      <c r="T51" s="119" t="str">
        <f t="shared" ca="1" si="5"/>
        <v/>
      </c>
      <c r="U51" s="172" t="str">
        <f t="shared" ca="1" si="6"/>
        <v/>
      </c>
      <c r="V51" s="173" t="str">
        <f ca="1">IF(AND($W51&gt;0,RegimeExecucao="Unitário"),$F51,"")</f>
        <v/>
      </c>
      <c r="W51" s="547">
        <f ca="1">IF($Y51&gt;0,CHOOSE(MATCH(RegimeExecucao,{"Unitário","Global"},0),IF($A51="S",$Y51/$X51,""),($Y51/$X51)*100),0)</f>
        <v>0</v>
      </c>
      <c r="X51" s="384" t="str">
        <f ca="1">IF($Y51&gt;0,CHOOSE(MATCH(RegimeExecucao,{"Unitário","Global"},0),IF($A51="S",ROUND($H51,ORÇAMENTO!$AF$10),""),ROUND($I51,ORÇAMENTO!$AF$11)),"")</f>
        <v/>
      </c>
      <c r="Y51" s="384">
        <f t="shared" ca="1" si="7"/>
        <v>0</v>
      </c>
      <c r="Z51" s="572"/>
      <c r="AB51" s="382"/>
      <c r="AC51" s="516"/>
      <c r="AD51" s="516"/>
      <c r="AE51" s="516"/>
      <c r="AF51" s="516"/>
      <c r="AG51" s="516"/>
      <c r="AH51" s="516"/>
      <c r="AI51" s="516"/>
      <c r="AJ51" s="516"/>
      <c r="AK51" s="516"/>
      <c r="AL51" s="516"/>
      <c r="AM51" s="383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51" x14ac:dyDescent="0.2">
      <c r="A52" t="str">
        <f ca="1">ORÇAMENTO!C52</f>
        <v>S</v>
      </c>
      <c r="B52">
        <f ca="1">ORÇAMENTO!D52</f>
        <v>0</v>
      </c>
      <c r="C52" s="116" t="str">
        <f t="shared" ca="1" si="1"/>
        <v>F</v>
      </c>
      <c r="D52" s="119" t="str">
        <f ca="1">ORÇAMENTO!O52</f>
        <v>1.3.1.10.</v>
      </c>
      <c r="E52" s="172" t="str">
        <f t="shared" ca="1" si="2"/>
        <v>(abra o arquivo 'Referência 03-2024.xlsm)</v>
      </c>
      <c r="F52" s="173" t="str">
        <f ca="1">IF(RegimeExecucao="Global","",ORÇAMENTO.Unidade)</f>
        <v/>
      </c>
      <c r="G52" s="124" t="str">
        <f ca="1">IF(RegimeExecucao="Global","",ORÇAMENTO!T52)</f>
        <v/>
      </c>
      <c r="H52" s="124" t="str">
        <f ca="1">IF(RegimeExecucao="Global","",ORÇAMENTO!W52)</f>
        <v/>
      </c>
      <c r="I52" s="127">
        <f ca="1">ORÇAMENTO!X52</f>
        <v>27.34</v>
      </c>
      <c r="J52" s="378">
        <f ca="1">IF($A52="S",IF(CAIXA.Modo,BM.AFAnterior,BM.MEDAnterior),IF(AND(RegimeExecucao="Global",$I52&gt;0,COUNTIF($AB$13:$AM$13,BM.medicao-1)&gt;0),M52/$I52*100,0))</f>
        <v>0</v>
      </c>
      <c r="K52" s="124">
        <f t="shared" ca="1" si="3"/>
        <v>0</v>
      </c>
      <c r="L52" s="379">
        <f ca="1">IF($A52="S",IF(CAIXA.Modo,BM.AFAcumulado,BM.MEDAcumulado),IF(AND(RegimeExecucao="Global",$I52&gt;0,COUNTIF($AB$13:$AM$13,BM.medicao)&gt;0),O52/$I52*100,0))</f>
        <v>0</v>
      </c>
      <c r="M52" s="380">
        <f ca="1">IF($A52="S",VTOTALBM,IF($A52=0,0,ROUND(SomaAgrupBM,15-13*ORÇAMENTO!$AF$11)))</f>
        <v>0</v>
      </c>
      <c r="N52" s="381">
        <f t="shared" ca="1" si="4"/>
        <v>0</v>
      </c>
      <c r="O52" s="127">
        <f ca="1">IF($A52="S",VTOTALBM,IF($A52=0,0,ROUND(SomaAgrupBM,15-13*ORÇAMENTO!$AF$11)))</f>
        <v>0</v>
      </c>
      <c r="Q52" s="382"/>
      <c r="R52" s="383"/>
      <c r="T52" s="119" t="str">
        <f t="shared" ca="1" si="5"/>
        <v/>
      </c>
      <c r="U52" s="172" t="str">
        <f t="shared" ca="1" si="6"/>
        <v/>
      </c>
      <c r="V52" s="173" t="str">
        <f ca="1">IF(AND($W52&gt;0,RegimeExecucao="Unitário"),$F52,"")</f>
        <v/>
      </c>
      <c r="W52" s="547">
        <f ca="1">IF($Y52&gt;0,CHOOSE(MATCH(RegimeExecucao,{"Unitário","Global"},0),IF($A52="S",$Y52/$X52,""),($Y52/$X52)*100),0)</f>
        <v>0</v>
      </c>
      <c r="X52" s="384" t="str">
        <f ca="1">IF($Y52&gt;0,CHOOSE(MATCH(RegimeExecucao,{"Unitário","Global"},0),IF($A52="S",ROUND($H52,ORÇAMENTO!$AF$10),""),ROUND($I52,ORÇAMENTO!$AF$11)),"")</f>
        <v/>
      </c>
      <c r="Y52" s="384">
        <f t="shared" ca="1" si="7"/>
        <v>0</v>
      </c>
      <c r="Z52" s="572"/>
      <c r="AB52" s="382"/>
      <c r="AC52" s="516"/>
      <c r="AD52" s="516"/>
      <c r="AE52" s="516"/>
      <c r="AF52" s="516"/>
      <c r="AG52" s="516"/>
      <c r="AH52" s="516"/>
      <c r="AI52" s="516"/>
      <c r="AJ52" s="516"/>
      <c r="AK52" s="516"/>
      <c r="AL52" s="516"/>
      <c r="AM52" s="383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ht="51" x14ac:dyDescent="0.2">
      <c r="A53" t="str">
        <f ca="1">ORÇAMENTO!C53</f>
        <v>S</v>
      </c>
      <c r="B53">
        <f ca="1">ORÇAMENTO!D53</f>
        <v>0</v>
      </c>
      <c r="C53" s="116" t="str">
        <f t="shared" ca="1" si="1"/>
        <v>F</v>
      </c>
      <c r="D53" s="119" t="str">
        <f ca="1">ORÇAMENTO!O53</f>
        <v>1.3.1.11.</v>
      </c>
      <c r="E53" s="172" t="str">
        <f t="shared" ca="1" si="2"/>
        <v>(abra o arquivo 'Referência 03-2024.xlsm)</v>
      </c>
      <c r="F53" s="173" t="str">
        <f ca="1">IF(RegimeExecucao="Global","",ORÇAMENTO.Unidade)</f>
        <v/>
      </c>
      <c r="G53" s="124" t="str">
        <f ca="1">IF(RegimeExecucao="Global","",ORÇAMENTO!T53)</f>
        <v/>
      </c>
      <c r="H53" s="124" t="str">
        <f ca="1">IF(RegimeExecucao="Global","",ORÇAMENTO!W53)</f>
        <v/>
      </c>
      <c r="I53" s="127">
        <f ca="1">ORÇAMENTO!X53</f>
        <v>130.18</v>
      </c>
      <c r="J53" s="378">
        <f ca="1">IF($A53="S",IF(CAIXA.Modo,BM.AFAnterior,BM.MEDAnterior),IF(AND(RegimeExecucao="Global",$I53&gt;0,COUNTIF($AB$13:$AM$13,BM.medicao-1)&gt;0),M53/$I53*100,0))</f>
        <v>0</v>
      </c>
      <c r="K53" s="124">
        <f t="shared" ca="1" si="3"/>
        <v>0</v>
      </c>
      <c r="L53" s="379">
        <f ca="1">IF($A53="S",IF(CAIXA.Modo,BM.AFAcumulado,BM.MEDAcumulado),IF(AND(RegimeExecucao="Global",$I53&gt;0,COUNTIF($AB$13:$AM$13,BM.medicao)&gt;0),O53/$I53*100,0))</f>
        <v>0</v>
      </c>
      <c r="M53" s="380">
        <f ca="1">IF($A53="S",VTOTALBM,IF($A53=0,0,ROUND(SomaAgrupBM,15-13*ORÇAMENTO!$AF$11)))</f>
        <v>0</v>
      </c>
      <c r="N53" s="381">
        <f t="shared" ca="1" si="4"/>
        <v>0</v>
      </c>
      <c r="O53" s="127">
        <f ca="1">IF($A53="S",VTOTALBM,IF($A53=0,0,ROUND(SomaAgrupBM,15-13*ORÇAMENTO!$AF$11)))</f>
        <v>0</v>
      </c>
      <c r="Q53" s="382"/>
      <c r="R53" s="383"/>
      <c r="T53" s="119" t="str">
        <f t="shared" ca="1" si="5"/>
        <v/>
      </c>
      <c r="U53" s="172" t="str">
        <f t="shared" ca="1" si="6"/>
        <v/>
      </c>
      <c r="V53" s="173" t="str">
        <f ca="1">IF(AND($W53&gt;0,RegimeExecucao="Unitário"),$F53,"")</f>
        <v/>
      </c>
      <c r="W53" s="547">
        <f ca="1">IF($Y53&gt;0,CHOOSE(MATCH(RegimeExecucao,{"Unitário","Global"},0),IF($A53="S",$Y53/$X53,""),($Y53/$X53)*100),0)</f>
        <v>0</v>
      </c>
      <c r="X53" s="384" t="str">
        <f ca="1">IF($Y53&gt;0,CHOOSE(MATCH(RegimeExecucao,{"Unitário","Global"},0),IF($A53="S",ROUND($H53,ORÇAMENTO!$AF$10),""),ROUND($I53,ORÇAMENTO!$AF$11)),"")</f>
        <v/>
      </c>
      <c r="Y53" s="384">
        <f t="shared" ca="1" si="7"/>
        <v>0</v>
      </c>
      <c r="Z53" s="572"/>
      <c r="AB53" s="382"/>
      <c r="AC53" s="516"/>
      <c r="AD53" s="516"/>
      <c r="AE53" s="516"/>
      <c r="AF53" s="516"/>
      <c r="AG53" s="516"/>
      <c r="AH53" s="516"/>
      <c r="AI53" s="516"/>
      <c r="AJ53" s="516"/>
      <c r="AK53" s="516"/>
      <c r="AL53" s="516"/>
      <c r="AM53" s="383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ht="25.5" x14ac:dyDescent="0.2">
      <c r="A54" t="str">
        <f ca="1">ORÇAMENTO!C54</f>
        <v>S</v>
      </c>
      <c r="B54">
        <f ca="1">ORÇAMENTO!D54</f>
        <v>0</v>
      </c>
      <c r="C54" s="116" t="str">
        <f t="shared" ca="1" si="1"/>
        <v>F</v>
      </c>
      <c r="D54" s="119" t="str">
        <f ca="1">ORÇAMENTO!O54</f>
        <v>1.3.1.12.</v>
      </c>
      <c r="E54" s="172" t="str">
        <f t="shared" ca="1" si="2"/>
        <v>(abra o arquivo 'Referência 03-2024.xlsm)</v>
      </c>
      <c r="F54" s="173" t="str">
        <f ca="1">IF(RegimeExecucao="Global","",ORÇAMENTO.Unidade)</f>
        <v/>
      </c>
      <c r="G54" s="124" t="str">
        <f ca="1">IF(RegimeExecucao="Global","",ORÇAMENTO!T54)</f>
        <v/>
      </c>
      <c r="H54" s="124" t="str">
        <f ca="1">IF(RegimeExecucao="Global","",ORÇAMENTO!W54)</f>
        <v/>
      </c>
      <c r="I54" s="127">
        <f ca="1">ORÇAMENTO!X54</f>
        <v>15.21</v>
      </c>
      <c r="J54" s="378">
        <f ca="1">IF($A54="S",IF(CAIXA.Modo,BM.AFAnterior,BM.MEDAnterior),IF(AND(RegimeExecucao="Global",$I54&gt;0,COUNTIF($AB$13:$AM$13,BM.medicao-1)&gt;0),M54/$I54*100,0))</f>
        <v>0</v>
      </c>
      <c r="K54" s="124">
        <f t="shared" ca="1" si="3"/>
        <v>0</v>
      </c>
      <c r="L54" s="379">
        <f ca="1">IF($A54="S",IF(CAIXA.Modo,BM.AFAcumulado,BM.MEDAcumulado),IF(AND(RegimeExecucao="Global",$I54&gt;0,COUNTIF($AB$13:$AM$13,BM.medicao)&gt;0),O54/$I54*100,0))</f>
        <v>0</v>
      </c>
      <c r="M54" s="380">
        <f ca="1">IF($A54="S",VTOTALBM,IF($A54=0,0,ROUND(SomaAgrupBM,15-13*ORÇAMENTO!$AF$11)))</f>
        <v>0</v>
      </c>
      <c r="N54" s="381">
        <f t="shared" ca="1" si="4"/>
        <v>0</v>
      </c>
      <c r="O54" s="127">
        <f ca="1">IF($A54="S",VTOTALBM,IF($A54=0,0,ROUND(SomaAgrupBM,15-13*ORÇAMENTO!$AF$11)))</f>
        <v>0</v>
      </c>
      <c r="Q54" s="382"/>
      <c r="R54" s="383"/>
      <c r="T54" s="119" t="str">
        <f t="shared" ca="1" si="5"/>
        <v/>
      </c>
      <c r="U54" s="172" t="str">
        <f t="shared" ca="1" si="6"/>
        <v/>
      </c>
      <c r="V54" s="173" t="str">
        <f ca="1">IF(AND($W54&gt;0,RegimeExecucao="Unitário"),$F54,"")</f>
        <v/>
      </c>
      <c r="W54" s="547">
        <f ca="1">IF($Y54&gt;0,CHOOSE(MATCH(RegimeExecucao,{"Unitário","Global"},0),IF($A54="S",$Y54/$X54,""),($Y54/$X54)*100),0)</f>
        <v>0</v>
      </c>
      <c r="X54" s="384" t="str">
        <f ca="1">IF($Y54&gt;0,CHOOSE(MATCH(RegimeExecucao,{"Unitário","Global"},0),IF($A54="S",ROUND($H54,ORÇAMENTO!$AF$10),""),ROUND($I54,ORÇAMENTO!$AF$11)),"")</f>
        <v/>
      </c>
      <c r="Y54" s="384">
        <f t="shared" ca="1" si="7"/>
        <v>0</v>
      </c>
      <c r="Z54" s="572"/>
      <c r="AB54" s="382"/>
      <c r="AC54" s="516"/>
      <c r="AD54" s="516"/>
      <c r="AE54" s="516"/>
      <c r="AF54" s="516"/>
      <c r="AG54" s="516"/>
      <c r="AH54" s="516"/>
      <c r="AI54" s="516"/>
      <c r="AJ54" s="516"/>
      <c r="AK54" s="516"/>
      <c r="AL54" s="516"/>
      <c r="AM54" s="383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ht="25.5" x14ac:dyDescent="0.2">
      <c r="A55" t="str">
        <f ca="1">ORÇAMENTO!C55</f>
        <v>S</v>
      </c>
      <c r="B55">
        <f ca="1">ORÇAMENTO!D55</f>
        <v>0</v>
      </c>
      <c r="C55" s="116" t="str">
        <f t="shared" ca="1" si="1"/>
        <v>F</v>
      </c>
      <c r="D55" s="119" t="str">
        <f ca="1">ORÇAMENTO!O55</f>
        <v>1.3.1.13.</v>
      </c>
      <c r="E55" s="172" t="str">
        <f t="shared" ca="1" si="2"/>
        <v>(abra o arquivo 'Referência 03-2024.xlsm)</v>
      </c>
      <c r="F55" s="173" t="str">
        <f ca="1">IF(RegimeExecucao="Global","",ORÇAMENTO.Unidade)</f>
        <v/>
      </c>
      <c r="G55" s="124" t="str">
        <f ca="1">IF(RegimeExecucao="Global","",ORÇAMENTO!T55)</f>
        <v/>
      </c>
      <c r="H55" s="124" t="str">
        <f ca="1">IF(RegimeExecucao="Global","",ORÇAMENTO!W55)</f>
        <v/>
      </c>
      <c r="I55" s="127">
        <f ca="1">ORÇAMENTO!X55</f>
        <v>80.5</v>
      </c>
      <c r="J55" s="378">
        <f ca="1">IF($A55="S",IF(CAIXA.Modo,BM.AFAnterior,BM.MEDAnterior),IF(AND(RegimeExecucao="Global",$I55&gt;0,COUNTIF($AB$13:$AM$13,BM.medicao-1)&gt;0),M55/$I55*100,0))</f>
        <v>0</v>
      </c>
      <c r="K55" s="124">
        <f t="shared" ca="1" si="3"/>
        <v>0</v>
      </c>
      <c r="L55" s="379">
        <f ca="1">IF($A55="S",IF(CAIXA.Modo,BM.AFAcumulado,BM.MEDAcumulado),IF(AND(RegimeExecucao="Global",$I55&gt;0,COUNTIF($AB$13:$AM$13,BM.medicao)&gt;0),O55/$I55*100,0))</f>
        <v>0</v>
      </c>
      <c r="M55" s="380">
        <f ca="1">IF($A55="S",VTOTALBM,IF($A55=0,0,ROUND(SomaAgrupBM,15-13*ORÇAMENTO!$AF$11)))</f>
        <v>0</v>
      </c>
      <c r="N55" s="381">
        <f t="shared" ca="1" si="4"/>
        <v>0</v>
      </c>
      <c r="O55" s="127">
        <f ca="1">IF($A55="S",VTOTALBM,IF($A55=0,0,ROUND(SomaAgrupBM,15-13*ORÇAMENTO!$AF$11)))</f>
        <v>0</v>
      </c>
      <c r="Q55" s="382"/>
      <c r="R55" s="383"/>
      <c r="T55" s="119" t="str">
        <f t="shared" ca="1" si="5"/>
        <v/>
      </c>
      <c r="U55" s="172" t="str">
        <f t="shared" ca="1" si="6"/>
        <v/>
      </c>
      <c r="V55" s="173" t="str">
        <f ca="1">IF(AND($W55&gt;0,RegimeExecucao="Unitário"),$F55,"")</f>
        <v/>
      </c>
      <c r="W55" s="547">
        <f ca="1">IF($Y55&gt;0,CHOOSE(MATCH(RegimeExecucao,{"Unitário","Global"},0),IF($A55="S",$Y55/$X55,""),($Y55/$X55)*100),0)</f>
        <v>0</v>
      </c>
      <c r="X55" s="384" t="str">
        <f ca="1">IF($Y55&gt;0,CHOOSE(MATCH(RegimeExecucao,{"Unitário","Global"},0),IF($A55="S",ROUND($H55,ORÇAMENTO!$AF$10),""),ROUND($I55,ORÇAMENTO!$AF$11)),"")</f>
        <v/>
      </c>
      <c r="Y55" s="384">
        <f t="shared" ca="1" si="7"/>
        <v>0</v>
      </c>
      <c r="Z55" s="572"/>
      <c r="AB55" s="382"/>
      <c r="AC55" s="516"/>
      <c r="AD55" s="516"/>
      <c r="AE55" s="516"/>
      <c r="AF55" s="516"/>
      <c r="AG55" s="516"/>
      <c r="AH55" s="516"/>
      <c r="AI55" s="516"/>
      <c r="AJ55" s="516"/>
      <c r="AK55" s="516"/>
      <c r="AL55" s="516"/>
      <c r="AM55" s="383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ht="51" x14ac:dyDescent="0.2">
      <c r="A56" t="str">
        <f ca="1">ORÇAMENTO!C56</f>
        <v>S</v>
      </c>
      <c r="B56">
        <f ca="1">ORÇAMENTO!D56</f>
        <v>0</v>
      </c>
      <c r="C56" s="116" t="str">
        <f t="shared" ca="1" si="1"/>
        <v>F</v>
      </c>
      <c r="D56" s="119" t="str">
        <f ca="1">ORÇAMENTO!O56</f>
        <v>1.3.1.14.</v>
      </c>
      <c r="E56" s="172" t="str">
        <f t="shared" ca="1" si="2"/>
        <v>(abra o arquivo 'Referência 03-2024.xlsm)</v>
      </c>
      <c r="F56" s="173" t="str">
        <f ca="1">IF(RegimeExecucao="Global","",ORÇAMENTO.Unidade)</f>
        <v/>
      </c>
      <c r="G56" s="124" t="str">
        <f ca="1">IF(RegimeExecucao="Global","",ORÇAMENTO!T56)</f>
        <v/>
      </c>
      <c r="H56" s="124" t="str">
        <f ca="1">IF(RegimeExecucao="Global","",ORÇAMENTO!W56)</f>
        <v/>
      </c>
      <c r="I56" s="127">
        <f ca="1">ORÇAMENTO!X56</f>
        <v>696.98</v>
      </c>
      <c r="J56" s="378">
        <f ca="1">IF($A56="S",IF(CAIXA.Modo,BM.AFAnterior,BM.MEDAnterior),IF(AND(RegimeExecucao="Global",$I56&gt;0,COUNTIF($AB$13:$AM$13,BM.medicao-1)&gt;0),M56/$I56*100,0))</f>
        <v>0</v>
      </c>
      <c r="K56" s="124">
        <f t="shared" ca="1" si="3"/>
        <v>0</v>
      </c>
      <c r="L56" s="379">
        <f ca="1">IF($A56="S",IF(CAIXA.Modo,BM.AFAcumulado,BM.MEDAcumulado),IF(AND(RegimeExecucao="Global",$I56&gt;0,COUNTIF($AB$13:$AM$13,BM.medicao)&gt;0),O56/$I56*100,0))</f>
        <v>0</v>
      </c>
      <c r="M56" s="380">
        <f ca="1">IF($A56="S",VTOTALBM,IF($A56=0,0,ROUND(SomaAgrupBM,15-13*ORÇAMENTO!$AF$11)))</f>
        <v>0</v>
      </c>
      <c r="N56" s="381">
        <f t="shared" ca="1" si="4"/>
        <v>0</v>
      </c>
      <c r="O56" s="127">
        <f ca="1">IF($A56="S",VTOTALBM,IF($A56=0,0,ROUND(SomaAgrupBM,15-13*ORÇAMENTO!$AF$11)))</f>
        <v>0</v>
      </c>
      <c r="Q56" s="382"/>
      <c r="R56" s="383"/>
      <c r="T56" s="119" t="str">
        <f t="shared" ca="1" si="5"/>
        <v/>
      </c>
      <c r="U56" s="172" t="str">
        <f t="shared" ca="1" si="6"/>
        <v/>
      </c>
      <c r="V56" s="173" t="str">
        <f ca="1">IF(AND($W56&gt;0,RegimeExecucao="Unitário"),$F56,"")</f>
        <v/>
      </c>
      <c r="W56" s="547">
        <f ca="1">IF($Y56&gt;0,CHOOSE(MATCH(RegimeExecucao,{"Unitário","Global"},0),IF($A56="S",$Y56/$X56,""),($Y56/$X56)*100),0)</f>
        <v>0</v>
      </c>
      <c r="X56" s="384" t="str">
        <f ca="1">IF($Y56&gt;0,CHOOSE(MATCH(RegimeExecucao,{"Unitário","Global"},0),IF($A56="S",ROUND($H56,ORÇAMENTO!$AF$10),""),ROUND($I56,ORÇAMENTO!$AF$11)),"")</f>
        <v/>
      </c>
      <c r="Y56" s="384">
        <f t="shared" ca="1" si="7"/>
        <v>0</v>
      </c>
      <c r="Z56" s="572"/>
      <c r="AB56" s="382"/>
      <c r="AC56" s="516"/>
      <c r="AD56" s="516"/>
      <c r="AE56" s="516"/>
      <c r="AF56" s="516"/>
      <c r="AG56" s="516"/>
      <c r="AH56" s="516"/>
      <c r="AI56" s="516"/>
      <c r="AJ56" s="516"/>
      <c r="AK56" s="516"/>
      <c r="AL56" s="516"/>
      <c r="AM56" s="383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ht="25.5" x14ac:dyDescent="0.2">
      <c r="A57" t="str">
        <f ca="1">ORÇAMENTO!C57</f>
        <v>S</v>
      </c>
      <c r="B57">
        <f ca="1">ORÇAMENTO!D57</f>
        <v>0</v>
      </c>
      <c r="C57" s="116" t="str">
        <f t="shared" ca="1" si="1"/>
        <v>F</v>
      </c>
      <c r="D57" s="119" t="str">
        <f ca="1">ORÇAMENTO!O57</f>
        <v>1.3.1.15.</v>
      </c>
      <c r="E57" s="172" t="str">
        <f t="shared" ca="1" si="2"/>
        <v>(abra o arquivo 'Referência 03-2024.xlsm)</v>
      </c>
      <c r="F57" s="173" t="str">
        <f ca="1">IF(RegimeExecucao="Global","",ORÇAMENTO.Unidade)</f>
        <v/>
      </c>
      <c r="G57" s="124" t="str">
        <f ca="1">IF(RegimeExecucao="Global","",ORÇAMENTO!T57)</f>
        <v/>
      </c>
      <c r="H57" s="124" t="str">
        <f ca="1">IF(RegimeExecucao="Global","",ORÇAMENTO!W57)</f>
        <v/>
      </c>
      <c r="I57" s="127">
        <f ca="1">ORÇAMENTO!X57</f>
        <v>16.05</v>
      </c>
      <c r="J57" s="378">
        <f ca="1">IF($A57="S",IF(CAIXA.Modo,BM.AFAnterior,BM.MEDAnterior),IF(AND(RegimeExecucao="Global",$I57&gt;0,COUNTIF($AB$13:$AM$13,BM.medicao-1)&gt;0),M57/$I57*100,0))</f>
        <v>0</v>
      </c>
      <c r="K57" s="124">
        <f t="shared" ca="1" si="3"/>
        <v>0</v>
      </c>
      <c r="L57" s="379">
        <f ca="1">IF($A57="S",IF(CAIXA.Modo,BM.AFAcumulado,BM.MEDAcumulado),IF(AND(RegimeExecucao="Global",$I57&gt;0,COUNTIF($AB$13:$AM$13,BM.medicao)&gt;0),O57/$I57*100,0))</f>
        <v>0</v>
      </c>
      <c r="M57" s="380">
        <f ca="1">IF($A57="S",VTOTALBM,IF($A57=0,0,ROUND(SomaAgrupBM,15-13*ORÇAMENTO!$AF$11)))</f>
        <v>0</v>
      </c>
      <c r="N57" s="381">
        <f t="shared" ca="1" si="4"/>
        <v>0</v>
      </c>
      <c r="O57" s="127">
        <f ca="1">IF($A57="S",VTOTALBM,IF($A57=0,0,ROUND(SomaAgrupBM,15-13*ORÇAMENTO!$AF$11)))</f>
        <v>0</v>
      </c>
      <c r="Q57" s="382"/>
      <c r="R57" s="383"/>
      <c r="T57" s="119" t="str">
        <f t="shared" ca="1" si="5"/>
        <v/>
      </c>
      <c r="U57" s="172" t="str">
        <f t="shared" ca="1" si="6"/>
        <v/>
      </c>
      <c r="V57" s="173" t="str">
        <f ca="1">IF(AND($W57&gt;0,RegimeExecucao="Unitário"),$F57,"")</f>
        <v/>
      </c>
      <c r="W57" s="547">
        <f ca="1">IF($Y57&gt;0,CHOOSE(MATCH(RegimeExecucao,{"Unitário","Global"},0),IF($A57="S",$Y57/$X57,""),($Y57/$X57)*100),0)</f>
        <v>0</v>
      </c>
      <c r="X57" s="384" t="str">
        <f ca="1">IF($Y57&gt;0,CHOOSE(MATCH(RegimeExecucao,{"Unitário","Global"},0),IF($A57="S",ROUND($H57,ORÇAMENTO!$AF$10),""),ROUND($I57,ORÇAMENTO!$AF$11)),"")</f>
        <v/>
      </c>
      <c r="Y57" s="384">
        <f t="shared" ca="1" si="7"/>
        <v>0</v>
      </c>
      <c r="Z57" s="572"/>
      <c r="AB57" s="382"/>
      <c r="AC57" s="516"/>
      <c r="AD57" s="516"/>
      <c r="AE57" s="516"/>
      <c r="AF57" s="516"/>
      <c r="AG57" s="516"/>
      <c r="AH57" s="516"/>
      <c r="AI57" s="516"/>
      <c r="AJ57" s="516"/>
      <c r="AK57" s="516"/>
      <c r="AL57" s="516"/>
      <c r="AM57" s="383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 ht="25.5" x14ac:dyDescent="0.2">
      <c r="A58" t="str">
        <f ca="1">ORÇAMENTO!C58</f>
        <v>S</v>
      </c>
      <c r="B58">
        <f ca="1">ORÇAMENTO!D58</f>
        <v>0</v>
      </c>
      <c r="C58" s="116" t="str">
        <f t="shared" ca="1" si="1"/>
        <v>F</v>
      </c>
      <c r="D58" s="119" t="str">
        <f ca="1">ORÇAMENTO!O58</f>
        <v>1.3.1.16.</v>
      </c>
      <c r="E58" s="172" t="str">
        <f t="shared" ca="1" si="2"/>
        <v>(abra o arquivo 'Referência 03-2024.xlsm)</v>
      </c>
      <c r="F58" s="173" t="str">
        <f ca="1">IF(RegimeExecucao="Global","",ORÇAMENTO.Unidade)</f>
        <v/>
      </c>
      <c r="G58" s="124" t="str">
        <f ca="1">IF(RegimeExecucao="Global","",ORÇAMENTO!T58)</f>
        <v/>
      </c>
      <c r="H58" s="124" t="str">
        <f ca="1">IF(RegimeExecucao="Global","",ORÇAMENTO!W58)</f>
        <v/>
      </c>
      <c r="I58" s="127">
        <f ca="1">ORÇAMENTO!X58</f>
        <v>13.71</v>
      </c>
      <c r="J58" s="378">
        <f ca="1">IF($A58="S",IF(CAIXA.Modo,BM.AFAnterior,BM.MEDAnterior),IF(AND(RegimeExecucao="Global",$I58&gt;0,COUNTIF($AB$13:$AM$13,BM.medicao-1)&gt;0),M58/$I58*100,0))</f>
        <v>0</v>
      </c>
      <c r="K58" s="124">
        <f t="shared" ca="1" si="3"/>
        <v>0</v>
      </c>
      <c r="L58" s="379">
        <f ca="1">IF($A58="S",IF(CAIXA.Modo,BM.AFAcumulado,BM.MEDAcumulado),IF(AND(RegimeExecucao="Global",$I58&gt;0,COUNTIF($AB$13:$AM$13,BM.medicao)&gt;0),O58/$I58*100,0))</f>
        <v>0</v>
      </c>
      <c r="M58" s="380">
        <f ca="1">IF($A58="S",VTOTALBM,IF($A58=0,0,ROUND(SomaAgrupBM,15-13*ORÇAMENTO!$AF$11)))</f>
        <v>0</v>
      </c>
      <c r="N58" s="381">
        <f t="shared" ca="1" si="4"/>
        <v>0</v>
      </c>
      <c r="O58" s="127">
        <f ca="1">IF($A58="S",VTOTALBM,IF($A58=0,0,ROUND(SomaAgrupBM,15-13*ORÇAMENTO!$AF$11)))</f>
        <v>0</v>
      </c>
      <c r="Q58" s="382"/>
      <c r="R58" s="383"/>
      <c r="T58" s="119" t="str">
        <f t="shared" ca="1" si="5"/>
        <v/>
      </c>
      <c r="U58" s="172" t="str">
        <f t="shared" ca="1" si="6"/>
        <v/>
      </c>
      <c r="V58" s="173" t="str">
        <f ca="1">IF(AND($W58&gt;0,RegimeExecucao="Unitário"),$F58,"")</f>
        <v/>
      </c>
      <c r="W58" s="547">
        <f ca="1">IF($Y58&gt;0,CHOOSE(MATCH(RegimeExecucao,{"Unitário","Global"},0),IF($A58="S",$Y58/$X58,""),($Y58/$X58)*100),0)</f>
        <v>0</v>
      </c>
      <c r="X58" s="384" t="str">
        <f ca="1">IF($Y58&gt;0,CHOOSE(MATCH(RegimeExecucao,{"Unitário","Global"},0),IF($A58="S",ROUND($H58,ORÇAMENTO!$AF$10),""),ROUND($I58,ORÇAMENTO!$AF$11)),"")</f>
        <v/>
      </c>
      <c r="Y58" s="384">
        <f t="shared" ca="1" si="7"/>
        <v>0</v>
      </c>
      <c r="Z58" s="572"/>
      <c r="AB58" s="382"/>
      <c r="AC58" s="516"/>
      <c r="AD58" s="516"/>
      <c r="AE58" s="516"/>
      <c r="AF58" s="516"/>
      <c r="AG58" s="516"/>
      <c r="AH58" s="516"/>
      <c r="AI58" s="516"/>
      <c r="AJ58" s="516"/>
      <c r="AK58" s="516"/>
      <c r="AL58" s="516"/>
      <c r="AM58" s="383"/>
      <c r="AO58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 ht="25.5" x14ac:dyDescent="0.2">
      <c r="A59" t="str">
        <f ca="1">ORÇAMENTO!C59</f>
        <v>S</v>
      </c>
      <c r="B59">
        <f ca="1">ORÇAMENTO!D59</f>
        <v>0</v>
      </c>
      <c r="C59" s="116" t="str">
        <f t="shared" ca="1" si="1"/>
        <v>F</v>
      </c>
      <c r="D59" s="119" t="str">
        <f ca="1">ORÇAMENTO!O59</f>
        <v>1.3.1.17.</v>
      </c>
      <c r="E59" s="172" t="str">
        <f t="shared" ca="1" si="2"/>
        <v>(abra o arquivo 'Referência 03-2024.xlsm)</v>
      </c>
      <c r="F59" s="173" t="str">
        <f ca="1">IF(RegimeExecucao="Global","",ORÇAMENTO.Unidade)</f>
        <v/>
      </c>
      <c r="G59" s="124" t="str">
        <f ca="1">IF(RegimeExecucao="Global","",ORÇAMENTO!T59)</f>
        <v/>
      </c>
      <c r="H59" s="124" t="str">
        <f ca="1">IF(RegimeExecucao="Global","",ORÇAMENTO!W59)</f>
        <v/>
      </c>
      <c r="I59" s="127">
        <f ca="1">ORÇAMENTO!X59</f>
        <v>124.63</v>
      </c>
      <c r="J59" s="378">
        <f ca="1">IF($A59="S",IF(CAIXA.Modo,BM.AFAnterior,BM.MEDAnterior),IF(AND(RegimeExecucao="Global",$I59&gt;0,COUNTIF($AB$13:$AM$13,BM.medicao-1)&gt;0),M59/$I59*100,0))</f>
        <v>0</v>
      </c>
      <c r="K59" s="124">
        <f t="shared" ca="1" si="3"/>
        <v>0</v>
      </c>
      <c r="L59" s="379">
        <f ca="1">IF($A59="S",IF(CAIXA.Modo,BM.AFAcumulado,BM.MEDAcumulado),IF(AND(RegimeExecucao="Global",$I59&gt;0,COUNTIF($AB$13:$AM$13,BM.medicao)&gt;0),O59/$I59*100,0))</f>
        <v>0</v>
      </c>
      <c r="M59" s="380">
        <f ca="1">IF($A59="S",VTOTALBM,IF($A59=0,0,ROUND(SomaAgrupBM,15-13*ORÇAMENTO!$AF$11)))</f>
        <v>0</v>
      </c>
      <c r="N59" s="381">
        <f t="shared" ca="1" si="4"/>
        <v>0</v>
      </c>
      <c r="O59" s="127">
        <f ca="1">IF($A59="S",VTOTALBM,IF($A59=0,0,ROUND(SomaAgrupBM,15-13*ORÇAMENTO!$AF$11)))</f>
        <v>0</v>
      </c>
      <c r="Q59" s="382"/>
      <c r="R59" s="383"/>
      <c r="T59" s="119" t="str">
        <f t="shared" ca="1" si="5"/>
        <v/>
      </c>
      <c r="U59" s="172" t="str">
        <f t="shared" ca="1" si="6"/>
        <v/>
      </c>
      <c r="V59" s="173" t="str">
        <f ca="1">IF(AND($W59&gt;0,RegimeExecucao="Unitário"),$F59,"")</f>
        <v/>
      </c>
      <c r="W59" s="547">
        <f ca="1">IF($Y59&gt;0,CHOOSE(MATCH(RegimeExecucao,{"Unitário","Global"},0),IF($A59="S",$Y59/$X59,""),($Y59/$X59)*100),0)</f>
        <v>0</v>
      </c>
      <c r="X59" s="384" t="str">
        <f ca="1">IF($Y59&gt;0,CHOOSE(MATCH(RegimeExecucao,{"Unitário","Global"},0),IF($A59="S",ROUND($H59,ORÇAMENTO!$AF$10),""),ROUND($I59,ORÇAMENTO!$AF$11)),"")</f>
        <v/>
      </c>
      <c r="Y59" s="384">
        <f t="shared" ca="1" si="7"/>
        <v>0</v>
      </c>
      <c r="Z59" s="572"/>
      <c r="AB59" s="382"/>
      <c r="AC59" s="516"/>
      <c r="AD59" s="516"/>
      <c r="AE59" s="516"/>
      <c r="AF59" s="516"/>
      <c r="AG59" s="516"/>
      <c r="AH59" s="516"/>
      <c r="AI59" s="516"/>
      <c r="AJ59" s="516"/>
      <c r="AK59" s="516"/>
      <c r="AL59" s="516"/>
      <c r="AM59" s="383"/>
      <c r="AO59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 ht="25.5" x14ac:dyDescent="0.2">
      <c r="A60" t="str">
        <f ca="1">ORÇAMENTO!C60</f>
        <v>S</v>
      </c>
      <c r="B60">
        <f ca="1">ORÇAMENTO!D60</f>
        <v>0</v>
      </c>
      <c r="C60" s="116" t="str">
        <f t="shared" ca="1" si="1"/>
        <v>F</v>
      </c>
      <c r="D60" s="119" t="str">
        <f ca="1">ORÇAMENTO!O60</f>
        <v>1.3.1.18.</v>
      </c>
      <c r="E60" s="172" t="str">
        <f t="shared" ca="1" si="2"/>
        <v>(abra o arquivo 'Referência 03-2024.xlsm)</v>
      </c>
      <c r="F60" s="173" t="str">
        <f ca="1">IF(RegimeExecucao="Global","",ORÇAMENTO.Unidade)</f>
        <v/>
      </c>
      <c r="G60" s="124" t="str">
        <f ca="1">IF(RegimeExecucao="Global","",ORÇAMENTO!T60)</f>
        <v/>
      </c>
      <c r="H60" s="124" t="str">
        <f ca="1">IF(RegimeExecucao="Global","",ORÇAMENTO!W60)</f>
        <v/>
      </c>
      <c r="I60" s="127">
        <f ca="1">ORÇAMENTO!X60</f>
        <v>197.38</v>
      </c>
      <c r="J60" s="378">
        <f ca="1">IF($A60="S",IF(CAIXA.Modo,BM.AFAnterior,BM.MEDAnterior),IF(AND(RegimeExecucao="Global",$I60&gt;0,COUNTIF($AB$13:$AM$13,BM.medicao-1)&gt;0),M60/$I60*100,0))</f>
        <v>0</v>
      </c>
      <c r="K60" s="124">
        <f t="shared" ca="1" si="3"/>
        <v>0</v>
      </c>
      <c r="L60" s="379">
        <f ca="1">IF($A60="S",IF(CAIXA.Modo,BM.AFAcumulado,BM.MEDAcumulado),IF(AND(RegimeExecucao="Global",$I60&gt;0,COUNTIF($AB$13:$AM$13,BM.medicao)&gt;0),O60/$I60*100,0))</f>
        <v>0</v>
      </c>
      <c r="M60" s="380">
        <f ca="1">IF($A60="S",VTOTALBM,IF($A60=0,0,ROUND(SomaAgrupBM,15-13*ORÇAMENTO!$AF$11)))</f>
        <v>0</v>
      </c>
      <c r="N60" s="381">
        <f t="shared" ca="1" si="4"/>
        <v>0</v>
      </c>
      <c r="O60" s="127">
        <f ca="1">IF($A60="S",VTOTALBM,IF($A60=0,0,ROUND(SomaAgrupBM,15-13*ORÇAMENTO!$AF$11)))</f>
        <v>0</v>
      </c>
      <c r="Q60" s="382"/>
      <c r="R60" s="383"/>
      <c r="T60" s="119" t="str">
        <f t="shared" ca="1" si="5"/>
        <v/>
      </c>
      <c r="U60" s="172" t="str">
        <f t="shared" ca="1" si="6"/>
        <v/>
      </c>
      <c r="V60" s="173" t="str">
        <f ca="1">IF(AND($W60&gt;0,RegimeExecucao="Unitário"),$F60,"")</f>
        <v/>
      </c>
      <c r="W60" s="547">
        <f ca="1">IF($Y60&gt;0,CHOOSE(MATCH(RegimeExecucao,{"Unitário","Global"},0),IF($A60="S",$Y60/$X60,""),($Y60/$X60)*100),0)</f>
        <v>0</v>
      </c>
      <c r="X60" s="384" t="str">
        <f ca="1">IF($Y60&gt;0,CHOOSE(MATCH(RegimeExecucao,{"Unitário","Global"},0),IF($A60="S",ROUND($H60,ORÇAMENTO!$AF$10),""),ROUND($I60,ORÇAMENTO!$AF$11)),"")</f>
        <v/>
      </c>
      <c r="Y60" s="384">
        <f t="shared" ca="1" si="7"/>
        <v>0</v>
      </c>
      <c r="Z60" s="572"/>
      <c r="AB60" s="382"/>
      <c r="AC60" s="516"/>
      <c r="AD60" s="516"/>
      <c r="AE60" s="516"/>
      <c r="AF60" s="516"/>
      <c r="AG60" s="516"/>
      <c r="AH60" s="516"/>
      <c r="AI60" s="516"/>
      <c r="AJ60" s="516"/>
      <c r="AK60" s="516"/>
      <c r="AL60" s="516"/>
      <c r="AM60" s="383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 ht="25.5" x14ac:dyDescent="0.2">
      <c r="A61" t="str">
        <f ca="1">ORÇAMENTO!C61</f>
        <v>S</v>
      </c>
      <c r="B61">
        <f ca="1">ORÇAMENTO!D61</f>
        <v>0</v>
      </c>
      <c r="C61" s="116" t="str">
        <f ca="1">IF(OR($I61&gt;0,$A61=1,$A61=2,$A61=3,$A61=4),"F","")</f>
        <v>F</v>
      </c>
      <c r="D61" s="119" t="str">
        <f ca="1">ORÇAMENTO!O61</f>
        <v>1.3.1.19.</v>
      </c>
      <c r="E61" s="172" t="str">
        <f ca="1">ORÇAMENTO.Descricao</f>
        <v>(abra o arquivo 'Referência 03-2024.xlsm)</v>
      </c>
      <c r="F61" s="173" t="str">
        <f ca="1">IF(RegimeExecucao="Global","",ORÇAMENTO.Unidade)</f>
        <v/>
      </c>
      <c r="G61" s="124" t="str">
        <f ca="1">IF(RegimeExecucao="Global","",ORÇAMENTO!T61)</f>
        <v/>
      </c>
      <c r="H61" s="124" t="str">
        <f ca="1">IF(RegimeExecucao="Global","",ORÇAMENTO!W61)</f>
        <v/>
      </c>
      <c r="I61" s="127">
        <f ca="1">ORÇAMENTO!X61</f>
        <v>116.04</v>
      </c>
      <c r="J61" s="378">
        <f ca="1">IF($A61="S",IF(CAIXA.Modo,BM.AFAnterior,BM.MEDAnterior),IF(AND(RegimeExecucao="Global",$I61&gt;0,COUNTIF($AB$13:$AM$13,BM.medicao-1)&gt;0),M61/$I61*100,0))</f>
        <v>0</v>
      </c>
      <c r="K61" s="124">
        <f ca="1">L61-J61</f>
        <v>0</v>
      </c>
      <c r="L61" s="379">
        <f ca="1">IF($A61="S",IF(CAIXA.Modo,BM.AFAcumulado,BM.MEDAcumulado),IF(AND(RegimeExecucao="Global",$I61&gt;0,COUNTIF($AB$13:$AM$13,BM.medicao)&gt;0),O61/$I61*100,0))</f>
        <v>0</v>
      </c>
      <c r="M61" s="380">
        <f ca="1">IF($A61="S",VTOTALBM,IF($A61=0,0,ROUND(SomaAgrupBM,15-13*ORÇAMENTO!$AF$11)))</f>
        <v>0</v>
      </c>
      <c r="N61" s="381">
        <f ca="1">O61-M61</f>
        <v>0</v>
      </c>
      <c r="O61" s="127">
        <f ca="1">IF($A61="S",VTOTALBM,IF($A61=0,0,ROUND(SomaAgrupBM,15-13*ORÇAMENTO!$AF$11)))</f>
        <v>0</v>
      </c>
      <c r="Q61" s="382"/>
      <c r="R61" s="383"/>
      <c r="T61" s="119" t="str">
        <f ca="1">IF($W61&gt;0,$D61,"")</f>
        <v/>
      </c>
      <c r="U61" s="172" t="str">
        <f ca="1">IF($W61&gt;0,$E61,"")</f>
        <v/>
      </c>
      <c r="V61" s="173" t="str">
        <f ca="1">IF(AND($W61&gt;0,RegimeExecucao="Unitário"),$F61,"")</f>
        <v/>
      </c>
      <c r="W61" s="547">
        <f ca="1">IF($Y61&gt;0,CHOOSE(MATCH(RegimeExecucao,{"Unitário","Global"},0),IF($A61="S",$Y61/$X61,""),($Y61/$X61)*100),0)</f>
        <v>0</v>
      </c>
      <c r="X61" s="384" t="str">
        <f ca="1">IF($Y61&gt;0,CHOOSE(MATCH(RegimeExecucao,{"Unitário","Global"},0),IF($A61="S",ROUND($H61,ORÇAMENTO!$AF$10),""),ROUND($I61,ORÇAMENTO!$AF$11)),"")</f>
        <v/>
      </c>
      <c r="Y61" s="384">
        <f ca="1">AO61-O61</f>
        <v>0</v>
      </c>
      <c r="Z61" s="572"/>
      <c r="AB61" s="382"/>
      <c r="AC61" s="516"/>
      <c r="AD61" s="516"/>
      <c r="AE61" s="516"/>
      <c r="AF61" s="516"/>
      <c r="AG61" s="516"/>
      <c r="AH61" s="516"/>
      <c r="AI61" s="516"/>
      <c r="AJ61" s="516"/>
      <c r="AK61" s="516"/>
      <c r="AL61" s="516"/>
      <c r="AM61" s="383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 ht="38.25" x14ac:dyDescent="0.2">
      <c r="A62" t="str">
        <f ca="1">ORÇAMENTO!C62</f>
        <v>S</v>
      </c>
      <c r="B62">
        <f ca="1">ORÇAMENTO!D62</f>
        <v>0</v>
      </c>
      <c r="C62" s="116" t="str">
        <f t="shared" ca="1" si="1"/>
        <v>F</v>
      </c>
      <c r="D62" s="119" t="str">
        <f ca="1">ORÇAMENTO!O62</f>
        <v>1.3.1.20.</v>
      </c>
      <c r="E62" s="172" t="str">
        <f t="shared" ca="1" si="2"/>
        <v>(abra o arquivo 'Referência 03-2024.xlsm)</v>
      </c>
      <c r="F62" s="173" t="str">
        <f ca="1">IF(RegimeExecucao="Global","",ORÇAMENTO.Unidade)</f>
        <v/>
      </c>
      <c r="G62" s="124" t="str">
        <f ca="1">IF(RegimeExecucao="Global","",ORÇAMENTO!T62)</f>
        <v/>
      </c>
      <c r="H62" s="124" t="str">
        <f ca="1">IF(RegimeExecucao="Global","",ORÇAMENTO!W62)</f>
        <v/>
      </c>
      <c r="I62" s="127">
        <f ca="1">ORÇAMENTO!X62</f>
        <v>4156.25</v>
      </c>
      <c r="J62" s="378">
        <f ca="1">IF($A62="S",IF(CAIXA.Modo,BM.AFAnterior,BM.MEDAnterior),IF(AND(RegimeExecucao="Global",$I62&gt;0,COUNTIF($AB$13:$AM$13,BM.medicao-1)&gt;0),M62/$I62*100,0))</f>
        <v>0</v>
      </c>
      <c r="K62" s="124">
        <f t="shared" ca="1" si="3"/>
        <v>0</v>
      </c>
      <c r="L62" s="379">
        <f ca="1">IF($A62="S",IF(CAIXA.Modo,BM.AFAcumulado,BM.MEDAcumulado),IF(AND(RegimeExecucao="Global",$I62&gt;0,COUNTIF($AB$13:$AM$13,BM.medicao)&gt;0),O62/$I62*100,0))</f>
        <v>0</v>
      </c>
      <c r="M62" s="380">
        <f ca="1">IF($A62="S",VTOTALBM,IF($A62=0,0,ROUND(SomaAgrupBM,15-13*ORÇAMENTO!$AF$11)))</f>
        <v>0</v>
      </c>
      <c r="N62" s="381">
        <f t="shared" ca="1" si="4"/>
        <v>0</v>
      </c>
      <c r="O62" s="127">
        <f ca="1">IF($A62="S",VTOTALBM,IF($A62=0,0,ROUND(SomaAgrupBM,15-13*ORÇAMENTO!$AF$11)))</f>
        <v>0</v>
      </c>
      <c r="Q62" s="382"/>
      <c r="R62" s="383"/>
      <c r="T62" s="119" t="str">
        <f t="shared" ca="1" si="5"/>
        <v/>
      </c>
      <c r="U62" s="172" t="str">
        <f t="shared" ca="1" si="6"/>
        <v/>
      </c>
      <c r="V62" s="173" t="str">
        <f ca="1">IF(AND($W62&gt;0,RegimeExecucao="Unitário"),$F62,"")</f>
        <v/>
      </c>
      <c r="W62" s="547">
        <f ca="1">IF($Y62&gt;0,CHOOSE(MATCH(RegimeExecucao,{"Unitário","Global"},0),IF($A62="S",$Y62/$X62,""),($Y62/$X62)*100),0)</f>
        <v>0</v>
      </c>
      <c r="X62" s="384" t="str">
        <f ca="1">IF($Y62&gt;0,CHOOSE(MATCH(RegimeExecucao,{"Unitário","Global"},0),IF($A62="S",ROUND($H62,ORÇAMENTO!$AF$10),""),ROUND($I62,ORÇAMENTO!$AF$11)),"")</f>
        <v/>
      </c>
      <c r="Y62" s="384">
        <f t="shared" ca="1" si="7"/>
        <v>0</v>
      </c>
      <c r="Z62" s="572"/>
      <c r="AB62" s="382"/>
      <c r="AC62" s="516"/>
      <c r="AD62" s="516"/>
      <c r="AE62" s="516"/>
      <c r="AF62" s="516"/>
      <c r="AG62" s="516"/>
      <c r="AH62" s="516"/>
      <c r="AI62" s="516"/>
      <c r="AJ62" s="516"/>
      <c r="AK62" s="516"/>
      <c r="AL62" s="516"/>
      <c r="AM62" s="383"/>
      <c r="AO62">
        <f ca="1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spans="1:41" ht="38.25" x14ac:dyDescent="0.2">
      <c r="A63" t="str">
        <f ca="1">ORÇAMENTO!C63</f>
        <v>S</v>
      </c>
      <c r="B63">
        <f ca="1">ORÇAMENTO!D63</f>
        <v>0</v>
      </c>
      <c r="C63" s="116" t="str">
        <f t="shared" ca="1" si="1"/>
        <v>F</v>
      </c>
      <c r="D63" s="119" t="str">
        <f ca="1">ORÇAMENTO!O63</f>
        <v>1.3.1.21.</v>
      </c>
      <c r="E63" s="172" t="str">
        <f t="shared" ca="1" si="2"/>
        <v>(abra o arquivo 'Referência 03-2024.xlsm)</v>
      </c>
      <c r="F63" s="173" t="str">
        <f ca="1">IF(RegimeExecucao="Global","",ORÇAMENTO.Unidade)</f>
        <v/>
      </c>
      <c r="G63" s="124" t="str">
        <f ca="1">IF(RegimeExecucao="Global","",ORÇAMENTO!T63)</f>
        <v/>
      </c>
      <c r="H63" s="124" t="str">
        <f ca="1">IF(RegimeExecucao="Global","",ORÇAMENTO!W63)</f>
        <v/>
      </c>
      <c r="I63" s="127">
        <f ca="1">ORÇAMENTO!X63</f>
        <v>33.82</v>
      </c>
      <c r="J63" s="378">
        <f ca="1">IF($A63="S",IF(CAIXA.Modo,BM.AFAnterior,BM.MEDAnterior),IF(AND(RegimeExecucao="Global",$I63&gt;0,COUNTIF($AB$13:$AM$13,BM.medicao-1)&gt;0),M63/$I63*100,0))</f>
        <v>0</v>
      </c>
      <c r="K63" s="124">
        <f t="shared" ca="1" si="3"/>
        <v>0</v>
      </c>
      <c r="L63" s="379">
        <f ca="1">IF($A63="S",IF(CAIXA.Modo,BM.AFAcumulado,BM.MEDAcumulado),IF(AND(RegimeExecucao="Global",$I63&gt;0,COUNTIF($AB$13:$AM$13,BM.medicao)&gt;0),O63/$I63*100,0))</f>
        <v>0</v>
      </c>
      <c r="M63" s="380">
        <f ca="1">IF($A63="S",VTOTALBM,IF($A63=0,0,ROUND(SomaAgrupBM,15-13*ORÇAMENTO!$AF$11)))</f>
        <v>0</v>
      </c>
      <c r="N63" s="381">
        <f t="shared" ca="1" si="4"/>
        <v>0</v>
      </c>
      <c r="O63" s="127">
        <f ca="1">IF($A63="S",VTOTALBM,IF($A63=0,0,ROUND(SomaAgrupBM,15-13*ORÇAMENTO!$AF$11)))</f>
        <v>0</v>
      </c>
      <c r="Q63" s="382"/>
      <c r="R63" s="383"/>
      <c r="T63" s="119" t="str">
        <f t="shared" ca="1" si="5"/>
        <v/>
      </c>
      <c r="U63" s="172" t="str">
        <f t="shared" ca="1" si="6"/>
        <v/>
      </c>
      <c r="V63" s="173" t="str">
        <f ca="1">IF(AND($W63&gt;0,RegimeExecucao="Unitário"),$F63,"")</f>
        <v/>
      </c>
      <c r="W63" s="547">
        <f ca="1">IF($Y63&gt;0,CHOOSE(MATCH(RegimeExecucao,{"Unitário","Global"},0),IF($A63="S",$Y63/$X63,""),($Y63/$X63)*100),0)</f>
        <v>0</v>
      </c>
      <c r="X63" s="384" t="str">
        <f ca="1">IF($Y63&gt;0,CHOOSE(MATCH(RegimeExecucao,{"Unitário","Global"},0),IF($A63="S",ROUND($H63,ORÇAMENTO!$AF$10),""),ROUND($I63,ORÇAMENTO!$AF$11)),"")</f>
        <v/>
      </c>
      <c r="Y63" s="384">
        <f t="shared" ca="1" si="7"/>
        <v>0</v>
      </c>
      <c r="Z63" s="572"/>
      <c r="AB63" s="382"/>
      <c r="AC63" s="516"/>
      <c r="AD63" s="516"/>
      <c r="AE63" s="516"/>
      <c r="AF63" s="516"/>
      <c r="AG63" s="516"/>
      <c r="AH63" s="516"/>
      <c r="AI63" s="516"/>
      <c r="AJ63" s="516"/>
      <c r="AK63" s="516"/>
      <c r="AL63" s="516"/>
      <c r="AM63" s="383"/>
      <c r="AO63">
        <f ca="1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spans="1:41" x14ac:dyDescent="0.2">
      <c r="A64">
        <f ca="1">ORÇAMENTO!C64</f>
        <v>3</v>
      </c>
      <c r="B64">
        <f ca="1">ORÇAMENTO!D64</f>
        <v>5</v>
      </c>
      <c r="C64" s="116" t="str">
        <f t="shared" ca="1" si="1"/>
        <v>F</v>
      </c>
      <c r="D64" s="119" t="str">
        <f ca="1">ORÇAMENTO!O64</f>
        <v>1.3.2.</v>
      </c>
      <c r="E64" s="172" t="str">
        <f t="shared" si="2"/>
        <v>ATERRAMENTO</v>
      </c>
      <c r="F64" s="173" t="str">
        <f ca="1">IF(RegimeExecucao="Global","",ORÇAMENTO.Unidade)</f>
        <v/>
      </c>
      <c r="G64" s="124" t="str">
        <f ca="1">IF(RegimeExecucao="Global","",ORÇAMENTO!T64)</f>
        <v/>
      </c>
      <c r="H64" s="124" t="str">
        <f ca="1">IF(RegimeExecucao="Global","",ORÇAMENTO!W64)</f>
        <v/>
      </c>
      <c r="I64" s="127">
        <f ca="1">ORÇAMENTO!X64</f>
        <v>1783.62</v>
      </c>
      <c r="J64" s="378">
        <f ca="1">IF($A64="S",IF(CAIXA.Modo,BM.AFAnterior,BM.MEDAnterior),IF(AND(RegimeExecucao="Global",$I64&gt;0,COUNTIF($AB$13:$AM$13,BM.medicao-1)&gt;0),M64/$I64*100,0))</f>
        <v>0</v>
      </c>
      <c r="K64" s="124">
        <f t="shared" ca="1" si="3"/>
        <v>0</v>
      </c>
      <c r="L64" s="379">
        <f ca="1">IF($A64="S",IF(CAIXA.Modo,BM.AFAcumulado,BM.MEDAcumulado),IF(AND(RegimeExecucao="Global",$I64&gt;0,COUNTIF($AB$13:$AM$13,BM.medicao)&gt;0),O64/$I64*100,0))</f>
        <v>0</v>
      </c>
      <c r="M64" s="380">
        <f ca="1">IF($A64="S",VTOTALBM,IF($A64=0,0,ROUND(SomaAgrupBM,15-13*ORÇAMENTO!$AF$11)))</f>
        <v>0</v>
      </c>
      <c r="N64" s="381">
        <f t="shared" ca="1" si="4"/>
        <v>0</v>
      </c>
      <c r="O64" s="127">
        <f ca="1">IF($A64="S",VTOTALBM,IF($A64=0,0,ROUND(SomaAgrupBM,15-13*ORÇAMENTO!$AF$11)))</f>
        <v>0</v>
      </c>
      <c r="Q64" s="382"/>
      <c r="R64" s="383"/>
      <c r="T64" s="119" t="str">
        <f t="shared" ca="1" si="5"/>
        <v/>
      </c>
      <c r="U64" s="172" t="str">
        <f t="shared" ca="1" si="6"/>
        <v/>
      </c>
      <c r="V64" s="173" t="str">
        <f ca="1">IF(AND($W64&gt;0,RegimeExecucao="Unitário"),$F64,"")</f>
        <v/>
      </c>
      <c r="W64" s="547">
        <f ca="1">IF($Y64&gt;0,CHOOSE(MATCH(RegimeExecucao,{"Unitário","Global"},0),IF($A64="S",$Y64/$X64,""),($Y64/$X64)*100),0)</f>
        <v>0</v>
      </c>
      <c r="X64" s="384" t="str">
        <f ca="1">IF($Y64&gt;0,CHOOSE(MATCH(RegimeExecucao,{"Unitário","Global"},0),IF($A64="S",ROUND($H64,ORÇAMENTO!$AF$10),""),ROUND($I64,ORÇAMENTO!$AF$11)),"")</f>
        <v/>
      </c>
      <c r="Y64" s="384">
        <f t="shared" ca="1" si="7"/>
        <v>0</v>
      </c>
      <c r="Z64" s="572"/>
      <c r="AB64" s="382"/>
      <c r="AC64" s="516"/>
      <c r="AD64" s="516"/>
      <c r="AE64" s="516"/>
      <c r="AF64" s="516"/>
      <c r="AG64" s="516"/>
      <c r="AH64" s="516"/>
      <c r="AI64" s="516"/>
      <c r="AJ64" s="516"/>
      <c r="AK64" s="516"/>
      <c r="AL64" s="516"/>
      <c r="AM64" s="383"/>
      <c r="AO64">
        <f ca="1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spans="1:41" ht="25.5" x14ac:dyDescent="0.2">
      <c r="A65" t="str">
        <f ca="1">ORÇAMENTO!C65</f>
        <v>S</v>
      </c>
      <c r="B65">
        <f ca="1">ORÇAMENTO!D65</f>
        <v>0</v>
      </c>
      <c r="C65" s="116" t="str">
        <f t="shared" ca="1" si="1"/>
        <v>F</v>
      </c>
      <c r="D65" s="119" t="str">
        <f ca="1">ORÇAMENTO!O65</f>
        <v>1.3.2.1.</v>
      </c>
      <c r="E65" s="172" t="str">
        <f t="shared" ca="1" si="2"/>
        <v>(abra o arquivo 'Referência 03-2024.xlsm)</v>
      </c>
      <c r="F65" s="173" t="str">
        <f ca="1">IF(RegimeExecucao="Global","",ORÇAMENTO.Unidade)</f>
        <v/>
      </c>
      <c r="G65" s="124" t="str">
        <f ca="1">IF(RegimeExecucao="Global","",ORÇAMENTO!T65)</f>
        <v/>
      </c>
      <c r="H65" s="124" t="str">
        <f ca="1">IF(RegimeExecucao="Global","",ORÇAMENTO!W65)</f>
        <v/>
      </c>
      <c r="I65" s="127">
        <f ca="1">ORÇAMENTO!X65</f>
        <v>73.3</v>
      </c>
      <c r="J65" s="378">
        <f ca="1">IF($A65="S",IF(CAIXA.Modo,BM.AFAnterior,BM.MEDAnterior),IF(AND(RegimeExecucao="Global",$I65&gt;0,COUNTIF($AB$13:$AM$13,BM.medicao-1)&gt;0),M65/$I65*100,0))</f>
        <v>0</v>
      </c>
      <c r="K65" s="124">
        <f t="shared" ca="1" si="3"/>
        <v>0</v>
      </c>
      <c r="L65" s="379">
        <f ca="1">IF($A65="S",IF(CAIXA.Modo,BM.AFAcumulado,BM.MEDAcumulado),IF(AND(RegimeExecucao="Global",$I65&gt;0,COUNTIF($AB$13:$AM$13,BM.medicao)&gt;0),O65/$I65*100,0))</f>
        <v>0</v>
      </c>
      <c r="M65" s="380">
        <f ca="1">IF($A65="S",VTOTALBM,IF($A65=0,0,ROUND(SomaAgrupBM,15-13*ORÇAMENTO!$AF$11)))</f>
        <v>0</v>
      </c>
      <c r="N65" s="381">
        <f t="shared" ca="1" si="4"/>
        <v>0</v>
      </c>
      <c r="O65" s="127">
        <f ca="1">IF($A65="S",VTOTALBM,IF($A65=0,0,ROUND(SomaAgrupBM,15-13*ORÇAMENTO!$AF$11)))</f>
        <v>0</v>
      </c>
      <c r="Q65" s="382"/>
      <c r="R65" s="383"/>
      <c r="T65" s="119" t="str">
        <f t="shared" ca="1" si="5"/>
        <v/>
      </c>
      <c r="U65" s="172" t="str">
        <f t="shared" ca="1" si="6"/>
        <v/>
      </c>
      <c r="V65" s="173" t="str">
        <f ca="1">IF(AND($W65&gt;0,RegimeExecucao="Unitário"),$F65,"")</f>
        <v/>
      </c>
      <c r="W65" s="547">
        <f ca="1">IF($Y65&gt;0,CHOOSE(MATCH(RegimeExecucao,{"Unitário","Global"},0),IF($A65="S",$Y65/$X65,""),($Y65/$X65)*100),0)</f>
        <v>0</v>
      </c>
      <c r="X65" s="384" t="str">
        <f ca="1">IF($Y65&gt;0,CHOOSE(MATCH(RegimeExecucao,{"Unitário","Global"},0),IF($A65="S",ROUND($H65,ORÇAMENTO!$AF$10),""),ROUND($I65,ORÇAMENTO!$AF$11)),"")</f>
        <v/>
      </c>
      <c r="Y65" s="384">
        <f t="shared" ca="1" si="7"/>
        <v>0</v>
      </c>
      <c r="Z65" s="572"/>
      <c r="AB65" s="382"/>
      <c r="AC65" s="516"/>
      <c r="AD65" s="516"/>
      <c r="AE65" s="516"/>
      <c r="AF65" s="516"/>
      <c r="AG65" s="516"/>
      <c r="AH65" s="516"/>
      <c r="AI65" s="516"/>
      <c r="AJ65" s="516"/>
      <c r="AK65" s="516"/>
      <c r="AL65" s="516"/>
      <c r="AM65" s="383"/>
      <c r="AO65">
        <f ca="1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spans="1:41" ht="25.5" x14ac:dyDescent="0.2">
      <c r="A66" t="str">
        <f ca="1">ORÇAMENTO!C66</f>
        <v>S</v>
      </c>
      <c r="B66">
        <f ca="1">ORÇAMENTO!D66</f>
        <v>0</v>
      </c>
      <c r="C66" s="116" t="str">
        <f t="shared" ca="1" si="1"/>
        <v>F</v>
      </c>
      <c r="D66" s="119" t="str">
        <f ca="1">ORÇAMENTO!O66</f>
        <v>1.3.2.2.</v>
      </c>
      <c r="E66" s="172" t="str">
        <f t="shared" ca="1" si="2"/>
        <v>(abra o arquivo 'Referência 03-2024.xlsm)</v>
      </c>
      <c r="F66" s="173" t="str">
        <f ca="1">IF(RegimeExecucao="Global","",ORÇAMENTO.Unidade)</f>
        <v/>
      </c>
      <c r="G66" s="124" t="str">
        <f ca="1">IF(RegimeExecucao="Global","",ORÇAMENTO!T66)</f>
        <v/>
      </c>
      <c r="H66" s="124" t="str">
        <f ca="1">IF(RegimeExecucao="Global","",ORÇAMENTO!W66)</f>
        <v/>
      </c>
      <c r="I66" s="127">
        <f ca="1">ORÇAMENTO!X66</f>
        <v>785.76</v>
      </c>
      <c r="J66" s="378">
        <f ca="1">IF($A66="S",IF(CAIXA.Modo,BM.AFAnterior,BM.MEDAnterior),IF(AND(RegimeExecucao="Global",$I66&gt;0,COUNTIF($AB$13:$AM$13,BM.medicao-1)&gt;0),M66/$I66*100,0))</f>
        <v>0</v>
      </c>
      <c r="K66" s="124">
        <f t="shared" ca="1" si="3"/>
        <v>0</v>
      </c>
      <c r="L66" s="379">
        <f ca="1">IF($A66="S",IF(CAIXA.Modo,BM.AFAcumulado,BM.MEDAcumulado),IF(AND(RegimeExecucao="Global",$I66&gt;0,COUNTIF($AB$13:$AM$13,BM.medicao)&gt;0),O66/$I66*100,0))</f>
        <v>0</v>
      </c>
      <c r="M66" s="380">
        <f ca="1">IF($A66="S",VTOTALBM,IF($A66=0,0,ROUND(SomaAgrupBM,15-13*ORÇAMENTO!$AF$11)))</f>
        <v>0</v>
      </c>
      <c r="N66" s="381">
        <f t="shared" ca="1" si="4"/>
        <v>0</v>
      </c>
      <c r="O66" s="127">
        <f ca="1">IF($A66="S",VTOTALBM,IF($A66=0,0,ROUND(SomaAgrupBM,15-13*ORÇAMENTO!$AF$11)))</f>
        <v>0</v>
      </c>
      <c r="Q66" s="382"/>
      <c r="R66" s="383"/>
      <c r="T66" s="119" t="str">
        <f t="shared" ca="1" si="5"/>
        <v/>
      </c>
      <c r="U66" s="172" t="str">
        <f t="shared" ca="1" si="6"/>
        <v/>
      </c>
      <c r="V66" s="173" t="str">
        <f ca="1">IF(AND($W66&gt;0,RegimeExecucao="Unitário"),$F66,"")</f>
        <v/>
      </c>
      <c r="W66" s="547">
        <f ca="1">IF($Y66&gt;0,CHOOSE(MATCH(RegimeExecucao,{"Unitário","Global"},0),IF($A66="S",$Y66/$X66,""),($Y66/$X66)*100),0)</f>
        <v>0</v>
      </c>
      <c r="X66" s="384" t="str">
        <f ca="1">IF($Y66&gt;0,CHOOSE(MATCH(RegimeExecucao,{"Unitário","Global"},0),IF($A66="S",ROUND($H66,ORÇAMENTO!$AF$10),""),ROUND($I66,ORÇAMENTO!$AF$11)),"")</f>
        <v/>
      </c>
      <c r="Y66" s="384">
        <f t="shared" ca="1" si="7"/>
        <v>0</v>
      </c>
      <c r="Z66" s="572"/>
      <c r="AB66" s="382"/>
      <c r="AC66" s="516"/>
      <c r="AD66" s="516"/>
      <c r="AE66" s="516"/>
      <c r="AF66" s="516"/>
      <c r="AG66" s="516"/>
      <c r="AH66" s="516"/>
      <c r="AI66" s="516"/>
      <c r="AJ66" s="516"/>
      <c r="AK66" s="516"/>
      <c r="AL66" s="516"/>
      <c r="AM66" s="383"/>
      <c r="AO66">
        <f ca="1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spans="1:41" ht="25.5" x14ac:dyDescent="0.2">
      <c r="A67" t="str">
        <f ca="1">ORÇAMENTO!C67</f>
        <v>S</v>
      </c>
      <c r="B67">
        <f ca="1">ORÇAMENTO!D67</f>
        <v>0</v>
      </c>
      <c r="C67" s="116" t="str">
        <f t="shared" ca="1" si="1"/>
        <v>F</v>
      </c>
      <c r="D67" s="119" t="str">
        <f ca="1">ORÇAMENTO!O67</f>
        <v>1.3.2.3.</v>
      </c>
      <c r="E67" s="172" t="str">
        <f t="shared" ca="1" si="2"/>
        <v>(abra o arquivo 'Referência 03-2024.xlsm)</v>
      </c>
      <c r="F67" s="173" t="str">
        <f ca="1">IF(RegimeExecucao="Global","",ORÇAMENTO.Unidade)</f>
        <v/>
      </c>
      <c r="G67" s="124" t="str">
        <f ca="1">IF(RegimeExecucao="Global","",ORÇAMENTO!T67)</f>
        <v/>
      </c>
      <c r="H67" s="124" t="str">
        <f ca="1">IF(RegimeExecucao="Global","",ORÇAMENTO!W67)</f>
        <v/>
      </c>
      <c r="I67" s="127">
        <f ca="1">ORÇAMENTO!X67</f>
        <v>692.48</v>
      </c>
      <c r="J67" s="378">
        <f ca="1">IF($A67="S",IF(CAIXA.Modo,BM.AFAnterior,BM.MEDAnterior),IF(AND(RegimeExecucao="Global",$I67&gt;0,COUNTIF($AB$13:$AM$13,BM.medicao-1)&gt;0),M67/$I67*100,0))</f>
        <v>0</v>
      </c>
      <c r="K67" s="124">
        <f t="shared" ca="1" si="3"/>
        <v>0</v>
      </c>
      <c r="L67" s="379">
        <f ca="1">IF($A67="S",IF(CAIXA.Modo,BM.AFAcumulado,BM.MEDAcumulado),IF(AND(RegimeExecucao="Global",$I67&gt;0,COUNTIF($AB$13:$AM$13,BM.medicao)&gt;0),O67/$I67*100,0))</f>
        <v>0</v>
      </c>
      <c r="M67" s="380">
        <f ca="1">IF($A67="S",VTOTALBM,IF($A67=0,0,ROUND(SomaAgrupBM,15-13*ORÇAMENTO!$AF$11)))</f>
        <v>0</v>
      </c>
      <c r="N67" s="381">
        <f t="shared" ca="1" si="4"/>
        <v>0</v>
      </c>
      <c r="O67" s="127">
        <f ca="1">IF($A67="S",VTOTALBM,IF($A67=0,0,ROUND(SomaAgrupBM,15-13*ORÇAMENTO!$AF$11)))</f>
        <v>0</v>
      </c>
      <c r="Q67" s="382"/>
      <c r="R67" s="383"/>
      <c r="T67" s="119" t="str">
        <f t="shared" ca="1" si="5"/>
        <v/>
      </c>
      <c r="U67" s="172" t="str">
        <f t="shared" ca="1" si="6"/>
        <v/>
      </c>
      <c r="V67" s="173" t="str">
        <f ca="1">IF(AND($W67&gt;0,RegimeExecucao="Unitário"),$F67,"")</f>
        <v/>
      </c>
      <c r="W67" s="547">
        <f ca="1">IF($Y67&gt;0,CHOOSE(MATCH(RegimeExecucao,{"Unitário","Global"},0),IF($A67="S",$Y67/$X67,""),($Y67/$X67)*100),0)</f>
        <v>0</v>
      </c>
      <c r="X67" s="384" t="str">
        <f ca="1">IF($Y67&gt;0,CHOOSE(MATCH(RegimeExecucao,{"Unitário","Global"},0),IF($A67="S",ROUND($H67,ORÇAMENTO!$AF$10),""),ROUND($I67,ORÇAMENTO!$AF$11)),"")</f>
        <v/>
      </c>
      <c r="Y67" s="384">
        <f t="shared" ca="1" si="7"/>
        <v>0</v>
      </c>
      <c r="Z67" s="572"/>
      <c r="AB67" s="382"/>
      <c r="AC67" s="516"/>
      <c r="AD67" s="516"/>
      <c r="AE67" s="516"/>
      <c r="AF67" s="516"/>
      <c r="AG67" s="516"/>
      <c r="AH67" s="516"/>
      <c r="AI67" s="516"/>
      <c r="AJ67" s="516"/>
      <c r="AK67" s="516"/>
      <c r="AL67" s="516"/>
      <c r="AM67" s="383"/>
      <c r="AO67">
        <f ca="1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spans="1:41" ht="25.5" x14ac:dyDescent="0.2">
      <c r="A68" t="str">
        <f ca="1">ORÇAMENTO!C68</f>
        <v>S</v>
      </c>
      <c r="B68">
        <f ca="1">ORÇAMENTO!D68</f>
        <v>0</v>
      </c>
      <c r="C68" s="116" t="str">
        <f t="shared" ca="1" si="1"/>
        <v>F</v>
      </c>
      <c r="D68" s="119" t="str">
        <f ca="1">ORÇAMENTO!O68</f>
        <v>1.3.2.4.</v>
      </c>
      <c r="E68" s="172" t="str">
        <f t="shared" ca="1" si="2"/>
        <v>(abra o arquivo 'Referência 03-2024.xlsm)</v>
      </c>
      <c r="F68" s="173" t="str">
        <f ca="1">IF(RegimeExecucao="Global","",ORÇAMENTO.Unidade)</f>
        <v/>
      </c>
      <c r="G68" s="124" t="str">
        <f ca="1">IF(RegimeExecucao="Global","",ORÇAMENTO!T68)</f>
        <v/>
      </c>
      <c r="H68" s="124" t="str">
        <f ca="1">IF(RegimeExecucao="Global","",ORÇAMENTO!W68)</f>
        <v/>
      </c>
      <c r="I68" s="127">
        <f ca="1">ORÇAMENTO!X68</f>
        <v>232.08</v>
      </c>
      <c r="J68" s="378">
        <f ca="1">IF($A68="S",IF(CAIXA.Modo,BM.AFAnterior,BM.MEDAnterior),IF(AND(RegimeExecucao="Global",$I68&gt;0,COUNTIF($AB$13:$AM$13,BM.medicao-1)&gt;0),M68/$I68*100,0))</f>
        <v>0</v>
      </c>
      <c r="K68" s="124">
        <f t="shared" ca="1" si="3"/>
        <v>0</v>
      </c>
      <c r="L68" s="379">
        <f ca="1">IF($A68="S",IF(CAIXA.Modo,BM.AFAcumulado,BM.MEDAcumulado),IF(AND(RegimeExecucao="Global",$I68&gt;0,COUNTIF($AB$13:$AM$13,BM.medicao)&gt;0),O68/$I68*100,0))</f>
        <v>0</v>
      </c>
      <c r="M68" s="380">
        <f ca="1">IF($A68="S",VTOTALBM,IF($A68=0,0,ROUND(SomaAgrupBM,15-13*ORÇAMENTO!$AF$11)))</f>
        <v>0</v>
      </c>
      <c r="N68" s="381">
        <f t="shared" ca="1" si="4"/>
        <v>0</v>
      </c>
      <c r="O68" s="127">
        <f ca="1">IF($A68="S",VTOTALBM,IF($A68=0,0,ROUND(SomaAgrupBM,15-13*ORÇAMENTO!$AF$11)))</f>
        <v>0</v>
      </c>
      <c r="Q68" s="382"/>
      <c r="R68" s="383"/>
      <c r="T68" s="119" t="str">
        <f t="shared" ca="1" si="5"/>
        <v/>
      </c>
      <c r="U68" s="172" t="str">
        <f t="shared" ca="1" si="6"/>
        <v/>
      </c>
      <c r="V68" s="173" t="str">
        <f ca="1">IF(AND($W68&gt;0,RegimeExecucao="Unitário"),$F68,"")</f>
        <v/>
      </c>
      <c r="W68" s="547">
        <f ca="1">IF($Y68&gt;0,CHOOSE(MATCH(RegimeExecucao,{"Unitário","Global"},0),IF($A68="S",$Y68/$X68,""),($Y68/$X68)*100),0)</f>
        <v>0</v>
      </c>
      <c r="X68" s="384" t="str">
        <f ca="1">IF($Y68&gt;0,CHOOSE(MATCH(RegimeExecucao,{"Unitário","Global"},0),IF($A68="S",ROUND($H68,ORÇAMENTO!$AF$10),""),ROUND($I68,ORÇAMENTO!$AF$11)),"")</f>
        <v/>
      </c>
      <c r="Y68" s="384">
        <f t="shared" ca="1" si="7"/>
        <v>0</v>
      </c>
      <c r="Z68" s="572"/>
      <c r="AB68" s="382"/>
      <c r="AC68" s="516"/>
      <c r="AD68" s="516"/>
      <c r="AE68" s="516"/>
      <c r="AF68" s="516"/>
      <c r="AG68" s="516"/>
      <c r="AH68" s="516"/>
      <c r="AI68" s="516"/>
      <c r="AJ68" s="516"/>
      <c r="AK68" s="516"/>
      <c r="AL68" s="516"/>
      <c r="AM68" s="383"/>
      <c r="AO68">
        <f ca="1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spans="1:41" ht="25.5" x14ac:dyDescent="0.2">
      <c r="A69">
        <f ca="1">ORÇAMENTO!C69</f>
        <v>2</v>
      </c>
      <c r="B69">
        <f ca="1">ORÇAMENTO!D69</f>
        <v>12</v>
      </c>
      <c r="C69" s="116" t="str">
        <f t="shared" ca="1" si="1"/>
        <v>F</v>
      </c>
      <c r="D69" s="119" t="str">
        <f ca="1">ORÇAMENTO!O69</f>
        <v>1.4.</v>
      </c>
      <c r="E69" s="172" t="str">
        <f t="shared" si="2"/>
        <v>INSTALAÇÕES DE ILUMINAÇÃO COM POSTEAMENTO E LUMINÁRIAS 100W</v>
      </c>
      <c r="F69" s="173" t="str">
        <f ca="1">IF(RegimeExecucao="Global","",ORÇAMENTO.Unidade)</f>
        <v/>
      </c>
      <c r="G69" s="124" t="str">
        <f ca="1">IF(RegimeExecucao="Global","",ORÇAMENTO!T69)</f>
        <v/>
      </c>
      <c r="H69" s="124" t="str">
        <f ca="1">IF(RegimeExecucao="Global","",ORÇAMENTO!W69)</f>
        <v/>
      </c>
      <c r="I69" s="127">
        <f ca="1">ORÇAMENTO!X69</f>
        <v>50681.16</v>
      </c>
      <c r="J69" s="378">
        <f ca="1">IF($A69="S",IF(CAIXA.Modo,BM.AFAnterior,BM.MEDAnterior),IF(AND(RegimeExecucao="Global",$I69&gt;0,COUNTIF($AB$13:$AM$13,BM.medicao-1)&gt;0),M69/$I69*100,0))</f>
        <v>0</v>
      </c>
      <c r="K69" s="124">
        <f t="shared" ca="1" si="3"/>
        <v>0</v>
      </c>
      <c r="L69" s="379">
        <f ca="1">IF($A69="S",IF(CAIXA.Modo,BM.AFAcumulado,BM.MEDAcumulado),IF(AND(RegimeExecucao="Global",$I69&gt;0,COUNTIF($AB$13:$AM$13,BM.medicao)&gt;0),O69/$I69*100,0))</f>
        <v>0</v>
      </c>
      <c r="M69" s="380">
        <f ca="1">IF($A69="S",VTOTALBM,IF($A69=0,0,ROUND(SomaAgrupBM,15-13*ORÇAMENTO!$AF$11)))</f>
        <v>0</v>
      </c>
      <c r="N69" s="381">
        <f t="shared" ca="1" si="4"/>
        <v>0</v>
      </c>
      <c r="O69" s="127">
        <f ca="1">IF($A69="S",VTOTALBM,IF($A69=0,0,ROUND(SomaAgrupBM,15-13*ORÇAMENTO!$AF$11)))</f>
        <v>0</v>
      </c>
      <c r="Q69" s="382"/>
      <c r="R69" s="383"/>
      <c r="T69" s="119" t="str">
        <f t="shared" ca="1" si="5"/>
        <v/>
      </c>
      <c r="U69" s="172" t="str">
        <f t="shared" ca="1" si="6"/>
        <v/>
      </c>
      <c r="V69" s="173" t="str">
        <f ca="1">IF(AND($W69&gt;0,RegimeExecucao="Unitário"),$F69,"")</f>
        <v/>
      </c>
      <c r="W69" s="547">
        <f ca="1">IF($Y69&gt;0,CHOOSE(MATCH(RegimeExecucao,{"Unitário","Global"},0),IF($A69="S",$Y69/$X69,""),($Y69/$X69)*100),0)</f>
        <v>0</v>
      </c>
      <c r="X69" s="384" t="str">
        <f ca="1">IF($Y69&gt;0,CHOOSE(MATCH(RegimeExecucao,{"Unitário","Global"},0),IF($A69="S",ROUND($H69,ORÇAMENTO!$AF$10),""),ROUND($I69,ORÇAMENTO!$AF$11)),"")</f>
        <v/>
      </c>
      <c r="Y69" s="384">
        <f t="shared" ca="1" si="7"/>
        <v>0</v>
      </c>
      <c r="Z69" s="572"/>
      <c r="AB69" s="382"/>
      <c r="AC69" s="516"/>
      <c r="AD69" s="516"/>
      <c r="AE69" s="516"/>
      <c r="AF69" s="516"/>
      <c r="AG69" s="516"/>
      <c r="AH69" s="516"/>
      <c r="AI69" s="516"/>
      <c r="AJ69" s="516"/>
      <c r="AK69" s="516"/>
      <c r="AL69" s="516"/>
      <c r="AM69" s="383"/>
      <c r="AO69">
        <f ca="1">IF($A69="S",IF(BM!$I69=0,0,CHOOSE(MATCH(RegimeExecucao,{"Global","Unitário"},0),ROUND(ROUND(BM.MEDAcumulado,15-13*BM!$A$9)/100*BM!$I69,15-13*ORÇAMENTO!$AF$11),ROUND(ROUND(BM.MEDAcumulado,15-13*BM!$A$9)*ROUND(BM!$H69,15-13*ORÇAMENTO!$AF$10),15-13*ORÇAMENTO!$AF$11))),IF($A69=0,0,ROUND(SomaAgrupBM,15-13*ORÇAMENTO!$AF$11)))</f>
        <v>0</v>
      </c>
    </row>
    <row r="70" spans="1:41" ht="63.75" x14ac:dyDescent="0.2">
      <c r="A70" t="str">
        <f ca="1">ORÇAMENTO!C70</f>
        <v>S</v>
      </c>
      <c r="B70">
        <f ca="1">ORÇAMENTO!D70</f>
        <v>0</v>
      </c>
      <c r="C70" s="116" t="str">
        <f t="shared" ca="1" si="1"/>
        <v>F</v>
      </c>
      <c r="D70" s="119" t="str">
        <f ca="1">ORÇAMENTO!O70</f>
        <v>1.4.0.1.</v>
      </c>
      <c r="E70" s="172" t="str">
        <f t="shared" ca="1" si="2"/>
        <v>(abra o arquivo 'Referência 03-2024.xlsm)</v>
      </c>
      <c r="F70" s="173" t="str">
        <f ca="1">IF(RegimeExecucao="Global","",ORÇAMENTO.Unidade)</f>
        <v/>
      </c>
      <c r="G70" s="124" t="str">
        <f ca="1">IF(RegimeExecucao="Global","",ORÇAMENTO!T70)</f>
        <v/>
      </c>
      <c r="H70" s="124" t="str">
        <f ca="1">IF(RegimeExecucao="Global","",ORÇAMENTO!W70)</f>
        <v/>
      </c>
      <c r="I70" s="127">
        <f ca="1">ORÇAMENTO!X70</f>
        <v>3847.68</v>
      </c>
      <c r="J70" s="378">
        <f ca="1">IF($A70="S",IF(CAIXA.Modo,BM.AFAnterior,BM.MEDAnterior),IF(AND(RegimeExecucao="Global",$I70&gt;0,COUNTIF($AB$13:$AM$13,BM.medicao-1)&gt;0),M70/$I70*100,0))</f>
        <v>0</v>
      </c>
      <c r="K70" s="124">
        <f t="shared" ca="1" si="3"/>
        <v>0</v>
      </c>
      <c r="L70" s="379">
        <f ca="1">IF($A70="S",IF(CAIXA.Modo,BM.AFAcumulado,BM.MEDAcumulado),IF(AND(RegimeExecucao="Global",$I70&gt;0,COUNTIF($AB$13:$AM$13,BM.medicao)&gt;0),O70/$I70*100,0))</f>
        <v>0</v>
      </c>
      <c r="M70" s="380">
        <f ca="1">IF($A70="S",VTOTALBM,IF($A70=0,0,ROUND(SomaAgrupBM,15-13*ORÇAMENTO!$AF$11)))</f>
        <v>0</v>
      </c>
      <c r="N70" s="381">
        <f t="shared" ca="1" si="4"/>
        <v>0</v>
      </c>
      <c r="O70" s="127">
        <f ca="1">IF($A70="S",VTOTALBM,IF($A70=0,0,ROUND(SomaAgrupBM,15-13*ORÇAMENTO!$AF$11)))</f>
        <v>0</v>
      </c>
      <c r="Q70" s="382"/>
      <c r="R70" s="383"/>
      <c r="T70" s="119" t="str">
        <f t="shared" ca="1" si="5"/>
        <v/>
      </c>
      <c r="U70" s="172" t="str">
        <f t="shared" ca="1" si="6"/>
        <v/>
      </c>
      <c r="V70" s="173" t="str">
        <f ca="1">IF(AND($W70&gt;0,RegimeExecucao="Unitário"),$F70,"")</f>
        <v/>
      </c>
      <c r="W70" s="547">
        <f ca="1">IF($Y70&gt;0,CHOOSE(MATCH(RegimeExecucao,{"Unitário","Global"},0),IF($A70="S",$Y70/$X70,""),($Y70/$X70)*100),0)</f>
        <v>0</v>
      </c>
      <c r="X70" s="384" t="str">
        <f ca="1">IF($Y70&gt;0,CHOOSE(MATCH(RegimeExecucao,{"Unitário","Global"},0),IF($A70="S",ROUND($H70,ORÇAMENTO!$AF$10),""),ROUND($I70,ORÇAMENTO!$AF$11)),"")</f>
        <v/>
      </c>
      <c r="Y70" s="384">
        <f t="shared" ca="1" si="7"/>
        <v>0</v>
      </c>
      <c r="Z70" s="572"/>
      <c r="AB70" s="382"/>
      <c r="AC70" s="516"/>
      <c r="AD70" s="516"/>
      <c r="AE70" s="516"/>
      <c r="AF70" s="516"/>
      <c r="AG70" s="516"/>
      <c r="AH70" s="516"/>
      <c r="AI70" s="516"/>
      <c r="AJ70" s="516"/>
      <c r="AK70" s="516"/>
      <c r="AL70" s="516"/>
      <c r="AM70" s="383"/>
      <c r="AO70">
        <f ca="1">IF($A70="S",IF(BM!$I70=0,0,CHOOSE(MATCH(RegimeExecucao,{"Global","Unitário"},0),ROUND(ROUND(BM.MEDAcumulado,15-13*BM!$A$9)/100*BM!$I70,15-13*ORÇAMENTO!$AF$11),ROUND(ROUND(BM.MEDAcumulado,15-13*BM!$A$9)*ROUND(BM!$H70,15-13*ORÇAMENTO!$AF$10),15-13*ORÇAMENTO!$AF$11))),IF($A70=0,0,ROUND(SomaAgrupBM,15-13*ORÇAMENTO!$AF$11)))</f>
        <v>0</v>
      </c>
    </row>
    <row r="71" spans="1:41" ht="51" x14ac:dyDescent="0.2">
      <c r="A71" t="str">
        <f ca="1">ORÇAMENTO!C71</f>
        <v>S</v>
      </c>
      <c r="B71">
        <f ca="1">ORÇAMENTO!D71</f>
        <v>0</v>
      </c>
      <c r="C71" s="116" t="str">
        <f t="shared" ca="1" si="1"/>
        <v>F</v>
      </c>
      <c r="D71" s="119" t="str">
        <f ca="1">ORÇAMENTO!O71</f>
        <v>1.4.0.2.</v>
      </c>
      <c r="E71" s="172" t="str">
        <f t="shared" ca="1" si="2"/>
        <v>(abra o arquivo 'Referência 03-2024.xlsm)</v>
      </c>
      <c r="F71" s="173" t="str">
        <f ca="1">IF(RegimeExecucao="Global","",ORÇAMENTO.Unidade)</f>
        <v/>
      </c>
      <c r="G71" s="124" t="str">
        <f ca="1">IF(RegimeExecucao="Global","",ORÇAMENTO!T71)</f>
        <v/>
      </c>
      <c r="H71" s="124" t="str">
        <f ca="1">IF(RegimeExecucao="Global","",ORÇAMENTO!W71)</f>
        <v/>
      </c>
      <c r="I71" s="127">
        <f ca="1">ORÇAMENTO!X71</f>
        <v>11855.4</v>
      </c>
      <c r="J71" s="378">
        <f ca="1">IF($A71="S",IF(CAIXA.Modo,BM.AFAnterior,BM.MEDAnterior),IF(AND(RegimeExecucao="Global",$I71&gt;0,COUNTIF($AB$13:$AM$13,BM.medicao-1)&gt;0),M71/$I71*100,0))</f>
        <v>0</v>
      </c>
      <c r="K71" s="124">
        <f t="shared" ca="1" si="3"/>
        <v>0</v>
      </c>
      <c r="L71" s="379">
        <f ca="1">IF($A71="S",IF(CAIXA.Modo,BM.AFAcumulado,BM.MEDAcumulado),IF(AND(RegimeExecucao="Global",$I71&gt;0,COUNTIF($AB$13:$AM$13,BM.medicao)&gt;0),O71/$I71*100,0))</f>
        <v>0</v>
      </c>
      <c r="M71" s="380">
        <f ca="1">IF($A71="S",VTOTALBM,IF($A71=0,0,ROUND(SomaAgrupBM,15-13*ORÇAMENTO!$AF$11)))</f>
        <v>0</v>
      </c>
      <c r="N71" s="381">
        <f t="shared" ca="1" si="4"/>
        <v>0</v>
      </c>
      <c r="O71" s="127">
        <f ca="1">IF($A71="S",VTOTALBM,IF($A71=0,0,ROUND(SomaAgrupBM,15-13*ORÇAMENTO!$AF$11)))</f>
        <v>0</v>
      </c>
      <c r="Q71" s="382"/>
      <c r="R71" s="383"/>
      <c r="T71" s="119" t="str">
        <f t="shared" ca="1" si="5"/>
        <v/>
      </c>
      <c r="U71" s="172" t="str">
        <f t="shared" ca="1" si="6"/>
        <v/>
      </c>
      <c r="V71" s="173" t="str">
        <f ca="1">IF(AND($W71&gt;0,RegimeExecucao="Unitário"),$F71,"")</f>
        <v/>
      </c>
      <c r="W71" s="547">
        <f ca="1">IF($Y71&gt;0,CHOOSE(MATCH(RegimeExecucao,{"Unitário","Global"},0),IF($A71="S",$Y71/$X71,""),($Y71/$X71)*100),0)</f>
        <v>0</v>
      </c>
      <c r="X71" s="384" t="str">
        <f ca="1">IF($Y71&gt;0,CHOOSE(MATCH(RegimeExecucao,{"Unitário","Global"},0),IF($A71="S",ROUND($H71,ORÇAMENTO!$AF$10),""),ROUND($I71,ORÇAMENTO!$AF$11)),"")</f>
        <v/>
      </c>
      <c r="Y71" s="384">
        <f t="shared" ca="1" si="7"/>
        <v>0</v>
      </c>
      <c r="Z71" s="572"/>
      <c r="AB71" s="382"/>
      <c r="AC71" s="516"/>
      <c r="AD71" s="516"/>
      <c r="AE71" s="516"/>
      <c r="AF71" s="516"/>
      <c r="AG71" s="516"/>
      <c r="AH71" s="516"/>
      <c r="AI71" s="516"/>
      <c r="AJ71" s="516"/>
      <c r="AK71" s="516"/>
      <c r="AL71" s="516"/>
      <c r="AM71" s="383"/>
      <c r="AO71">
        <f ca="1">IF($A71="S",IF(BM!$I71=0,0,CHOOSE(MATCH(RegimeExecucao,{"Global","Unitário"},0),ROUND(ROUND(BM.MEDAcumulado,15-13*BM!$A$9)/100*BM!$I71,15-13*ORÇAMENTO!$AF$11),ROUND(ROUND(BM.MEDAcumulado,15-13*BM!$A$9)*ROUND(BM!$H71,15-13*ORÇAMENTO!$AF$10),15-13*ORÇAMENTO!$AF$11))),IF($A71=0,0,ROUND(SomaAgrupBM,15-13*ORÇAMENTO!$AF$11)))</f>
        <v>0</v>
      </c>
    </row>
    <row r="72" spans="1:41" ht="51" x14ac:dyDescent="0.2">
      <c r="A72" t="str">
        <f ca="1">ORÇAMENTO!C72</f>
        <v>S</v>
      </c>
      <c r="B72">
        <f ca="1">ORÇAMENTO!D72</f>
        <v>0</v>
      </c>
      <c r="C72" s="116" t="str">
        <f t="shared" ca="1" si="1"/>
        <v>F</v>
      </c>
      <c r="D72" s="119" t="str">
        <f ca="1">ORÇAMENTO!O72</f>
        <v>1.4.0.3.</v>
      </c>
      <c r="E72" s="172" t="str">
        <f t="shared" ca="1" si="2"/>
        <v>(abra o arquivo 'Referência 03-2024.xlsm)</v>
      </c>
      <c r="F72" s="173" t="str">
        <f ca="1">IF(RegimeExecucao="Global","",ORÇAMENTO.Unidade)</f>
        <v/>
      </c>
      <c r="G72" s="124" t="str">
        <f ca="1">IF(RegimeExecucao="Global","",ORÇAMENTO!T72)</f>
        <v/>
      </c>
      <c r="H72" s="124" t="str">
        <f ca="1">IF(RegimeExecucao="Global","",ORÇAMENTO!W72)</f>
        <v/>
      </c>
      <c r="I72" s="127">
        <f ca="1">ORÇAMENTO!X72</f>
        <v>19604.759999999998</v>
      </c>
      <c r="J72" s="378">
        <f ca="1">IF($A72="S",IF(CAIXA.Modo,BM.AFAnterior,BM.MEDAnterior),IF(AND(RegimeExecucao="Global",$I72&gt;0,COUNTIF($AB$13:$AM$13,BM.medicao-1)&gt;0),M72/$I72*100,0))</f>
        <v>0</v>
      </c>
      <c r="K72" s="124">
        <f t="shared" ca="1" si="3"/>
        <v>0</v>
      </c>
      <c r="L72" s="379">
        <f ca="1">IF($A72="S",IF(CAIXA.Modo,BM.AFAcumulado,BM.MEDAcumulado),IF(AND(RegimeExecucao="Global",$I72&gt;0,COUNTIF($AB$13:$AM$13,BM.medicao)&gt;0),O72/$I72*100,0))</f>
        <v>0</v>
      </c>
      <c r="M72" s="380">
        <f ca="1">IF($A72="S",VTOTALBM,IF($A72=0,0,ROUND(SomaAgrupBM,15-13*ORÇAMENTO!$AF$11)))</f>
        <v>0</v>
      </c>
      <c r="N72" s="381">
        <f t="shared" ca="1" si="4"/>
        <v>0</v>
      </c>
      <c r="O72" s="127">
        <f ca="1">IF($A72="S",VTOTALBM,IF($A72=0,0,ROUND(SomaAgrupBM,15-13*ORÇAMENTO!$AF$11)))</f>
        <v>0</v>
      </c>
      <c r="Q72" s="382"/>
      <c r="R72" s="383"/>
      <c r="T72" s="119" t="str">
        <f t="shared" ca="1" si="5"/>
        <v/>
      </c>
      <c r="U72" s="172" t="str">
        <f t="shared" ca="1" si="6"/>
        <v/>
      </c>
      <c r="V72" s="173" t="str">
        <f ca="1">IF(AND($W72&gt;0,RegimeExecucao="Unitário"),$F72,"")</f>
        <v/>
      </c>
      <c r="W72" s="547">
        <f ca="1">IF($Y72&gt;0,CHOOSE(MATCH(RegimeExecucao,{"Unitário","Global"},0),IF($A72="S",$Y72/$X72,""),($Y72/$X72)*100),0)</f>
        <v>0</v>
      </c>
      <c r="X72" s="384" t="str">
        <f ca="1">IF($Y72&gt;0,CHOOSE(MATCH(RegimeExecucao,{"Unitário","Global"},0),IF($A72="S",ROUND($H72,ORÇAMENTO!$AF$10),""),ROUND($I72,ORÇAMENTO!$AF$11)),"")</f>
        <v/>
      </c>
      <c r="Y72" s="384">
        <f t="shared" ca="1" si="7"/>
        <v>0</v>
      </c>
      <c r="Z72" s="572"/>
      <c r="AB72" s="382"/>
      <c r="AC72" s="516"/>
      <c r="AD72" s="516"/>
      <c r="AE72" s="516"/>
      <c r="AF72" s="516"/>
      <c r="AG72" s="516"/>
      <c r="AH72" s="516"/>
      <c r="AI72" s="516"/>
      <c r="AJ72" s="516"/>
      <c r="AK72" s="516"/>
      <c r="AL72" s="516"/>
      <c r="AM72" s="383"/>
      <c r="AO72">
        <f ca="1">IF($A72="S",IF(BM!$I72=0,0,CHOOSE(MATCH(RegimeExecucao,{"Global","Unitário"},0),ROUND(ROUND(BM.MEDAcumulado,15-13*BM!$A$9)/100*BM!$I72,15-13*ORÇAMENTO!$AF$11),ROUND(ROUND(BM.MEDAcumulado,15-13*BM!$A$9)*ROUND(BM!$H72,15-13*ORÇAMENTO!$AF$10),15-13*ORÇAMENTO!$AF$11))),IF($A72=0,0,ROUND(SomaAgrupBM,15-13*ORÇAMENTO!$AF$11)))</f>
        <v>0</v>
      </c>
    </row>
    <row r="73" spans="1:41" ht="51" x14ac:dyDescent="0.2">
      <c r="A73" t="str">
        <f ca="1">ORÇAMENTO!C73</f>
        <v>S</v>
      </c>
      <c r="B73">
        <f ca="1">ORÇAMENTO!D73</f>
        <v>0</v>
      </c>
      <c r="C73" s="116" t="str">
        <f t="shared" ca="1" si="1"/>
        <v>F</v>
      </c>
      <c r="D73" s="119" t="str">
        <f ca="1">ORÇAMENTO!O73</f>
        <v>1.4.0.4.</v>
      </c>
      <c r="E73" s="172" t="str">
        <f t="shared" ca="1" si="2"/>
        <v>(abra o arquivo 'Referência 03-2024.xlsm)</v>
      </c>
      <c r="F73" s="173" t="str">
        <f ca="1">IF(RegimeExecucao="Global","",ORÇAMENTO.Unidade)</f>
        <v/>
      </c>
      <c r="G73" s="124" t="str">
        <f ca="1">IF(RegimeExecucao="Global","",ORÇAMENTO!T73)</f>
        <v/>
      </c>
      <c r="H73" s="124" t="str">
        <f ca="1">IF(RegimeExecucao="Global","",ORÇAMENTO!W73)</f>
        <v/>
      </c>
      <c r="I73" s="127">
        <f ca="1">ORÇAMENTO!X73</f>
        <v>6484.5</v>
      </c>
      <c r="J73" s="378">
        <f ca="1">IF($A73="S",IF(CAIXA.Modo,BM.AFAnterior,BM.MEDAnterior),IF(AND(RegimeExecucao="Global",$I73&gt;0,COUNTIF($AB$13:$AM$13,BM.medicao-1)&gt;0),M73/$I73*100,0))</f>
        <v>0</v>
      </c>
      <c r="K73" s="124">
        <f t="shared" ca="1" si="3"/>
        <v>0</v>
      </c>
      <c r="L73" s="379">
        <f ca="1">IF($A73="S",IF(CAIXA.Modo,BM.AFAcumulado,BM.MEDAcumulado),IF(AND(RegimeExecucao="Global",$I73&gt;0,COUNTIF($AB$13:$AM$13,BM.medicao)&gt;0),O73/$I73*100,0))</f>
        <v>0</v>
      </c>
      <c r="M73" s="380">
        <f ca="1">IF($A73="S",VTOTALBM,IF($A73=0,0,ROUND(SomaAgrupBM,15-13*ORÇAMENTO!$AF$11)))</f>
        <v>0</v>
      </c>
      <c r="N73" s="381">
        <f t="shared" ca="1" si="4"/>
        <v>0</v>
      </c>
      <c r="O73" s="127">
        <f ca="1">IF($A73="S",VTOTALBM,IF($A73=0,0,ROUND(SomaAgrupBM,15-13*ORÇAMENTO!$AF$11)))</f>
        <v>0</v>
      </c>
      <c r="Q73" s="382"/>
      <c r="R73" s="383"/>
      <c r="T73" s="119" t="str">
        <f t="shared" ca="1" si="5"/>
        <v/>
      </c>
      <c r="U73" s="172" t="str">
        <f t="shared" ca="1" si="6"/>
        <v/>
      </c>
      <c r="V73" s="173" t="str">
        <f ca="1">IF(AND($W73&gt;0,RegimeExecucao="Unitário"),$F73,"")</f>
        <v/>
      </c>
      <c r="W73" s="547">
        <f ca="1">IF($Y73&gt;0,CHOOSE(MATCH(RegimeExecucao,{"Unitário","Global"},0),IF($A73="S",$Y73/$X73,""),($Y73/$X73)*100),0)</f>
        <v>0</v>
      </c>
      <c r="X73" s="384" t="str">
        <f ca="1">IF($Y73&gt;0,CHOOSE(MATCH(RegimeExecucao,{"Unitário","Global"},0),IF($A73="S",ROUND($H73,ORÇAMENTO!$AF$10),""),ROUND($I73,ORÇAMENTO!$AF$11)),"")</f>
        <v/>
      </c>
      <c r="Y73" s="384">
        <f t="shared" ca="1" si="7"/>
        <v>0</v>
      </c>
      <c r="Z73" s="572"/>
      <c r="AB73" s="382"/>
      <c r="AC73" s="516"/>
      <c r="AD73" s="516"/>
      <c r="AE73" s="516"/>
      <c r="AF73" s="516"/>
      <c r="AG73" s="516"/>
      <c r="AH73" s="516"/>
      <c r="AI73" s="516"/>
      <c r="AJ73" s="516"/>
      <c r="AK73" s="516"/>
      <c r="AL73" s="516"/>
      <c r="AM73" s="383"/>
      <c r="AO73">
        <f ca="1">IF($A73="S",IF(BM!$I73=0,0,CHOOSE(MATCH(RegimeExecucao,{"Global","Unitário"},0),ROUND(ROUND(BM.MEDAcumulado,15-13*BM!$A$9)/100*BM!$I73,15-13*ORÇAMENTO!$AF$11),ROUND(ROUND(BM.MEDAcumulado,15-13*BM!$A$9)*ROUND(BM!$H73,15-13*ORÇAMENTO!$AF$10),15-13*ORÇAMENTO!$AF$11))),IF($A73=0,0,ROUND(SomaAgrupBM,15-13*ORÇAMENTO!$AF$11)))</f>
        <v>0</v>
      </c>
    </row>
    <row r="74" spans="1:41" ht="25.5" x14ac:dyDescent="0.2">
      <c r="A74" t="str">
        <f ca="1">ORÇAMENTO!C74</f>
        <v>S</v>
      </c>
      <c r="B74">
        <f ca="1">ORÇAMENTO!D74</f>
        <v>0</v>
      </c>
      <c r="C74" s="116" t="str">
        <f t="shared" ca="1" si="1"/>
        <v>F</v>
      </c>
      <c r="D74" s="119" t="str">
        <f ca="1">ORÇAMENTO!O74</f>
        <v>1.4.0.5.</v>
      </c>
      <c r="E74" s="172" t="str">
        <f t="shared" ca="1" si="2"/>
        <v>(abra o arquivo 'Referência 03-2024.xlsm)</v>
      </c>
      <c r="F74" s="173" t="str">
        <f ca="1">IF(RegimeExecucao="Global","",ORÇAMENTO.Unidade)</f>
        <v/>
      </c>
      <c r="G74" s="124" t="str">
        <f ca="1">IF(RegimeExecucao="Global","",ORÇAMENTO!T74)</f>
        <v/>
      </c>
      <c r="H74" s="124" t="str">
        <f ca="1">IF(RegimeExecucao="Global","",ORÇAMENTO!W74)</f>
        <v/>
      </c>
      <c r="I74" s="127">
        <f ca="1">ORÇAMENTO!X74</f>
        <v>696.24</v>
      </c>
      <c r="J74" s="378">
        <f ca="1">IF($A74="S",IF(CAIXA.Modo,BM.AFAnterior,BM.MEDAnterior),IF(AND(RegimeExecucao="Global",$I74&gt;0,COUNTIF($AB$13:$AM$13,BM.medicao-1)&gt;0),M74/$I74*100,0))</f>
        <v>0</v>
      </c>
      <c r="K74" s="124">
        <f t="shared" ca="1" si="3"/>
        <v>0</v>
      </c>
      <c r="L74" s="379">
        <f ca="1">IF($A74="S",IF(CAIXA.Modo,BM.AFAcumulado,BM.MEDAcumulado),IF(AND(RegimeExecucao="Global",$I74&gt;0,COUNTIF($AB$13:$AM$13,BM.medicao)&gt;0),O74/$I74*100,0))</f>
        <v>0</v>
      </c>
      <c r="M74" s="380">
        <f ca="1">IF($A74="S",VTOTALBM,IF($A74=0,0,ROUND(SomaAgrupBM,15-13*ORÇAMENTO!$AF$11)))</f>
        <v>0</v>
      </c>
      <c r="N74" s="381">
        <f t="shared" ca="1" si="4"/>
        <v>0</v>
      </c>
      <c r="O74" s="127">
        <f ca="1">IF($A74="S",VTOTALBM,IF($A74=0,0,ROUND(SomaAgrupBM,15-13*ORÇAMENTO!$AF$11)))</f>
        <v>0</v>
      </c>
      <c r="Q74" s="382"/>
      <c r="R74" s="383"/>
      <c r="T74" s="119" t="str">
        <f t="shared" ca="1" si="5"/>
        <v/>
      </c>
      <c r="U74" s="172" t="str">
        <f t="shared" ca="1" si="6"/>
        <v/>
      </c>
      <c r="V74" s="173" t="str">
        <f ca="1">IF(AND($W74&gt;0,RegimeExecucao="Unitário"),$F74,"")</f>
        <v/>
      </c>
      <c r="W74" s="547">
        <f ca="1">IF($Y74&gt;0,CHOOSE(MATCH(RegimeExecucao,{"Unitário","Global"},0),IF($A74="S",$Y74/$X74,""),($Y74/$X74)*100),0)</f>
        <v>0</v>
      </c>
      <c r="X74" s="384" t="str">
        <f ca="1">IF($Y74&gt;0,CHOOSE(MATCH(RegimeExecucao,{"Unitário","Global"},0),IF($A74="S",ROUND($H74,ORÇAMENTO!$AF$10),""),ROUND($I74,ORÇAMENTO!$AF$11)),"")</f>
        <v/>
      </c>
      <c r="Y74" s="384">
        <f t="shared" ca="1" si="7"/>
        <v>0</v>
      </c>
      <c r="Z74" s="572"/>
      <c r="AB74" s="382"/>
      <c r="AC74" s="516"/>
      <c r="AD74" s="516"/>
      <c r="AE74" s="516"/>
      <c r="AF74" s="516"/>
      <c r="AG74" s="516"/>
      <c r="AH74" s="516"/>
      <c r="AI74" s="516"/>
      <c r="AJ74" s="516"/>
      <c r="AK74" s="516"/>
      <c r="AL74" s="516"/>
      <c r="AM74" s="383"/>
      <c r="AO74">
        <f ca="1">IF($A74="S",IF(BM!$I74=0,0,CHOOSE(MATCH(RegimeExecucao,{"Global","Unitário"},0),ROUND(ROUND(BM.MEDAcumulado,15-13*BM!$A$9)/100*BM!$I74,15-13*ORÇAMENTO!$AF$11),ROUND(ROUND(BM.MEDAcumulado,15-13*BM!$A$9)*ROUND(BM!$H74,15-13*ORÇAMENTO!$AF$10),15-13*ORÇAMENTO!$AF$11))),IF($A74=0,0,ROUND(SomaAgrupBM,15-13*ORÇAMENTO!$AF$11)))</f>
        <v>0</v>
      </c>
    </row>
    <row r="75" spans="1:41" ht="63.75" x14ac:dyDescent="0.2">
      <c r="A75" t="str">
        <f ca="1">ORÇAMENTO!C75</f>
        <v>S</v>
      </c>
      <c r="B75">
        <f ca="1">ORÇAMENTO!D75</f>
        <v>0</v>
      </c>
      <c r="C75" s="116" t="str">
        <f t="shared" ca="1" si="1"/>
        <v>F</v>
      </c>
      <c r="D75" s="119" t="str">
        <f ca="1">ORÇAMENTO!O75</f>
        <v>1.4.0.6.</v>
      </c>
      <c r="E75" s="172" t="str">
        <f t="shared" ca="1" si="2"/>
        <v>(abra o arquivo 'Referência 03-2024.xlsm)</v>
      </c>
      <c r="F75" s="173" t="str">
        <f ca="1">IF(RegimeExecucao="Global","",ORÇAMENTO.Unidade)</f>
        <v/>
      </c>
      <c r="G75" s="124" t="str">
        <f ca="1">IF(RegimeExecucao="Global","",ORÇAMENTO!T75)</f>
        <v/>
      </c>
      <c r="H75" s="124" t="str">
        <f ca="1">IF(RegimeExecucao="Global","",ORÇAMENTO!W75)</f>
        <v/>
      </c>
      <c r="I75" s="127">
        <f ca="1">ORÇAMENTO!X75</f>
        <v>400.27</v>
      </c>
      <c r="J75" s="378">
        <f ca="1">IF($A75="S",IF(CAIXA.Modo,BM.AFAnterior,BM.MEDAnterior),IF(AND(RegimeExecucao="Global",$I75&gt;0,COUNTIF($AB$13:$AM$13,BM.medicao-1)&gt;0),M75/$I75*100,0))</f>
        <v>0</v>
      </c>
      <c r="K75" s="124">
        <f t="shared" ca="1" si="3"/>
        <v>0</v>
      </c>
      <c r="L75" s="379">
        <f ca="1">IF($A75="S",IF(CAIXA.Modo,BM.AFAcumulado,BM.MEDAcumulado),IF(AND(RegimeExecucao="Global",$I75&gt;0,COUNTIF($AB$13:$AM$13,BM.medicao)&gt;0),O75/$I75*100,0))</f>
        <v>0</v>
      </c>
      <c r="M75" s="380">
        <f ca="1">IF($A75="S",VTOTALBM,IF($A75=0,0,ROUND(SomaAgrupBM,15-13*ORÇAMENTO!$AF$11)))</f>
        <v>0</v>
      </c>
      <c r="N75" s="381">
        <f t="shared" ca="1" si="4"/>
        <v>0</v>
      </c>
      <c r="O75" s="127">
        <f ca="1">IF($A75="S",VTOTALBM,IF($A75=0,0,ROUND(SomaAgrupBM,15-13*ORÇAMENTO!$AF$11)))</f>
        <v>0</v>
      </c>
      <c r="Q75" s="382"/>
      <c r="R75" s="383"/>
      <c r="T75" s="119" t="str">
        <f t="shared" ca="1" si="5"/>
        <v/>
      </c>
      <c r="U75" s="172" t="str">
        <f t="shared" ca="1" si="6"/>
        <v/>
      </c>
      <c r="V75" s="173" t="str">
        <f ca="1">IF(AND($W75&gt;0,RegimeExecucao="Unitário"),$F75,"")</f>
        <v/>
      </c>
      <c r="W75" s="547">
        <f ca="1">IF($Y75&gt;0,CHOOSE(MATCH(RegimeExecucao,{"Unitário","Global"},0),IF($A75="S",$Y75/$X75,""),($Y75/$X75)*100),0)</f>
        <v>0</v>
      </c>
      <c r="X75" s="384" t="str">
        <f ca="1">IF($Y75&gt;0,CHOOSE(MATCH(RegimeExecucao,{"Unitário","Global"},0),IF($A75="S",ROUND($H75,ORÇAMENTO!$AF$10),""),ROUND($I75,ORÇAMENTO!$AF$11)),"")</f>
        <v/>
      </c>
      <c r="Y75" s="384">
        <f t="shared" ca="1" si="7"/>
        <v>0</v>
      </c>
      <c r="Z75" s="572"/>
      <c r="AB75" s="382"/>
      <c r="AC75" s="516"/>
      <c r="AD75" s="516"/>
      <c r="AE75" s="516"/>
      <c r="AF75" s="516"/>
      <c r="AG75" s="516"/>
      <c r="AH75" s="516"/>
      <c r="AI75" s="516"/>
      <c r="AJ75" s="516"/>
      <c r="AK75" s="516"/>
      <c r="AL75" s="516"/>
      <c r="AM75" s="383"/>
      <c r="AO75">
        <f ca="1">IF($A75="S",IF(BM!$I75=0,0,CHOOSE(MATCH(RegimeExecucao,{"Global","Unitário"},0),ROUND(ROUND(BM.MEDAcumulado,15-13*BM!$A$9)/100*BM!$I75,15-13*ORÇAMENTO!$AF$11),ROUND(ROUND(BM.MEDAcumulado,15-13*BM!$A$9)*ROUND(BM!$H75,15-13*ORÇAMENTO!$AF$10),15-13*ORÇAMENTO!$AF$11))),IF($A75=0,0,ROUND(SomaAgrupBM,15-13*ORÇAMENTO!$AF$11)))</f>
        <v>0</v>
      </c>
    </row>
    <row r="76" spans="1:41" ht="51" x14ac:dyDescent="0.2">
      <c r="A76" t="str">
        <f ca="1">ORÇAMENTO!C76</f>
        <v>S</v>
      </c>
      <c r="B76">
        <f ca="1">ORÇAMENTO!D76</f>
        <v>0</v>
      </c>
      <c r="C76" s="116" t="str">
        <f t="shared" ca="1" si="1"/>
        <v>F</v>
      </c>
      <c r="D76" s="119" t="str">
        <f ca="1">ORÇAMENTO!O76</f>
        <v>1.4.0.7.</v>
      </c>
      <c r="E76" s="172" t="str">
        <f t="shared" ca="1" si="2"/>
        <v>(abra o arquivo 'Referência 03-2024.xlsm)</v>
      </c>
      <c r="F76" s="173" t="str">
        <f ca="1">IF(RegimeExecucao="Global","",ORÇAMENTO.Unidade)</f>
        <v/>
      </c>
      <c r="G76" s="124" t="str">
        <f ca="1">IF(RegimeExecucao="Global","",ORÇAMENTO!T76)</f>
        <v/>
      </c>
      <c r="H76" s="124" t="str">
        <f ca="1">IF(RegimeExecucao="Global","",ORÇAMENTO!W76)</f>
        <v/>
      </c>
      <c r="I76" s="127">
        <f ca="1">ORÇAMENTO!X76</f>
        <v>528.29999999999995</v>
      </c>
      <c r="J76" s="378">
        <f ca="1">IF($A76="S",IF(CAIXA.Modo,BM.AFAnterior,BM.MEDAnterior),IF(AND(RegimeExecucao="Global",$I76&gt;0,COUNTIF($AB$13:$AM$13,BM.medicao-1)&gt;0),M76/$I76*100,0))</f>
        <v>0</v>
      </c>
      <c r="K76" s="124">
        <f t="shared" ca="1" si="3"/>
        <v>0</v>
      </c>
      <c r="L76" s="379">
        <f ca="1">IF($A76="S",IF(CAIXA.Modo,BM.AFAcumulado,BM.MEDAcumulado),IF(AND(RegimeExecucao="Global",$I76&gt;0,COUNTIF($AB$13:$AM$13,BM.medicao)&gt;0),O76/$I76*100,0))</f>
        <v>0</v>
      </c>
      <c r="M76" s="380">
        <f ca="1">IF($A76="S",VTOTALBM,IF($A76=0,0,ROUND(SomaAgrupBM,15-13*ORÇAMENTO!$AF$11)))</f>
        <v>0</v>
      </c>
      <c r="N76" s="381">
        <f t="shared" ca="1" si="4"/>
        <v>0</v>
      </c>
      <c r="O76" s="127">
        <f ca="1">IF($A76="S",VTOTALBM,IF($A76=0,0,ROUND(SomaAgrupBM,15-13*ORÇAMENTO!$AF$11)))</f>
        <v>0</v>
      </c>
      <c r="Q76" s="382"/>
      <c r="R76" s="383"/>
      <c r="T76" s="119" t="str">
        <f t="shared" ca="1" si="5"/>
        <v/>
      </c>
      <c r="U76" s="172" t="str">
        <f t="shared" ca="1" si="6"/>
        <v/>
      </c>
      <c r="V76" s="173" t="str">
        <f ca="1">IF(AND($W76&gt;0,RegimeExecucao="Unitário"),$F76,"")</f>
        <v/>
      </c>
      <c r="W76" s="547">
        <f ca="1">IF($Y76&gt;0,CHOOSE(MATCH(RegimeExecucao,{"Unitário","Global"},0),IF($A76="S",$Y76/$X76,""),($Y76/$X76)*100),0)</f>
        <v>0</v>
      </c>
      <c r="X76" s="384" t="str">
        <f ca="1">IF($Y76&gt;0,CHOOSE(MATCH(RegimeExecucao,{"Unitário","Global"},0),IF($A76="S",ROUND($H76,ORÇAMENTO!$AF$10),""),ROUND($I76,ORÇAMENTO!$AF$11)),"")</f>
        <v/>
      </c>
      <c r="Y76" s="384">
        <f t="shared" ca="1" si="7"/>
        <v>0</v>
      </c>
      <c r="Z76" s="572"/>
      <c r="AB76" s="382"/>
      <c r="AC76" s="516"/>
      <c r="AD76" s="516"/>
      <c r="AE76" s="516"/>
      <c r="AF76" s="516"/>
      <c r="AG76" s="516"/>
      <c r="AH76" s="516"/>
      <c r="AI76" s="516"/>
      <c r="AJ76" s="516"/>
      <c r="AK76" s="516"/>
      <c r="AL76" s="516"/>
      <c r="AM76" s="383"/>
      <c r="AO76">
        <f ca="1">IF($A76="S",IF(BM!$I76=0,0,CHOOSE(MATCH(RegimeExecucao,{"Global","Unitário"},0),ROUND(ROUND(BM.MEDAcumulado,15-13*BM!$A$9)/100*BM!$I76,15-13*ORÇAMENTO!$AF$11),ROUND(ROUND(BM.MEDAcumulado,15-13*BM!$A$9)*ROUND(BM!$H76,15-13*ORÇAMENTO!$AF$10),15-13*ORÇAMENTO!$AF$11))),IF($A76=0,0,ROUND(SomaAgrupBM,15-13*ORÇAMENTO!$AF$11)))</f>
        <v>0</v>
      </c>
    </row>
    <row r="77" spans="1:41" ht="38.25" x14ac:dyDescent="0.2">
      <c r="A77" t="str">
        <f ca="1">ORÇAMENTO!C77</f>
        <v>S</v>
      </c>
      <c r="B77">
        <f ca="1">ORÇAMENTO!D77</f>
        <v>0</v>
      </c>
      <c r="C77" s="116" t="str">
        <f t="shared" ca="1" si="1"/>
        <v>F</v>
      </c>
      <c r="D77" s="119" t="str">
        <f ca="1">ORÇAMENTO!O77</f>
        <v>1.4.0.8.</v>
      </c>
      <c r="E77" s="172" t="str">
        <f t="shared" ca="1" si="2"/>
        <v>(abra o arquivo 'Referência 03-2024.xlsm)</v>
      </c>
      <c r="F77" s="173" t="str">
        <f ca="1">IF(RegimeExecucao="Global","",ORÇAMENTO.Unidade)</f>
        <v/>
      </c>
      <c r="G77" s="124" t="str">
        <f ca="1">IF(RegimeExecucao="Global","",ORÇAMENTO!T77)</f>
        <v/>
      </c>
      <c r="H77" s="124" t="str">
        <f ca="1">IF(RegimeExecucao="Global","",ORÇAMENTO!W77)</f>
        <v/>
      </c>
      <c r="I77" s="127">
        <f ca="1">ORÇAMENTO!X77</f>
        <v>3273.78</v>
      </c>
      <c r="J77" s="378">
        <f ca="1">IF($A77="S",IF(CAIXA.Modo,BM.AFAnterior,BM.MEDAnterior),IF(AND(RegimeExecucao="Global",$I77&gt;0,COUNTIF($AB$13:$AM$13,BM.medicao-1)&gt;0),M77/$I77*100,0))</f>
        <v>0</v>
      </c>
      <c r="K77" s="124">
        <f t="shared" ca="1" si="3"/>
        <v>0</v>
      </c>
      <c r="L77" s="379">
        <f ca="1">IF($A77="S",IF(CAIXA.Modo,BM.AFAcumulado,BM.MEDAcumulado),IF(AND(RegimeExecucao="Global",$I77&gt;0,COUNTIF($AB$13:$AM$13,BM.medicao)&gt;0),O77/$I77*100,0))</f>
        <v>0</v>
      </c>
      <c r="M77" s="380">
        <f ca="1">IF($A77="S",VTOTALBM,IF($A77=0,0,ROUND(SomaAgrupBM,15-13*ORÇAMENTO!$AF$11)))</f>
        <v>0</v>
      </c>
      <c r="N77" s="381">
        <f t="shared" ca="1" si="4"/>
        <v>0</v>
      </c>
      <c r="O77" s="127">
        <f ca="1">IF($A77="S",VTOTALBM,IF($A77=0,0,ROUND(SomaAgrupBM,15-13*ORÇAMENTO!$AF$11)))</f>
        <v>0</v>
      </c>
      <c r="Q77" s="382"/>
      <c r="R77" s="383"/>
      <c r="T77" s="119" t="str">
        <f t="shared" ca="1" si="5"/>
        <v/>
      </c>
      <c r="U77" s="172" t="str">
        <f t="shared" ca="1" si="6"/>
        <v/>
      </c>
      <c r="V77" s="173" t="str">
        <f ca="1">IF(AND($W77&gt;0,RegimeExecucao="Unitário"),$F77,"")</f>
        <v/>
      </c>
      <c r="W77" s="547">
        <f ca="1">IF($Y77&gt;0,CHOOSE(MATCH(RegimeExecucao,{"Unitário","Global"},0),IF($A77="S",$Y77/$X77,""),($Y77/$X77)*100),0)</f>
        <v>0</v>
      </c>
      <c r="X77" s="384" t="str">
        <f ca="1">IF($Y77&gt;0,CHOOSE(MATCH(RegimeExecucao,{"Unitário","Global"},0),IF($A77="S",ROUND($H77,ORÇAMENTO!$AF$10),""),ROUND($I77,ORÇAMENTO!$AF$11)),"")</f>
        <v/>
      </c>
      <c r="Y77" s="384">
        <f t="shared" ca="1" si="7"/>
        <v>0</v>
      </c>
      <c r="Z77" s="572"/>
      <c r="AB77" s="382"/>
      <c r="AC77" s="516"/>
      <c r="AD77" s="516"/>
      <c r="AE77" s="516"/>
      <c r="AF77" s="516"/>
      <c r="AG77" s="516"/>
      <c r="AH77" s="516"/>
      <c r="AI77" s="516"/>
      <c r="AJ77" s="516"/>
      <c r="AK77" s="516"/>
      <c r="AL77" s="516"/>
      <c r="AM77" s="383"/>
      <c r="AO77">
        <f ca="1">IF($A77="S",IF(BM!$I77=0,0,CHOOSE(MATCH(RegimeExecucao,{"Global","Unitário"},0),ROUND(ROUND(BM.MEDAcumulado,15-13*BM!$A$9)/100*BM!$I77,15-13*ORÇAMENTO!$AF$11),ROUND(ROUND(BM.MEDAcumulado,15-13*BM!$A$9)*ROUND(BM!$H77,15-13*ORÇAMENTO!$AF$10),15-13*ORÇAMENTO!$AF$11))),IF($A77=0,0,ROUND(SomaAgrupBM,15-13*ORÇAMENTO!$AF$11)))</f>
        <v>0</v>
      </c>
    </row>
    <row r="78" spans="1:41" ht="38.25" x14ac:dyDescent="0.2">
      <c r="A78" t="str">
        <f ca="1">ORÇAMENTO!C78</f>
        <v>S</v>
      </c>
      <c r="B78">
        <f ca="1">ORÇAMENTO!D78</f>
        <v>0</v>
      </c>
      <c r="C78" s="116" t="str">
        <f t="shared" ca="1" si="1"/>
        <v>F</v>
      </c>
      <c r="D78" s="119" t="str">
        <f ca="1">ORÇAMENTO!O78</f>
        <v>1.4.0.9.</v>
      </c>
      <c r="E78" s="172" t="str">
        <f t="shared" ca="1" si="2"/>
        <v>(abra o arquivo 'Referência 03-2024.xlsm)</v>
      </c>
      <c r="F78" s="173" t="str">
        <f ca="1">IF(RegimeExecucao="Global","",ORÇAMENTO.Unidade)</f>
        <v/>
      </c>
      <c r="G78" s="124" t="str">
        <f ca="1">IF(RegimeExecucao="Global","",ORÇAMENTO!T78)</f>
        <v/>
      </c>
      <c r="H78" s="124" t="str">
        <f ca="1">IF(RegimeExecucao="Global","",ORÇAMENTO!W78)</f>
        <v/>
      </c>
      <c r="I78" s="127">
        <f ca="1">ORÇAMENTO!X78</f>
        <v>2204.35</v>
      </c>
      <c r="J78" s="378">
        <f ca="1">IF($A78="S",IF(CAIXA.Modo,BM.AFAnterior,BM.MEDAnterior),IF(AND(RegimeExecucao="Global",$I78&gt;0,COUNTIF($AB$13:$AM$13,BM.medicao-1)&gt;0),M78/$I78*100,0))</f>
        <v>0</v>
      </c>
      <c r="K78" s="124">
        <f t="shared" ca="1" si="3"/>
        <v>0</v>
      </c>
      <c r="L78" s="379">
        <f ca="1">IF($A78="S",IF(CAIXA.Modo,BM.AFAcumulado,BM.MEDAcumulado),IF(AND(RegimeExecucao="Global",$I78&gt;0,COUNTIF($AB$13:$AM$13,BM.medicao)&gt;0),O78/$I78*100,0))</f>
        <v>0</v>
      </c>
      <c r="M78" s="380">
        <f ca="1">IF($A78="S",VTOTALBM,IF($A78=0,0,ROUND(SomaAgrupBM,15-13*ORÇAMENTO!$AF$11)))</f>
        <v>0</v>
      </c>
      <c r="N78" s="381">
        <f t="shared" ca="1" si="4"/>
        <v>0</v>
      </c>
      <c r="O78" s="127">
        <f ca="1">IF($A78="S",VTOTALBM,IF($A78=0,0,ROUND(SomaAgrupBM,15-13*ORÇAMENTO!$AF$11)))</f>
        <v>0</v>
      </c>
      <c r="Q78" s="382"/>
      <c r="R78" s="383"/>
      <c r="T78" s="119" t="str">
        <f t="shared" ca="1" si="5"/>
        <v/>
      </c>
      <c r="U78" s="172" t="str">
        <f t="shared" ca="1" si="6"/>
        <v/>
      </c>
      <c r="V78" s="173" t="str">
        <f ca="1">IF(AND($W78&gt;0,RegimeExecucao="Unitário"),$F78,"")</f>
        <v/>
      </c>
      <c r="W78" s="547">
        <f ca="1">IF($Y78&gt;0,CHOOSE(MATCH(RegimeExecucao,{"Unitário","Global"},0),IF($A78="S",$Y78/$X78,""),($Y78/$X78)*100),0)</f>
        <v>0</v>
      </c>
      <c r="X78" s="384" t="str">
        <f ca="1">IF($Y78&gt;0,CHOOSE(MATCH(RegimeExecucao,{"Unitário","Global"},0),IF($A78="S",ROUND($H78,ORÇAMENTO!$AF$10),""),ROUND($I78,ORÇAMENTO!$AF$11)),"")</f>
        <v/>
      </c>
      <c r="Y78" s="384">
        <f t="shared" ca="1" si="7"/>
        <v>0</v>
      </c>
      <c r="Z78" s="572"/>
      <c r="AB78" s="382"/>
      <c r="AC78" s="516"/>
      <c r="AD78" s="516"/>
      <c r="AE78" s="516"/>
      <c r="AF78" s="516"/>
      <c r="AG78" s="516"/>
      <c r="AH78" s="516"/>
      <c r="AI78" s="516"/>
      <c r="AJ78" s="516"/>
      <c r="AK78" s="516"/>
      <c r="AL78" s="516"/>
      <c r="AM78" s="383"/>
      <c r="AO78">
        <f ca="1">IF($A78="S",IF(BM!$I78=0,0,CHOOSE(MATCH(RegimeExecucao,{"Global","Unitário"},0),ROUND(ROUND(BM.MEDAcumulado,15-13*BM!$A$9)/100*BM!$I78,15-13*ORÇAMENTO!$AF$11),ROUND(ROUND(BM.MEDAcumulado,15-13*BM!$A$9)*ROUND(BM!$H78,15-13*ORÇAMENTO!$AF$10),15-13*ORÇAMENTO!$AF$11))),IF($A78=0,0,ROUND(SomaAgrupBM,15-13*ORÇAMENTO!$AF$11)))</f>
        <v>0</v>
      </c>
    </row>
    <row r="79" spans="1:41" ht="38.25" x14ac:dyDescent="0.2">
      <c r="A79" t="str">
        <f ca="1">ORÇAMENTO!C79</f>
        <v>S</v>
      </c>
      <c r="B79">
        <f ca="1">ORÇAMENTO!D79</f>
        <v>0</v>
      </c>
      <c r="C79" s="116" t="str">
        <f t="shared" ca="1" si="1"/>
        <v>F</v>
      </c>
      <c r="D79" s="119" t="str">
        <f ca="1">ORÇAMENTO!O79</f>
        <v>1.4.0.10.</v>
      </c>
      <c r="E79" s="172" t="str">
        <f t="shared" ca="1" si="2"/>
        <v>(abra o arquivo 'Referência 03-2024.xlsm)</v>
      </c>
      <c r="F79" s="173" t="str">
        <f ca="1">IF(RegimeExecucao="Global","",ORÇAMENTO.Unidade)</f>
        <v/>
      </c>
      <c r="G79" s="124" t="str">
        <f ca="1">IF(RegimeExecucao="Global","",ORÇAMENTO!T79)</f>
        <v/>
      </c>
      <c r="H79" s="124" t="str">
        <f ca="1">IF(RegimeExecucao="Global","",ORÇAMENTO!W79)</f>
        <v/>
      </c>
      <c r="I79" s="127">
        <f ca="1">ORÇAMENTO!X79</f>
        <v>1177</v>
      </c>
      <c r="J79" s="378">
        <f ca="1">IF($A79="S",IF(CAIXA.Modo,BM.AFAnterior,BM.MEDAnterior),IF(AND(RegimeExecucao="Global",$I79&gt;0,COUNTIF($AB$13:$AM$13,BM.medicao-1)&gt;0),M79/$I79*100,0))</f>
        <v>0</v>
      </c>
      <c r="K79" s="124">
        <f t="shared" ca="1" si="3"/>
        <v>0</v>
      </c>
      <c r="L79" s="379">
        <f ca="1">IF($A79="S",IF(CAIXA.Modo,BM.AFAcumulado,BM.MEDAcumulado),IF(AND(RegimeExecucao="Global",$I79&gt;0,COUNTIF($AB$13:$AM$13,BM.medicao)&gt;0),O79/$I79*100,0))</f>
        <v>0</v>
      </c>
      <c r="M79" s="380">
        <f ca="1">IF($A79="S",VTOTALBM,IF($A79=0,0,ROUND(SomaAgrupBM,15-13*ORÇAMENTO!$AF$11)))</f>
        <v>0</v>
      </c>
      <c r="N79" s="381">
        <f t="shared" ca="1" si="4"/>
        <v>0</v>
      </c>
      <c r="O79" s="127">
        <f ca="1">IF($A79="S",VTOTALBM,IF($A79=0,0,ROUND(SomaAgrupBM,15-13*ORÇAMENTO!$AF$11)))</f>
        <v>0</v>
      </c>
      <c r="Q79" s="382"/>
      <c r="R79" s="383"/>
      <c r="T79" s="119" t="str">
        <f t="shared" ca="1" si="5"/>
        <v/>
      </c>
      <c r="U79" s="172" t="str">
        <f t="shared" ca="1" si="6"/>
        <v/>
      </c>
      <c r="V79" s="173" t="str">
        <f ca="1">IF(AND($W79&gt;0,RegimeExecucao="Unitário"),$F79,"")</f>
        <v/>
      </c>
      <c r="W79" s="547">
        <f ca="1">IF($Y79&gt;0,CHOOSE(MATCH(RegimeExecucao,{"Unitário","Global"},0),IF($A79="S",$Y79/$X79,""),($Y79/$X79)*100),0)</f>
        <v>0</v>
      </c>
      <c r="X79" s="384" t="str">
        <f ca="1">IF($Y79&gt;0,CHOOSE(MATCH(RegimeExecucao,{"Unitário","Global"},0),IF($A79="S",ROUND($H79,ORÇAMENTO!$AF$10),""),ROUND($I79,ORÇAMENTO!$AF$11)),"")</f>
        <v/>
      </c>
      <c r="Y79" s="384">
        <f t="shared" ca="1" si="7"/>
        <v>0</v>
      </c>
      <c r="Z79" s="572"/>
      <c r="AB79" s="382"/>
      <c r="AC79" s="516"/>
      <c r="AD79" s="516"/>
      <c r="AE79" s="516"/>
      <c r="AF79" s="516"/>
      <c r="AG79" s="516"/>
      <c r="AH79" s="516"/>
      <c r="AI79" s="516"/>
      <c r="AJ79" s="516"/>
      <c r="AK79" s="516"/>
      <c r="AL79" s="516"/>
      <c r="AM79" s="383"/>
      <c r="AO79">
        <f ca="1">IF($A79="S",IF(BM!$I79=0,0,CHOOSE(MATCH(RegimeExecucao,{"Global","Unitário"},0),ROUND(ROUND(BM.MEDAcumulado,15-13*BM!$A$9)/100*BM!$I79,15-13*ORÇAMENTO!$AF$11),ROUND(ROUND(BM.MEDAcumulado,15-13*BM!$A$9)*ROUND(BM!$H79,15-13*ORÇAMENTO!$AF$10),15-13*ORÇAMENTO!$AF$11))),IF($A79=0,0,ROUND(SomaAgrupBM,15-13*ORÇAMENTO!$AF$11)))</f>
        <v>0</v>
      </c>
    </row>
    <row r="80" spans="1:41" ht="25.5" x14ac:dyDescent="0.2">
      <c r="A80" t="str">
        <f ca="1">ORÇAMENTO!C80</f>
        <v>S</v>
      </c>
      <c r="B80">
        <f ca="1">ORÇAMENTO!D80</f>
        <v>0</v>
      </c>
      <c r="C80" s="116" t="str">
        <f t="shared" ca="1" si="1"/>
        <v>F</v>
      </c>
      <c r="D80" s="119" t="str">
        <f ca="1">ORÇAMENTO!O80</f>
        <v>1.4.0.11.</v>
      </c>
      <c r="E80" s="172" t="str">
        <f t="shared" ca="1" si="2"/>
        <v>(abra o arquivo 'Referência 03-2024.xlsm)</v>
      </c>
      <c r="F80" s="173" t="str">
        <f ca="1">IF(RegimeExecucao="Global","",ORÇAMENTO.Unidade)</f>
        <v/>
      </c>
      <c r="G80" s="124" t="str">
        <f ca="1">IF(RegimeExecucao="Global","",ORÇAMENTO!T80)</f>
        <v/>
      </c>
      <c r="H80" s="124" t="str">
        <f ca="1">IF(RegimeExecucao="Global","",ORÇAMENTO!W80)</f>
        <v/>
      </c>
      <c r="I80" s="127">
        <f ca="1">ORÇAMENTO!X80</f>
        <v>608.88</v>
      </c>
      <c r="J80" s="378">
        <f ca="1">IF($A80="S",IF(CAIXA.Modo,BM.AFAnterior,BM.MEDAnterior),IF(AND(RegimeExecucao="Global",$I80&gt;0,COUNTIF($AB$13:$AM$13,BM.medicao-1)&gt;0),M80/$I80*100,0))</f>
        <v>0</v>
      </c>
      <c r="K80" s="124">
        <f t="shared" ca="1" si="3"/>
        <v>0</v>
      </c>
      <c r="L80" s="379">
        <f ca="1">IF($A80="S",IF(CAIXA.Modo,BM.AFAcumulado,BM.MEDAcumulado),IF(AND(RegimeExecucao="Global",$I80&gt;0,COUNTIF($AB$13:$AM$13,BM.medicao)&gt;0),O80/$I80*100,0))</f>
        <v>0</v>
      </c>
      <c r="M80" s="380">
        <f ca="1">IF($A80="S",VTOTALBM,IF($A80=0,0,ROUND(SomaAgrupBM,15-13*ORÇAMENTO!$AF$11)))</f>
        <v>0</v>
      </c>
      <c r="N80" s="381">
        <f t="shared" ca="1" si="4"/>
        <v>0</v>
      </c>
      <c r="O80" s="127">
        <f ca="1">IF($A80="S",VTOTALBM,IF($A80=0,0,ROUND(SomaAgrupBM,15-13*ORÇAMENTO!$AF$11)))</f>
        <v>0</v>
      </c>
      <c r="Q80" s="382"/>
      <c r="R80" s="383"/>
      <c r="T80" s="119" t="str">
        <f t="shared" ca="1" si="5"/>
        <v/>
      </c>
      <c r="U80" s="172" t="str">
        <f t="shared" ca="1" si="6"/>
        <v/>
      </c>
      <c r="V80" s="173" t="str">
        <f ca="1">IF(AND($W80&gt;0,RegimeExecucao="Unitário"),$F80,"")</f>
        <v/>
      </c>
      <c r="W80" s="547">
        <f ca="1">IF($Y80&gt;0,CHOOSE(MATCH(RegimeExecucao,{"Unitário","Global"},0),IF($A80="S",$Y80/$X80,""),($Y80/$X80)*100),0)</f>
        <v>0</v>
      </c>
      <c r="X80" s="384" t="str">
        <f ca="1">IF($Y80&gt;0,CHOOSE(MATCH(RegimeExecucao,{"Unitário","Global"},0),IF($A80="S",ROUND($H80,ORÇAMENTO!$AF$10),""),ROUND($I80,ORÇAMENTO!$AF$11)),"")</f>
        <v/>
      </c>
      <c r="Y80" s="384">
        <f t="shared" ca="1" si="7"/>
        <v>0</v>
      </c>
      <c r="Z80" s="572"/>
      <c r="AB80" s="382"/>
      <c r="AC80" s="516"/>
      <c r="AD80" s="516"/>
      <c r="AE80" s="516"/>
      <c r="AF80" s="516"/>
      <c r="AG80" s="516"/>
      <c r="AH80" s="516"/>
      <c r="AI80" s="516"/>
      <c r="AJ80" s="516"/>
      <c r="AK80" s="516"/>
      <c r="AL80" s="516"/>
      <c r="AM80" s="383"/>
      <c r="AO80">
        <f ca="1">IF($A80="S",IF(BM!$I80=0,0,CHOOSE(MATCH(RegimeExecucao,{"Global","Unitário"},0),ROUND(ROUND(BM.MEDAcumulado,15-13*BM!$A$9)/100*BM!$I80,15-13*ORÇAMENTO!$AF$11),ROUND(ROUND(BM.MEDAcumulado,15-13*BM!$A$9)*ROUND(BM!$H80,15-13*ORÇAMENTO!$AF$10),15-13*ORÇAMENTO!$AF$11))),IF($A80=0,0,ROUND(SomaAgrupBM,15-13*ORÇAMENTO!$AF$11)))</f>
        <v>0</v>
      </c>
    </row>
    <row r="81" spans="1:41" x14ac:dyDescent="0.2">
      <c r="A81">
        <f ca="1">ORÇAMENTO!C81</f>
        <v>2</v>
      </c>
      <c r="B81">
        <f ca="1">ORÇAMENTO!D81</f>
        <v>5</v>
      </c>
      <c r="C81" s="116" t="str">
        <f t="shared" ca="1" si="1"/>
        <v>F</v>
      </c>
      <c r="D81" s="119" t="str">
        <f ca="1">ORÇAMENTO!O81</f>
        <v>1.5.</v>
      </c>
      <c r="E81" s="172" t="str">
        <f t="shared" si="2"/>
        <v>MONITORAMENTO EXTERNO, REDE SUBTERRÂNEA (ENTERRADA)</v>
      </c>
      <c r="F81" s="173" t="str">
        <f ca="1">IF(RegimeExecucao="Global","",ORÇAMENTO.Unidade)</f>
        <v/>
      </c>
      <c r="G81" s="124" t="str">
        <f ca="1">IF(RegimeExecucao="Global","",ORÇAMENTO!T81)</f>
        <v/>
      </c>
      <c r="H81" s="124" t="str">
        <f ca="1">IF(RegimeExecucao="Global","",ORÇAMENTO!W81)</f>
        <v/>
      </c>
      <c r="I81" s="127">
        <f ca="1">ORÇAMENTO!X81</f>
        <v>2973.27</v>
      </c>
      <c r="J81" s="378">
        <f ca="1">IF($A81="S",IF(CAIXA.Modo,BM.AFAnterior,BM.MEDAnterior),IF(AND(RegimeExecucao="Global",$I81&gt;0,COUNTIF($AB$13:$AM$13,BM.medicao-1)&gt;0),M81/$I81*100,0))</f>
        <v>0</v>
      </c>
      <c r="K81" s="124">
        <f t="shared" ca="1" si="3"/>
        <v>0</v>
      </c>
      <c r="L81" s="379">
        <f ca="1">IF($A81="S",IF(CAIXA.Modo,BM.AFAcumulado,BM.MEDAcumulado),IF(AND(RegimeExecucao="Global",$I81&gt;0,COUNTIF($AB$13:$AM$13,BM.medicao)&gt;0),O81/$I81*100,0))</f>
        <v>0</v>
      </c>
      <c r="M81" s="380">
        <f ca="1">IF($A81="S",VTOTALBM,IF($A81=0,0,ROUND(SomaAgrupBM,15-13*ORÇAMENTO!$AF$11)))</f>
        <v>0</v>
      </c>
      <c r="N81" s="381">
        <f t="shared" ca="1" si="4"/>
        <v>0</v>
      </c>
      <c r="O81" s="127">
        <f ca="1">IF($A81="S",VTOTALBM,IF($A81=0,0,ROUND(SomaAgrupBM,15-13*ORÇAMENTO!$AF$11)))</f>
        <v>0</v>
      </c>
      <c r="Q81" s="382"/>
      <c r="R81" s="383"/>
      <c r="T81" s="119" t="str">
        <f t="shared" ca="1" si="5"/>
        <v/>
      </c>
      <c r="U81" s="172" t="str">
        <f t="shared" ca="1" si="6"/>
        <v/>
      </c>
      <c r="V81" s="173" t="str">
        <f ca="1">IF(AND($W81&gt;0,RegimeExecucao="Unitário"),$F81,"")</f>
        <v/>
      </c>
      <c r="W81" s="547">
        <f ca="1">IF($Y81&gt;0,CHOOSE(MATCH(RegimeExecucao,{"Unitário","Global"},0),IF($A81="S",$Y81/$X81,""),($Y81/$X81)*100),0)</f>
        <v>0</v>
      </c>
      <c r="X81" s="384" t="str">
        <f ca="1">IF($Y81&gt;0,CHOOSE(MATCH(RegimeExecucao,{"Unitário","Global"},0),IF($A81="S",ROUND($H81,ORÇAMENTO!$AF$10),""),ROUND($I81,ORÇAMENTO!$AF$11)),"")</f>
        <v/>
      </c>
      <c r="Y81" s="384">
        <f t="shared" ca="1" si="7"/>
        <v>0</v>
      </c>
      <c r="Z81" s="572"/>
      <c r="AB81" s="382"/>
      <c r="AC81" s="516"/>
      <c r="AD81" s="516"/>
      <c r="AE81" s="516"/>
      <c r="AF81" s="516"/>
      <c r="AG81" s="516"/>
      <c r="AH81" s="516"/>
      <c r="AI81" s="516"/>
      <c r="AJ81" s="516"/>
      <c r="AK81" s="516"/>
      <c r="AL81" s="516"/>
      <c r="AM81" s="383"/>
      <c r="AO81">
        <f ca="1">IF($A81="S",IF(BM!$I81=0,0,CHOOSE(MATCH(RegimeExecucao,{"Global","Unitário"},0),ROUND(ROUND(BM.MEDAcumulado,15-13*BM!$A$9)/100*BM!$I81,15-13*ORÇAMENTO!$AF$11),ROUND(ROUND(BM.MEDAcumulado,15-13*BM!$A$9)*ROUND(BM!$H81,15-13*ORÇAMENTO!$AF$10),15-13*ORÇAMENTO!$AF$11))),IF($A81=0,0,ROUND(SomaAgrupBM,15-13*ORÇAMENTO!$AF$11)))</f>
        <v>0</v>
      </c>
    </row>
    <row r="82" spans="1:41" ht="63.75" x14ac:dyDescent="0.2">
      <c r="A82" t="str">
        <f ca="1">ORÇAMENTO!C82</f>
        <v>S</v>
      </c>
      <c r="B82">
        <f ca="1">ORÇAMENTO!D82</f>
        <v>0</v>
      </c>
      <c r="C82" s="116" t="str">
        <f t="shared" ca="1" si="1"/>
        <v>F</v>
      </c>
      <c r="D82" s="119" t="str">
        <f ca="1">ORÇAMENTO!O82</f>
        <v>1.5.0.1.</v>
      </c>
      <c r="E82" s="172" t="str">
        <f t="shared" ca="1" si="2"/>
        <v>(abra o arquivo 'Referência 03-2024.xlsm)</v>
      </c>
      <c r="F82" s="173" t="str">
        <f ca="1">IF(RegimeExecucao="Global","",ORÇAMENTO.Unidade)</f>
        <v/>
      </c>
      <c r="G82" s="124" t="str">
        <f ca="1">IF(RegimeExecucao="Global","",ORÇAMENTO!T82)</f>
        <v/>
      </c>
      <c r="H82" s="124" t="str">
        <f ca="1">IF(RegimeExecucao="Global","",ORÇAMENTO!W82)</f>
        <v/>
      </c>
      <c r="I82" s="127">
        <f ca="1">ORÇAMENTO!X82</f>
        <v>272.91000000000003</v>
      </c>
      <c r="J82" s="378">
        <f ca="1">IF($A82="S",IF(CAIXA.Modo,BM.AFAnterior,BM.MEDAnterior),IF(AND(RegimeExecucao="Global",$I82&gt;0,COUNTIF($AB$13:$AM$13,BM.medicao-1)&gt;0),M82/$I82*100,0))</f>
        <v>0</v>
      </c>
      <c r="K82" s="124">
        <f t="shared" ca="1" si="3"/>
        <v>0</v>
      </c>
      <c r="L82" s="379">
        <f ca="1">IF($A82="S",IF(CAIXA.Modo,BM.AFAcumulado,BM.MEDAcumulado),IF(AND(RegimeExecucao="Global",$I82&gt;0,COUNTIF($AB$13:$AM$13,BM.medicao)&gt;0),O82/$I82*100,0))</f>
        <v>0</v>
      </c>
      <c r="M82" s="380">
        <f ca="1">IF($A82="S",VTOTALBM,IF($A82=0,0,ROUND(SomaAgrupBM,15-13*ORÇAMENTO!$AF$11)))</f>
        <v>0</v>
      </c>
      <c r="N82" s="381">
        <f t="shared" ca="1" si="4"/>
        <v>0</v>
      </c>
      <c r="O82" s="127">
        <f ca="1">IF($A82="S",VTOTALBM,IF($A82=0,0,ROUND(SomaAgrupBM,15-13*ORÇAMENTO!$AF$11)))</f>
        <v>0</v>
      </c>
      <c r="Q82" s="382"/>
      <c r="R82" s="383"/>
      <c r="T82" s="119" t="str">
        <f t="shared" ca="1" si="5"/>
        <v/>
      </c>
      <c r="U82" s="172" t="str">
        <f t="shared" ca="1" si="6"/>
        <v/>
      </c>
      <c r="V82" s="173" t="str">
        <f ca="1">IF(AND($W82&gt;0,RegimeExecucao="Unitário"),$F82,"")</f>
        <v/>
      </c>
      <c r="W82" s="547">
        <f ca="1">IF($Y82&gt;0,CHOOSE(MATCH(RegimeExecucao,{"Unitário","Global"},0),IF($A82="S",$Y82/$X82,""),($Y82/$X82)*100),0)</f>
        <v>0</v>
      </c>
      <c r="X82" s="384" t="str">
        <f ca="1">IF($Y82&gt;0,CHOOSE(MATCH(RegimeExecucao,{"Unitário","Global"},0),IF($A82="S",ROUND($H82,ORÇAMENTO!$AF$10),""),ROUND($I82,ORÇAMENTO!$AF$11)),"")</f>
        <v/>
      </c>
      <c r="Y82" s="384">
        <f t="shared" ca="1" si="7"/>
        <v>0</v>
      </c>
      <c r="Z82" s="572"/>
      <c r="AB82" s="382"/>
      <c r="AC82" s="516"/>
      <c r="AD82" s="516"/>
      <c r="AE82" s="516"/>
      <c r="AF82" s="516"/>
      <c r="AG82" s="516"/>
      <c r="AH82" s="516"/>
      <c r="AI82" s="516"/>
      <c r="AJ82" s="516"/>
      <c r="AK82" s="516"/>
      <c r="AL82" s="516"/>
      <c r="AM82" s="383"/>
      <c r="AO82">
        <f ca="1">IF($A82="S",IF(BM!$I82=0,0,CHOOSE(MATCH(RegimeExecucao,{"Global","Unitário"},0),ROUND(ROUND(BM.MEDAcumulado,15-13*BM!$A$9)/100*BM!$I82,15-13*ORÇAMENTO!$AF$11),ROUND(ROUND(BM.MEDAcumulado,15-13*BM!$A$9)*ROUND(BM!$H82,15-13*ORÇAMENTO!$AF$10),15-13*ORÇAMENTO!$AF$11))),IF($A82=0,0,ROUND(SomaAgrupBM,15-13*ORÇAMENTO!$AF$11)))</f>
        <v>0</v>
      </c>
    </row>
    <row r="83" spans="1:41" ht="51" x14ac:dyDescent="0.2">
      <c r="A83" t="str">
        <f ca="1">ORÇAMENTO!C83</f>
        <v>S</v>
      </c>
      <c r="B83">
        <f ca="1">ORÇAMENTO!D83</f>
        <v>0</v>
      </c>
      <c r="C83" s="116" t="str">
        <f t="shared" ca="1" si="1"/>
        <v>F</v>
      </c>
      <c r="D83" s="119" t="str">
        <f ca="1">ORÇAMENTO!O83</f>
        <v>1.5.0.2.</v>
      </c>
      <c r="E83" s="172" t="str">
        <f t="shared" ca="1" si="2"/>
        <v>(abra o arquivo 'Referência 03-2024.xlsm)</v>
      </c>
      <c r="F83" s="173" t="str">
        <f ca="1">IF(RegimeExecucao="Global","",ORÇAMENTO.Unidade)</f>
        <v/>
      </c>
      <c r="G83" s="124" t="str">
        <f ca="1">IF(RegimeExecucao="Global","",ORÇAMENTO!T83)</f>
        <v/>
      </c>
      <c r="H83" s="124" t="str">
        <f ca="1">IF(RegimeExecucao="Global","",ORÇAMENTO!W83)</f>
        <v/>
      </c>
      <c r="I83" s="127">
        <f ca="1">ORÇAMENTO!X83</f>
        <v>352.2</v>
      </c>
      <c r="J83" s="378">
        <f ca="1">IF($A83="S",IF(CAIXA.Modo,BM.AFAnterior,BM.MEDAnterior),IF(AND(RegimeExecucao="Global",$I83&gt;0,COUNTIF($AB$13:$AM$13,BM.medicao-1)&gt;0),M83/$I83*100,0))</f>
        <v>0</v>
      </c>
      <c r="K83" s="124">
        <f t="shared" ca="1" si="3"/>
        <v>0</v>
      </c>
      <c r="L83" s="379">
        <f ca="1">IF($A83="S",IF(CAIXA.Modo,BM.AFAcumulado,BM.MEDAcumulado),IF(AND(RegimeExecucao="Global",$I83&gt;0,COUNTIF($AB$13:$AM$13,BM.medicao)&gt;0),O83/$I83*100,0))</f>
        <v>0</v>
      </c>
      <c r="M83" s="380">
        <f ca="1">IF($A83="S",VTOTALBM,IF($A83=0,0,ROUND(SomaAgrupBM,15-13*ORÇAMENTO!$AF$11)))</f>
        <v>0</v>
      </c>
      <c r="N83" s="381">
        <f t="shared" ca="1" si="4"/>
        <v>0</v>
      </c>
      <c r="O83" s="127">
        <f ca="1">IF($A83="S",VTOTALBM,IF($A83=0,0,ROUND(SomaAgrupBM,15-13*ORÇAMENTO!$AF$11)))</f>
        <v>0</v>
      </c>
      <c r="Q83" s="382"/>
      <c r="R83" s="383"/>
      <c r="T83" s="119" t="str">
        <f t="shared" ca="1" si="5"/>
        <v/>
      </c>
      <c r="U83" s="172" t="str">
        <f t="shared" ca="1" si="6"/>
        <v/>
      </c>
      <c r="V83" s="173" t="str">
        <f ca="1">IF(AND($W83&gt;0,RegimeExecucao="Unitário"),$F83,"")</f>
        <v/>
      </c>
      <c r="W83" s="547">
        <f ca="1">IF($Y83&gt;0,CHOOSE(MATCH(RegimeExecucao,{"Unitário","Global"},0),IF($A83="S",$Y83/$X83,""),($Y83/$X83)*100),0)</f>
        <v>0</v>
      </c>
      <c r="X83" s="384" t="str">
        <f ca="1">IF($Y83&gt;0,CHOOSE(MATCH(RegimeExecucao,{"Unitário","Global"},0),IF($A83="S",ROUND($H83,ORÇAMENTO!$AF$10),""),ROUND($I83,ORÇAMENTO!$AF$11)),"")</f>
        <v/>
      </c>
      <c r="Y83" s="384">
        <f t="shared" ca="1" si="7"/>
        <v>0</v>
      </c>
      <c r="Z83" s="572"/>
      <c r="AB83" s="382"/>
      <c r="AC83" s="516"/>
      <c r="AD83" s="516"/>
      <c r="AE83" s="516"/>
      <c r="AF83" s="516"/>
      <c r="AG83" s="516"/>
      <c r="AH83" s="516"/>
      <c r="AI83" s="516"/>
      <c r="AJ83" s="516"/>
      <c r="AK83" s="516"/>
      <c r="AL83" s="516"/>
      <c r="AM83" s="383"/>
      <c r="AO83">
        <f ca="1">IF($A83="S",IF(BM!$I83=0,0,CHOOSE(MATCH(RegimeExecucao,{"Global","Unitário"},0),ROUND(ROUND(BM.MEDAcumulado,15-13*BM!$A$9)/100*BM!$I83,15-13*ORÇAMENTO!$AF$11),ROUND(ROUND(BM.MEDAcumulado,15-13*BM!$A$9)*ROUND(BM!$H83,15-13*ORÇAMENTO!$AF$10),15-13*ORÇAMENTO!$AF$11))),IF($A83=0,0,ROUND(SomaAgrupBM,15-13*ORÇAMENTO!$AF$11)))</f>
        <v>0</v>
      </c>
    </row>
    <row r="84" spans="1:41" ht="25.5" x14ac:dyDescent="0.2">
      <c r="A84" t="str">
        <f ca="1">ORÇAMENTO!C84</f>
        <v>S</v>
      </c>
      <c r="B84">
        <f ca="1">ORÇAMENTO!D84</f>
        <v>0</v>
      </c>
      <c r="C84" s="116" t="str">
        <f t="shared" ca="1" si="1"/>
        <v>F</v>
      </c>
      <c r="D84" s="119" t="str">
        <f ca="1">ORÇAMENTO!O84</f>
        <v>1.5.0.3.</v>
      </c>
      <c r="E84" s="172" t="str">
        <f t="shared" ca="1" si="2"/>
        <v>(abra o arquivo 'Referência 03-2024.xlsm)</v>
      </c>
      <c r="F84" s="173" t="str">
        <f ca="1">IF(RegimeExecucao="Global","",ORÇAMENTO.Unidade)</f>
        <v/>
      </c>
      <c r="G84" s="124" t="str">
        <f ca="1">IF(RegimeExecucao="Global","",ORÇAMENTO!T84)</f>
        <v/>
      </c>
      <c r="H84" s="124" t="str">
        <f ca="1">IF(RegimeExecucao="Global","",ORÇAMENTO!W84)</f>
        <v/>
      </c>
      <c r="I84" s="127">
        <f ca="1">ORÇAMENTO!X84</f>
        <v>116.04</v>
      </c>
      <c r="J84" s="378">
        <f ca="1">IF($A84="S",IF(CAIXA.Modo,BM.AFAnterior,BM.MEDAnterior),IF(AND(RegimeExecucao="Global",$I84&gt;0,COUNTIF($AB$13:$AM$13,BM.medicao-1)&gt;0),M84/$I84*100,0))</f>
        <v>0</v>
      </c>
      <c r="K84" s="124">
        <f t="shared" ca="1" si="3"/>
        <v>0</v>
      </c>
      <c r="L84" s="379">
        <f ca="1">IF($A84="S",IF(CAIXA.Modo,BM.AFAcumulado,BM.MEDAcumulado),IF(AND(RegimeExecucao="Global",$I84&gt;0,COUNTIF($AB$13:$AM$13,BM.medicao)&gt;0),O84/$I84*100,0))</f>
        <v>0</v>
      </c>
      <c r="M84" s="380">
        <f ca="1">IF($A84="S",VTOTALBM,IF($A84=0,0,ROUND(SomaAgrupBM,15-13*ORÇAMENTO!$AF$11)))</f>
        <v>0</v>
      </c>
      <c r="N84" s="381">
        <f t="shared" ca="1" si="4"/>
        <v>0</v>
      </c>
      <c r="O84" s="127">
        <f ca="1">IF($A84="S",VTOTALBM,IF($A84=0,0,ROUND(SomaAgrupBM,15-13*ORÇAMENTO!$AF$11)))</f>
        <v>0</v>
      </c>
      <c r="Q84" s="382"/>
      <c r="R84" s="383"/>
      <c r="T84" s="119" t="str">
        <f t="shared" ca="1" si="5"/>
        <v/>
      </c>
      <c r="U84" s="172" t="str">
        <f t="shared" ca="1" si="6"/>
        <v/>
      </c>
      <c r="V84" s="173" t="str">
        <f ca="1">IF(AND($W84&gt;0,RegimeExecucao="Unitário"),$F84,"")</f>
        <v/>
      </c>
      <c r="W84" s="547">
        <f ca="1">IF($Y84&gt;0,CHOOSE(MATCH(RegimeExecucao,{"Unitário","Global"},0),IF($A84="S",$Y84/$X84,""),($Y84/$X84)*100),0)</f>
        <v>0</v>
      </c>
      <c r="X84" s="384" t="str">
        <f ca="1">IF($Y84&gt;0,CHOOSE(MATCH(RegimeExecucao,{"Unitário","Global"},0),IF($A84="S",ROUND($H84,ORÇAMENTO!$AF$10),""),ROUND($I84,ORÇAMENTO!$AF$11)),"")</f>
        <v/>
      </c>
      <c r="Y84" s="384">
        <f t="shared" ca="1" si="7"/>
        <v>0</v>
      </c>
      <c r="Z84" s="572"/>
      <c r="AB84" s="382"/>
      <c r="AC84" s="516"/>
      <c r="AD84" s="516"/>
      <c r="AE84" s="516"/>
      <c r="AF84" s="516"/>
      <c r="AG84" s="516"/>
      <c r="AH84" s="516"/>
      <c r="AI84" s="516"/>
      <c r="AJ84" s="516"/>
      <c r="AK84" s="516"/>
      <c r="AL84" s="516"/>
      <c r="AM84" s="383"/>
      <c r="AO84">
        <f ca="1">IF($A84="S",IF(BM!$I84=0,0,CHOOSE(MATCH(RegimeExecucao,{"Global","Unitário"},0),ROUND(ROUND(BM.MEDAcumulado,15-13*BM!$A$9)/100*BM!$I84,15-13*ORÇAMENTO!$AF$11),ROUND(ROUND(BM.MEDAcumulado,15-13*BM!$A$9)*ROUND(BM!$H84,15-13*ORÇAMENTO!$AF$10),15-13*ORÇAMENTO!$AF$11))),IF($A84=0,0,ROUND(SomaAgrupBM,15-13*ORÇAMENTO!$AF$11)))</f>
        <v>0</v>
      </c>
    </row>
    <row r="85" spans="1:41" ht="38.25" x14ac:dyDescent="0.2">
      <c r="A85" t="str">
        <f ca="1">ORÇAMENTO!C85</f>
        <v>S</v>
      </c>
      <c r="B85">
        <f ca="1">ORÇAMENTO!D85</f>
        <v>0</v>
      </c>
      <c r="C85" s="116" t="str">
        <f t="shared" ca="1" si="1"/>
        <v>F</v>
      </c>
      <c r="D85" s="119" t="str">
        <f ca="1">ORÇAMENTO!O85</f>
        <v>1.5.0.4.</v>
      </c>
      <c r="E85" s="172" t="str">
        <f t="shared" ca="1" si="2"/>
        <v>(abra o arquivo 'Referência 03-2024.xlsm)</v>
      </c>
      <c r="F85" s="173" t="str">
        <f ca="1">IF(RegimeExecucao="Global","",ORÇAMENTO.Unidade)</f>
        <v/>
      </c>
      <c r="G85" s="124" t="str">
        <f ca="1">IF(RegimeExecucao="Global","",ORÇAMENTO!T85)</f>
        <v/>
      </c>
      <c r="H85" s="124" t="str">
        <f ca="1">IF(RegimeExecucao="Global","",ORÇAMENTO!W85)</f>
        <v/>
      </c>
      <c r="I85" s="127">
        <f ca="1">ORÇAMENTO!X85</f>
        <v>2232.12</v>
      </c>
      <c r="J85" s="378">
        <f ca="1">IF($A85="S",IF(CAIXA.Modo,BM.AFAnterior,BM.MEDAnterior),IF(AND(RegimeExecucao="Global",$I85&gt;0,COUNTIF($AB$13:$AM$13,BM.medicao-1)&gt;0),M85/$I85*100,0))</f>
        <v>0</v>
      </c>
      <c r="K85" s="124">
        <f t="shared" ca="1" si="3"/>
        <v>0</v>
      </c>
      <c r="L85" s="379">
        <f ca="1">IF($A85="S",IF(CAIXA.Modo,BM.AFAcumulado,BM.MEDAcumulado),IF(AND(RegimeExecucao="Global",$I85&gt;0,COUNTIF($AB$13:$AM$13,BM.medicao)&gt;0),O85/$I85*100,0))</f>
        <v>0</v>
      </c>
      <c r="M85" s="380">
        <f ca="1">IF($A85="S",VTOTALBM,IF($A85=0,0,ROUND(SomaAgrupBM,15-13*ORÇAMENTO!$AF$11)))</f>
        <v>0</v>
      </c>
      <c r="N85" s="381">
        <f t="shared" ca="1" si="4"/>
        <v>0</v>
      </c>
      <c r="O85" s="127">
        <f ca="1">IF($A85="S",VTOTALBM,IF($A85=0,0,ROUND(SomaAgrupBM,15-13*ORÇAMENTO!$AF$11)))</f>
        <v>0</v>
      </c>
      <c r="Q85" s="382"/>
      <c r="R85" s="383"/>
      <c r="T85" s="119" t="str">
        <f t="shared" ca="1" si="5"/>
        <v/>
      </c>
      <c r="U85" s="172" t="str">
        <f t="shared" ca="1" si="6"/>
        <v/>
      </c>
      <c r="V85" s="173" t="str">
        <f ca="1">IF(AND($W85&gt;0,RegimeExecucao="Unitário"),$F85,"")</f>
        <v/>
      </c>
      <c r="W85" s="547">
        <f ca="1">IF($Y85&gt;0,CHOOSE(MATCH(RegimeExecucao,{"Unitário","Global"},0),IF($A85="S",$Y85/$X85,""),($Y85/$X85)*100),0)</f>
        <v>0</v>
      </c>
      <c r="X85" s="384" t="str">
        <f ca="1">IF($Y85&gt;0,CHOOSE(MATCH(RegimeExecucao,{"Unitário","Global"},0),IF($A85="S",ROUND($H85,ORÇAMENTO!$AF$10),""),ROUND($I85,ORÇAMENTO!$AF$11)),"")</f>
        <v/>
      </c>
      <c r="Y85" s="384">
        <f t="shared" ca="1" si="7"/>
        <v>0</v>
      </c>
      <c r="Z85" s="572"/>
      <c r="AB85" s="382"/>
      <c r="AC85" s="516"/>
      <c r="AD85" s="516"/>
      <c r="AE85" s="516"/>
      <c r="AF85" s="516"/>
      <c r="AG85" s="516"/>
      <c r="AH85" s="516"/>
      <c r="AI85" s="516"/>
      <c r="AJ85" s="516"/>
      <c r="AK85" s="516"/>
      <c r="AL85" s="516"/>
      <c r="AM85" s="383"/>
      <c r="AO85">
        <f ca="1">IF($A85="S",IF(BM!$I85=0,0,CHOOSE(MATCH(RegimeExecucao,{"Global","Unitário"},0),ROUND(ROUND(BM.MEDAcumulado,15-13*BM!$A$9)/100*BM!$I85,15-13*ORÇAMENTO!$AF$11),ROUND(ROUND(BM.MEDAcumulado,15-13*BM!$A$9)*ROUND(BM!$H85,15-13*ORÇAMENTO!$AF$10),15-13*ORÇAMENTO!$AF$11))),IF($A85=0,0,ROUND(SomaAgrupBM,15-13*ORÇAMENTO!$AF$11)))</f>
        <v>0</v>
      </c>
    </row>
    <row r="86" spans="1:41" x14ac:dyDescent="0.2">
      <c r="A86">
        <f ca="1">ORÇAMENTO!C86</f>
        <v>2</v>
      </c>
      <c r="B86">
        <f ca="1">ORÇAMENTO!D86</f>
        <v>106</v>
      </c>
      <c r="C86" s="116" t="str">
        <f t="shared" ca="1" si="1"/>
        <v>F</v>
      </c>
      <c r="D86" s="119" t="str">
        <f ca="1">ORÇAMENTO!O86</f>
        <v>1.6.</v>
      </c>
      <c r="E86" s="172" t="str">
        <f t="shared" si="2"/>
        <v>SANITÁRIO PÚBLICO ACESSÍVEL</v>
      </c>
      <c r="F86" s="173" t="str">
        <f ca="1">IF(RegimeExecucao="Global","",ORÇAMENTO.Unidade)</f>
        <v/>
      </c>
      <c r="G86" s="124" t="str">
        <f ca="1">IF(RegimeExecucao="Global","",ORÇAMENTO!T86)</f>
        <v/>
      </c>
      <c r="H86" s="124" t="str">
        <f ca="1">IF(RegimeExecucao="Global","",ORÇAMENTO!W86)</f>
        <v/>
      </c>
      <c r="I86" s="127">
        <f ca="1">ORÇAMENTO!X86</f>
        <v>54442.32</v>
      </c>
      <c r="J86" s="378">
        <f ca="1">IF($A86="S",IF(CAIXA.Modo,BM.AFAnterior,BM.MEDAnterior),IF(AND(RegimeExecucao="Global",$I86&gt;0,COUNTIF($AB$13:$AM$13,BM.medicao-1)&gt;0),M86/$I86*100,0))</f>
        <v>0</v>
      </c>
      <c r="K86" s="124">
        <f t="shared" ca="1" si="3"/>
        <v>0</v>
      </c>
      <c r="L86" s="379">
        <f ca="1">IF($A86="S",IF(CAIXA.Modo,BM.AFAcumulado,BM.MEDAcumulado),IF(AND(RegimeExecucao="Global",$I86&gt;0,COUNTIF($AB$13:$AM$13,BM.medicao)&gt;0),O86/$I86*100,0))</f>
        <v>0</v>
      </c>
      <c r="M86" s="380">
        <f ca="1">IF($A86="S",VTOTALBM,IF($A86=0,0,ROUND(SomaAgrupBM,15-13*ORÇAMENTO!$AF$11)))</f>
        <v>0</v>
      </c>
      <c r="N86" s="381">
        <f t="shared" ca="1" si="4"/>
        <v>0</v>
      </c>
      <c r="O86" s="127">
        <f ca="1">IF($A86="S",VTOTALBM,IF($A86=0,0,ROUND(SomaAgrupBM,15-13*ORÇAMENTO!$AF$11)))</f>
        <v>0</v>
      </c>
      <c r="Q86" s="382"/>
      <c r="R86" s="383"/>
      <c r="T86" s="119" t="str">
        <f t="shared" ca="1" si="5"/>
        <v/>
      </c>
      <c r="U86" s="172" t="str">
        <f t="shared" ca="1" si="6"/>
        <v/>
      </c>
      <c r="V86" s="173" t="str">
        <f ca="1">IF(AND($W86&gt;0,RegimeExecucao="Unitário"),$F86,"")</f>
        <v/>
      </c>
      <c r="W86" s="547">
        <f ca="1">IF($Y86&gt;0,CHOOSE(MATCH(RegimeExecucao,{"Unitário","Global"},0),IF($A86="S",$Y86/$X86,""),($Y86/$X86)*100),0)</f>
        <v>0</v>
      </c>
      <c r="X86" s="384" t="str">
        <f ca="1">IF($Y86&gt;0,CHOOSE(MATCH(RegimeExecucao,{"Unitário","Global"},0),IF($A86="S",ROUND($H86,ORÇAMENTO!$AF$10),""),ROUND($I86,ORÇAMENTO!$AF$11)),"")</f>
        <v/>
      </c>
      <c r="Y86" s="384">
        <f t="shared" ca="1" si="7"/>
        <v>0</v>
      </c>
      <c r="Z86" s="572"/>
      <c r="AB86" s="382"/>
      <c r="AC86" s="516"/>
      <c r="AD86" s="516"/>
      <c r="AE86" s="516"/>
      <c r="AF86" s="516"/>
      <c r="AG86" s="516"/>
      <c r="AH86" s="516"/>
      <c r="AI86" s="516"/>
      <c r="AJ86" s="516"/>
      <c r="AK86" s="516"/>
      <c r="AL86" s="516"/>
      <c r="AM86" s="383"/>
      <c r="AO86">
        <f ca="1">IF($A86="S",IF(BM!$I86=0,0,CHOOSE(MATCH(RegimeExecucao,{"Global","Unitário"},0),ROUND(ROUND(BM.MEDAcumulado,15-13*BM!$A$9)/100*BM!$I86,15-13*ORÇAMENTO!$AF$11),ROUND(ROUND(BM.MEDAcumulado,15-13*BM!$A$9)*ROUND(BM!$H86,15-13*ORÇAMENTO!$AF$10),15-13*ORÇAMENTO!$AF$11))),IF($A86=0,0,ROUND(SomaAgrupBM,15-13*ORÇAMENTO!$AF$11)))</f>
        <v>0</v>
      </c>
    </row>
    <row r="87" spans="1:41" x14ac:dyDescent="0.2">
      <c r="A87">
        <f ca="1">ORÇAMENTO!C87</f>
        <v>3</v>
      </c>
      <c r="B87">
        <f ca="1">ORÇAMENTO!D87</f>
        <v>7</v>
      </c>
      <c r="C87" s="116" t="str">
        <f ca="1">IF(OR($I87&gt;0,$A87=1,$A87=2,$A87=3,$A87=4),"F","")</f>
        <v>F</v>
      </c>
      <c r="D87" s="119" t="str">
        <f ca="1">ORÇAMENTO!O87</f>
        <v>1.6.1.</v>
      </c>
      <c r="E87" s="172" t="str">
        <f>ORÇAMENTO.Descricao</f>
        <v>SAPATAS</v>
      </c>
      <c r="F87" s="173" t="str">
        <f ca="1">IF(RegimeExecucao="Global","",ORÇAMENTO.Unidade)</f>
        <v/>
      </c>
      <c r="G87" s="124" t="str">
        <f ca="1">IF(RegimeExecucao="Global","",ORÇAMENTO!T87)</f>
        <v/>
      </c>
      <c r="H87" s="124" t="str">
        <f ca="1">IF(RegimeExecucao="Global","",ORÇAMENTO!W87)</f>
        <v/>
      </c>
      <c r="I87" s="127">
        <f ca="1">ORÇAMENTO!X87</f>
        <v>772.61</v>
      </c>
      <c r="J87" s="378">
        <f ca="1">IF($A87="S",IF(CAIXA.Modo,BM.AFAnterior,BM.MEDAnterior),IF(AND(RegimeExecucao="Global",$I87&gt;0,COUNTIF($AB$13:$AM$13,BM.medicao-1)&gt;0),M87/$I87*100,0))</f>
        <v>0</v>
      </c>
      <c r="K87" s="124">
        <f ca="1">L87-J87</f>
        <v>0</v>
      </c>
      <c r="L87" s="379">
        <f ca="1">IF($A87="S",IF(CAIXA.Modo,BM.AFAcumulado,BM.MEDAcumulado),IF(AND(RegimeExecucao="Global",$I87&gt;0,COUNTIF($AB$13:$AM$13,BM.medicao)&gt;0),O87/$I87*100,0))</f>
        <v>0</v>
      </c>
      <c r="M87" s="380">
        <f ca="1">IF($A87="S",VTOTALBM,IF($A87=0,0,ROUND(SomaAgrupBM,15-13*ORÇAMENTO!$AF$11)))</f>
        <v>0</v>
      </c>
      <c r="N87" s="381">
        <f ca="1">O87-M87</f>
        <v>0</v>
      </c>
      <c r="O87" s="127">
        <f ca="1">IF($A87="S",VTOTALBM,IF($A87=0,0,ROUND(SomaAgrupBM,15-13*ORÇAMENTO!$AF$11)))</f>
        <v>0</v>
      </c>
      <c r="Q87" s="382"/>
      <c r="R87" s="383"/>
      <c r="T87" s="119" t="str">
        <f ca="1">IF($W87&gt;0,$D87,"")</f>
        <v/>
      </c>
      <c r="U87" s="172" t="str">
        <f ca="1">IF($W87&gt;0,$E87,"")</f>
        <v/>
      </c>
      <c r="V87" s="173" t="str">
        <f ca="1">IF(AND($W87&gt;0,RegimeExecucao="Unitário"),$F87,"")</f>
        <v/>
      </c>
      <c r="W87" s="547">
        <f ca="1">IF($Y87&gt;0,CHOOSE(MATCH(RegimeExecucao,{"Unitário","Global"},0),IF($A87="S",$Y87/$X87,""),($Y87/$X87)*100),0)</f>
        <v>0</v>
      </c>
      <c r="X87" s="384" t="str">
        <f ca="1">IF($Y87&gt;0,CHOOSE(MATCH(RegimeExecucao,{"Unitário","Global"},0),IF($A87="S",ROUND($H87,ORÇAMENTO!$AF$10),""),ROUND($I87,ORÇAMENTO!$AF$11)),"")</f>
        <v/>
      </c>
      <c r="Y87" s="384">
        <f ca="1">AO87-O87</f>
        <v>0</v>
      </c>
      <c r="Z87" s="572"/>
      <c r="AB87" s="382"/>
      <c r="AC87" s="516"/>
      <c r="AD87" s="516"/>
      <c r="AE87" s="516"/>
      <c r="AF87" s="516"/>
      <c r="AG87" s="516"/>
      <c r="AH87" s="516"/>
      <c r="AI87" s="516"/>
      <c r="AJ87" s="516"/>
      <c r="AK87" s="516"/>
      <c r="AL87" s="516"/>
      <c r="AM87" s="383"/>
      <c r="AO87">
        <f ca="1">IF($A87="S",IF(BM!$I87=0,0,CHOOSE(MATCH(RegimeExecucao,{"Global","Unitário"},0),ROUND(ROUND(BM.MEDAcumulado,15-13*BM!$A$9)/100*BM!$I87,15-13*ORÇAMENTO!$AF$11),ROUND(ROUND(BM.MEDAcumulado,15-13*BM!$A$9)*ROUND(BM!$H87,15-13*ORÇAMENTO!$AF$10),15-13*ORÇAMENTO!$AF$11))),IF($A87=0,0,ROUND(SomaAgrupBM,15-13*ORÇAMENTO!$AF$11)))</f>
        <v>0</v>
      </c>
    </row>
    <row r="88" spans="1:41" ht="63.75" x14ac:dyDescent="0.2">
      <c r="A88" t="str">
        <f ca="1">ORÇAMENTO!C88</f>
        <v>S</v>
      </c>
      <c r="B88">
        <f ca="1">ORÇAMENTO!D88</f>
        <v>0</v>
      </c>
      <c r="C88" s="116" t="str">
        <f t="shared" ref="C88:C155" ca="1" si="8">IF(OR($I88&gt;0,$A88=1,$A88=2,$A88=3,$A88=4),"F","")</f>
        <v>F</v>
      </c>
      <c r="D88" s="119" t="str">
        <f ca="1">ORÇAMENTO!O88</f>
        <v>1.6.1.1.</v>
      </c>
      <c r="E88" s="172" t="str">
        <f t="shared" ref="E88:E155" ca="1" si="9">ORÇAMENTO.Descricao</f>
        <v>(abra o arquivo 'Referência 03-2024.xlsm)</v>
      </c>
      <c r="F88" s="173" t="str">
        <f ca="1">IF(RegimeExecucao="Global","",ORÇAMENTO.Unidade)</f>
        <v/>
      </c>
      <c r="G88" s="124" t="str">
        <f ca="1">IF(RegimeExecucao="Global","",ORÇAMENTO!T88)</f>
        <v/>
      </c>
      <c r="H88" s="124" t="str">
        <f ca="1">IF(RegimeExecucao="Global","",ORÇAMENTO!W88)</f>
        <v/>
      </c>
      <c r="I88" s="127">
        <f ca="1">ORÇAMENTO!X88</f>
        <v>7.44</v>
      </c>
      <c r="J88" s="378">
        <f ca="1">IF($A88="S",IF(CAIXA.Modo,BM.AFAnterior,BM.MEDAnterior),IF(AND(RegimeExecucao="Global",$I88&gt;0,COUNTIF($AB$13:$AM$13,BM.medicao-1)&gt;0),M88/$I88*100,0))</f>
        <v>0</v>
      </c>
      <c r="K88" s="124">
        <f t="shared" ref="K88:K155" ca="1" si="10">L88-J88</f>
        <v>0</v>
      </c>
      <c r="L88" s="379">
        <f ca="1">IF($A88="S",IF(CAIXA.Modo,BM.AFAcumulado,BM.MEDAcumulado),IF(AND(RegimeExecucao="Global",$I88&gt;0,COUNTIF($AB$13:$AM$13,BM.medicao)&gt;0),O88/$I88*100,0))</f>
        <v>0</v>
      </c>
      <c r="M88" s="380">
        <f ca="1">IF($A88="S",VTOTALBM,IF($A88=0,0,ROUND(SomaAgrupBM,15-13*ORÇAMENTO!$AF$11)))</f>
        <v>0</v>
      </c>
      <c r="N88" s="381">
        <f t="shared" ref="N88:N155" ca="1" si="11">O88-M88</f>
        <v>0</v>
      </c>
      <c r="O88" s="127">
        <f ca="1">IF($A88="S",VTOTALBM,IF($A88=0,0,ROUND(SomaAgrupBM,15-13*ORÇAMENTO!$AF$11)))</f>
        <v>0</v>
      </c>
      <c r="Q88" s="382"/>
      <c r="R88" s="383"/>
      <c r="T88" s="119" t="str">
        <f t="shared" ref="T88:T155" ca="1" si="12">IF($W88&gt;0,$D88,"")</f>
        <v/>
      </c>
      <c r="U88" s="172" t="str">
        <f t="shared" ref="U88:U155" ca="1" si="13">IF($W88&gt;0,$E88,"")</f>
        <v/>
      </c>
      <c r="V88" s="173" t="str">
        <f ca="1">IF(AND($W88&gt;0,RegimeExecucao="Unitário"),$F88,"")</f>
        <v/>
      </c>
      <c r="W88" s="547">
        <f ca="1">IF($Y88&gt;0,CHOOSE(MATCH(RegimeExecucao,{"Unitário","Global"},0),IF($A88="S",$Y88/$X88,""),($Y88/$X88)*100),0)</f>
        <v>0</v>
      </c>
      <c r="X88" s="384" t="str">
        <f ca="1">IF($Y88&gt;0,CHOOSE(MATCH(RegimeExecucao,{"Unitário","Global"},0),IF($A88="S",ROUND($H88,ORÇAMENTO!$AF$10),""),ROUND($I88,ORÇAMENTO!$AF$11)),"")</f>
        <v/>
      </c>
      <c r="Y88" s="384">
        <f t="shared" ref="Y88:Y155" ca="1" si="14">AO88-O88</f>
        <v>0</v>
      </c>
      <c r="Z88" s="572"/>
      <c r="AB88" s="382"/>
      <c r="AC88" s="516"/>
      <c r="AD88" s="516"/>
      <c r="AE88" s="516"/>
      <c r="AF88" s="516"/>
      <c r="AG88" s="516"/>
      <c r="AH88" s="516"/>
      <c r="AI88" s="516"/>
      <c r="AJ88" s="516"/>
      <c r="AK88" s="516"/>
      <c r="AL88" s="516"/>
      <c r="AM88" s="383"/>
      <c r="AO88">
        <f ca="1">IF($A88="S",IF(BM!$I88=0,0,CHOOSE(MATCH(RegimeExecucao,{"Global","Unitário"},0),ROUND(ROUND(BM.MEDAcumulado,15-13*BM!$A$9)/100*BM!$I88,15-13*ORÇAMENTO!$AF$11),ROUND(ROUND(BM.MEDAcumulado,15-13*BM!$A$9)*ROUND(BM!$H88,15-13*ORÇAMENTO!$AF$10),15-13*ORÇAMENTO!$AF$11))),IF($A88=0,0,ROUND(SomaAgrupBM,15-13*ORÇAMENTO!$AF$11)))</f>
        <v>0</v>
      </c>
    </row>
    <row r="89" spans="1:41" ht="25.5" x14ac:dyDescent="0.2">
      <c r="A89" t="str">
        <f ca="1">ORÇAMENTO!C89</f>
        <v>S</v>
      </c>
      <c r="B89">
        <f ca="1">ORÇAMENTO!D89</f>
        <v>0</v>
      </c>
      <c r="C89" s="116" t="str">
        <f t="shared" ca="1" si="8"/>
        <v>F</v>
      </c>
      <c r="D89" s="119" t="str">
        <f ca="1">ORÇAMENTO!O89</f>
        <v>1.6.1.2.</v>
      </c>
      <c r="E89" s="172" t="str">
        <f t="shared" ca="1" si="9"/>
        <v>(abra o arquivo 'Referência 03-2024.xlsm)</v>
      </c>
      <c r="F89" s="173" t="str">
        <f ca="1">IF(RegimeExecucao="Global","",ORÇAMENTO.Unidade)</f>
        <v/>
      </c>
      <c r="G89" s="124" t="str">
        <f ca="1">IF(RegimeExecucao="Global","",ORÇAMENTO!T89)</f>
        <v/>
      </c>
      <c r="H89" s="124" t="str">
        <f ca="1">IF(RegimeExecucao="Global","",ORÇAMENTO!W89)</f>
        <v/>
      </c>
      <c r="I89" s="127">
        <f ca="1">ORÇAMENTO!X89</f>
        <v>24.69</v>
      </c>
      <c r="J89" s="378">
        <f ca="1">IF($A89="S",IF(CAIXA.Modo,BM.AFAnterior,BM.MEDAnterior),IF(AND(RegimeExecucao="Global",$I89&gt;0,COUNTIF($AB$13:$AM$13,BM.medicao-1)&gt;0),M89/$I89*100,0))</f>
        <v>0</v>
      </c>
      <c r="K89" s="124">
        <f t="shared" ca="1" si="10"/>
        <v>0</v>
      </c>
      <c r="L89" s="379">
        <f ca="1">IF($A89="S",IF(CAIXA.Modo,BM.AFAcumulado,BM.MEDAcumulado),IF(AND(RegimeExecucao="Global",$I89&gt;0,COUNTIF($AB$13:$AM$13,BM.medicao)&gt;0),O89/$I89*100,0))</f>
        <v>0</v>
      </c>
      <c r="M89" s="380">
        <f ca="1">IF($A89="S",VTOTALBM,IF($A89=0,0,ROUND(SomaAgrupBM,15-13*ORÇAMENTO!$AF$11)))</f>
        <v>0</v>
      </c>
      <c r="N89" s="381">
        <f t="shared" ca="1" si="11"/>
        <v>0</v>
      </c>
      <c r="O89" s="127">
        <f ca="1">IF($A89="S",VTOTALBM,IF($A89=0,0,ROUND(SomaAgrupBM,15-13*ORÇAMENTO!$AF$11)))</f>
        <v>0</v>
      </c>
      <c r="Q89" s="382"/>
      <c r="R89" s="383"/>
      <c r="T89" s="119" t="str">
        <f t="shared" ca="1" si="12"/>
        <v/>
      </c>
      <c r="U89" s="172" t="str">
        <f t="shared" ca="1" si="13"/>
        <v/>
      </c>
      <c r="V89" s="173" t="str">
        <f ca="1">IF(AND($W89&gt;0,RegimeExecucao="Unitário"),$F89,"")</f>
        <v/>
      </c>
      <c r="W89" s="547">
        <f ca="1">IF($Y89&gt;0,CHOOSE(MATCH(RegimeExecucao,{"Unitário","Global"},0),IF($A89="S",$Y89/$X89,""),($Y89/$X89)*100),0)</f>
        <v>0</v>
      </c>
      <c r="X89" s="384" t="str">
        <f ca="1">IF($Y89&gt;0,CHOOSE(MATCH(RegimeExecucao,{"Unitário","Global"},0),IF($A89="S",ROUND($H89,ORÇAMENTO!$AF$10),""),ROUND($I89,ORÇAMENTO!$AF$11)),"")</f>
        <v/>
      </c>
      <c r="Y89" s="384">
        <f t="shared" ca="1" si="14"/>
        <v>0</v>
      </c>
      <c r="Z89" s="572"/>
      <c r="AB89" s="382"/>
      <c r="AC89" s="516"/>
      <c r="AD89" s="516"/>
      <c r="AE89" s="516"/>
      <c r="AF89" s="516"/>
      <c r="AG89" s="516"/>
      <c r="AH89" s="516"/>
      <c r="AI89" s="516"/>
      <c r="AJ89" s="516"/>
      <c r="AK89" s="516"/>
      <c r="AL89" s="516"/>
      <c r="AM89" s="383"/>
      <c r="AO89">
        <f ca="1">IF($A89="S",IF(BM!$I89=0,0,CHOOSE(MATCH(RegimeExecucao,{"Global","Unitário"},0),ROUND(ROUND(BM.MEDAcumulado,15-13*BM!$A$9)/100*BM!$I89,15-13*ORÇAMENTO!$AF$11),ROUND(ROUND(BM.MEDAcumulado,15-13*BM!$A$9)*ROUND(BM!$H89,15-13*ORÇAMENTO!$AF$10),15-13*ORÇAMENTO!$AF$11))),IF($A89=0,0,ROUND(SomaAgrupBM,15-13*ORÇAMENTO!$AF$11)))</f>
        <v>0</v>
      </c>
    </row>
    <row r="90" spans="1:41" ht="25.5" x14ac:dyDescent="0.2">
      <c r="A90" t="str">
        <f ca="1">ORÇAMENTO!C90</f>
        <v>S</v>
      </c>
      <c r="B90">
        <f ca="1">ORÇAMENTO!D90</f>
        <v>0</v>
      </c>
      <c r="C90" s="116" t="str">
        <f t="shared" ca="1" si="8"/>
        <v>F</v>
      </c>
      <c r="D90" s="119" t="str">
        <f ca="1">ORÇAMENTO!O90</f>
        <v>1.6.1.3.</v>
      </c>
      <c r="E90" s="172" t="str">
        <f t="shared" ca="1" si="9"/>
        <v>(abra o arquivo 'Referência 03-2024.xlsm)</v>
      </c>
      <c r="F90" s="173" t="str">
        <f ca="1">IF(RegimeExecucao="Global","",ORÇAMENTO.Unidade)</f>
        <v/>
      </c>
      <c r="G90" s="124" t="str">
        <f ca="1">IF(RegimeExecucao="Global","",ORÇAMENTO!T90)</f>
        <v/>
      </c>
      <c r="H90" s="124" t="str">
        <f ca="1">IF(RegimeExecucao="Global","",ORÇAMENTO!W90)</f>
        <v/>
      </c>
      <c r="I90" s="127">
        <f ca="1">ORÇAMENTO!X90</f>
        <v>32.07</v>
      </c>
      <c r="J90" s="378">
        <f ca="1">IF($A90="S",IF(CAIXA.Modo,BM.AFAnterior,BM.MEDAnterior),IF(AND(RegimeExecucao="Global",$I90&gt;0,COUNTIF($AB$13:$AM$13,BM.medicao-1)&gt;0),M90/$I90*100,0))</f>
        <v>0</v>
      </c>
      <c r="K90" s="124">
        <f t="shared" ca="1" si="10"/>
        <v>0</v>
      </c>
      <c r="L90" s="379">
        <f ca="1">IF($A90="S",IF(CAIXA.Modo,BM.AFAcumulado,BM.MEDAcumulado),IF(AND(RegimeExecucao="Global",$I90&gt;0,COUNTIF($AB$13:$AM$13,BM.medicao)&gt;0),O90/$I90*100,0))</f>
        <v>0</v>
      </c>
      <c r="M90" s="380">
        <f ca="1">IF($A90="S",VTOTALBM,IF($A90=0,0,ROUND(SomaAgrupBM,15-13*ORÇAMENTO!$AF$11)))</f>
        <v>0</v>
      </c>
      <c r="N90" s="381">
        <f t="shared" ca="1" si="11"/>
        <v>0</v>
      </c>
      <c r="O90" s="127">
        <f ca="1">IF($A90="S",VTOTALBM,IF($A90=0,0,ROUND(SomaAgrupBM,15-13*ORÇAMENTO!$AF$11)))</f>
        <v>0</v>
      </c>
      <c r="Q90" s="382"/>
      <c r="R90" s="383"/>
      <c r="T90" s="119" t="str">
        <f t="shared" ca="1" si="12"/>
        <v/>
      </c>
      <c r="U90" s="172" t="str">
        <f t="shared" ca="1" si="13"/>
        <v/>
      </c>
      <c r="V90" s="173" t="str">
        <f ca="1">IF(AND($W90&gt;0,RegimeExecucao="Unitário"),$F90,"")</f>
        <v/>
      </c>
      <c r="W90" s="547">
        <f ca="1">IF($Y90&gt;0,CHOOSE(MATCH(RegimeExecucao,{"Unitário","Global"},0),IF($A90="S",$Y90/$X90,""),($Y90/$X90)*100),0)</f>
        <v>0</v>
      </c>
      <c r="X90" s="384" t="str">
        <f ca="1">IF($Y90&gt;0,CHOOSE(MATCH(RegimeExecucao,{"Unitário","Global"},0),IF($A90="S",ROUND($H90,ORÇAMENTO!$AF$10),""),ROUND($I90,ORÇAMENTO!$AF$11)),"")</f>
        <v/>
      </c>
      <c r="Y90" s="384">
        <f t="shared" ca="1" si="14"/>
        <v>0</v>
      </c>
      <c r="Z90" s="572"/>
      <c r="AB90" s="382"/>
      <c r="AC90" s="516"/>
      <c r="AD90" s="516"/>
      <c r="AE90" s="516"/>
      <c r="AF90" s="516"/>
      <c r="AG90" s="516"/>
      <c r="AH90" s="516"/>
      <c r="AI90" s="516"/>
      <c r="AJ90" s="516"/>
      <c r="AK90" s="516"/>
      <c r="AL90" s="516"/>
      <c r="AM90" s="383"/>
      <c r="AO90">
        <f ca="1">IF($A90="S",IF(BM!$I90=0,0,CHOOSE(MATCH(RegimeExecucao,{"Global","Unitário"},0),ROUND(ROUND(BM.MEDAcumulado,15-13*BM!$A$9)/100*BM!$I90,15-13*ORÇAMENTO!$AF$11),ROUND(ROUND(BM.MEDAcumulado,15-13*BM!$A$9)*ROUND(BM!$H90,15-13*ORÇAMENTO!$AF$10),15-13*ORÇAMENTO!$AF$11))),IF($A90=0,0,ROUND(SomaAgrupBM,15-13*ORÇAMENTO!$AF$11)))</f>
        <v>0</v>
      </c>
    </row>
    <row r="91" spans="1:41" ht="38.25" x14ac:dyDescent="0.2">
      <c r="A91" t="str">
        <f ca="1">ORÇAMENTO!C91</f>
        <v>S</v>
      </c>
      <c r="B91">
        <f ca="1">ORÇAMENTO!D91</f>
        <v>0</v>
      </c>
      <c r="C91" s="116" t="str">
        <f t="shared" ca="1" si="8"/>
        <v>F</v>
      </c>
      <c r="D91" s="119" t="str">
        <f ca="1">ORÇAMENTO!O91</f>
        <v>1.6.1.4.</v>
      </c>
      <c r="E91" s="172" t="str">
        <f t="shared" ca="1" si="9"/>
        <v>(abra o arquivo 'Referência 03-2024.xlsm)</v>
      </c>
      <c r="F91" s="173" t="str">
        <f ca="1">IF(RegimeExecucao="Global","",ORÇAMENTO.Unidade)</f>
        <v/>
      </c>
      <c r="G91" s="124" t="str">
        <f ca="1">IF(RegimeExecucao="Global","",ORÇAMENTO!T91)</f>
        <v/>
      </c>
      <c r="H91" s="124" t="str">
        <f ca="1">IF(RegimeExecucao="Global","",ORÇAMENTO!W91)</f>
        <v/>
      </c>
      <c r="I91" s="127">
        <f ca="1">ORÇAMENTO!X91</f>
        <v>257.04000000000002</v>
      </c>
      <c r="J91" s="378">
        <f ca="1">IF($A91="S",IF(CAIXA.Modo,BM.AFAnterior,BM.MEDAnterior),IF(AND(RegimeExecucao="Global",$I91&gt;0,COUNTIF($AB$13:$AM$13,BM.medicao-1)&gt;0),M91/$I91*100,0))</f>
        <v>0</v>
      </c>
      <c r="K91" s="124">
        <f t="shared" ca="1" si="10"/>
        <v>0</v>
      </c>
      <c r="L91" s="379">
        <f ca="1">IF($A91="S",IF(CAIXA.Modo,BM.AFAcumulado,BM.MEDAcumulado),IF(AND(RegimeExecucao="Global",$I91&gt;0,COUNTIF($AB$13:$AM$13,BM.medicao)&gt;0),O91/$I91*100,0))</f>
        <v>0</v>
      </c>
      <c r="M91" s="380">
        <f ca="1">IF($A91="S",VTOTALBM,IF($A91=0,0,ROUND(SomaAgrupBM,15-13*ORÇAMENTO!$AF$11)))</f>
        <v>0</v>
      </c>
      <c r="N91" s="381">
        <f t="shared" ca="1" si="11"/>
        <v>0</v>
      </c>
      <c r="O91" s="127">
        <f ca="1">IF($A91="S",VTOTALBM,IF($A91=0,0,ROUND(SomaAgrupBM,15-13*ORÇAMENTO!$AF$11)))</f>
        <v>0</v>
      </c>
      <c r="Q91" s="382"/>
      <c r="R91" s="383"/>
      <c r="T91" s="119" t="str">
        <f t="shared" ca="1" si="12"/>
        <v/>
      </c>
      <c r="U91" s="172" t="str">
        <f t="shared" ca="1" si="13"/>
        <v/>
      </c>
      <c r="V91" s="173" t="str">
        <f ca="1">IF(AND($W91&gt;0,RegimeExecucao="Unitário"),$F91,"")</f>
        <v/>
      </c>
      <c r="W91" s="547">
        <f ca="1">IF($Y91&gt;0,CHOOSE(MATCH(RegimeExecucao,{"Unitário","Global"},0),IF($A91="S",$Y91/$X91,""),($Y91/$X91)*100),0)</f>
        <v>0</v>
      </c>
      <c r="X91" s="384" t="str">
        <f ca="1">IF($Y91&gt;0,CHOOSE(MATCH(RegimeExecucao,{"Unitário","Global"},0),IF($A91="S",ROUND($H91,ORÇAMENTO!$AF$10),""),ROUND($I91,ORÇAMENTO!$AF$11)),"")</f>
        <v/>
      </c>
      <c r="Y91" s="384">
        <f t="shared" ca="1" si="14"/>
        <v>0</v>
      </c>
      <c r="Z91" s="572"/>
      <c r="AB91" s="382"/>
      <c r="AC91" s="516"/>
      <c r="AD91" s="516"/>
      <c r="AE91" s="516"/>
      <c r="AF91" s="516"/>
      <c r="AG91" s="516"/>
      <c r="AH91" s="516"/>
      <c r="AI91" s="516"/>
      <c r="AJ91" s="516"/>
      <c r="AK91" s="516"/>
      <c r="AL91" s="516"/>
      <c r="AM91" s="383"/>
      <c r="AO91">
        <f ca="1">IF($A91="S",IF(BM!$I91=0,0,CHOOSE(MATCH(RegimeExecucao,{"Global","Unitário"},0),ROUND(ROUND(BM.MEDAcumulado,15-13*BM!$A$9)/100*BM!$I91,15-13*ORÇAMENTO!$AF$11),ROUND(ROUND(BM.MEDAcumulado,15-13*BM!$A$9)*ROUND(BM!$H91,15-13*ORÇAMENTO!$AF$10),15-13*ORÇAMENTO!$AF$11))),IF($A91=0,0,ROUND(SomaAgrupBM,15-13*ORÇAMENTO!$AF$11)))</f>
        <v>0</v>
      </c>
    </row>
    <row r="92" spans="1:41" ht="51" x14ac:dyDescent="0.2">
      <c r="A92" t="str">
        <f ca="1">ORÇAMENTO!C92</f>
        <v>S</v>
      </c>
      <c r="B92">
        <f ca="1">ORÇAMENTO!D92</f>
        <v>0</v>
      </c>
      <c r="C92" s="116" t="str">
        <f t="shared" ca="1" si="8"/>
        <v>F</v>
      </c>
      <c r="D92" s="119" t="str">
        <f ca="1">ORÇAMENTO!O92</f>
        <v>1.6.1.5.</v>
      </c>
      <c r="E92" s="172" t="str">
        <f t="shared" ca="1" si="9"/>
        <v>(abra o arquivo 'Referência 03-2024.xlsm)</v>
      </c>
      <c r="F92" s="173" t="str">
        <f ca="1">IF(RegimeExecucao="Global","",ORÇAMENTO.Unidade)</f>
        <v/>
      </c>
      <c r="G92" s="124" t="str">
        <f ca="1">IF(RegimeExecucao="Global","",ORÇAMENTO!T92)</f>
        <v/>
      </c>
      <c r="H92" s="124" t="str">
        <f ca="1">IF(RegimeExecucao="Global","",ORÇAMENTO!W92)</f>
        <v/>
      </c>
      <c r="I92" s="127">
        <f ca="1">ORÇAMENTO!X92</f>
        <v>257.52</v>
      </c>
      <c r="J92" s="378">
        <f ca="1">IF($A92="S",IF(CAIXA.Modo,BM.AFAnterior,BM.MEDAnterior),IF(AND(RegimeExecucao="Global",$I92&gt;0,COUNTIF($AB$13:$AM$13,BM.medicao-1)&gt;0),M92/$I92*100,0))</f>
        <v>0</v>
      </c>
      <c r="K92" s="124">
        <f t="shared" ca="1" si="10"/>
        <v>0</v>
      </c>
      <c r="L92" s="379">
        <f ca="1">IF($A92="S",IF(CAIXA.Modo,BM.AFAcumulado,BM.MEDAcumulado),IF(AND(RegimeExecucao="Global",$I92&gt;0,COUNTIF($AB$13:$AM$13,BM.medicao)&gt;0),O92/$I92*100,0))</f>
        <v>0</v>
      </c>
      <c r="M92" s="380">
        <f ca="1">IF($A92="S",VTOTALBM,IF($A92=0,0,ROUND(SomaAgrupBM,15-13*ORÇAMENTO!$AF$11)))</f>
        <v>0</v>
      </c>
      <c r="N92" s="381">
        <f t="shared" ca="1" si="11"/>
        <v>0</v>
      </c>
      <c r="O92" s="127">
        <f ca="1">IF($A92="S",VTOTALBM,IF($A92=0,0,ROUND(SomaAgrupBM,15-13*ORÇAMENTO!$AF$11)))</f>
        <v>0</v>
      </c>
      <c r="Q92" s="382"/>
      <c r="R92" s="383"/>
      <c r="T92" s="119" t="str">
        <f t="shared" ca="1" si="12"/>
        <v/>
      </c>
      <c r="U92" s="172" t="str">
        <f t="shared" ca="1" si="13"/>
        <v/>
      </c>
      <c r="V92" s="173" t="str">
        <f ca="1">IF(AND($W92&gt;0,RegimeExecucao="Unitário"),$F92,"")</f>
        <v/>
      </c>
      <c r="W92" s="547">
        <f ca="1">IF($Y92&gt;0,CHOOSE(MATCH(RegimeExecucao,{"Unitário","Global"},0),IF($A92="S",$Y92/$X92,""),($Y92/$X92)*100),0)</f>
        <v>0</v>
      </c>
      <c r="X92" s="384" t="str">
        <f ca="1">IF($Y92&gt;0,CHOOSE(MATCH(RegimeExecucao,{"Unitário","Global"},0),IF($A92="S",ROUND($H92,ORÇAMENTO!$AF$10),""),ROUND($I92,ORÇAMENTO!$AF$11)),"")</f>
        <v/>
      </c>
      <c r="Y92" s="384">
        <f t="shared" ca="1" si="14"/>
        <v>0</v>
      </c>
      <c r="Z92" s="572"/>
      <c r="AB92" s="382"/>
      <c r="AC92" s="516"/>
      <c r="AD92" s="516"/>
      <c r="AE92" s="516"/>
      <c r="AF92" s="516"/>
      <c r="AG92" s="516"/>
      <c r="AH92" s="516"/>
      <c r="AI92" s="516"/>
      <c r="AJ92" s="516"/>
      <c r="AK92" s="516"/>
      <c r="AL92" s="516"/>
      <c r="AM92" s="383"/>
      <c r="AO92">
        <f ca="1">IF($A92="S",IF(BM!$I92=0,0,CHOOSE(MATCH(RegimeExecucao,{"Global","Unitário"},0),ROUND(ROUND(BM.MEDAcumulado,15-13*BM!$A$9)/100*BM!$I92,15-13*ORÇAMENTO!$AF$11),ROUND(ROUND(BM.MEDAcumulado,15-13*BM!$A$9)*ROUND(BM!$H92,15-13*ORÇAMENTO!$AF$10),15-13*ORÇAMENTO!$AF$11))),IF($A92=0,0,ROUND(SomaAgrupBM,15-13*ORÇAMENTO!$AF$11)))</f>
        <v>0</v>
      </c>
    </row>
    <row r="93" spans="1:41" ht="38.25" x14ac:dyDescent="0.2">
      <c r="A93" t="str">
        <f ca="1">ORÇAMENTO!C93</f>
        <v>S</v>
      </c>
      <c r="B93">
        <f ca="1">ORÇAMENTO!D93</f>
        <v>0</v>
      </c>
      <c r="C93" s="116" t="str">
        <f t="shared" ca="1" si="8"/>
        <v>F</v>
      </c>
      <c r="D93" s="119" t="str">
        <f ca="1">ORÇAMENTO!O93</f>
        <v>1.6.1.6.</v>
      </c>
      <c r="E93" s="172" t="str">
        <f t="shared" ca="1" si="9"/>
        <v>(abra o arquivo 'Referência 03-2024.xlsm)</v>
      </c>
      <c r="F93" s="173" t="str">
        <f ca="1">IF(RegimeExecucao="Global","",ORÇAMENTO.Unidade)</f>
        <v/>
      </c>
      <c r="G93" s="124" t="str">
        <f ca="1">IF(RegimeExecucao="Global","",ORÇAMENTO!T93)</f>
        <v/>
      </c>
      <c r="H93" s="124" t="str">
        <f ca="1">IF(RegimeExecucao="Global","",ORÇAMENTO!W93)</f>
        <v/>
      </c>
      <c r="I93" s="127">
        <f ca="1">ORÇAMENTO!X93</f>
        <v>193.85</v>
      </c>
      <c r="J93" s="378">
        <f ca="1">IF($A93="S",IF(CAIXA.Modo,BM.AFAnterior,BM.MEDAnterior),IF(AND(RegimeExecucao="Global",$I93&gt;0,COUNTIF($AB$13:$AM$13,BM.medicao-1)&gt;0),M93/$I93*100,0))</f>
        <v>0</v>
      </c>
      <c r="K93" s="124">
        <f t="shared" ca="1" si="10"/>
        <v>0</v>
      </c>
      <c r="L93" s="379">
        <f ca="1">IF($A93="S",IF(CAIXA.Modo,BM.AFAcumulado,BM.MEDAcumulado),IF(AND(RegimeExecucao="Global",$I93&gt;0,COUNTIF($AB$13:$AM$13,BM.medicao)&gt;0),O93/$I93*100,0))</f>
        <v>0</v>
      </c>
      <c r="M93" s="380">
        <f ca="1">IF($A93="S",VTOTALBM,IF($A93=0,0,ROUND(SomaAgrupBM,15-13*ORÇAMENTO!$AF$11)))</f>
        <v>0</v>
      </c>
      <c r="N93" s="381">
        <f t="shared" ca="1" si="11"/>
        <v>0</v>
      </c>
      <c r="O93" s="127">
        <f ca="1">IF($A93="S",VTOTALBM,IF($A93=0,0,ROUND(SomaAgrupBM,15-13*ORÇAMENTO!$AF$11)))</f>
        <v>0</v>
      </c>
      <c r="Q93" s="382"/>
      <c r="R93" s="383"/>
      <c r="T93" s="119" t="str">
        <f t="shared" ca="1" si="12"/>
        <v/>
      </c>
      <c r="U93" s="172" t="str">
        <f t="shared" ca="1" si="13"/>
        <v/>
      </c>
      <c r="V93" s="173" t="str">
        <f ca="1">IF(AND($W93&gt;0,RegimeExecucao="Unitário"),$F93,"")</f>
        <v/>
      </c>
      <c r="W93" s="547">
        <f ca="1">IF($Y93&gt;0,CHOOSE(MATCH(RegimeExecucao,{"Unitário","Global"},0),IF($A93="S",$Y93/$X93,""),($Y93/$X93)*100),0)</f>
        <v>0</v>
      </c>
      <c r="X93" s="384" t="str">
        <f ca="1">IF($Y93&gt;0,CHOOSE(MATCH(RegimeExecucao,{"Unitário","Global"},0),IF($A93="S",ROUND($H93,ORÇAMENTO!$AF$10),""),ROUND($I93,ORÇAMENTO!$AF$11)),"")</f>
        <v/>
      </c>
      <c r="Y93" s="384">
        <f t="shared" ca="1" si="14"/>
        <v>0</v>
      </c>
      <c r="Z93" s="572"/>
      <c r="AB93" s="382"/>
      <c r="AC93" s="516"/>
      <c r="AD93" s="516"/>
      <c r="AE93" s="516"/>
      <c r="AF93" s="516"/>
      <c r="AG93" s="516"/>
      <c r="AH93" s="516"/>
      <c r="AI93" s="516"/>
      <c r="AJ93" s="516"/>
      <c r="AK93" s="516"/>
      <c r="AL93" s="516"/>
      <c r="AM93" s="383"/>
      <c r="AO93">
        <f ca="1">IF($A93="S",IF(BM!$I93=0,0,CHOOSE(MATCH(RegimeExecucao,{"Global","Unitário"},0),ROUND(ROUND(BM.MEDAcumulado,15-13*BM!$A$9)/100*BM!$I93,15-13*ORÇAMENTO!$AF$11),ROUND(ROUND(BM.MEDAcumulado,15-13*BM!$A$9)*ROUND(BM!$H93,15-13*ORÇAMENTO!$AF$10),15-13*ORÇAMENTO!$AF$11))),IF($A93=0,0,ROUND(SomaAgrupBM,15-13*ORÇAMENTO!$AF$11)))</f>
        <v>0</v>
      </c>
    </row>
    <row r="94" spans="1:41" x14ac:dyDescent="0.2">
      <c r="A94">
        <f ca="1">ORÇAMENTO!C94</f>
        <v>3</v>
      </c>
      <c r="B94">
        <f ca="1">ORÇAMENTO!D94</f>
        <v>8</v>
      </c>
      <c r="C94" s="116" t="str">
        <f t="shared" ca="1" si="8"/>
        <v>F</v>
      </c>
      <c r="D94" s="119" t="str">
        <f ca="1">ORÇAMENTO!O94</f>
        <v>1.6.2.</v>
      </c>
      <c r="E94" s="172" t="str">
        <f t="shared" si="9"/>
        <v>VIGA BALDRAME</v>
      </c>
      <c r="F94" s="173" t="str">
        <f ca="1">IF(RegimeExecucao="Global","",ORÇAMENTO.Unidade)</f>
        <v/>
      </c>
      <c r="G94" s="124" t="str">
        <f ca="1">IF(RegimeExecucao="Global","",ORÇAMENTO!T94)</f>
        <v/>
      </c>
      <c r="H94" s="124" t="str">
        <f ca="1">IF(RegimeExecucao="Global","",ORÇAMENTO!W94)</f>
        <v/>
      </c>
      <c r="I94" s="127">
        <f ca="1">ORÇAMENTO!X94</f>
        <v>1645.38</v>
      </c>
      <c r="J94" s="378">
        <f ca="1">IF($A94="S",IF(CAIXA.Modo,BM.AFAnterior,BM.MEDAnterior),IF(AND(RegimeExecucao="Global",$I94&gt;0,COUNTIF($AB$13:$AM$13,BM.medicao-1)&gt;0),M94/$I94*100,0))</f>
        <v>0</v>
      </c>
      <c r="K94" s="124">
        <f t="shared" ca="1" si="10"/>
        <v>0</v>
      </c>
      <c r="L94" s="379">
        <f ca="1">IF($A94="S",IF(CAIXA.Modo,BM.AFAcumulado,BM.MEDAcumulado),IF(AND(RegimeExecucao="Global",$I94&gt;0,COUNTIF($AB$13:$AM$13,BM.medicao)&gt;0),O94/$I94*100,0))</f>
        <v>0</v>
      </c>
      <c r="M94" s="380">
        <f ca="1">IF($A94="S",VTOTALBM,IF($A94=0,0,ROUND(SomaAgrupBM,15-13*ORÇAMENTO!$AF$11)))</f>
        <v>0</v>
      </c>
      <c r="N94" s="381">
        <f t="shared" ca="1" si="11"/>
        <v>0</v>
      </c>
      <c r="O94" s="127">
        <f ca="1">IF($A94="S",VTOTALBM,IF($A94=0,0,ROUND(SomaAgrupBM,15-13*ORÇAMENTO!$AF$11)))</f>
        <v>0</v>
      </c>
      <c r="Q94" s="382"/>
      <c r="R94" s="383"/>
      <c r="T94" s="119" t="str">
        <f t="shared" ca="1" si="12"/>
        <v/>
      </c>
      <c r="U94" s="172" t="str">
        <f t="shared" ca="1" si="13"/>
        <v/>
      </c>
      <c r="V94" s="173" t="str">
        <f ca="1">IF(AND($W94&gt;0,RegimeExecucao="Unitário"),$F94,"")</f>
        <v/>
      </c>
      <c r="W94" s="547">
        <f ca="1">IF($Y94&gt;0,CHOOSE(MATCH(RegimeExecucao,{"Unitário","Global"},0),IF($A94="S",$Y94/$X94,""),($Y94/$X94)*100),0)</f>
        <v>0</v>
      </c>
      <c r="X94" s="384" t="str">
        <f ca="1">IF($Y94&gt;0,CHOOSE(MATCH(RegimeExecucao,{"Unitário","Global"},0),IF($A94="S",ROUND($H94,ORÇAMENTO!$AF$10),""),ROUND($I94,ORÇAMENTO!$AF$11)),"")</f>
        <v/>
      </c>
      <c r="Y94" s="384">
        <f t="shared" ca="1" si="14"/>
        <v>0</v>
      </c>
      <c r="Z94" s="572"/>
      <c r="AB94" s="382"/>
      <c r="AC94" s="516"/>
      <c r="AD94" s="516"/>
      <c r="AE94" s="516"/>
      <c r="AF94" s="516"/>
      <c r="AG94" s="516"/>
      <c r="AH94" s="516"/>
      <c r="AI94" s="516"/>
      <c r="AJ94" s="516"/>
      <c r="AK94" s="516"/>
      <c r="AL94" s="516"/>
      <c r="AM94" s="383"/>
      <c r="AO94">
        <f ca="1">IF($A94="S",IF(BM!$I94=0,0,CHOOSE(MATCH(RegimeExecucao,{"Global","Unitário"},0),ROUND(ROUND(BM.MEDAcumulado,15-13*BM!$A$9)/100*BM!$I94,15-13*ORÇAMENTO!$AF$11),ROUND(ROUND(BM.MEDAcumulado,15-13*BM!$A$9)*ROUND(BM!$H94,15-13*ORÇAMENTO!$AF$10),15-13*ORÇAMENTO!$AF$11))),IF($A94=0,0,ROUND(SomaAgrupBM,15-13*ORÇAMENTO!$AF$11)))</f>
        <v>0</v>
      </c>
    </row>
    <row r="95" spans="1:41" ht="63.75" x14ac:dyDescent="0.2">
      <c r="A95" t="str">
        <f ca="1">ORÇAMENTO!C95</f>
        <v>S</v>
      </c>
      <c r="B95">
        <f ca="1">ORÇAMENTO!D95</f>
        <v>0</v>
      </c>
      <c r="C95" s="116" t="str">
        <f t="shared" ca="1" si="8"/>
        <v>F</v>
      </c>
      <c r="D95" s="119" t="str">
        <f ca="1">ORÇAMENTO!O95</f>
        <v>1.6.2.1.</v>
      </c>
      <c r="E95" s="172" t="str">
        <f t="shared" ca="1" si="9"/>
        <v>(abra o arquivo 'Referência 03-2024.xlsm)</v>
      </c>
      <c r="F95" s="173" t="str">
        <f ca="1">IF(RegimeExecucao="Global","",ORÇAMENTO.Unidade)</f>
        <v/>
      </c>
      <c r="G95" s="124" t="str">
        <f ca="1">IF(RegimeExecucao="Global","",ORÇAMENTO!T95)</f>
        <v/>
      </c>
      <c r="H95" s="124" t="str">
        <f ca="1">IF(RegimeExecucao="Global","",ORÇAMENTO!W95)</f>
        <v/>
      </c>
      <c r="I95" s="127">
        <f ca="1">ORÇAMENTO!X95</f>
        <v>4.71</v>
      </c>
      <c r="J95" s="378">
        <f ca="1">IF($A95="S",IF(CAIXA.Modo,BM.AFAnterior,BM.MEDAnterior),IF(AND(RegimeExecucao="Global",$I95&gt;0,COUNTIF($AB$13:$AM$13,BM.medicao-1)&gt;0),M95/$I95*100,0))</f>
        <v>0</v>
      </c>
      <c r="K95" s="124">
        <f t="shared" ca="1" si="10"/>
        <v>0</v>
      </c>
      <c r="L95" s="379">
        <f ca="1">IF($A95="S",IF(CAIXA.Modo,BM.AFAcumulado,BM.MEDAcumulado),IF(AND(RegimeExecucao="Global",$I95&gt;0,COUNTIF($AB$13:$AM$13,BM.medicao)&gt;0),O95/$I95*100,0))</f>
        <v>0</v>
      </c>
      <c r="M95" s="380">
        <f ca="1">IF($A95="S",VTOTALBM,IF($A95=0,0,ROUND(SomaAgrupBM,15-13*ORÇAMENTO!$AF$11)))</f>
        <v>0</v>
      </c>
      <c r="N95" s="381">
        <f t="shared" ca="1" si="11"/>
        <v>0</v>
      </c>
      <c r="O95" s="127">
        <f ca="1">IF($A95="S",VTOTALBM,IF($A95=0,0,ROUND(SomaAgrupBM,15-13*ORÇAMENTO!$AF$11)))</f>
        <v>0</v>
      </c>
      <c r="Q95" s="382"/>
      <c r="R95" s="383"/>
      <c r="T95" s="119" t="str">
        <f t="shared" ca="1" si="12"/>
        <v/>
      </c>
      <c r="U95" s="172" t="str">
        <f t="shared" ca="1" si="13"/>
        <v/>
      </c>
      <c r="V95" s="173" t="str">
        <f ca="1">IF(AND($W95&gt;0,RegimeExecucao="Unitário"),$F95,"")</f>
        <v/>
      </c>
      <c r="W95" s="547">
        <f ca="1">IF($Y95&gt;0,CHOOSE(MATCH(RegimeExecucao,{"Unitário","Global"},0),IF($A95="S",$Y95/$X95,""),($Y95/$X95)*100),0)</f>
        <v>0</v>
      </c>
      <c r="X95" s="384" t="str">
        <f ca="1">IF($Y95&gt;0,CHOOSE(MATCH(RegimeExecucao,{"Unitário","Global"},0),IF($A95="S",ROUND($H95,ORÇAMENTO!$AF$10),""),ROUND($I95,ORÇAMENTO!$AF$11)),"")</f>
        <v/>
      </c>
      <c r="Y95" s="384">
        <f t="shared" ca="1" si="14"/>
        <v>0</v>
      </c>
      <c r="Z95" s="572"/>
      <c r="AB95" s="382"/>
      <c r="AC95" s="516"/>
      <c r="AD95" s="516"/>
      <c r="AE95" s="516"/>
      <c r="AF95" s="516"/>
      <c r="AG95" s="516"/>
      <c r="AH95" s="516"/>
      <c r="AI95" s="516"/>
      <c r="AJ95" s="516"/>
      <c r="AK95" s="516"/>
      <c r="AL95" s="516"/>
      <c r="AM95" s="383"/>
      <c r="AO95">
        <f ca="1">IF($A95="S",IF(BM!$I95=0,0,CHOOSE(MATCH(RegimeExecucao,{"Global","Unitário"},0),ROUND(ROUND(BM.MEDAcumulado,15-13*BM!$A$9)/100*BM!$I95,15-13*ORÇAMENTO!$AF$11),ROUND(ROUND(BM.MEDAcumulado,15-13*BM!$A$9)*ROUND(BM!$H95,15-13*ORÇAMENTO!$AF$10),15-13*ORÇAMENTO!$AF$11))),IF($A95=0,0,ROUND(SomaAgrupBM,15-13*ORÇAMENTO!$AF$11)))</f>
        <v>0</v>
      </c>
    </row>
    <row r="96" spans="1:41" ht="25.5" x14ac:dyDescent="0.2">
      <c r="A96" t="str">
        <f ca="1">ORÇAMENTO!C96</f>
        <v>S</v>
      </c>
      <c r="B96">
        <f ca="1">ORÇAMENTO!D96</f>
        <v>0</v>
      </c>
      <c r="C96" s="116" t="str">
        <f t="shared" ca="1" si="8"/>
        <v>F</v>
      </c>
      <c r="D96" s="119" t="str">
        <f ca="1">ORÇAMENTO!O96</f>
        <v>1.6.2.2.</v>
      </c>
      <c r="E96" s="172" t="str">
        <f t="shared" ca="1" si="9"/>
        <v>(abra o arquivo 'Referência 03-2024.xlsm)</v>
      </c>
      <c r="F96" s="173" t="str">
        <f ca="1">IF(RegimeExecucao="Global","",ORÇAMENTO.Unidade)</f>
        <v/>
      </c>
      <c r="G96" s="124" t="str">
        <f ca="1">IF(RegimeExecucao="Global","",ORÇAMENTO!T96)</f>
        <v/>
      </c>
      <c r="H96" s="124" t="str">
        <f ca="1">IF(RegimeExecucao="Global","",ORÇAMENTO!W96)</f>
        <v/>
      </c>
      <c r="I96" s="127">
        <f ca="1">ORÇAMENTO!X96</f>
        <v>17.28</v>
      </c>
      <c r="J96" s="378">
        <f ca="1">IF($A96="S",IF(CAIXA.Modo,BM.AFAnterior,BM.MEDAnterior),IF(AND(RegimeExecucao="Global",$I96&gt;0,COUNTIF($AB$13:$AM$13,BM.medicao-1)&gt;0),M96/$I96*100,0))</f>
        <v>0</v>
      </c>
      <c r="K96" s="124">
        <f t="shared" ca="1" si="10"/>
        <v>0</v>
      </c>
      <c r="L96" s="379">
        <f ca="1">IF($A96="S",IF(CAIXA.Modo,BM.AFAcumulado,BM.MEDAcumulado),IF(AND(RegimeExecucao="Global",$I96&gt;0,COUNTIF($AB$13:$AM$13,BM.medicao)&gt;0),O96/$I96*100,0))</f>
        <v>0</v>
      </c>
      <c r="M96" s="380">
        <f ca="1">IF($A96="S",VTOTALBM,IF($A96=0,0,ROUND(SomaAgrupBM,15-13*ORÇAMENTO!$AF$11)))</f>
        <v>0</v>
      </c>
      <c r="N96" s="381">
        <f t="shared" ca="1" si="11"/>
        <v>0</v>
      </c>
      <c r="O96" s="127">
        <f ca="1">IF($A96="S",VTOTALBM,IF($A96=0,0,ROUND(SomaAgrupBM,15-13*ORÇAMENTO!$AF$11)))</f>
        <v>0</v>
      </c>
      <c r="Q96" s="382"/>
      <c r="R96" s="383"/>
      <c r="T96" s="119" t="str">
        <f t="shared" ca="1" si="12"/>
        <v/>
      </c>
      <c r="U96" s="172" t="str">
        <f t="shared" ca="1" si="13"/>
        <v/>
      </c>
      <c r="V96" s="173" t="str">
        <f ca="1">IF(AND($W96&gt;0,RegimeExecucao="Unitário"),$F96,"")</f>
        <v/>
      </c>
      <c r="W96" s="547">
        <f ca="1">IF($Y96&gt;0,CHOOSE(MATCH(RegimeExecucao,{"Unitário","Global"},0),IF($A96="S",$Y96/$X96,""),($Y96/$X96)*100),0)</f>
        <v>0</v>
      </c>
      <c r="X96" s="384" t="str">
        <f ca="1">IF($Y96&gt;0,CHOOSE(MATCH(RegimeExecucao,{"Unitário","Global"},0),IF($A96="S",ROUND($H96,ORÇAMENTO!$AF$10),""),ROUND($I96,ORÇAMENTO!$AF$11)),"")</f>
        <v/>
      </c>
      <c r="Y96" s="384">
        <f t="shared" ca="1" si="14"/>
        <v>0</v>
      </c>
      <c r="Z96" s="572"/>
      <c r="AB96" s="382"/>
      <c r="AC96" s="516"/>
      <c r="AD96" s="516"/>
      <c r="AE96" s="516"/>
      <c r="AF96" s="516"/>
      <c r="AG96" s="516"/>
      <c r="AH96" s="516"/>
      <c r="AI96" s="516"/>
      <c r="AJ96" s="516"/>
      <c r="AK96" s="516"/>
      <c r="AL96" s="516"/>
      <c r="AM96" s="383"/>
      <c r="AO96">
        <f ca="1">IF($A96="S",IF(BM!$I96=0,0,CHOOSE(MATCH(RegimeExecucao,{"Global","Unitário"},0),ROUND(ROUND(BM.MEDAcumulado,15-13*BM!$A$9)/100*BM!$I96,15-13*ORÇAMENTO!$AF$11),ROUND(ROUND(BM.MEDAcumulado,15-13*BM!$A$9)*ROUND(BM!$H96,15-13*ORÇAMENTO!$AF$10),15-13*ORÇAMENTO!$AF$11))),IF($A96=0,0,ROUND(SomaAgrupBM,15-13*ORÇAMENTO!$AF$11)))</f>
        <v>0</v>
      </c>
    </row>
    <row r="97" spans="1:41" ht="25.5" x14ac:dyDescent="0.2">
      <c r="A97" t="str">
        <f ca="1">ORÇAMENTO!C97</f>
        <v>S</v>
      </c>
      <c r="B97">
        <f ca="1">ORÇAMENTO!D97</f>
        <v>0</v>
      </c>
      <c r="C97" s="116" t="str">
        <f t="shared" ca="1" si="8"/>
        <v>F</v>
      </c>
      <c r="D97" s="119" t="str">
        <f ca="1">ORÇAMENTO!O97</f>
        <v>1.6.2.3.</v>
      </c>
      <c r="E97" s="172" t="str">
        <f t="shared" ca="1" si="9"/>
        <v>(abra o arquivo 'Referência 03-2024.xlsm)</v>
      </c>
      <c r="F97" s="173" t="str">
        <f ca="1">IF(RegimeExecucao="Global","",ORÇAMENTO.Unidade)</f>
        <v/>
      </c>
      <c r="G97" s="124" t="str">
        <f ca="1">IF(RegimeExecucao="Global","",ORÇAMENTO!T97)</f>
        <v/>
      </c>
      <c r="H97" s="124" t="str">
        <f ca="1">IF(RegimeExecucao="Global","",ORÇAMENTO!W97)</f>
        <v/>
      </c>
      <c r="I97" s="127">
        <f ca="1">ORÇAMENTO!X97</f>
        <v>49.99</v>
      </c>
      <c r="J97" s="378">
        <f ca="1">IF($A97="S",IF(CAIXA.Modo,BM.AFAnterior,BM.MEDAnterior),IF(AND(RegimeExecucao="Global",$I97&gt;0,COUNTIF($AB$13:$AM$13,BM.medicao-1)&gt;0),M97/$I97*100,0))</f>
        <v>0</v>
      </c>
      <c r="K97" s="124">
        <f t="shared" ca="1" si="10"/>
        <v>0</v>
      </c>
      <c r="L97" s="379">
        <f ca="1">IF($A97="S",IF(CAIXA.Modo,BM.AFAcumulado,BM.MEDAcumulado),IF(AND(RegimeExecucao="Global",$I97&gt;0,COUNTIF($AB$13:$AM$13,BM.medicao)&gt;0),O97/$I97*100,0))</f>
        <v>0</v>
      </c>
      <c r="M97" s="380">
        <f ca="1">IF($A97="S",VTOTALBM,IF($A97=0,0,ROUND(SomaAgrupBM,15-13*ORÇAMENTO!$AF$11)))</f>
        <v>0</v>
      </c>
      <c r="N97" s="381">
        <f t="shared" ca="1" si="11"/>
        <v>0</v>
      </c>
      <c r="O97" s="127">
        <f ca="1">IF($A97="S",VTOTALBM,IF($A97=0,0,ROUND(SomaAgrupBM,15-13*ORÇAMENTO!$AF$11)))</f>
        <v>0</v>
      </c>
      <c r="Q97" s="382"/>
      <c r="R97" s="383"/>
      <c r="T97" s="119" t="str">
        <f t="shared" ca="1" si="12"/>
        <v/>
      </c>
      <c r="U97" s="172" t="str">
        <f t="shared" ca="1" si="13"/>
        <v/>
      </c>
      <c r="V97" s="173" t="str">
        <f ca="1">IF(AND($W97&gt;0,RegimeExecucao="Unitário"),$F97,"")</f>
        <v/>
      </c>
      <c r="W97" s="547">
        <f ca="1">IF($Y97&gt;0,CHOOSE(MATCH(RegimeExecucao,{"Unitário","Global"},0),IF($A97="S",$Y97/$X97,""),($Y97/$X97)*100),0)</f>
        <v>0</v>
      </c>
      <c r="X97" s="384" t="str">
        <f ca="1">IF($Y97&gt;0,CHOOSE(MATCH(RegimeExecucao,{"Unitário","Global"},0),IF($A97="S",ROUND($H97,ORÇAMENTO!$AF$10),""),ROUND($I97,ORÇAMENTO!$AF$11)),"")</f>
        <v/>
      </c>
      <c r="Y97" s="384">
        <f t="shared" ca="1" si="14"/>
        <v>0</v>
      </c>
      <c r="Z97" s="572"/>
      <c r="AB97" s="382"/>
      <c r="AC97" s="516"/>
      <c r="AD97" s="516"/>
      <c r="AE97" s="516"/>
      <c r="AF97" s="516"/>
      <c r="AG97" s="516"/>
      <c r="AH97" s="516"/>
      <c r="AI97" s="516"/>
      <c r="AJ97" s="516"/>
      <c r="AK97" s="516"/>
      <c r="AL97" s="516"/>
      <c r="AM97" s="383"/>
      <c r="AO97">
        <f ca="1">IF($A97="S",IF(BM!$I97=0,0,CHOOSE(MATCH(RegimeExecucao,{"Global","Unitário"},0),ROUND(ROUND(BM.MEDAcumulado,15-13*BM!$A$9)/100*BM!$I97,15-13*ORÇAMENTO!$AF$11),ROUND(ROUND(BM.MEDAcumulado,15-13*BM!$A$9)*ROUND(BM!$H97,15-13*ORÇAMENTO!$AF$10),15-13*ORÇAMENTO!$AF$11))),IF($A97=0,0,ROUND(SomaAgrupBM,15-13*ORÇAMENTO!$AF$11)))</f>
        <v>0</v>
      </c>
    </row>
    <row r="98" spans="1:41" ht="38.25" x14ac:dyDescent="0.2">
      <c r="A98" t="str">
        <f ca="1">ORÇAMENTO!C98</f>
        <v>S</v>
      </c>
      <c r="B98">
        <f ca="1">ORÇAMENTO!D98</f>
        <v>0</v>
      </c>
      <c r="C98" s="116" t="str">
        <f t="shared" ca="1" si="8"/>
        <v>F</v>
      </c>
      <c r="D98" s="119" t="str">
        <f ca="1">ORÇAMENTO!O98</f>
        <v>1.6.2.4.</v>
      </c>
      <c r="E98" s="172" t="str">
        <f t="shared" ca="1" si="9"/>
        <v>(abra o arquivo 'Referência 03-2024.xlsm)</v>
      </c>
      <c r="F98" s="173" t="str">
        <f ca="1">IF(RegimeExecucao="Global","",ORÇAMENTO.Unidade)</f>
        <v/>
      </c>
      <c r="G98" s="124" t="str">
        <f ca="1">IF(RegimeExecucao="Global","",ORÇAMENTO!T98)</f>
        <v/>
      </c>
      <c r="H98" s="124" t="str">
        <f ca="1">IF(RegimeExecucao="Global","",ORÇAMENTO!W98)</f>
        <v/>
      </c>
      <c r="I98" s="127">
        <f ca="1">ORÇAMENTO!X98</f>
        <v>551.09</v>
      </c>
      <c r="J98" s="378">
        <f ca="1">IF($A98="S",IF(CAIXA.Modo,BM.AFAnterior,BM.MEDAnterior),IF(AND(RegimeExecucao="Global",$I98&gt;0,COUNTIF($AB$13:$AM$13,BM.medicao-1)&gt;0),M98/$I98*100,0))</f>
        <v>0</v>
      </c>
      <c r="K98" s="124">
        <f t="shared" ca="1" si="10"/>
        <v>0</v>
      </c>
      <c r="L98" s="379">
        <f ca="1">IF($A98="S",IF(CAIXA.Modo,BM.AFAcumulado,BM.MEDAcumulado),IF(AND(RegimeExecucao="Global",$I98&gt;0,COUNTIF($AB$13:$AM$13,BM.medicao)&gt;0),O98/$I98*100,0))</f>
        <v>0</v>
      </c>
      <c r="M98" s="380">
        <f ca="1">IF($A98="S",VTOTALBM,IF($A98=0,0,ROUND(SomaAgrupBM,15-13*ORÇAMENTO!$AF$11)))</f>
        <v>0</v>
      </c>
      <c r="N98" s="381">
        <f t="shared" ca="1" si="11"/>
        <v>0</v>
      </c>
      <c r="O98" s="127">
        <f ca="1">IF($A98="S",VTOTALBM,IF($A98=0,0,ROUND(SomaAgrupBM,15-13*ORÇAMENTO!$AF$11)))</f>
        <v>0</v>
      </c>
      <c r="Q98" s="382"/>
      <c r="R98" s="383"/>
      <c r="T98" s="119" t="str">
        <f t="shared" ca="1" si="12"/>
        <v/>
      </c>
      <c r="U98" s="172" t="str">
        <f t="shared" ca="1" si="13"/>
        <v/>
      </c>
      <c r="V98" s="173" t="str">
        <f ca="1">IF(AND($W98&gt;0,RegimeExecucao="Unitário"),$F98,"")</f>
        <v/>
      </c>
      <c r="W98" s="547">
        <f ca="1">IF($Y98&gt;0,CHOOSE(MATCH(RegimeExecucao,{"Unitário","Global"},0),IF($A98="S",$Y98/$X98,""),($Y98/$X98)*100),0)</f>
        <v>0</v>
      </c>
      <c r="X98" s="384" t="str">
        <f ca="1">IF($Y98&gt;0,CHOOSE(MATCH(RegimeExecucao,{"Unitário","Global"},0),IF($A98="S",ROUND($H98,ORÇAMENTO!$AF$10),""),ROUND($I98,ORÇAMENTO!$AF$11)),"")</f>
        <v/>
      </c>
      <c r="Y98" s="384">
        <f t="shared" ca="1" si="14"/>
        <v>0</v>
      </c>
      <c r="Z98" s="572"/>
      <c r="AB98" s="382"/>
      <c r="AC98" s="516"/>
      <c r="AD98" s="516"/>
      <c r="AE98" s="516"/>
      <c r="AF98" s="516"/>
      <c r="AG98" s="516"/>
      <c r="AH98" s="516"/>
      <c r="AI98" s="516"/>
      <c r="AJ98" s="516"/>
      <c r="AK98" s="516"/>
      <c r="AL98" s="516"/>
      <c r="AM98" s="383"/>
      <c r="AO98">
        <f ca="1">IF($A98="S",IF(BM!$I98=0,0,CHOOSE(MATCH(RegimeExecucao,{"Global","Unitário"},0),ROUND(ROUND(BM.MEDAcumulado,15-13*BM!$A$9)/100*BM!$I98,15-13*ORÇAMENTO!$AF$11),ROUND(ROUND(BM.MEDAcumulado,15-13*BM!$A$9)*ROUND(BM!$H98,15-13*ORÇAMENTO!$AF$10),15-13*ORÇAMENTO!$AF$11))),IF($A98=0,0,ROUND(SomaAgrupBM,15-13*ORÇAMENTO!$AF$11)))</f>
        <v>0</v>
      </c>
    </row>
    <row r="99" spans="1:41" ht="51" x14ac:dyDescent="0.2">
      <c r="A99" t="str">
        <f ca="1">ORÇAMENTO!C99</f>
        <v>S</v>
      </c>
      <c r="B99">
        <f ca="1">ORÇAMENTO!D99</f>
        <v>0</v>
      </c>
      <c r="C99" s="116" t="str">
        <f t="shared" ca="1" si="8"/>
        <v>F</v>
      </c>
      <c r="D99" s="119" t="str">
        <f ca="1">ORÇAMENTO!O99</f>
        <v>1.6.2.5.</v>
      </c>
      <c r="E99" s="172" t="str">
        <f t="shared" ca="1" si="9"/>
        <v>(abra o arquivo 'Referência 03-2024.xlsm)</v>
      </c>
      <c r="F99" s="173" t="str">
        <f ca="1">IF(RegimeExecucao="Global","",ORÇAMENTO.Unidade)</f>
        <v/>
      </c>
      <c r="G99" s="124" t="str">
        <f ca="1">IF(RegimeExecucao="Global","",ORÇAMENTO!T99)</f>
        <v/>
      </c>
      <c r="H99" s="124" t="str">
        <f ca="1">IF(RegimeExecucao="Global","",ORÇAMENTO!W99)</f>
        <v/>
      </c>
      <c r="I99" s="127">
        <f ca="1">ORÇAMENTO!X99</f>
        <v>412.03</v>
      </c>
      <c r="J99" s="378">
        <f ca="1">IF($A99="S",IF(CAIXA.Modo,BM.AFAnterior,BM.MEDAnterior),IF(AND(RegimeExecucao="Global",$I99&gt;0,COUNTIF($AB$13:$AM$13,BM.medicao-1)&gt;0),M99/$I99*100,0))</f>
        <v>0</v>
      </c>
      <c r="K99" s="124">
        <f t="shared" ca="1" si="10"/>
        <v>0</v>
      </c>
      <c r="L99" s="379">
        <f ca="1">IF($A99="S",IF(CAIXA.Modo,BM.AFAcumulado,BM.MEDAcumulado),IF(AND(RegimeExecucao="Global",$I99&gt;0,COUNTIF($AB$13:$AM$13,BM.medicao)&gt;0),O99/$I99*100,0))</f>
        <v>0</v>
      </c>
      <c r="M99" s="380">
        <f ca="1">IF($A99="S",VTOTALBM,IF($A99=0,0,ROUND(SomaAgrupBM,15-13*ORÇAMENTO!$AF$11)))</f>
        <v>0</v>
      </c>
      <c r="N99" s="381">
        <f t="shared" ca="1" si="11"/>
        <v>0</v>
      </c>
      <c r="O99" s="127">
        <f ca="1">IF($A99="S",VTOTALBM,IF($A99=0,0,ROUND(SomaAgrupBM,15-13*ORÇAMENTO!$AF$11)))</f>
        <v>0</v>
      </c>
      <c r="Q99" s="382"/>
      <c r="R99" s="383"/>
      <c r="T99" s="119" t="str">
        <f t="shared" ca="1" si="12"/>
        <v/>
      </c>
      <c r="U99" s="172" t="str">
        <f t="shared" ca="1" si="13"/>
        <v/>
      </c>
      <c r="V99" s="173" t="str">
        <f ca="1">IF(AND($W99&gt;0,RegimeExecucao="Unitário"),$F99,"")</f>
        <v/>
      </c>
      <c r="W99" s="547">
        <f ca="1">IF($Y99&gt;0,CHOOSE(MATCH(RegimeExecucao,{"Unitário","Global"},0),IF($A99="S",$Y99/$X99,""),($Y99/$X99)*100),0)</f>
        <v>0</v>
      </c>
      <c r="X99" s="384" t="str">
        <f ca="1">IF($Y99&gt;0,CHOOSE(MATCH(RegimeExecucao,{"Unitário","Global"},0),IF($A99="S",ROUND($H99,ORÇAMENTO!$AF$10),""),ROUND($I99,ORÇAMENTO!$AF$11)),"")</f>
        <v/>
      </c>
      <c r="Y99" s="384">
        <f t="shared" ca="1" si="14"/>
        <v>0</v>
      </c>
      <c r="Z99" s="572"/>
      <c r="AB99" s="382"/>
      <c r="AC99" s="516"/>
      <c r="AD99" s="516"/>
      <c r="AE99" s="516"/>
      <c r="AF99" s="516"/>
      <c r="AG99" s="516"/>
      <c r="AH99" s="516"/>
      <c r="AI99" s="516"/>
      <c r="AJ99" s="516"/>
      <c r="AK99" s="516"/>
      <c r="AL99" s="516"/>
      <c r="AM99" s="383"/>
      <c r="AO99">
        <f ca="1">IF($A99="S",IF(BM!$I99=0,0,CHOOSE(MATCH(RegimeExecucao,{"Global","Unitário"},0),ROUND(ROUND(BM.MEDAcumulado,15-13*BM!$A$9)/100*BM!$I99,15-13*ORÇAMENTO!$AF$11),ROUND(ROUND(BM.MEDAcumulado,15-13*BM!$A$9)*ROUND(BM!$H99,15-13*ORÇAMENTO!$AF$10),15-13*ORÇAMENTO!$AF$11))),IF($A99=0,0,ROUND(SomaAgrupBM,15-13*ORÇAMENTO!$AF$11)))</f>
        <v>0</v>
      </c>
    </row>
    <row r="100" spans="1:41" ht="38.25" x14ac:dyDescent="0.2">
      <c r="A100" t="str">
        <f ca="1">ORÇAMENTO!C100</f>
        <v>S</v>
      </c>
      <c r="B100">
        <f ca="1">ORÇAMENTO!D100</f>
        <v>0</v>
      </c>
      <c r="C100" s="116" t="str">
        <f t="shared" ca="1" si="8"/>
        <v>F</v>
      </c>
      <c r="D100" s="119" t="str">
        <f ca="1">ORÇAMENTO!O100</f>
        <v>1.6.2.6.</v>
      </c>
      <c r="E100" s="172" t="str">
        <f t="shared" ca="1" si="9"/>
        <v>(abra o arquivo 'Referência 03-2024.xlsm)</v>
      </c>
      <c r="F100" s="173" t="str">
        <f ca="1">IF(RegimeExecucao="Global","",ORÇAMENTO.Unidade)</f>
        <v/>
      </c>
      <c r="G100" s="124" t="str">
        <f ca="1">IF(RegimeExecucao="Global","",ORÇAMENTO!T100)</f>
        <v/>
      </c>
      <c r="H100" s="124" t="str">
        <f ca="1">IF(RegimeExecucao="Global","",ORÇAMENTO!W100)</f>
        <v/>
      </c>
      <c r="I100" s="127">
        <f ca="1">ORÇAMENTO!X100</f>
        <v>164.35</v>
      </c>
      <c r="J100" s="378">
        <f ca="1">IF($A100="S",IF(CAIXA.Modo,BM.AFAnterior,BM.MEDAnterior),IF(AND(RegimeExecucao="Global",$I100&gt;0,COUNTIF($AB$13:$AM$13,BM.medicao-1)&gt;0),M100/$I100*100,0))</f>
        <v>0</v>
      </c>
      <c r="K100" s="124">
        <f t="shared" ca="1" si="10"/>
        <v>0</v>
      </c>
      <c r="L100" s="379">
        <f ca="1">IF($A100="S",IF(CAIXA.Modo,BM.AFAcumulado,BM.MEDAcumulado),IF(AND(RegimeExecucao="Global",$I100&gt;0,COUNTIF($AB$13:$AM$13,BM.medicao)&gt;0),O100/$I100*100,0))</f>
        <v>0</v>
      </c>
      <c r="M100" s="380">
        <f ca="1">IF($A100="S",VTOTALBM,IF($A100=0,0,ROUND(SomaAgrupBM,15-13*ORÇAMENTO!$AF$11)))</f>
        <v>0</v>
      </c>
      <c r="N100" s="381">
        <f t="shared" ca="1" si="11"/>
        <v>0</v>
      </c>
      <c r="O100" s="127">
        <f ca="1">IF($A100="S",VTOTALBM,IF($A100=0,0,ROUND(SomaAgrupBM,15-13*ORÇAMENTO!$AF$11)))</f>
        <v>0</v>
      </c>
      <c r="Q100" s="382"/>
      <c r="R100" s="383"/>
      <c r="T100" s="119" t="str">
        <f t="shared" ca="1" si="12"/>
        <v/>
      </c>
      <c r="U100" s="172" t="str">
        <f t="shared" ca="1" si="13"/>
        <v/>
      </c>
      <c r="V100" s="173" t="str">
        <f ca="1">IF(AND($W100&gt;0,RegimeExecucao="Unitário"),$F100,"")</f>
        <v/>
      </c>
      <c r="W100" s="547">
        <f ca="1">IF($Y100&gt;0,CHOOSE(MATCH(RegimeExecucao,{"Unitário","Global"},0),IF($A100="S",$Y100/$X100,""),($Y100/$X100)*100),0)</f>
        <v>0</v>
      </c>
      <c r="X100" s="384" t="str">
        <f ca="1">IF($Y100&gt;0,CHOOSE(MATCH(RegimeExecucao,{"Unitário","Global"},0),IF($A100="S",ROUND($H100,ORÇAMENTO!$AF$10),""),ROUND($I100,ORÇAMENTO!$AF$11)),"")</f>
        <v/>
      </c>
      <c r="Y100" s="384">
        <f t="shared" ca="1" si="14"/>
        <v>0</v>
      </c>
      <c r="Z100" s="572"/>
      <c r="AB100" s="382"/>
      <c r="AC100" s="516"/>
      <c r="AD100" s="516"/>
      <c r="AE100" s="516"/>
      <c r="AF100" s="516"/>
      <c r="AG100" s="516"/>
      <c r="AH100" s="516"/>
      <c r="AI100" s="516"/>
      <c r="AJ100" s="516"/>
      <c r="AK100" s="516"/>
      <c r="AL100" s="516"/>
      <c r="AM100" s="383"/>
      <c r="AO100">
        <f ca="1">IF($A100="S",IF(BM!$I100=0,0,CHOOSE(MATCH(RegimeExecucao,{"Global","Unitário"},0),ROUND(ROUND(BM.MEDAcumulado,15-13*BM!$A$9)/100*BM!$I100,15-13*ORÇAMENTO!$AF$11),ROUND(ROUND(BM.MEDAcumulado,15-13*BM!$A$9)*ROUND(BM!$H100,15-13*ORÇAMENTO!$AF$10),15-13*ORÇAMENTO!$AF$11))),IF($A100=0,0,ROUND(SomaAgrupBM,15-13*ORÇAMENTO!$AF$11)))</f>
        <v>0</v>
      </c>
    </row>
    <row r="101" spans="1:41" ht="38.25" x14ac:dyDescent="0.2">
      <c r="A101" t="str">
        <f ca="1">ORÇAMENTO!C101</f>
        <v>S</v>
      </c>
      <c r="B101">
        <f ca="1">ORÇAMENTO!D101</f>
        <v>0</v>
      </c>
      <c r="C101" s="116" t="str">
        <f t="shared" ca="1" si="8"/>
        <v>F</v>
      </c>
      <c r="D101" s="119" t="str">
        <f ca="1">ORÇAMENTO!O101</f>
        <v>1.6.2.7.</v>
      </c>
      <c r="E101" s="172" t="str">
        <f t="shared" ca="1" si="9"/>
        <v>(abra o arquivo 'Referência 03-2024.xlsm)</v>
      </c>
      <c r="F101" s="173" t="str">
        <f ca="1">IF(RegimeExecucao="Global","",ORÇAMENTO.Unidade)</f>
        <v/>
      </c>
      <c r="G101" s="124" t="str">
        <f ca="1">IF(RegimeExecucao="Global","",ORÇAMENTO!T101)</f>
        <v/>
      </c>
      <c r="H101" s="124" t="str">
        <f ca="1">IF(RegimeExecucao="Global","",ORÇAMENTO!W101)</f>
        <v/>
      </c>
      <c r="I101" s="127">
        <f ca="1">ORÇAMENTO!X101</f>
        <v>445.93</v>
      </c>
      <c r="J101" s="378">
        <f ca="1">IF($A101="S",IF(CAIXA.Modo,BM.AFAnterior,BM.MEDAnterior),IF(AND(RegimeExecucao="Global",$I101&gt;0,COUNTIF($AB$13:$AM$13,BM.medicao-1)&gt;0),M101/$I101*100,0))</f>
        <v>0</v>
      </c>
      <c r="K101" s="124">
        <f t="shared" ca="1" si="10"/>
        <v>0</v>
      </c>
      <c r="L101" s="379">
        <f ca="1">IF($A101="S",IF(CAIXA.Modo,BM.AFAcumulado,BM.MEDAcumulado),IF(AND(RegimeExecucao="Global",$I101&gt;0,COUNTIF($AB$13:$AM$13,BM.medicao)&gt;0),O101/$I101*100,0))</f>
        <v>0</v>
      </c>
      <c r="M101" s="380">
        <f ca="1">IF($A101="S",VTOTALBM,IF($A101=0,0,ROUND(SomaAgrupBM,15-13*ORÇAMENTO!$AF$11)))</f>
        <v>0</v>
      </c>
      <c r="N101" s="381">
        <f t="shared" ca="1" si="11"/>
        <v>0</v>
      </c>
      <c r="O101" s="127">
        <f ca="1">IF($A101="S",VTOTALBM,IF($A101=0,0,ROUND(SomaAgrupBM,15-13*ORÇAMENTO!$AF$11)))</f>
        <v>0</v>
      </c>
      <c r="Q101" s="382"/>
      <c r="R101" s="383"/>
      <c r="T101" s="119" t="str">
        <f t="shared" ca="1" si="12"/>
        <v/>
      </c>
      <c r="U101" s="172" t="str">
        <f t="shared" ca="1" si="13"/>
        <v/>
      </c>
      <c r="V101" s="173" t="str">
        <f ca="1">IF(AND($W101&gt;0,RegimeExecucao="Unitário"),$F101,"")</f>
        <v/>
      </c>
      <c r="W101" s="547">
        <f ca="1">IF($Y101&gt;0,CHOOSE(MATCH(RegimeExecucao,{"Unitário","Global"},0),IF($A101="S",$Y101/$X101,""),($Y101/$X101)*100),0)</f>
        <v>0</v>
      </c>
      <c r="X101" s="384" t="str">
        <f ca="1">IF($Y101&gt;0,CHOOSE(MATCH(RegimeExecucao,{"Unitário","Global"},0),IF($A101="S",ROUND($H101,ORÇAMENTO!$AF$10),""),ROUND($I101,ORÇAMENTO!$AF$11)),"")</f>
        <v/>
      </c>
      <c r="Y101" s="384">
        <f t="shared" ca="1" si="14"/>
        <v>0</v>
      </c>
      <c r="Z101" s="572"/>
      <c r="AB101" s="382"/>
      <c r="AC101" s="516"/>
      <c r="AD101" s="516"/>
      <c r="AE101" s="516"/>
      <c r="AF101" s="516"/>
      <c r="AG101" s="516"/>
      <c r="AH101" s="516"/>
      <c r="AI101" s="516"/>
      <c r="AJ101" s="516"/>
      <c r="AK101" s="516"/>
      <c r="AL101" s="516"/>
      <c r="AM101" s="383"/>
      <c r="AO101">
        <f ca="1">IF($A101="S",IF(BM!$I101=0,0,CHOOSE(MATCH(RegimeExecucao,{"Global","Unitário"},0),ROUND(ROUND(BM.MEDAcumulado,15-13*BM!$A$9)/100*BM!$I101,15-13*ORÇAMENTO!$AF$11),ROUND(ROUND(BM.MEDAcumulado,15-13*BM!$A$9)*ROUND(BM!$H101,15-13*ORÇAMENTO!$AF$10),15-13*ORÇAMENTO!$AF$11))),IF($A101=0,0,ROUND(SomaAgrupBM,15-13*ORÇAMENTO!$AF$11)))</f>
        <v>0</v>
      </c>
    </row>
    <row r="102" spans="1:41" x14ac:dyDescent="0.2">
      <c r="A102">
        <f ca="1">ORÇAMENTO!C102</f>
        <v>3</v>
      </c>
      <c r="B102">
        <f ca="1">ORÇAMENTO!D102</f>
        <v>2</v>
      </c>
      <c r="C102" s="116" t="str">
        <f t="shared" ca="1" si="8"/>
        <v>F</v>
      </c>
      <c r="D102" s="119" t="str">
        <f ca="1">ORÇAMENTO!O102</f>
        <v>1.6.3.</v>
      </c>
      <c r="E102" s="172" t="str">
        <f t="shared" si="9"/>
        <v>IMPERMEABILIZAÇÃO</v>
      </c>
      <c r="F102" s="173" t="str">
        <f ca="1">IF(RegimeExecucao="Global","",ORÇAMENTO.Unidade)</f>
        <v/>
      </c>
      <c r="G102" s="124" t="str">
        <f ca="1">IF(RegimeExecucao="Global","",ORÇAMENTO!T102)</f>
        <v/>
      </c>
      <c r="H102" s="124" t="str">
        <f ca="1">IF(RegimeExecucao="Global","",ORÇAMENTO!W102)</f>
        <v/>
      </c>
      <c r="I102" s="127">
        <f ca="1">ORÇAMENTO!X102</f>
        <v>187.65</v>
      </c>
      <c r="J102" s="378">
        <f ca="1">IF($A102="S",IF(CAIXA.Modo,BM.AFAnterior,BM.MEDAnterior),IF(AND(RegimeExecucao="Global",$I102&gt;0,COUNTIF($AB$13:$AM$13,BM.medicao-1)&gt;0),M102/$I102*100,0))</f>
        <v>0</v>
      </c>
      <c r="K102" s="124">
        <f t="shared" ca="1" si="10"/>
        <v>0</v>
      </c>
      <c r="L102" s="379">
        <f ca="1">IF($A102="S",IF(CAIXA.Modo,BM.AFAcumulado,BM.MEDAcumulado),IF(AND(RegimeExecucao="Global",$I102&gt;0,COUNTIF($AB$13:$AM$13,BM.medicao)&gt;0),O102/$I102*100,0))</f>
        <v>0</v>
      </c>
      <c r="M102" s="380">
        <f ca="1">IF($A102="S",VTOTALBM,IF($A102=0,0,ROUND(SomaAgrupBM,15-13*ORÇAMENTO!$AF$11)))</f>
        <v>0</v>
      </c>
      <c r="N102" s="381">
        <f t="shared" ca="1" si="11"/>
        <v>0</v>
      </c>
      <c r="O102" s="127">
        <f ca="1">IF($A102="S",VTOTALBM,IF($A102=0,0,ROUND(SomaAgrupBM,15-13*ORÇAMENTO!$AF$11)))</f>
        <v>0</v>
      </c>
      <c r="Q102" s="382"/>
      <c r="R102" s="383"/>
      <c r="T102" s="119" t="str">
        <f t="shared" ca="1" si="12"/>
        <v/>
      </c>
      <c r="U102" s="172" t="str">
        <f t="shared" ca="1" si="13"/>
        <v/>
      </c>
      <c r="V102" s="173" t="str">
        <f ca="1">IF(AND($W102&gt;0,RegimeExecucao="Unitário"),$F102,"")</f>
        <v/>
      </c>
      <c r="W102" s="547">
        <f ca="1">IF($Y102&gt;0,CHOOSE(MATCH(RegimeExecucao,{"Unitário","Global"},0),IF($A102="S",$Y102/$X102,""),($Y102/$X102)*100),0)</f>
        <v>0</v>
      </c>
      <c r="X102" s="384" t="str">
        <f ca="1">IF($Y102&gt;0,CHOOSE(MATCH(RegimeExecucao,{"Unitário","Global"},0),IF($A102="S",ROUND($H102,ORÇAMENTO!$AF$10),""),ROUND($I102,ORÇAMENTO!$AF$11)),"")</f>
        <v/>
      </c>
      <c r="Y102" s="384">
        <f t="shared" ca="1" si="14"/>
        <v>0</v>
      </c>
      <c r="Z102" s="572"/>
      <c r="AB102" s="382"/>
      <c r="AC102" s="516"/>
      <c r="AD102" s="516"/>
      <c r="AE102" s="516"/>
      <c r="AF102" s="516"/>
      <c r="AG102" s="516"/>
      <c r="AH102" s="516"/>
      <c r="AI102" s="516"/>
      <c r="AJ102" s="516"/>
      <c r="AK102" s="516"/>
      <c r="AL102" s="516"/>
      <c r="AM102" s="383"/>
      <c r="AO102">
        <f ca="1">IF($A102="S",IF(BM!$I102=0,0,CHOOSE(MATCH(RegimeExecucao,{"Global","Unitário"},0),ROUND(ROUND(BM.MEDAcumulado,15-13*BM!$A$9)/100*BM!$I102,15-13*ORÇAMENTO!$AF$11),ROUND(ROUND(BM.MEDAcumulado,15-13*BM!$A$9)*ROUND(BM!$H102,15-13*ORÇAMENTO!$AF$10),15-13*ORÇAMENTO!$AF$11))),IF($A102=0,0,ROUND(SomaAgrupBM,15-13*ORÇAMENTO!$AF$11)))</f>
        <v>0</v>
      </c>
    </row>
    <row r="103" spans="1:41" ht="25.5" x14ac:dyDescent="0.2">
      <c r="A103" t="str">
        <f ca="1">ORÇAMENTO!C103</f>
        <v>S</v>
      </c>
      <c r="B103">
        <f ca="1">ORÇAMENTO!D103</f>
        <v>0</v>
      </c>
      <c r="C103" s="116" t="str">
        <f t="shared" ca="1" si="8"/>
        <v>F</v>
      </c>
      <c r="D103" s="119" t="str">
        <f ca="1">ORÇAMENTO!O103</f>
        <v>1.6.3.1.</v>
      </c>
      <c r="E103" s="172" t="str">
        <f t="shared" ca="1" si="9"/>
        <v>(abra o arquivo 'Referência 03-2024.xlsm)</v>
      </c>
      <c r="F103" s="173" t="str">
        <f ca="1">IF(RegimeExecucao="Global","",ORÇAMENTO.Unidade)</f>
        <v/>
      </c>
      <c r="G103" s="124" t="str">
        <f ca="1">IF(RegimeExecucao="Global","",ORÇAMENTO!T103)</f>
        <v/>
      </c>
      <c r="H103" s="124" t="str">
        <f ca="1">IF(RegimeExecucao="Global","",ORÇAMENTO!W103)</f>
        <v/>
      </c>
      <c r="I103" s="127">
        <f ca="1">ORÇAMENTO!X103</f>
        <v>187.65</v>
      </c>
      <c r="J103" s="378">
        <f ca="1">IF($A103="S",IF(CAIXA.Modo,BM.AFAnterior,BM.MEDAnterior),IF(AND(RegimeExecucao="Global",$I103&gt;0,COUNTIF($AB$13:$AM$13,BM.medicao-1)&gt;0),M103/$I103*100,0))</f>
        <v>0</v>
      </c>
      <c r="K103" s="124">
        <f t="shared" ca="1" si="10"/>
        <v>0</v>
      </c>
      <c r="L103" s="379">
        <f ca="1">IF($A103="S",IF(CAIXA.Modo,BM.AFAcumulado,BM.MEDAcumulado),IF(AND(RegimeExecucao="Global",$I103&gt;0,COUNTIF($AB$13:$AM$13,BM.medicao)&gt;0),O103/$I103*100,0))</f>
        <v>0</v>
      </c>
      <c r="M103" s="380">
        <f ca="1">IF($A103="S",VTOTALBM,IF($A103=0,0,ROUND(SomaAgrupBM,15-13*ORÇAMENTO!$AF$11)))</f>
        <v>0</v>
      </c>
      <c r="N103" s="381">
        <f t="shared" ca="1" si="11"/>
        <v>0</v>
      </c>
      <c r="O103" s="127">
        <f ca="1">IF($A103="S",VTOTALBM,IF($A103=0,0,ROUND(SomaAgrupBM,15-13*ORÇAMENTO!$AF$11)))</f>
        <v>0</v>
      </c>
      <c r="Q103" s="382"/>
      <c r="R103" s="383"/>
      <c r="T103" s="119" t="str">
        <f t="shared" ca="1" si="12"/>
        <v/>
      </c>
      <c r="U103" s="172" t="str">
        <f t="shared" ca="1" si="13"/>
        <v/>
      </c>
      <c r="V103" s="173" t="str">
        <f ca="1">IF(AND($W103&gt;0,RegimeExecucao="Unitário"),$F103,"")</f>
        <v/>
      </c>
      <c r="W103" s="547">
        <f ca="1">IF($Y103&gt;0,CHOOSE(MATCH(RegimeExecucao,{"Unitário","Global"},0),IF($A103="S",$Y103/$X103,""),($Y103/$X103)*100),0)</f>
        <v>0</v>
      </c>
      <c r="X103" s="384" t="str">
        <f ca="1">IF($Y103&gt;0,CHOOSE(MATCH(RegimeExecucao,{"Unitário","Global"},0),IF($A103="S",ROUND($H103,ORÇAMENTO!$AF$10),""),ROUND($I103,ORÇAMENTO!$AF$11)),"")</f>
        <v/>
      </c>
      <c r="Y103" s="384">
        <f t="shared" ca="1" si="14"/>
        <v>0</v>
      </c>
      <c r="Z103" s="572"/>
      <c r="AB103" s="382"/>
      <c r="AC103" s="516"/>
      <c r="AD103" s="516"/>
      <c r="AE103" s="516"/>
      <c r="AF103" s="516"/>
      <c r="AG103" s="516"/>
      <c r="AH103" s="516"/>
      <c r="AI103" s="516"/>
      <c r="AJ103" s="516"/>
      <c r="AK103" s="516"/>
      <c r="AL103" s="516"/>
      <c r="AM103" s="383"/>
      <c r="AO103">
        <f ca="1">IF($A103="S",IF(BM!$I103=0,0,CHOOSE(MATCH(RegimeExecucao,{"Global","Unitário"},0),ROUND(ROUND(BM.MEDAcumulado,15-13*BM!$A$9)/100*BM!$I103,15-13*ORÇAMENTO!$AF$11),ROUND(ROUND(BM.MEDAcumulado,15-13*BM!$A$9)*ROUND(BM!$H103,15-13*ORÇAMENTO!$AF$10),15-13*ORÇAMENTO!$AF$11))),IF($A103=0,0,ROUND(SomaAgrupBM,15-13*ORÇAMENTO!$AF$11)))</f>
        <v>0</v>
      </c>
    </row>
    <row r="104" spans="1:41" x14ac:dyDescent="0.2">
      <c r="A104">
        <f ca="1">ORÇAMENTO!C104</f>
        <v>3</v>
      </c>
      <c r="B104">
        <f ca="1">ORÇAMENTO!D104</f>
        <v>5</v>
      </c>
      <c r="C104" s="116" t="str">
        <f t="shared" ca="1" si="8"/>
        <v>F</v>
      </c>
      <c r="D104" s="119" t="str">
        <f ca="1">ORÇAMENTO!O104</f>
        <v>1.6.4.</v>
      </c>
      <c r="E104" s="172" t="str">
        <f t="shared" si="9"/>
        <v>ARRANQUE DE PILARES</v>
      </c>
      <c r="F104" s="173" t="str">
        <f ca="1">IF(RegimeExecucao="Global","",ORÇAMENTO.Unidade)</f>
        <v/>
      </c>
      <c r="G104" s="124" t="str">
        <f ca="1">IF(RegimeExecucao="Global","",ORÇAMENTO!T104)</f>
        <v/>
      </c>
      <c r="H104" s="124" t="str">
        <f ca="1">IF(RegimeExecucao="Global","",ORÇAMENTO!W104)</f>
        <v/>
      </c>
      <c r="I104" s="127">
        <f ca="1">ORÇAMENTO!X104</f>
        <v>530.88</v>
      </c>
      <c r="J104" s="378">
        <f ca="1">IF($A104="S",IF(CAIXA.Modo,BM.AFAnterior,BM.MEDAnterior),IF(AND(RegimeExecucao="Global",$I104&gt;0,COUNTIF($AB$13:$AM$13,BM.medicao-1)&gt;0),M104/$I104*100,0))</f>
        <v>0</v>
      </c>
      <c r="K104" s="124">
        <f t="shared" ca="1" si="10"/>
        <v>0</v>
      </c>
      <c r="L104" s="379">
        <f ca="1">IF($A104="S",IF(CAIXA.Modo,BM.AFAcumulado,BM.MEDAcumulado),IF(AND(RegimeExecucao="Global",$I104&gt;0,COUNTIF($AB$13:$AM$13,BM.medicao)&gt;0),O104/$I104*100,0))</f>
        <v>0</v>
      </c>
      <c r="M104" s="380">
        <f ca="1">IF($A104="S",VTOTALBM,IF($A104=0,0,ROUND(SomaAgrupBM,15-13*ORÇAMENTO!$AF$11)))</f>
        <v>0</v>
      </c>
      <c r="N104" s="381">
        <f t="shared" ca="1" si="11"/>
        <v>0</v>
      </c>
      <c r="O104" s="127">
        <f ca="1">IF($A104="S",VTOTALBM,IF($A104=0,0,ROUND(SomaAgrupBM,15-13*ORÇAMENTO!$AF$11)))</f>
        <v>0</v>
      </c>
      <c r="Q104" s="382"/>
      <c r="R104" s="383"/>
      <c r="T104" s="119" t="str">
        <f t="shared" ca="1" si="12"/>
        <v/>
      </c>
      <c r="U104" s="172" t="str">
        <f t="shared" ca="1" si="13"/>
        <v/>
      </c>
      <c r="V104" s="173" t="str">
        <f ca="1">IF(AND($W104&gt;0,RegimeExecucao="Unitário"),$F104,"")</f>
        <v/>
      </c>
      <c r="W104" s="547">
        <f ca="1">IF($Y104&gt;0,CHOOSE(MATCH(RegimeExecucao,{"Unitário","Global"},0),IF($A104="S",$Y104/$X104,""),($Y104/$X104)*100),0)</f>
        <v>0</v>
      </c>
      <c r="X104" s="384" t="str">
        <f ca="1">IF($Y104&gt;0,CHOOSE(MATCH(RegimeExecucao,{"Unitário","Global"},0),IF($A104="S",ROUND($H104,ORÇAMENTO!$AF$10),""),ROUND($I104,ORÇAMENTO!$AF$11)),"")</f>
        <v/>
      </c>
      <c r="Y104" s="384">
        <f t="shared" ca="1" si="14"/>
        <v>0</v>
      </c>
      <c r="Z104" s="572"/>
      <c r="AB104" s="382"/>
      <c r="AC104" s="516"/>
      <c r="AD104" s="516"/>
      <c r="AE104" s="516"/>
      <c r="AF104" s="516"/>
      <c r="AG104" s="516"/>
      <c r="AH104" s="516"/>
      <c r="AI104" s="516"/>
      <c r="AJ104" s="516"/>
      <c r="AK104" s="516"/>
      <c r="AL104" s="516"/>
      <c r="AM104" s="383"/>
      <c r="AO104">
        <f ca="1">IF($A104="S",IF(BM!$I104=0,0,CHOOSE(MATCH(RegimeExecucao,{"Global","Unitário"},0),ROUND(ROUND(BM.MEDAcumulado,15-13*BM!$A$9)/100*BM!$I104,15-13*ORÇAMENTO!$AF$11),ROUND(ROUND(BM.MEDAcumulado,15-13*BM!$A$9)*ROUND(BM!$H104,15-13*ORÇAMENTO!$AF$10),15-13*ORÇAMENTO!$AF$11))),IF($A104=0,0,ROUND(SomaAgrupBM,15-13*ORÇAMENTO!$AF$11)))</f>
        <v>0</v>
      </c>
    </row>
    <row r="105" spans="1:41" ht="38.25" x14ac:dyDescent="0.2">
      <c r="A105" t="str">
        <f ca="1">ORÇAMENTO!C105</f>
        <v>S</v>
      </c>
      <c r="B105">
        <f ca="1">ORÇAMENTO!D105</f>
        <v>0</v>
      </c>
      <c r="C105" s="116" t="str">
        <f t="shared" ca="1" si="8"/>
        <v>F</v>
      </c>
      <c r="D105" s="119" t="str">
        <f ca="1">ORÇAMENTO!O105</f>
        <v>1.6.4.1.</v>
      </c>
      <c r="E105" s="172" t="str">
        <f t="shared" ca="1" si="9"/>
        <v>(abra o arquivo 'Referência 03-2024.xlsm)</v>
      </c>
      <c r="F105" s="173" t="str">
        <f ca="1">IF(RegimeExecucao="Global","",ORÇAMENTO.Unidade)</f>
        <v/>
      </c>
      <c r="G105" s="124" t="str">
        <f ca="1">IF(RegimeExecucao="Global","",ORÇAMENTO!T105)</f>
        <v/>
      </c>
      <c r="H105" s="124" t="str">
        <f ca="1">IF(RegimeExecucao="Global","",ORÇAMENTO!W105)</f>
        <v/>
      </c>
      <c r="I105" s="127">
        <f ca="1">ORÇAMENTO!X105</f>
        <v>233.68</v>
      </c>
      <c r="J105" s="378">
        <f ca="1">IF($A105="S",IF(CAIXA.Modo,BM.AFAnterior,BM.MEDAnterior),IF(AND(RegimeExecucao="Global",$I105&gt;0,COUNTIF($AB$13:$AM$13,BM.medicao-1)&gt;0),M105/$I105*100,0))</f>
        <v>0</v>
      </c>
      <c r="K105" s="124">
        <f t="shared" ca="1" si="10"/>
        <v>0</v>
      </c>
      <c r="L105" s="379">
        <f ca="1">IF($A105="S",IF(CAIXA.Modo,BM.AFAcumulado,BM.MEDAcumulado),IF(AND(RegimeExecucao="Global",$I105&gt;0,COUNTIF($AB$13:$AM$13,BM.medicao)&gt;0),O105/$I105*100,0))</f>
        <v>0</v>
      </c>
      <c r="M105" s="380">
        <f ca="1">IF($A105="S",VTOTALBM,IF($A105=0,0,ROUND(SomaAgrupBM,15-13*ORÇAMENTO!$AF$11)))</f>
        <v>0</v>
      </c>
      <c r="N105" s="381">
        <f t="shared" ca="1" si="11"/>
        <v>0</v>
      </c>
      <c r="O105" s="127">
        <f ca="1">IF($A105="S",VTOTALBM,IF($A105=0,0,ROUND(SomaAgrupBM,15-13*ORÇAMENTO!$AF$11)))</f>
        <v>0</v>
      </c>
      <c r="Q105" s="382"/>
      <c r="R105" s="383"/>
      <c r="T105" s="119" t="str">
        <f t="shared" ca="1" si="12"/>
        <v/>
      </c>
      <c r="U105" s="172" t="str">
        <f t="shared" ca="1" si="13"/>
        <v/>
      </c>
      <c r="V105" s="173" t="str">
        <f ca="1">IF(AND($W105&gt;0,RegimeExecucao="Unitário"),$F105,"")</f>
        <v/>
      </c>
      <c r="W105" s="547">
        <f ca="1">IF($Y105&gt;0,CHOOSE(MATCH(RegimeExecucao,{"Unitário","Global"},0),IF($A105="S",$Y105/$X105,""),($Y105/$X105)*100),0)</f>
        <v>0</v>
      </c>
      <c r="X105" s="384" t="str">
        <f ca="1">IF($Y105&gt;0,CHOOSE(MATCH(RegimeExecucao,{"Unitário","Global"},0),IF($A105="S",ROUND($H105,ORÇAMENTO!$AF$10),""),ROUND($I105,ORÇAMENTO!$AF$11)),"")</f>
        <v/>
      </c>
      <c r="Y105" s="384">
        <f t="shared" ca="1" si="14"/>
        <v>0</v>
      </c>
      <c r="Z105" s="572"/>
      <c r="AB105" s="382"/>
      <c r="AC105" s="516"/>
      <c r="AD105" s="516"/>
      <c r="AE105" s="516"/>
      <c r="AF105" s="516"/>
      <c r="AG105" s="516"/>
      <c r="AH105" s="516"/>
      <c r="AI105" s="516"/>
      <c r="AJ105" s="516"/>
      <c r="AK105" s="516"/>
      <c r="AL105" s="516"/>
      <c r="AM105" s="383"/>
      <c r="AO105">
        <f ca="1">IF($A105="S",IF(BM!$I105=0,0,CHOOSE(MATCH(RegimeExecucao,{"Global","Unitário"},0),ROUND(ROUND(BM.MEDAcumulado,15-13*BM!$A$9)/100*BM!$I105,15-13*ORÇAMENTO!$AF$11),ROUND(ROUND(BM.MEDAcumulado,15-13*BM!$A$9)*ROUND(BM!$H105,15-13*ORÇAMENTO!$AF$10),15-13*ORÇAMENTO!$AF$11))),IF($A105=0,0,ROUND(SomaAgrupBM,15-13*ORÇAMENTO!$AF$11)))</f>
        <v>0</v>
      </c>
    </row>
    <row r="106" spans="1:41" ht="51" x14ac:dyDescent="0.2">
      <c r="A106" t="str">
        <f ca="1">ORÇAMENTO!C106</f>
        <v>S</v>
      </c>
      <c r="B106">
        <f ca="1">ORÇAMENTO!D106</f>
        <v>0</v>
      </c>
      <c r="C106" s="116" t="str">
        <f t="shared" ca="1" si="8"/>
        <v>F</v>
      </c>
      <c r="D106" s="119" t="str">
        <f ca="1">ORÇAMENTO!O106</f>
        <v>1.6.4.2.</v>
      </c>
      <c r="E106" s="172" t="str">
        <f t="shared" ca="1" si="9"/>
        <v>(abra o arquivo 'Referência 03-2024.xlsm)</v>
      </c>
      <c r="F106" s="173" t="str">
        <f ca="1">IF(RegimeExecucao="Global","",ORÇAMENTO.Unidade)</f>
        <v/>
      </c>
      <c r="G106" s="124" t="str">
        <f ca="1">IF(RegimeExecucao="Global","",ORÇAMENTO!T106)</f>
        <v/>
      </c>
      <c r="H106" s="124" t="str">
        <f ca="1">IF(RegimeExecucao="Global","",ORÇAMENTO!W106)</f>
        <v/>
      </c>
      <c r="I106" s="127">
        <f ca="1">ORÇAMENTO!X106</f>
        <v>115.88</v>
      </c>
      <c r="J106" s="378">
        <f ca="1">IF($A106="S",IF(CAIXA.Modo,BM.AFAnterior,BM.MEDAnterior),IF(AND(RegimeExecucao="Global",$I106&gt;0,COUNTIF($AB$13:$AM$13,BM.medicao-1)&gt;0),M106/$I106*100,0))</f>
        <v>0</v>
      </c>
      <c r="K106" s="124">
        <f t="shared" ca="1" si="10"/>
        <v>0</v>
      </c>
      <c r="L106" s="379">
        <f ca="1">IF($A106="S",IF(CAIXA.Modo,BM.AFAcumulado,BM.MEDAcumulado),IF(AND(RegimeExecucao="Global",$I106&gt;0,COUNTIF($AB$13:$AM$13,BM.medicao)&gt;0),O106/$I106*100,0))</f>
        <v>0</v>
      </c>
      <c r="M106" s="380">
        <f ca="1">IF($A106="S",VTOTALBM,IF($A106=0,0,ROUND(SomaAgrupBM,15-13*ORÇAMENTO!$AF$11)))</f>
        <v>0</v>
      </c>
      <c r="N106" s="381">
        <f t="shared" ca="1" si="11"/>
        <v>0</v>
      </c>
      <c r="O106" s="127">
        <f ca="1">IF($A106="S",VTOTALBM,IF($A106=0,0,ROUND(SomaAgrupBM,15-13*ORÇAMENTO!$AF$11)))</f>
        <v>0</v>
      </c>
      <c r="Q106" s="382"/>
      <c r="R106" s="383"/>
      <c r="T106" s="119" t="str">
        <f t="shared" ca="1" si="12"/>
        <v/>
      </c>
      <c r="U106" s="172" t="str">
        <f t="shared" ca="1" si="13"/>
        <v/>
      </c>
      <c r="V106" s="173" t="str">
        <f ca="1">IF(AND($W106&gt;0,RegimeExecucao="Unitário"),$F106,"")</f>
        <v/>
      </c>
      <c r="W106" s="547">
        <f ca="1">IF($Y106&gt;0,CHOOSE(MATCH(RegimeExecucao,{"Unitário","Global"},0),IF($A106="S",$Y106/$X106,""),($Y106/$X106)*100),0)</f>
        <v>0</v>
      </c>
      <c r="X106" s="384" t="str">
        <f ca="1">IF($Y106&gt;0,CHOOSE(MATCH(RegimeExecucao,{"Unitário","Global"},0),IF($A106="S",ROUND($H106,ORÇAMENTO!$AF$10),""),ROUND($I106,ORÇAMENTO!$AF$11)),"")</f>
        <v/>
      </c>
      <c r="Y106" s="384">
        <f t="shared" ca="1" si="14"/>
        <v>0</v>
      </c>
      <c r="Z106" s="572"/>
      <c r="AB106" s="382"/>
      <c r="AC106" s="516"/>
      <c r="AD106" s="516"/>
      <c r="AE106" s="516"/>
      <c r="AF106" s="516"/>
      <c r="AG106" s="516"/>
      <c r="AH106" s="516"/>
      <c r="AI106" s="516"/>
      <c r="AJ106" s="516"/>
      <c r="AK106" s="516"/>
      <c r="AL106" s="516"/>
      <c r="AM106" s="383"/>
      <c r="AO106">
        <f ca="1">IF($A106="S",IF(BM!$I106=0,0,CHOOSE(MATCH(RegimeExecucao,{"Global","Unitário"},0),ROUND(ROUND(BM.MEDAcumulado,15-13*BM!$A$9)/100*BM!$I106,15-13*ORÇAMENTO!$AF$11),ROUND(ROUND(BM.MEDAcumulado,15-13*BM!$A$9)*ROUND(BM!$H106,15-13*ORÇAMENTO!$AF$10),15-13*ORÇAMENTO!$AF$11))),IF($A106=0,0,ROUND(SomaAgrupBM,15-13*ORÇAMENTO!$AF$11)))</f>
        <v>0</v>
      </c>
    </row>
    <row r="107" spans="1:41" ht="38.25" x14ac:dyDescent="0.2">
      <c r="A107" t="str">
        <f ca="1">ORÇAMENTO!C107</f>
        <v>S</v>
      </c>
      <c r="B107">
        <f ca="1">ORÇAMENTO!D107</f>
        <v>0</v>
      </c>
      <c r="C107" s="116" t="str">
        <f t="shared" ca="1" si="8"/>
        <v>F</v>
      </c>
      <c r="D107" s="119" t="str">
        <f ca="1">ORÇAMENTO!O107</f>
        <v>1.6.4.3.</v>
      </c>
      <c r="E107" s="172" t="str">
        <f t="shared" ca="1" si="9"/>
        <v>(abra o arquivo 'Referência 03-2024.xlsm)</v>
      </c>
      <c r="F107" s="173" t="str">
        <f ca="1">IF(RegimeExecucao="Global","",ORÇAMENTO.Unidade)</f>
        <v/>
      </c>
      <c r="G107" s="124" t="str">
        <f ca="1">IF(RegimeExecucao="Global","",ORÇAMENTO!T107)</f>
        <v/>
      </c>
      <c r="H107" s="124" t="str">
        <f ca="1">IF(RegimeExecucao="Global","",ORÇAMENTO!W107)</f>
        <v/>
      </c>
      <c r="I107" s="127">
        <f ca="1">ORÇAMENTO!X107</f>
        <v>55.28</v>
      </c>
      <c r="J107" s="378">
        <f ca="1">IF($A107="S",IF(CAIXA.Modo,BM.AFAnterior,BM.MEDAnterior),IF(AND(RegimeExecucao="Global",$I107&gt;0,COUNTIF($AB$13:$AM$13,BM.medicao-1)&gt;0),M107/$I107*100,0))</f>
        <v>0</v>
      </c>
      <c r="K107" s="124">
        <f t="shared" ca="1" si="10"/>
        <v>0</v>
      </c>
      <c r="L107" s="379">
        <f ca="1">IF($A107="S",IF(CAIXA.Modo,BM.AFAcumulado,BM.MEDAcumulado),IF(AND(RegimeExecucao="Global",$I107&gt;0,COUNTIF($AB$13:$AM$13,BM.medicao)&gt;0),O107/$I107*100,0))</f>
        <v>0</v>
      </c>
      <c r="M107" s="380">
        <f ca="1">IF($A107="S",VTOTALBM,IF($A107=0,0,ROUND(SomaAgrupBM,15-13*ORÇAMENTO!$AF$11)))</f>
        <v>0</v>
      </c>
      <c r="N107" s="381">
        <f t="shared" ca="1" si="11"/>
        <v>0</v>
      </c>
      <c r="O107" s="127">
        <f ca="1">IF($A107="S",VTOTALBM,IF($A107=0,0,ROUND(SomaAgrupBM,15-13*ORÇAMENTO!$AF$11)))</f>
        <v>0</v>
      </c>
      <c r="Q107" s="382"/>
      <c r="R107" s="383"/>
      <c r="T107" s="119" t="str">
        <f t="shared" ca="1" si="12"/>
        <v/>
      </c>
      <c r="U107" s="172" t="str">
        <f t="shared" ca="1" si="13"/>
        <v/>
      </c>
      <c r="V107" s="173" t="str">
        <f ca="1">IF(AND($W107&gt;0,RegimeExecucao="Unitário"),$F107,"")</f>
        <v/>
      </c>
      <c r="W107" s="547">
        <f ca="1">IF($Y107&gt;0,CHOOSE(MATCH(RegimeExecucao,{"Unitário","Global"},0),IF($A107="S",$Y107/$X107,""),($Y107/$X107)*100),0)</f>
        <v>0</v>
      </c>
      <c r="X107" s="384" t="str">
        <f ca="1">IF($Y107&gt;0,CHOOSE(MATCH(RegimeExecucao,{"Unitário","Global"},0),IF($A107="S",ROUND($H107,ORÇAMENTO!$AF$10),""),ROUND($I107,ORÇAMENTO!$AF$11)),"")</f>
        <v/>
      </c>
      <c r="Y107" s="384">
        <f t="shared" ca="1" si="14"/>
        <v>0</v>
      </c>
      <c r="Z107" s="572"/>
      <c r="AB107" s="382"/>
      <c r="AC107" s="516"/>
      <c r="AD107" s="516"/>
      <c r="AE107" s="516"/>
      <c r="AF107" s="516"/>
      <c r="AG107" s="516"/>
      <c r="AH107" s="516"/>
      <c r="AI107" s="516"/>
      <c r="AJ107" s="516"/>
      <c r="AK107" s="516"/>
      <c r="AL107" s="516"/>
      <c r="AM107" s="383"/>
      <c r="AO107">
        <f ca="1">IF($A107="S",IF(BM!$I107=0,0,CHOOSE(MATCH(RegimeExecucao,{"Global","Unitário"},0),ROUND(ROUND(BM.MEDAcumulado,15-13*BM!$A$9)/100*BM!$I107,15-13*ORÇAMENTO!$AF$11),ROUND(ROUND(BM.MEDAcumulado,15-13*BM!$A$9)*ROUND(BM!$H107,15-13*ORÇAMENTO!$AF$10),15-13*ORÇAMENTO!$AF$11))),IF($A107=0,0,ROUND(SomaAgrupBM,15-13*ORÇAMENTO!$AF$11)))</f>
        <v>0</v>
      </c>
    </row>
    <row r="108" spans="1:41" ht="38.25" x14ac:dyDescent="0.2">
      <c r="A108" t="str">
        <f ca="1">ORÇAMENTO!C108</f>
        <v>S</v>
      </c>
      <c r="B108">
        <f ca="1">ORÇAMENTO!D108</f>
        <v>0</v>
      </c>
      <c r="C108" s="116" t="str">
        <f t="shared" ca="1" si="8"/>
        <v>F</v>
      </c>
      <c r="D108" s="119" t="str">
        <f ca="1">ORÇAMENTO!O108</f>
        <v>1.6.4.4.</v>
      </c>
      <c r="E108" s="172" t="str">
        <f t="shared" ca="1" si="9"/>
        <v>(abra o arquivo 'Referência 03-2024.xlsm)</v>
      </c>
      <c r="F108" s="173" t="str">
        <f ca="1">IF(RegimeExecucao="Global","",ORÇAMENTO.Unidade)</f>
        <v/>
      </c>
      <c r="G108" s="124" t="str">
        <f ca="1">IF(RegimeExecucao="Global","",ORÇAMENTO!T108)</f>
        <v/>
      </c>
      <c r="H108" s="124" t="str">
        <f ca="1">IF(RegimeExecucao="Global","",ORÇAMENTO!W108)</f>
        <v/>
      </c>
      <c r="I108" s="127">
        <f ca="1">ORÇAMENTO!X108</f>
        <v>126.04</v>
      </c>
      <c r="J108" s="378">
        <f ca="1">IF($A108="S",IF(CAIXA.Modo,BM.AFAnterior,BM.MEDAnterior),IF(AND(RegimeExecucao="Global",$I108&gt;0,COUNTIF($AB$13:$AM$13,BM.medicao-1)&gt;0),M108/$I108*100,0))</f>
        <v>0</v>
      </c>
      <c r="K108" s="124">
        <f t="shared" ca="1" si="10"/>
        <v>0</v>
      </c>
      <c r="L108" s="379">
        <f ca="1">IF($A108="S",IF(CAIXA.Modo,BM.AFAcumulado,BM.MEDAcumulado),IF(AND(RegimeExecucao="Global",$I108&gt;0,COUNTIF($AB$13:$AM$13,BM.medicao)&gt;0),O108/$I108*100,0))</f>
        <v>0</v>
      </c>
      <c r="M108" s="380">
        <f ca="1">IF($A108="S",VTOTALBM,IF($A108=0,0,ROUND(SomaAgrupBM,15-13*ORÇAMENTO!$AF$11)))</f>
        <v>0</v>
      </c>
      <c r="N108" s="381">
        <f t="shared" ca="1" si="11"/>
        <v>0</v>
      </c>
      <c r="O108" s="127">
        <f ca="1">IF($A108="S",VTOTALBM,IF($A108=0,0,ROUND(SomaAgrupBM,15-13*ORÇAMENTO!$AF$11)))</f>
        <v>0</v>
      </c>
      <c r="Q108" s="382"/>
      <c r="R108" s="383"/>
      <c r="T108" s="119" t="str">
        <f t="shared" ca="1" si="12"/>
        <v/>
      </c>
      <c r="U108" s="172" t="str">
        <f t="shared" ca="1" si="13"/>
        <v/>
      </c>
      <c r="V108" s="173" t="str">
        <f ca="1">IF(AND($W108&gt;0,RegimeExecucao="Unitário"),$F108,"")</f>
        <v/>
      </c>
      <c r="W108" s="547">
        <f ca="1">IF($Y108&gt;0,CHOOSE(MATCH(RegimeExecucao,{"Unitário","Global"},0),IF($A108="S",$Y108/$X108,""),($Y108/$X108)*100),0)</f>
        <v>0</v>
      </c>
      <c r="X108" s="384" t="str">
        <f ca="1">IF($Y108&gt;0,CHOOSE(MATCH(RegimeExecucao,{"Unitário","Global"},0),IF($A108="S",ROUND($H108,ORÇAMENTO!$AF$10),""),ROUND($I108,ORÇAMENTO!$AF$11)),"")</f>
        <v/>
      </c>
      <c r="Y108" s="384">
        <f t="shared" ca="1" si="14"/>
        <v>0</v>
      </c>
      <c r="Z108" s="572"/>
      <c r="AB108" s="382"/>
      <c r="AC108" s="516"/>
      <c r="AD108" s="516"/>
      <c r="AE108" s="516"/>
      <c r="AF108" s="516"/>
      <c r="AG108" s="516"/>
      <c r="AH108" s="516"/>
      <c r="AI108" s="516"/>
      <c r="AJ108" s="516"/>
      <c r="AK108" s="516"/>
      <c r="AL108" s="516"/>
      <c r="AM108" s="383"/>
      <c r="AO108">
        <f ca="1">IF($A108="S",IF(BM!$I108=0,0,CHOOSE(MATCH(RegimeExecucao,{"Global","Unitário"},0),ROUND(ROUND(BM.MEDAcumulado,15-13*BM!$A$9)/100*BM!$I108,15-13*ORÇAMENTO!$AF$11),ROUND(ROUND(BM.MEDAcumulado,15-13*BM!$A$9)*ROUND(BM!$H108,15-13*ORÇAMENTO!$AF$10),15-13*ORÇAMENTO!$AF$11))),IF($A108=0,0,ROUND(SomaAgrupBM,15-13*ORÇAMENTO!$AF$11)))</f>
        <v>0</v>
      </c>
    </row>
    <row r="109" spans="1:41" x14ac:dyDescent="0.2">
      <c r="A109">
        <f ca="1">ORÇAMENTO!C109</f>
        <v>3</v>
      </c>
      <c r="B109">
        <f ca="1">ORÇAMENTO!D109</f>
        <v>5</v>
      </c>
      <c r="C109" s="116" t="str">
        <f t="shared" ca="1" si="8"/>
        <v>F</v>
      </c>
      <c r="D109" s="119" t="str">
        <f ca="1">ORÇAMENTO!O109</f>
        <v>1.6.5.</v>
      </c>
      <c r="E109" s="172" t="str">
        <f t="shared" si="9"/>
        <v>ALVENARIA</v>
      </c>
      <c r="F109" s="173" t="str">
        <f ca="1">IF(RegimeExecucao="Global","",ORÇAMENTO.Unidade)</f>
        <v/>
      </c>
      <c r="G109" s="124" t="str">
        <f ca="1">IF(RegimeExecucao="Global","",ORÇAMENTO!T109)</f>
        <v/>
      </c>
      <c r="H109" s="124" t="str">
        <f ca="1">IF(RegimeExecucao="Global","",ORÇAMENTO!W109)</f>
        <v/>
      </c>
      <c r="I109" s="127">
        <f ca="1">ORÇAMENTO!X109</f>
        <v>5400.38</v>
      </c>
      <c r="J109" s="378">
        <f ca="1">IF($A109="S",IF(CAIXA.Modo,BM.AFAnterior,BM.MEDAnterior),IF(AND(RegimeExecucao="Global",$I109&gt;0,COUNTIF($AB$13:$AM$13,BM.medicao-1)&gt;0),M109/$I109*100,0))</f>
        <v>0</v>
      </c>
      <c r="K109" s="124">
        <f t="shared" ca="1" si="10"/>
        <v>0</v>
      </c>
      <c r="L109" s="379">
        <f ca="1">IF($A109="S",IF(CAIXA.Modo,BM.AFAcumulado,BM.MEDAcumulado),IF(AND(RegimeExecucao="Global",$I109&gt;0,COUNTIF($AB$13:$AM$13,BM.medicao)&gt;0),O109/$I109*100,0))</f>
        <v>0</v>
      </c>
      <c r="M109" s="380">
        <f ca="1">IF($A109="S",VTOTALBM,IF($A109=0,0,ROUND(SomaAgrupBM,15-13*ORÇAMENTO!$AF$11)))</f>
        <v>0</v>
      </c>
      <c r="N109" s="381">
        <f t="shared" ca="1" si="11"/>
        <v>0</v>
      </c>
      <c r="O109" s="127">
        <f ca="1">IF($A109="S",VTOTALBM,IF($A109=0,0,ROUND(SomaAgrupBM,15-13*ORÇAMENTO!$AF$11)))</f>
        <v>0</v>
      </c>
      <c r="Q109" s="382"/>
      <c r="R109" s="383"/>
      <c r="T109" s="119" t="str">
        <f t="shared" ca="1" si="12"/>
        <v/>
      </c>
      <c r="U109" s="172" t="str">
        <f t="shared" ca="1" si="13"/>
        <v/>
      </c>
      <c r="V109" s="173" t="str">
        <f ca="1">IF(AND($W109&gt;0,RegimeExecucao="Unitário"),$F109,"")</f>
        <v/>
      </c>
      <c r="W109" s="547">
        <f ca="1">IF($Y109&gt;0,CHOOSE(MATCH(RegimeExecucao,{"Unitário","Global"},0),IF($A109="S",$Y109/$X109,""),($Y109/$X109)*100),0)</f>
        <v>0</v>
      </c>
      <c r="X109" s="384" t="str">
        <f ca="1">IF($Y109&gt;0,CHOOSE(MATCH(RegimeExecucao,{"Unitário","Global"},0),IF($A109="S",ROUND($H109,ORÇAMENTO!$AF$10),""),ROUND($I109,ORÇAMENTO!$AF$11)),"")</f>
        <v/>
      </c>
      <c r="Y109" s="384">
        <f t="shared" ca="1" si="14"/>
        <v>0</v>
      </c>
      <c r="Z109" s="572"/>
      <c r="AB109" s="382"/>
      <c r="AC109" s="516"/>
      <c r="AD109" s="516"/>
      <c r="AE109" s="516"/>
      <c r="AF109" s="516"/>
      <c r="AG109" s="516"/>
      <c r="AH109" s="516"/>
      <c r="AI109" s="516"/>
      <c r="AJ109" s="516"/>
      <c r="AK109" s="516"/>
      <c r="AL109" s="516"/>
      <c r="AM109" s="383"/>
      <c r="AO109">
        <f ca="1">IF($A109="S",IF(BM!$I109=0,0,CHOOSE(MATCH(RegimeExecucao,{"Global","Unitário"},0),ROUND(ROUND(BM.MEDAcumulado,15-13*BM!$A$9)/100*BM!$I109,15-13*ORÇAMENTO!$AF$11),ROUND(ROUND(BM.MEDAcumulado,15-13*BM!$A$9)*ROUND(BM!$H109,15-13*ORÇAMENTO!$AF$10),15-13*ORÇAMENTO!$AF$11))),IF($A109=0,0,ROUND(SomaAgrupBM,15-13*ORÇAMENTO!$AF$11)))</f>
        <v>0</v>
      </c>
    </row>
    <row r="110" spans="1:41" ht="51" x14ac:dyDescent="0.2">
      <c r="A110" t="str">
        <f ca="1">ORÇAMENTO!C110</f>
        <v>S</v>
      </c>
      <c r="B110">
        <f ca="1">ORÇAMENTO!D110</f>
        <v>0</v>
      </c>
      <c r="C110" s="116" t="str">
        <f t="shared" ca="1" si="8"/>
        <v>F</v>
      </c>
      <c r="D110" s="119" t="str">
        <f ca="1">ORÇAMENTO!O110</f>
        <v>1.6.5.1.</v>
      </c>
      <c r="E110" s="172" t="str">
        <f t="shared" ca="1" si="9"/>
        <v>(abra o arquivo 'Referência 03-2024.xlsm)</v>
      </c>
      <c r="F110" s="173" t="str">
        <f ca="1">IF(RegimeExecucao="Global","",ORÇAMENTO.Unidade)</f>
        <v/>
      </c>
      <c r="G110" s="124" t="str">
        <f ca="1">IF(RegimeExecucao="Global","",ORÇAMENTO!T110)</f>
        <v/>
      </c>
      <c r="H110" s="124" t="str">
        <f ca="1">IF(RegimeExecucao="Global","",ORÇAMENTO!W110)</f>
        <v/>
      </c>
      <c r="I110" s="127">
        <f ca="1">ORÇAMENTO!X110</f>
        <v>4624.05</v>
      </c>
      <c r="J110" s="378">
        <f ca="1">IF($A110="S",IF(CAIXA.Modo,BM.AFAnterior,BM.MEDAnterior),IF(AND(RegimeExecucao="Global",$I110&gt;0,COUNTIF($AB$13:$AM$13,BM.medicao-1)&gt;0),M110/$I110*100,0))</f>
        <v>0</v>
      </c>
      <c r="K110" s="124">
        <f t="shared" ca="1" si="10"/>
        <v>0</v>
      </c>
      <c r="L110" s="379">
        <f ca="1">IF($A110="S",IF(CAIXA.Modo,BM.AFAcumulado,BM.MEDAcumulado),IF(AND(RegimeExecucao="Global",$I110&gt;0,COUNTIF($AB$13:$AM$13,BM.medicao)&gt;0),O110/$I110*100,0))</f>
        <v>0</v>
      </c>
      <c r="M110" s="380">
        <f ca="1">IF($A110="S",VTOTALBM,IF($A110=0,0,ROUND(SomaAgrupBM,15-13*ORÇAMENTO!$AF$11)))</f>
        <v>0</v>
      </c>
      <c r="N110" s="381">
        <f t="shared" ca="1" si="11"/>
        <v>0</v>
      </c>
      <c r="O110" s="127">
        <f ca="1">IF($A110="S",VTOTALBM,IF($A110=0,0,ROUND(SomaAgrupBM,15-13*ORÇAMENTO!$AF$11)))</f>
        <v>0</v>
      </c>
      <c r="Q110" s="382"/>
      <c r="R110" s="383"/>
      <c r="T110" s="119" t="str">
        <f t="shared" ca="1" si="12"/>
        <v/>
      </c>
      <c r="U110" s="172" t="str">
        <f t="shared" ca="1" si="13"/>
        <v/>
      </c>
      <c r="V110" s="173" t="str">
        <f ca="1">IF(AND($W110&gt;0,RegimeExecucao="Unitário"),$F110,"")</f>
        <v/>
      </c>
      <c r="W110" s="547">
        <f ca="1">IF($Y110&gt;0,CHOOSE(MATCH(RegimeExecucao,{"Unitário","Global"},0),IF($A110="S",$Y110/$X110,""),($Y110/$X110)*100),0)</f>
        <v>0</v>
      </c>
      <c r="X110" s="384" t="str">
        <f ca="1">IF($Y110&gt;0,CHOOSE(MATCH(RegimeExecucao,{"Unitário","Global"},0),IF($A110="S",ROUND($H110,ORÇAMENTO!$AF$10),""),ROUND($I110,ORÇAMENTO!$AF$11)),"")</f>
        <v/>
      </c>
      <c r="Y110" s="384">
        <f t="shared" ca="1" si="14"/>
        <v>0</v>
      </c>
      <c r="Z110" s="572"/>
      <c r="AB110" s="382"/>
      <c r="AC110" s="516"/>
      <c r="AD110" s="516"/>
      <c r="AE110" s="516"/>
      <c r="AF110" s="516"/>
      <c r="AG110" s="516"/>
      <c r="AH110" s="516"/>
      <c r="AI110" s="516"/>
      <c r="AJ110" s="516"/>
      <c r="AK110" s="516"/>
      <c r="AL110" s="516"/>
      <c r="AM110" s="383"/>
      <c r="AO110">
        <f ca="1">IF($A110="S",IF(BM!$I110=0,0,CHOOSE(MATCH(RegimeExecucao,{"Global","Unitário"},0),ROUND(ROUND(BM.MEDAcumulado,15-13*BM!$A$9)/100*BM!$I110,15-13*ORÇAMENTO!$AF$11),ROUND(ROUND(BM.MEDAcumulado,15-13*BM!$A$9)*ROUND(BM!$H110,15-13*ORÇAMENTO!$AF$10),15-13*ORÇAMENTO!$AF$11))),IF($A110=0,0,ROUND(SomaAgrupBM,15-13*ORÇAMENTO!$AF$11)))</f>
        <v>0</v>
      </c>
    </row>
    <row r="111" spans="1:41" ht="25.5" x14ac:dyDescent="0.2">
      <c r="A111" t="str">
        <f ca="1">ORÇAMENTO!C111</f>
        <v>S</v>
      </c>
      <c r="B111">
        <f ca="1">ORÇAMENTO!D111</f>
        <v>0</v>
      </c>
      <c r="C111" s="116" t="str">
        <f t="shared" ca="1" si="8"/>
        <v>F</v>
      </c>
      <c r="D111" s="119" t="str">
        <f ca="1">ORÇAMENTO!O111</f>
        <v>1.6.5.2.</v>
      </c>
      <c r="E111" s="172" t="str">
        <f t="shared" ca="1" si="9"/>
        <v>(abra o arquivo 'Referência 03-2024.xlsm)</v>
      </c>
      <c r="F111" s="173" t="str">
        <f ca="1">IF(RegimeExecucao="Global","",ORÇAMENTO.Unidade)</f>
        <v/>
      </c>
      <c r="G111" s="124" t="str">
        <f ca="1">IF(RegimeExecucao="Global","",ORÇAMENTO!T111)</f>
        <v/>
      </c>
      <c r="H111" s="124" t="str">
        <f ca="1">IF(RegimeExecucao="Global","",ORÇAMENTO!W111)</f>
        <v/>
      </c>
      <c r="I111" s="127">
        <f ca="1">ORÇAMENTO!X111</f>
        <v>179.98</v>
      </c>
      <c r="J111" s="378">
        <f ca="1">IF($A111="S",IF(CAIXA.Modo,BM.AFAnterior,BM.MEDAnterior),IF(AND(RegimeExecucao="Global",$I111&gt;0,COUNTIF($AB$13:$AM$13,BM.medicao-1)&gt;0),M111/$I111*100,0))</f>
        <v>0</v>
      </c>
      <c r="K111" s="124">
        <f t="shared" ca="1" si="10"/>
        <v>0</v>
      </c>
      <c r="L111" s="379">
        <f ca="1">IF($A111="S",IF(CAIXA.Modo,BM.AFAcumulado,BM.MEDAcumulado),IF(AND(RegimeExecucao="Global",$I111&gt;0,COUNTIF($AB$13:$AM$13,BM.medicao)&gt;0),O111/$I111*100,0))</f>
        <v>0</v>
      </c>
      <c r="M111" s="380">
        <f ca="1">IF($A111="S",VTOTALBM,IF($A111=0,0,ROUND(SomaAgrupBM,15-13*ORÇAMENTO!$AF$11)))</f>
        <v>0</v>
      </c>
      <c r="N111" s="381">
        <f t="shared" ca="1" si="11"/>
        <v>0</v>
      </c>
      <c r="O111" s="127">
        <f ca="1">IF($A111="S",VTOTALBM,IF($A111=0,0,ROUND(SomaAgrupBM,15-13*ORÇAMENTO!$AF$11)))</f>
        <v>0</v>
      </c>
      <c r="Q111" s="382"/>
      <c r="R111" s="383"/>
      <c r="T111" s="119" t="str">
        <f t="shared" ca="1" si="12"/>
        <v/>
      </c>
      <c r="U111" s="172" t="str">
        <f t="shared" ca="1" si="13"/>
        <v/>
      </c>
      <c r="V111" s="173" t="str">
        <f ca="1">IF(AND($W111&gt;0,RegimeExecucao="Unitário"),$F111,"")</f>
        <v/>
      </c>
      <c r="W111" s="547">
        <f ca="1">IF($Y111&gt;0,CHOOSE(MATCH(RegimeExecucao,{"Unitário","Global"},0),IF($A111="S",$Y111/$X111,""),($Y111/$X111)*100),0)</f>
        <v>0</v>
      </c>
      <c r="X111" s="384" t="str">
        <f ca="1">IF($Y111&gt;0,CHOOSE(MATCH(RegimeExecucao,{"Unitário","Global"},0),IF($A111="S",ROUND($H111,ORÇAMENTO!$AF$10),""),ROUND($I111,ORÇAMENTO!$AF$11)),"")</f>
        <v/>
      </c>
      <c r="Y111" s="384">
        <f t="shared" ca="1" si="14"/>
        <v>0</v>
      </c>
      <c r="Z111" s="572"/>
      <c r="AB111" s="382"/>
      <c r="AC111" s="516"/>
      <c r="AD111" s="516"/>
      <c r="AE111" s="516"/>
      <c r="AF111" s="516"/>
      <c r="AG111" s="516"/>
      <c r="AH111" s="516"/>
      <c r="AI111" s="516"/>
      <c r="AJ111" s="516"/>
      <c r="AK111" s="516"/>
      <c r="AL111" s="516"/>
      <c r="AM111" s="383"/>
      <c r="AO111">
        <f ca="1">IF($A111="S",IF(BM!$I111=0,0,CHOOSE(MATCH(RegimeExecucao,{"Global","Unitário"},0),ROUND(ROUND(BM.MEDAcumulado,15-13*BM!$A$9)/100*BM!$I111,15-13*ORÇAMENTO!$AF$11),ROUND(ROUND(BM.MEDAcumulado,15-13*BM!$A$9)*ROUND(BM!$H111,15-13*ORÇAMENTO!$AF$10),15-13*ORÇAMENTO!$AF$11))),IF($A111=0,0,ROUND(SomaAgrupBM,15-13*ORÇAMENTO!$AF$11)))</f>
        <v>0</v>
      </c>
    </row>
    <row r="112" spans="1:41" ht="25.5" x14ac:dyDescent="0.2">
      <c r="A112" t="str">
        <f ca="1">ORÇAMENTO!C112</f>
        <v>S</v>
      </c>
      <c r="B112">
        <f ca="1">ORÇAMENTO!D112</f>
        <v>0</v>
      </c>
      <c r="C112" s="116" t="str">
        <f t="shared" ca="1" si="8"/>
        <v>F</v>
      </c>
      <c r="D112" s="119" t="str">
        <f ca="1">ORÇAMENTO!O112</f>
        <v>1.6.5.3.</v>
      </c>
      <c r="E112" s="172" t="str">
        <f t="shared" ca="1" si="9"/>
        <v>(abra o arquivo 'Referência 03-2024.xlsm)</v>
      </c>
      <c r="F112" s="173" t="str">
        <f ca="1">IF(RegimeExecucao="Global","",ORÇAMENTO.Unidade)</f>
        <v/>
      </c>
      <c r="G112" s="124" t="str">
        <f ca="1">IF(RegimeExecucao="Global","",ORÇAMENTO!T112)</f>
        <v/>
      </c>
      <c r="H112" s="124" t="str">
        <f ca="1">IF(RegimeExecucao="Global","",ORÇAMENTO!W112)</f>
        <v/>
      </c>
      <c r="I112" s="127">
        <f ca="1">ORÇAMENTO!X112</f>
        <v>173.9</v>
      </c>
      <c r="J112" s="378">
        <f ca="1">IF($A112="S",IF(CAIXA.Modo,BM.AFAnterior,BM.MEDAnterior),IF(AND(RegimeExecucao="Global",$I112&gt;0,COUNTIF($AB$13:$AM$13,BM.medicao-1)&gt;0),M112/$I112*100,0))</f>
        <v>0</v>
      </c>
      <c r="K112" s="124">
        <f t="shared" ca="1" si="10"/>
        <v>0</v>
      </c>
      <c r="L112" s="379">
        <f ca="1">IF($A112="S",IF(CAIXA.Modo,BM.AFAcumulado,BM.MEDAcumulado),IF(AND(RegimeExecucao="Global",$I112&gt;0,COUNTIF($AB$13:$AM$13,BM.medicao)&gt;0),O112/$I112*100,0))</f>
        <v>0</v>
      </c>
      <c r="M112" s="380">
        <f ca="1">IF($A112="S",VTOTALBM,IF($A112=0,0,ROUND(SomaAgrupBM,15-13*ORÇAMENTO!$AF$11)))</f>
        <v>0</v>
      </c>
      <c r="N112" s="381">
        <f t="shared" ca="1" si="11"/>
        <v>0</v>
      </c>
      <c r="O112" s="127">
        <f ca="1">IF($A112="S",VTOTALBM,IF($A112=0,0,ROUND(SomaAgrupBM,15-13*ORÇAMENTO!$AF$11)))</f>
        <v>0</v>
      </c>
      <c r="Q112" s="382"/>
      <c r="R112" s="383"/>
      <c r="T112" s="119" t="str">
        <f t="shared" ca="1" si="12"/>
        <v/>
      </c>
      <c r="U112" s="172" t="str">
        <f t="shared" ca="1" si="13"/>
        <v/>
      </c>
      <c r="V112" s="173" t="str">
        <f ca="1">IF(AND($W112&gt;0,RegimeExecucao="Unitário"),$F112,"")</f>
        <v/>
      </c>
      <c r="W112" s="547">
        <f ca="1">IF($Y112&gt;0,CHOOSE(MATCH(RegimeExecucao,{"Unitário","Global"},0),IF($A112="S",$Y112/$X112,""),($Y112/$X112)*100),0)</f>
        <v>0</v>
      </c>
      <c r="X112" s="384" t="str">
        <f ca="1">IF($Y112&gt;0,CHOOSE(MATCH(RegimeExecucao,{"Unitário","Global"},0),IF($A112="S",ROUND($H112,ORÇAMENTO!$AF$10),""),ROUND($I112,ORÇAMENTO!$AF$11)),"")</f>
        <v/>
      </c>
      <c r="Y112" s="384">
        <f t="shared" ca="1" si="14"/>
        <v>0</v>
      </c>
      <c r="Z112" s="572"/>
      <c r="AB112" s="382"/>
      <c r="AC112" s="516"/>
      <c r="AD112" s="516"/>
      <c r="AE112" s="516"/>
      <c r="AF112" s="516"/>
      <c r="AG112" s="516"/>
      <c r="AH112" s="516"/>
      <c r="AI112" s="516"/>
      <c r="AJ112" s="516"/>
      <c r="AK112" s="516"/>
      <c r="AL112" s="516"/>
      <c r="AM112" s="383"/>
      <c r="AO112">
        <f ca="1">IF($A112="S",IF(BM!$I112=0,0,CHOOSE(MATCH(RegimeExecucao,{"Global","Unitário"},0),ROUND(ROUND(BM.MEDAcumulado,15-13*BM!$A$9)/100*BM!$I112,15-13*ORÇAMENTO!$AF$11),ROUND(ROUND(BM.MEDAcumulado,15-13*BM!$A$9)*ROUND(BM!$H112,15-13*ORÇAMENTO!$AF$10),15-13*ORÇAMENTO!$AF$11))),IF($A112=0,0,ROUND(SomaAgrupBM,15-13*ORÇAMENTO!$AF$11)))</f>
        <v>0</v>
      </c>
    </row>
    <row r="113" spans="1:41" ht="25.5" x14ac:dyDescent="0.2">
      <c r="A113" t="str">
        <f ca="1">ORÇAMENTO!C113</f>
        <v>S</v>
      </c>
      <c r="B113">
        <f ca="1">ORÇAMENTO!D113</f>
        <v>0</v>
      </c>
      <c r="C113" s="116" t="str">
        <f t="shared" ca="1" si="8"/>
        <v>F</v>
      </c>
      <c r="D113" s="119" t="str">
        <f ca="1">ORÇAMENTO!O113</f>
        <v>1.6.5.4.</v>
      </c>
      <c r="E113" s="172" t="str">
        <f t="shared" ca="1" si="9"/>
        <v>(abra o arquivo 'Referência 03-2024.xlsm)</v>
      </c>
      <c r="F113" s="173" t="str">
        <f ca="1">IF(RegimeExecucao="Global","",ORÇAMENTO.Unidade)</f>
        <v/>
      </c>
      <c r="G113" s="124" t="str">
        <f ca="1">IF(RegimeExecucao="Global","",ORÇAMENTO!T113)</f>
        <v/>
      </c>
      <c r="H113" s="124" t="str">
        <f ca="1">IF(RegimeExecucao="Global","",ORÇAMENTO!W113)</f>
        <v/>
      </c>
      <c r="I113" s="127">
        <f ca="1">ORÇAMENTO!X113</f>
        <v>422.45</v>
      </c>
      <c r="J113" s="378">
        <f ca="1">IF($A113="S",IF(CAIXA.Modo,BM.AFAnterior,BM.MEDAnterior),IF(AND(RegimeExecucao="Global",$I113&gt;0,COUNTIF($AB$13:$AM$13,BM.medicao-1)&gt;0),M113/$I113*100,0))</f>
        <v>0</v>
      </c>
      <c r="K113" s="124">
        <f t="shared" ca="1" si="10"/>
        <v>0</v>
      </c>
      <c r="L113" s="379">
        <f ca="1">IF($A113="S",IF(CAIXA.Modo,BM.AFAcumulado,BM.MEDAcumulado),IF(AND(RegimeExecucao="Global",$I113&gt;0,COUNTIF($AB$13:$AM$13,BM.medicao)&gt;0),O113/$I113*100,0))</f>
        <v>0</v>
      </c>
      <c r="M113" s="380">
        <f ca="1">IF($A113="S",VTOTALBM,IF($A113=0,0,ROUND(SomaAgrupBM,15-13*ORÇAMENTO!$AF$11)))</f>
        <v>0</v>
      </c>
      <c r="N113" s="381">
        <f t="shared" ca="1" si="11"/>
        <v>0</v>
      </c>
      <c r="O113" s="127">
        <f ca="1">IF($A113="S",VTOTALBM,IF($A113=0,0,ROUND(SomaAgrupBM,15-13*ORÇAMENTO!$AF$11)))</f>
        <v>0</v>
      </c>
      <c r="Q113" s="382"/>
      <c r="R113" s="383"/>
      <c r="T113" s="119" t="str">
        <f t="shared" ca="1" si="12"/>
        <v/>
      </c>
      <c r="U113" s="172" t="str">
        <f t="shared" ca="1" si="13"/>
        <v/>
      </c>
      <c r="V113" s="173" t="str">
        <f ca="1">IF(AND($W113&gt;0,RegimeExecucao="Unitário"),$F113,"")</f>
        <v/>
      </c>
      <c r="W113" s="547">
        <f ca="1">IF($Y113&gt;0,CHOOSE(MATCH(RegimeExecucao,{"Unitário","Global"},0),IF($A113="S",$Y113/$X113,""),($Y113/$X113)*100),0)</f>
        <v>0</v>
      </c>
      <c r="X113" s="384" t="str">
        <f ca="1">IF($Y113&gt;0,CHOOSE(MATCH(RegimeExecucao,{"Unitário","Global"},0),IF($A113="S",ROUND($H113,ORÇAMENTO!$AF$10),""),ROUND($I113,ORÇAMENTO!$AF$11)),"")</f>
        <v/>
      </c>
      <c r="Y113" s="384">
        <f t="shared" ca="1" si="14"/>
        <v>0</v>
      </c>
      <c r="Z113" s="572"/>
      <c r="AB113" s="382"/>
      <c r="AC113" s="516"/>
      <c r="AD113" s="516"/>
      <c r="AE113" s="516"/>
      <c r="AF113" s="516"/>
      <c r="AG113" s="516"/>
      <c r="AH113" s="516"/>
      <c r="AI113" s="516"/>
      <c r="AJ113" s="516"/>
      <c r="AK113" s="516"/>
      <c r="AL113" s="516"/>
      <c r="AM113" s="383"/>
      <c r="AO113">
        <f ca="1">IF($A113="S",IF(BM!$I113=0,0,CHOOSE(MATCH(RegimeExecucao,{"Global","Unitário"},0),ROUND(ROUND(BM.MEDAcumulado,15-13*BM!$A$9)/100*BM!$I113,15-13*ORÇAMENTO!$AF$11),ROUND(ROUND(BM.MEDAcumulado,15-13*BM!$A$9)*ROUND(BM!$H113,15-13*ORÇAMENTO!$AF$10),15-13*ORÇAMENTO!$AF$11))),IF($A113=0,0,ROUND(SomaAgrupBM,15-13*ORÇAMENTO!$AF$11)))</f>
        <v>0</v>
      </c>
    </row>
    <row r="114" spans="1:41" x14ac:dyDescent="0.2">
      <c r="A114">
        <f ca="1">ORÇAMENTO!C114</f>
        <v>3</v>
      </c>
      <c r="B114">
        <f ca="1">ORÇAMENTO!D114</f>
        <v>5</v>
      </c>
      <c r="C114" s="116" t="str">
        <f t="shared" ca="1" si="8"/>
        <v>F</v>
      </c>
      <c r="D114" s="119" t="str">
        <f ca="1">ORÇAMENTO!O114</f>
        <v>1.6.6.</v>
      </c>
      <c r="E114" s="172" t="str">
        <f t="shared" si="9"/>
        <v>PILARES</v>
      </c>
      <c r="F114" s="173" t="str">
        <f ca="1">IF(RegimeExecucao="Global","",ORÇAMENTO.Unidade)</f>
        <v/>
      </c>
      <c r="G114" s="124" t="str">
        <f ca="1">IF(RegimeExecucao="Global","",ORÇAMENTO!T114)</f>
        <v/>
      </c>
      <c r="H114" s="124" t="str">
        <f ca="1">IF(RegimeExecucao="Global","",ORÇAMENTO!W114)</f>
        <v/>
      </c>
      <c r="I114" s="127">
        <f ca="1">ORÇAMENTO!X114</f>
        <v>2718.36</v>
      </c>
      <c r="J114" s="378">
        <f ca="1">IF($A114="S",IF(CAIXA.Modo,BM.AFAnterior,BM.MEDAnterior),IF(AND(RegimeExecucao="Global",$I114&gt;0,COUNTIF($AB$13:$AM$13,BM.medicao-1)&gt;0),M114/$I114*100,0))</f>
        <v>0</v>
      </c>
      <c r="K114" s="124">
        <f t="shared" ca="1" si="10"/>
        <v>0</v>
      </c>
      <c r="L114" s="379">
        <f ca="1">IF($A114="S",IF(CAIXA.Modo,BM.AFAcumulado,BM.MEDAcumulado),IF(AND(RegimeExecucao="Global",$I114&gt;0,COUNTIF($AB$13:$AM$13,BM.medicao)&gt;0),O114/$I114*100,0))</f>
        <v>0</v>
      </c>
      <c r="M114" s="380">
        <f ca="1">IF($A114="S",VTOTALBM,IF($A114=0,0,ROUND(SomaAgrupBM,15-13*ORÇAMENTO!$AF$11)))</f>
        <v>0</v>
      </c>
      <c r="N114" s="381">
        <f t="shared" ca="1" si="11"/>
        <v>0</v>
      </c>
      <c r="O114" s="127">
        <f ca="1">IF($A114="S",VTOTALBM,IF($A114=0,0,ROUND(SomaAgrupBM,15-13*ORÇAMENTO!$AF$11)))</f>
        <v>0</v>
      </c>
      <c r="Q114" s="382"/>
      <c r="R114" s="383"/>
      <c r="T114" s="119" t="str">
        <f t="shared" ca="1" si="12"/>
        <v/>
      </c>
      <c r="U114" s="172" t="str">
        <f t="shared" ca="1" si="13"/>
        <v/>
      </c>
      <c r="V114" s="173" t="str">
        <f ca="1">IF(AND($W114&gt;0,RegimeExecucao="Unitário"),$F114,"")</f>
        <v/>
      </c>
      <c r="W114" s="547">
        <f ca="1">IF($Y114&gt;0,CHOOSE(MATCH(RegimeExecucao,{"Unitário","Global"},0),IF($A114="S",$Y114/$X114,""),($Y114/$X114)*100),0)</f>
        <v>0</v>
      </c>
      <c r="X114" s="384" t="str">
        <f ca="1">IF($Y114&gt;0,CHOOSE(MATCH(RegimeExecucao,{"Unitário","Global"},0),IF($A114="S",ROUND($H114,ORÇAMENTO!$AF$10),""),ROUND($I114,ORÇAMENTO!$AF$11)),"")</f>
        <v/>
      </c>
      <c r="Y114" s="384">
        <f t="shared" ca="1" si="14"/>
        <v>0</v>
      </c>
      <c r="Z114" s="572"/>
      <c r="AB114" s="382"/>
      <c r="AC114" s="516"/>
      <c r="AD114" s="516"/>
      <c r="AE114" s="516"/>
      <c r="AF114" s="516"/>
      <c r="AG114" s="516"/>
      <c r="AH114" s="516"/>
      <c r="AI114" s="516"/>
      <c r="AJ114" s="516"/>
      <c r="AK114" s="516"/>
      <c r="AL114" s="516"/>
      <c r="AM114" s="383"/>
      <c r="AO114">
        <f ca="1">IF($A114="S",IF(BM!$I114=0,0,CHOOSE(MATCH(RegimeExecucao,{"Global","Unitário"},0),ROUND(ROUND(BM.MEDAcumulado,15-13*BM!$A$9)/100*BM!$I114,15-13*ORÇAMENTO!$AF$11),ROUND(ROUND(BM.MEDAcumulado,15-13*BM!$A$9)*ROUND(BM!$H114,15-13*ORÇAMENTO!$AF$10),15-13*ORÇAMENTO!$AF$11))),IF($A114=0,0,ROUND(SomaAgrupBM,15-13*ORÇAMENTO!$AF$11)))</f>
        <v>0</v>
      </c>
    </row>
    <row r="115" spans="1:41" ht="38.25" x14ac:dyDescent="0.2">
      <c r="A115" t="str">
        <f ca="1">ORÇAMENTO!C115</f>
        <v>S</v>
      </c>
      <c r="B115">
        <f ca="1">ORÇAMENTO!D115</f>
        <v>0</v>
      </c>
      <c r="C115" s="116" t="str">
        <f t="shared" ca="1" si="8"/>
        <v>F</v>
      </c>
      <c r="D115" s="119" t="str">
        <f ca="1">ORÇAMENTO!O115</f>
        <v>1.6.6.1.</v>
      </c>
      <c r="E115" s="172" t="str">
        <f t="shared" ca="1" si="9"/>
        <v>(abra o arquivo 'Referência 03-2024.xlsm)</v>
      </c>
      <c r="F115" s="173" t="str">
        <f ca="1">IF(RegimeExecucao="Global","",ORÇAMENTO.Unidade)</f>
        <v/>
      </c>
      <c r="G115" s="124" t="str">
        <f ca="1">IF(RegimeExecucao="Global","",ORÇAMENTO!T115)</f>
        <v/>
      </c>
      <c r="H115" s="124" t="str">
        <f ca="1">IF(RegimeExecucao="Global","",ORÇAMENTO!W115)</f>
        <v/>
      </c>
      <c r="I115" s="127">
        <f ca="1">ORÇAMENTO!X115</f>
        <v>1215.1199999999999</v>
      </c>
      <c r="J115" s="378">
        <f ca="1">IF($A115="S",IF(CAIXA.Modo,BM.AFAnterior,BM.MEDAnterior),IF(AND(RegimeExecucao="Global",$I115&gt;0,COUNTIF($AB$13:$AM$13,BM.medicao-1)&gt;0),M115/$I115*100,0))</f>
        <v>0</v>
      </c>
      <c r="K115" s="124">
        <f t="shared" ca="1" si="10"/>
        <v>0</v>
      </c>
      <c r="L115" s="379">
        <f ca="1">IF($A115="S",IF(CAIXA.Modo,BM.AFAcumulado,BM.MEDAcumulado),IF(AND(RegimeExecucao="Global",$I115&gt;0,COUNTIF($AB$13:$AM$13,BM.medicao)&gt;0),O115/$I115*100,0))</f>
        <v>0</v>
      </c>
      <c r="M115" s="380">
        <f ca="1">IF($A115="S",VTOTALBM,IF($A115=0,0,ROUND(SomaAgrupBM,15-13*ORÇAMENTO!$AF$11)))</f>
        <v>0</v>
      </c>
      <c r="N115" s="381">
        <f t="shared" ca="1" si="11"/>
        <v>0</v>
      </c>
      <c r="O115" s="127">
        <f ca="1">IF($A115="S",VTOTALBM,IF($A115=0,0,ROUND(SomaAgrupBM,15-13*ORÇAMENTO!$AF$11)))</f>
        <v>0</v>
      </c>
      <c r="Q115" s="382"/>
      <c r="R115" s="383"/>
      <c r="T115" s="119" t="str">
        <f t="shared" ca="1" si="12"/>
        <v/>
      </c>
      <c r="U115" s="172" t="str">
        <f t="shared" ca="1" si="13"/>
        <v/>
      </c>
      <c r="V115" s="173" t="str">
        <f ca="1">IF(AND($W115&gt;0,RegimeExecucao="Unitário"),$F115,"")</f>
        <v/>
      </c>
      <c r="W115" s="547">
        <f ca="1">IF($Y115&gt;0,CHOOSE(MATCH(RegimeExecucao,{"Unitário","Global"},0),IF($A115="S",$Y115/$X115,""),($Y115/$X115)*100),0)</f>
        <v>0</v>
      </c>
      <c r="X115" s="384" t="str">
        <f ca="1">IF($Y115&gt;0,CHOOSE(MATCH(RegimeExecucao,{"Unitário","Global"},0),IF($A115="S",ROUND($H115,ORÇAMENTO!$AF$10),""),ROUND($I115,ORÇAMENTO!$AF$11)),"")</f>
        <v/>
      </c>
      <c r="Y115" s="384">
        <f t="shared" ca="1" si="14"/>
        <v>0</v>
      </c>
      <c r="Z115" s="572"/>
      <c r="AB115" s="382"/>
      <c r="AC115" s="516"/>
      <c r="AD115" s="516"/>
      <c r="AE115" s="516"/>
      <c r="AF115" s="516"/>
      <c r="AG115" s="516"/>
      <c r="AH115" s="516"/>
      <c r="AI115" s="516"/>
      <c r="AJ115" s="516"/>
      <c r="AK115" s="516"/>
      <c r="AL115" s="516"/>
      <c r="AM115" s="383"/>
      <c r="AO115">
        <f ca="1">IF($A115="S",IF(BM!$I115=0,0,CHOOSE(MATCH(RegimeExecucao,{"Global","Unitário"},0),ROUND(ROUND(BM.MEDAcumulado,15-13*BM!$A$9)/100*BM!$I115,15-13*ORÇAMENTO!$AF$11),ROUND(ROUND(BM.MEDAcumulado,15-13*BM!$A$9)*ROUND(BM!$H115,15-13*ORÇAMENTO!$AF$10),15-13*ORÇAMENTO!$AF$11))),IF($A115=0,0,ROUND(SomaAgrupBM,15-13*ORÇAMENTO!$AF$11)))</f>
        <v>0</v>
      </c>
    </row>
    <row r="116" spans="1:41" ht="51" x14ac:dyDescent="0.2">
      <c r="A116" t="str">
        <f ca="1">ORÇAMENTO!C116</f>
        <v>S</v>
      </c>
      <c r="B116">
        <f ca="1">ORÇAMENTO!D116</f>
        <v>0</v>
      </c>
      <c r="C116" s="116" t="str">
        <f t="shared" ca="1" si="8"/>
        <v>F</v>
      </c>
      <c r="D116" s="119" t="str">
        <f ca="1">ORÇAMENTO!O116</f>
        <v>1.6.6.2.</v>
      </c>
      <c r="E116" s="172" t="str">
        <f t="shared" ca="1" si="9"/>
        <v>(abra o arquivo 'Referência 03-2024.xlsm)</v>
      </c>
      <c r="F116" s="173" t="str">
        <f ca="1">IF(RegimeExecucao="Global","",ORÇAMENTO.Unidade)</f>
        <v/>
      </c>
      <c r="G116" s="124" t="str">
        <f ca="1">IF(RegimeExecucao="Global","",ORÇAMENTO!T116)</f>
        <v/>
      </c>
      <c r="H116" s="124" t="str">
        <f ca="1">IF(RegimeExecucao="Global","",ORÇAMENTO!W116)</f>
        <v/>
      </c>
      <c r="I116" s="127">
        <f ca="1">ORÇAMENTO!X116</f>
        <v>598.72</v>
      </c>
      <c r="J116" s="378">
        <f ca="1">IF($A116="S",IF(CAIXA.Modo,BM.AFAnterior,BM.MEDAnterior),IF(AND(RegimeExecucao="Global",$I116&gt;0,COUNTIF($AB$13:$AM$13,BM.medicao-1)&gt;0),M116/$I116*100,0))</f>
        <v>0</v>
      </c>
      <c r="K116" s="124">
        <f t="shared" ca="1" si="10"/>
        <v>0</v>
      </c>
      <c r="L116" s="379">
        <f ca="1">IF($A116="S",IF(CAIXA.Modo,BM.AFAcumulado,BM.MEDAcumulado),IF(AND(RegimeExecucao="Global",$I116&gt;0,COUNTIF($AB$13:$AM$13,BM.medicao)&gt;0),O116/$I116*100,0))</f>
        <v>0</v>
      </c>
      <c r="M116" s="380">
        <f ca="1">IF($A116="S",VTOTALBM,IF($A116=0,0,ROUND(SomaAgrupBM,15-13*ORÇAMENTO!$AF$11)))</f>
        <v>0</v>
      </c>
      <c r="N116" s="381">
        <f t="shared" ca="1" si="11"/>
        <v>0</v>
      </c>
      <c r="O116" s="127">
        <f ca="1">IF($A116="S",VTOTALBM,IF($A116=0,0,ROUND(SomaAgrupBM,15-13*ORÇAMENTO!$AF$11)))</f>
        <v>0</v>
      </c>
      <c r="Q116" s="382"/>
      <c r="R116" s="383"/>
      <c r="T116" s="119" t="str">
        <f t="shared" ca="1" si="12"/>
        <v/>
      </c>
      <c r="U116" s="172" t="str">
        <f t="shared" ca="1" si="13"/>
        <v/>
      </c>
      <c r="V116" s="173" t="str">
        <f ca="1">IF(AND($W116&gt;0,RegimeExecucao="Unitário"),$F116,"")</f>
        <v/>
      </c>
      <c r="W116" s="547">
        <f ca="1">IF($Y116&gt;0,CHOOSE(MATCH(RegimeExecucao,{"Unitário","Global"},0),IF($A116="S",$Y116/$X116,""),($Y116/$X116)*100),0)</f>
        <v>0</v>
      </c>
      <c r="X116" s="384" t="str">
        <f ca="1">IF($Y116&gt;0,CHOOSE(MATCH(RegimeExecucao,{"Unitário","Global"},0),IF($A116="S",ROUND($H116,ORÇAMENTO!$AF$10),""),ROUND($I116,ORÇAMENTO!$AF$11)),"")</f>
        <v/>
      </c>
      <c r="Y116" s="384">
        <f t="shared" ca="1" si="14"/>
        <v>0</v>
      </c>
      <c r="Z116" s="572"/>
      <c r="AB116" s="382"/>
      <c r="AC116" s="516"/>
      <c r="AD116" s="516"/>
      <c r="AE116" s="516"/>
      <c r="AF116" s="516"/>
      <c r="AG116" s="516"/>
      <c r="AH116" s="516"/>
      <c r="AI116" s="516"/>
      <c r="AJ116" s="516"/>
      <c r="AK116" s="516"/>
      <c r="AL116" s="516"/>
      <c r="AM116" s="383"/>
      <c r="AO116">
        <f ca="1">IF($A116="S",IF(BM!$I116=0,0,CHOOSE(MATCH(RegimeExecucao,{"Global","Unitário"},0),ROUND(ROUND(BM.MEDAcumulado,15-13*BM!$A$9)/100*BM!$I116,15-13*ORÇAMENTO!$AF$11),ROUND(ROUND(BM.MEDAcumulado,15-13*BM!$A$9)*ROUND(BM!$H116,15-13*ORÇAMENTO!$AF$10),15-13*ORÇAMENTO!$AF$11))),IF($A116=0,0,ROUND(SomaAgrupBM,15-13*ORÇAMENTO!$AF$11)))</f>
        <v>0</v>
      </c>
    </row>
    <row r="117" spans="1:41" ht="38.25" x14ac:dyDescent="0.2">
      <c r="A117" t="str">
        <f ca="1">ORÇAMENTO!C117</f>
        <v>S</v>
      </c>
      <c r="B117">
        <f ca="1">ORÇAMENTO!D117</f>
        <v>0</v>
      </c>
      <c r="C117" s="116" t="str">
        <f t="shared" ca="1" si="8"/>
        <v>F</v>
      </c>
      <c r="D117" s="119" t="str">
        <f ca="1">ORÇAMENTO!O117</f>
        <v>1.6.6.3.</v>
      </c>
      <c r="E117" s="172" t="str">
        <f t="shared" ca="1" si="9"/>
        <v>(abra o arquivo 'Referência 03-2024.xlsm)</v>
      </c>
      <c r="F117" s="173" t="str">
        <f ca="1">IF(RegimeExecucao="Global","",ORÇAMENTO.Unidade)</f>
        <v/>
      </c>
      <c r="G117" s="124" t="str">
        <f ca="1">IF(RegimeExecucao="Global","",ORÇAMENTO!T117)</f>
        <v/>
      </c>
      <c r="H117" s="124" t="str">
        <f ca="1">IF(RegimeExecucao="Global","",ORÇAMENTO!W117)</f>
        <v/>
      </c>
      <c r="I117" s="127">
        <f ca="1">ORÇAMENTO!X117</f>
        <v>249.04</v>
      </c>
      <c r="J117" s="378">
        <f ca="1">IF($A117="S",IF(CAIXA.Modo,BM.AFAnterior,BM.MEDAnterior),IF(AND(RegimeExecucao="Global",$I117&gt;0,COUNTIF($AB$13:$AM$13,BM.medicao-1)&gt;0),M117/$I117*100,0))</f>
        <v>0</v>
      </c>
      <c r="K117" s="124">
        <f t="shared" ca="1" si="10"/>
        <v>0</v>
      </c>
      <c r="L117" s="379">
        <f ca="1">IF($A117="S",IF(CAIXA.Modo,BM.AFAcumulado,BM.MEDAcumulado),IF(AND(RegimeExecucao="Global",$I117&gt;0,COUNTIF($AB$13:$AM$13,BM.medicao)&gt;0),O117/$I117*100,0))</f>
        <v>0</v>
      </c>
      <c r="M117" s="380">
        <f ca="1">IF($A117="S",VTOTALBM,IF($A117=0,0,ROUND(SomaAgrupBM,15-13*ORÇAMENTO!$AF$11)))</f>
        <v>0</v>
      </c>
      <c r="N117" s="381">
        <f t="shared" ca="1" si="11"/>
        <v>0</v>
      </c>
      <c r="O117" s="127">
        <f ca="1">IF($A117="S",VTOTALBM,IF($A117=0,0,ROUND(SomaAgrupBM,15-13*ORÇAMENTO!$AF$11)))</f>
        <v>0</v>
      </c>
      <c r="Q117" s="382"/>
      <c r="R117" s="383"/>
      <c r="T117" s="119" t="str">
        <f t="shared" ca="1" si="12"/>
        <v/>
      </c>
      <c r="U117" s="172" t="str">
        <f t="shared" ca="1" si="13"/>
        <v/>
      </c>
      <c r="V117" s="173" t="str">
        <f ca="1">IF(AND($W117&gt;0,RegimeExecucao="Unitário"),$F117,"")</f>
        <v/>
      </c>
      <c r="W117" s="547">
        <f ca="1">IF($Y117&gt;0,CHOOSE(MATCH(RegimeExecucao,{"Unitário","Global"},0),IF($A117="S",$Y117/$X117,""),($Y117/$X117)*100),0)</f>
        <v>0</v>
      </c>
      <c r="X117" s="384" t="str">
        <f ca="1">IF($Y117&gt;0,CHOOSE(MATCH(RegimeExecucao,{"Unitário","Global"},0),IF($A117="S",ROUND($H117,ORÇAMENTO!$AF$10),""),ROUND($I117,ORÇAMENTO!$AF$11)),"")</f>
        <v/>
      </c>
      <c r="Y117" s="384">
        <f t="shared" ca="1" si="14"/>
        <v>0</v>
      </c>
      <c r="Z117" s="572"/>
      <c r="AB117" s="382"/>
      <c r="AC117" s="516"/>
      <c r="AD117" s="516"/>
      <c r="AE117" s="516"/>
      <c r="AF117" s="516"/>
      <c r="AG117" s="516"/>
      <c r="AH117" s="516"/>
      <c r="AI117" s="516"/>
      <c r="AJ117" s="516"/>
      <c r="AK117" s="516"/>
      <c r="AL117" s="516"/>
      <c r="AM117" s="383"/>
      <c r="AO117">
        <f ca="1">IF($A117="S",IF(BM!$I117=0,0,CHOOSE(MATCH(RegimeExecucao,{"Global","Unitário"},0),ROUND(ROUND(BM.MEDAcumulado,15-13*BM!$A$9)/100*BM!$I117,15-13*ORÇAMENTO!$AF$11),ROUND(ROUND(BM.MEDAcumulado,15-13*BM!$A$9)*ROUND(BM!$H117,15-13*ORÇAMENTO!$AF$10),15-13*ORÇAMENTO!$AF$11))),IF($A117=0,0,ROUND(SomaAgrupBM,15-13*ORÇAMENTO!$AF$11)))</f>
        <v>0</v>
      </c>
    </row>
    <row r="118" spans="1:41" ht="38.25" x14ac:dyDescent="0.2">
      <c r="A118" t="str">
        <f ca="1">ORÇAMENTO!C118</f>
        <v>S</v>
      </c>
      <c r="B118">
        <f ca="1">ORÇAMENTO!D118</f>
        <v>0</v>
      </c>
      <c r="C118" s="116" t="str">
        <f t="shared" ca="1" si="8"/>
        <v>F</v>
      </c>
      <c r="D118" s="119" t="str">
        <f ca="1">ORÇAMENTO!O118</f>
        <v>1.6.6.4.</v>
      </c>
      <c r="E118" s="172" t="str">
        <f t="shared" ca="1" si="9"/>
        <v>(abra o arquivo 'Referência 03-2024.xlsm)</v>
      </c>
      <c r="F118" s="173" t="str">
        <f ca="1">IF(RegimeExecucao="Global","",ORÇAMENTO.Unidade)</f>
        <v/>
      </c>
      <c r="G118" s="124" t="str">
        <f ca="1">IF(RegimeExecucao="Global","",ORÇAMENTO!T118)</f>
        <v/>
      </c>
      <c r="H118" s="124" t="str">
        <f ca="1">IF(RegimeExecucao="Global","",ORÇAMENTO!W118)</f>
        <v/>
      </c>
      <c r="I118" s="127">
        <f ca="1">ORÇAMENTO!X118</f>
        <v>655.48</v>
      </c>
      <c r="J118" s="378">
        <f ca="1">IF($A118="S",IF(CAIXA.Modo,BM.AFAnterior,BM.MEDAnterior),IF(AND(RegimeExecucao="Global",$I118&gt;0,COUNTIF($AB$13:$AM$13,BM.medicao-1)&gt;0),M118/$I118*100,0))</f>
        <v>0</v>
      </c>
      <c r="K118" s="124">
        <f t="shared" ca="1" si="10"/>
        <v>0</v>
      </c>
      <c r="L118" s="379">
        <f ca="1">IF($A118="S",IF(CAIXA.Modo,BM.AFAcumulado,BM.MEDAcumulado),IF(AND(RegimeExecucao="Global",$I118&gt;0,COUNTIF($AB$13:$AM$13,BM.medicao)&gt;0),O118/$I118*100,0))</f>
        <v>0</v>
      </c>
      <c r="M118" s="380">
        <f ca="1">IF($A118="S",VTOTALBM,IF($A118=0,0,ROUND(SomaAgrupBM,15-13*ORÇAMENTO!$AF$11)))</f>
        <v>0</v>
      </c>
      <c r="N118" s="381">
        <f t="shared" ca="1" si="11"/>
        <v>0</v>
      </c>
      <c r="O118" s="127">
        <f ca="1">IF($A118="S",VTOTALBM,IF($A118=0,0,ROUND(SomaAgrupBM,15-13*ORÇAMENTO!$AF$11)))</f>
        <v>0</v>
      </c>
      <c r="Q118" s="382"/>
      <c r="R118" s="383"/>
      <c r="T118" s="119" t="str">
        <f t="shared" ca="1" si="12"/>
        <v/>
      </c>
      <c r="U118" s="172" t="str">
        <f t="shared" ca="1" si="13"/>
        <v/>
      </c>
      <c r="V118" s="173" t="str">
        <f ca="1">IF(AND($W118&gt;0,RegimeExecucao="Unitário"),$F118,"")</f>
        <v/>
      </c>
      <c r="W118" s="547">
        <f ca="1">IF($Y118&gt;0,CHOOSE(MATCH(RegimeExecucao,{"Unitário","Global"},0),IF($A118="S",$Y118/$X118,""),($Y118/$X118)*100),0)</f>
        <v>0</v>
      </c>
      <c r="X118" s="384" t="str">
        <f ca="1">IF($Y118&gt;0,CHOOSE(MATCH(RegimeExecucao,{"Unitário","Global"},0),IF($A118="S",ROUND($H118,ORÇAMENTO!$AF$10),""),ROUND($I118,ORÇAMENTO!$AF$11)),"")</f>
        <v/>
      </c>
      <c r="Y118" s="384">
        <f t="shared" ca="1" si="14"/>
        <v>0</v>
      </c>
      <c r="Z118" s="572"/>
      <c r="AB118" s="382"/>
      <c r="AC118" s="516"/>
      <c r="AD118" s="516"/>
      <c r="AE118" s="516"/>
      <c r="AF118" s="516"/>
      <c r="AG118" s="516"/>
      <c r="AH118" s="516"/>
      <c r="AI118" s="516"/>
      <c r="AJ118" s="516"/>
      <c r="AK118" s="516"/>
      <c r="AL118" s="516"/>
      <c r="AM118" s="383"/>
      <c r="AO118">
        <f ca="1">IF($A118="S",IF(BM!$I118=0,0,CHOOSE(MATCH(RegimeExecucao,{"Global","Unitário"},0),ROUND(ROUND(BM.MEDAcumulado,15-13*BM!$A$9)/100*BM!$I118,15-13*ORÇAMENTO!$AF$11),ROUND(ROUND(BM.MEDAcumulado,15-13*BM!$A$9)*ROUND(BM!$H118,15-13*ORÇAMENTO!$AF$10),15-13*ORÇAMENTO!$AF$11))),IF($A118=0,0,ROUND(SomaAgrupBM,15-13*ORÇAMENTO!$AF$11)))</f>
        <v>0</v>
      </c>
    </row>
    <row r="119" spans="1:41" x14ac:dyDescent="0.2">
      <c r="A119">
        <f ca="1">ORÇAMENTO!C119</f>
        <v>3</v>
      </c>
      <c r="B119">
        <f ca="1">ORÇAMENTO!D119</f>
        <v>5</v>
      </c>
      <c r="C119" s="116" t="str">
        <f t="shared" ca="1" si="8"/>
        <v>F</v>
      </c>
      <c r="D119" s="119" t="str">
        <f ca="1">ORÇAMENTO!O119</f>
        <v>1.6.7.</v>
      </c>
      <c r="E119" s="172" t="str">
        <f t="shared" si="9"/>
        <v>VIGA DE RESPALDO</v>
      </c>
      <c r="F119" s="173" t="str">
        <f ca="1">IF(RegimeExecucao="Global","",ORÇAMENTO.Unidade)</f>
        <v/>
      </c>
      <c r="G119" s="124" t="str">
        <f ca="1">IF(RegimeExecucao="Global","",ORÇAMENTO!T119)</f>
        <v/>
      </c>
      <c r="H119" s="124" t="str">
        <f ca="1">IF(RegimeExecucao="Global","",ORÇAMENTO!W119)</f>
        <v/>
      </c>
      <c r="I119" s="127">
        <f ca="1">ORÇAMENTO!X119</f>
        <v>1785.8</v>
      </c>
      <c r="J119" s="378">
        <f ca="1">IF($A119="S",IF(CAIXA.Modo,BM.AFAnterior,BM.MEDAnterior),IF(AND(RegimeExecucao="Global",$I119&gt;0,COUNTIF($AB$13:$AM$13,BM.medicao-1)&gt;0),M119/$I119*100,0))</f>
        <v>0</v>
      </c>
      <c r="K119" s="124">
        <f t="shared" ca="1" si="10"/>
        <v>0</v>
      </c>
      <c r="L119" s="379">
        <f ca="1">IF($A119="S",IF(CAIXA.Modo,BM.AFAcumulado,BM.MEDAcumulado),IF(AND(RegimeExecucao="Global",$I119&gt;0,COUNTIF($AB$13:$AM$13,BM.medicao)&gt;0),O119/$I119*100,0))</f>
        <v>0</v>
      </c>
      <c r="M119" s="380">
        <f ca="1">IF($A119="S",VTOTALBM,IF($A119=0,0,ROUND(SomaAgrupBM,15-13*ORÇAMENTO!$AF$11)))</f>
        <v>0</v>
      </c>
      <c r="N119" s="381">
        <f t="shared" ca="1" si="11"/>
        <v>0</v>
      </c>
      <c r="O119" s="127">
        <f ca="1">IF($A119="S",VTOTALBM,IF($A119=0,0,ROUND(SomaAgrupBM,15-13*ORÇAMENTO!$AF$11)))</f>
        <v>0</v>
      </c>
      <c r="Q119" s="382"/>
      <c r="R119" s="383"/>
      <c r="T119" s="119" t="str">
        <f t="shared" ca="1" si="12"/>
        <v/>
      </c>
      <c r="U119" s="172" t="str">
        <f t="shared" ca="1" si="13"/>
        <v/>
      </c>
      <c r="V119" s="173" t="str">
        <f ca="1">IF(AND($W119&gt;0,RegimeExecucao="Unitário"),$F119,"")</f>
        <v/>
      </c>
      <c r="W119" s="547">
        <f ca="1">IF($Y119&gt;0,CHOOSE(MATCH(RegimeExecucao,{"Unitário","Global"},0),IF($A119="S",$Y119/$X119,""),($Y119/$X119)*100),0)</f>
        <v>0</v>
      </c>
      <c r="X119" s="384" t="str">
        <f ca="1">IF($Y119&gt;0,CHOOSE(MATCH(RegimeExecucao,{"Unitário","Global"},0),IF($A119="S",ROUND($H119,ORÇAMENTO!$AF$10),""),ROUND($I119,ORÇAMENTO!$AF$11)),"")</f>
        <v/>
      </c>
      <c r="Y119" s="384">
        <f t="shared" ca="1" si="14"/>
        <v>0</v>
      </c>
      <c r="Z119" s="572"/>
      <c r="AB119" s="382"/>
      <c r="AC119" s="516"/>
      <c r="AD119" s="516"/>
      <c r="AE119" s="516"/>
      <c r="AF119" s="516"/>
      <c r="AG119" s="516"/>
      <c r="AH119" s="516"/>
      <c r="AI119" s="516"/>
      <c r="AJ119" s="516"/>
      <c r="AK119" s="516"/>
      <c r="AL119" s="516"/>
      <c r="AM119" s="383"/>
      <c r="AO119">
        <f ca="1">IF($A119="S",IF(BM!$I119=0,0,CHOOSE(MATCH(RegimeExecucao,{"Global","Unitário"},0),ROUND(ROUND(BM.MEDAcumulado,15-13*BM!$A$9)/100*BM!$I119,15-13*ORÇAMENTO!$AF$11),ROUND(ROUND(BM.MEDAcumulado,15-13*BM!$A$9)*ROUND(BM!$H119,15-13*ORÇAMENTO!$AF$10),15-13*ORÇAMENTO!$AF$11))),IF($A119=0,0,ROUND(SomaAgrupBM,15-13*ORÇAMENTO!$AF$11)))</f>
        <v>0</v>
      </c>
    </row>
    <row r="120" spans="1:41" ht="38.25" x14ac:dyDescent="0.2">
      <c r="A120" t="str">
        <f ca="1">ORÇAMENTO!C120</f>
        <v>S</v>
      </c>
      <c r="B120">
        <f ca="1">ORÇAMENTO!D120</f>
        <v>0</v>
      </c>
      <c r="C120" s="116" t="str">
        <f t="shared" ca="1" si="8"/>
        <v>F</v>
      </c>
      <c r="D120" s="119" t="str">
        <f ca="1">ORÇAMENTO!O120</f>
        <v>1.6.7.1.</v>
      </c>
      <c r="E120" s="172" t="str">
        <f t="shared" ca="1" si="9"/>
        <v>(abra o arquivo 'Referência 03-2024.xlsm)</v>
      </c>
      <c r="F120" s="173" t="str">
        <f ca="1">IF(RegimeExecucao="Global","",ORÇAMENTO.Unidade)</f>
        <v/>
      </c>
      <c r="G120" s="124" t="str">
        <f ca="1">IF(RegimeExecucao="Global","",ORÇAMENTO!T120)</f>
        <v/>
      </c>
      <c r="H120" s="124" t="str">
        <f ca="1">IF(RegimeExecucao="Global","",ORÇAMENTO!W120)</f>
        <v/>
      </c>
      <c r="I120" s="127">
        <f ca="1">ORÇAMENTO!X120</f>
        <v>505</v>
      </c>
      <c r="J120" s="378">
        <f ca="1">IF($A120="S",IF(CAIXA.Modo,BM.AFAnterior,BM.MEDAnterior),IF(AND(RegimeExecucao="Global",$I120&gt;0,COUNTIF($AB$13:$AM$13,BM.medicao-1)&gt;0),M120/$I120*100,0))</f>
        <v>0</v>
      </c>
      <c r="K120" s="124">
        <f t="shared" ca="1" si="10"/>
        <v>0</v>
      </c>
      <c r="L120" s="379">
        <f ca="1">IF($A120="S",IF(CAIXA.Modo,BM.AFAcumulado,BM.MEDAcumulado),IF(AND(RegimeExecucao="Global",$I120&gt;0,COUNTIF($AB$13:$AM$13,BM.medicao)&gt;0),O120/$I120*100,0))</f>
        <v>0</v>
      </c>
      <c r="M120" s="380">
        <f ca="1">IF($A120="S",VTOTALBM,IF($A120=0,0,ROUND(SomaAgrupBM,15-13*ORÇAMENTO!$AF$11)))</f>
        <v>0</v>
      </c>
      <c r="N120" s="381">
        <f t="shared" ca="1" si="11"/>
        <v>0</v>
      </c>
      <c r="O120" s="127">
        <f ca="1">IF($A120="S",VTOTALBM,IF($A120=0,0,ROUND(SomaAgrupBM,15-13*ORÇAMENTO!$AF$11)))</f>
        <v>0</v>
      </c>
      <c r="Q120" s="382"/>
      <c r="R120" s="383"/>
      <c r="T120" s="119" t="str">
        <f t="shared" ca="1" si="12"/>
        <v/>
      </c>
      <c r="U120" s="172" t="str">
        <f t="shared" ca="1" si="13"/>
        <v/>
      </c>
      <c r="V120" s="173" t="str">
        <f ca="1">IF(AND($W120&gt;0,RegimeExecucao="Unitário"),$F120,"")</f>
        <v/>
      </c>
      <c r="W120" s="547">
        <f ca="1">IF($Y120&gt;0,CHOOSE(MATCH(RegimeExecucao,{"Unitário","Global"},0),IF($A120="S",$Y120/$X120,""),($Y120/$X120)*100),0)</f>
        <v>0</v>
      </c>
      <c r="X120" s="384" t="str">
        <f ca="1">IF($Y120&gt;0,CHOOSE(MATCH(RegimeExecucao,{"Unitário","Global"},0),IF($A120="S",ROUND($H120,ORÇAMENTO!$AF$10),""),ROUND($I120,ORÇAMENTO!$AF$11)),"")</f>
        <v/>
      </c>
      <c r="Y120" s="384">
        <f t="shared" ca="1" si="14"/>
        <v>0</v>
      </c>
      <c r="Z120" s="572"/>
      <c r="AB120" s="382"/>
      <c r="AC120" s="516"/>
      <c r="AD120" s="516"/>
      <c r="AE120" s="516"/>
      <c r="AF120" s="516"/>
      <c r="AG120" s="516"/>
      <c r="AH120" s="516"/>
      <c r="AI120" s="516"/>
      <c r="AJ120" s="516"/>
      <c r="AK120" s="516"/>
      <c r="AL120" s="516"/>
      <c r="AM120" s="383"/>
      <c r="AO120">
        <f ca="1">IF($A120="S",IF(BM!$I120=0,0,CHOOSE(MATCH(RegimeExecucao,{"Global","Unitário"},0),ROUND(ROUND(BM.MEDAcumulado,15-13*BM!$A$9)/100*BM!$I120,15-13*ORÇAMENTO!$AF$11),ROUND(ROUND(BM.MEDAcumulado,15-13*BM!$A$9)*ROUND(BM!$H120,15-13*ORÇAMENTO!$AF$10),15-13*ORÇAMENTO!$AF$11))),IF($A120=0,0,ROUND(SomaAgrupBM,15-13*ORÇAMENTO!$AF$11)))</f>
        <v>0</v>
      </c>
    </row>
    <row r="121" spans="1:41" ht="51" x14ac:dyDescent="0.2">
      <c r="A121" t="str">
        <f ca="1">ORÇAMENTO!C121</f>
        <v>S</v>
      </c>
      <c r="B121">
        <f ca="1">ORÇAMENTO!D121</f>
        <v>0</v>
      </c>
      <c r="C121" s="116" t="str">
        <f t="shared" ca="1" si="8"/>
        <v>F</v>
      </c>
      <c r="D121" s="119" t="str">
        <f ca="1">ORÇAMENTO!O121</f>
        <v>1.6.7.2.</v>
      </c>
      <c r="E121" s="172" t="str">
        <f t="shared" ca="1" si="9"/>
        <v>(abra o arquivo 'Referência 03-2024.xlsm)</v>
      </c>
      <c r="F121" s="173" t="str">
        <f ca="1">IF(RegimeExecucao="Global","",ORÇAMENTO.Unidade)</f>
        <v/>
      </c>
      <c r="G121" s="124" t="str">
        <f ca="1">IF(RegimeExecucao="Global","",ORÇAMENTO!T121)</f>
        <v/>
      </c>
      <c r="H121" s="124" t="str">
        <f ca="1">IF(RegimeExecucao="Global","",ORÇAMENTO!W121)</f>
        <v/>
      </c>
      <c r="I121" s="127">
        <f ca="1">ORÇAMENTO!X121</f>
        <v>502.16</v>
      </c>
      <c r="J121" s="378">
        <f ca="1">IF($A121="S",IF(CAIXA.Modo,BM.AFAnterior,BM.MEDAnterior),IF(AND(RegimeExecucao="Global",$I121&gt;0,COUNTIF($AB$13:$AM$13,BM.medicao-1)&gt;0),M121/$I121*100,0))</f>
        <v>0</v>
      </c>
      <c r="K121" s="124">
        <f t="shared" ca="1" si="10"/>
        <v>0</v>
      </c>
      <c r="L121" s="379">
        <f ca="1">IF($A121="S",IF(CAIXA.Modo,BM.AFAcumulado,BM.MEDAcumulado),IF(AND(RegimeExecucao="Global",$I121&gt;0,COUNTIF($AB$13:$AM$13,BM.medicao)&gt;0),O121/$I121*100,0))</f>
        <v>0</v>
      </c>
      <c r="M121" s="380">
        <f ca="1">IF($A121="S",VTOTALBM,IF($A121=0,0,ROUND(SomaAgrupBM,15-13*ORÇAMENTO!$AF$11)))</f>
        <v>0</v>
      </c>
      <c r="N121" s="381">
        <f t="shared" ca="1" si="11"/>
        <v>0</v>
      </c>
      <c r="O121" s="127">
        <f ca="1">IF($A121="S",VTOTALBM,IF($A121=0,0,ROUND(SomaAgrupBM,15-13*ORÇAMENTO!$AF$11)))</f>
        <v>0</v>
      </c>
      <c r="Q121" s="382"/>
      <c r="R121" s="383"/>
      <c r="T121" s="119" t="str">
        <f t="shared" ca="1" si="12"/>
        <v/>
      </c>
      <c r="U121" s="172" t="str">
        <f t="shared" ca="1" si="13"/>
        <v/>
      </c>
      <c r="V121" s="173" t="str">
        <f ca="1">IF(AND($W121&gt;0,RegimeExecucao="Unitário"),$F121,"")</f>
        <v/>
      </c>
      <c r="W121" s="547">
        <f ca="1">IF($Y121&gt;0,CHOOSE(MATCH(RegimeExecucao,{"Unitário","Global"},0),IF($A121="S",$Y121/$X121,""),($Y121/$X121)*100),0)</f>
        <v>0</v>
      </c>
      <c r="X121" s="384" t="str">
        <f ca="1">IF($Y121&gt;0,CHOOSE(MATCH(RegimeExecucao,{"Unitário","Global"},0),IF($A121="S",ROUND($H121,ORÇAMENTO!$AF$10),""),ROUND($I121,ORÇAMENTO!$AF$11)),"")</f>
        <v/>
      </c>
      <c r="Y121" s="384">
        <f t="shared" ca="1" si="14"/>
        <v>0</v>
      </c>
      <c r="Z121" s="572"/>
      <c r="AB121" s="382"/>
      <c r="AC121" s="516"/>
      <c r="AD121" s="516"/>
      <c r="AE121" s="516"/>
      <c r="AF121" s="516"/>
      <c r="AG121" s="516"/>
      <c r="AH121" s="516"/>
      <c r="AI121" s="516"/>
      <c r="AJ121" s="516"/>
      <c r="AK121" s="516"/>
      <c r="AL121" s="516"/>
      <c r="AM121" s="383"/>
      <c r="AO121">
        <f ca="1">IF($A121="S",IF(BM!$I121=0,0,CHOOSE(MATCH(RegimeExecucao,{"Global","Unitário"},0),ROUND(ROUND(BM.MEDAcumulado,15-13*BM!$A$9)/100*BM!$I121,15-13*ORÇAMENTO!$AF$11),ROUND(ROUND(BM.MEDAcumulado,15-13*BM!$A$9)*ROUND(BM!$H121,15-13*ORÇAMENTO!$AF$10),15-13*ORÇAMENTO!$AF$11))),IF($A121=0,0,ROUND(SomaAgrupBM,15-13*ORÇAMENTO!$AF$11)))</f>
        <v>0</v>
      </c>
    </row>
    <row r="122" spans="1:41" ht="38.25" x14ac:dyDescent="0.2">
      <c r="A122" t="str">
        <f ca="1">ORÇAMENTO!C122</f>
        <v>S</v>
      </c>
      <c r="B122">
        <f ca="1">ORÇAMENTO!D122</f>
        <v>0</v>
      </c>
      <c r="C122" s="116" t="str">
        <f t="shared" ca="1" si="8"/>
        <v>F</v>
      </c>
      <c r="D122" s="119" t="str">
        <f ca="1">ORÇAMENTO!O122</f>
        <v>1.6.7.3.</v>
      </c>
      <c r="E122" s="172" t="str">
        <f t="shared" ca="1" si="9"/>
        <v>(abra o arquivo 'Referência 03-2024.xlsm)</v>
      </c>
      <c r="F122" s="173" t="str">
        <f ca="1">IF(RegimeExecucao="Global","",ORÇAMENTO.Unidade)</f>
        <v/>
      </c>
      <c r="G122" s="124" t="str">
        <f ca="1">IF(RegimeExecucao="Global","",ORÇAMENTO!T122)</f>
        <v/>
      </c>
      <c r="H122" s="124" t="str">
        <f ca="1">IF(RegimeExecucao="Global","",ORÇAMENTO!W122)</f>
        <v/>
      </c>
      <c r="I122" s="127">
        <f ca="1">ORÇAMENTO!X122</f>
        <v>165.68</v>
      </c>
      <c r="J122" s="378">
        <f ca="1">IF($A122="S",IF(CAIXA.Modo,BM.AFAnterior,BM.MEDAnterior),IF(AND(RegimeExecucao="Global",$I122&gt;0,COUNTIF($AB$13:$AM$13,BM.medicao-1)&gt;0),M122/$I122*100,0))</f>
        <v>0</v>
      </c>
      <c r="K122" s="124">
        <f t="shared" ca="1" si="10"/>
        <v>0</v>
      </c>
      <c r="L122" s="379">
        <f ca="1">IF($A122="S",IF(CAIXA.Modo,BM.AFAcumulado,BM.MEDAcumulado),IF(AND(RegimeExecucao="Global",$I122&gt;0,COUNTIF($AB$13:$AM$13,BM.medicao)&gt;0),O122/$I122*100,0))</f>
        <v>0</v>
      </c>
      <c r="M122" s="380">
        <f ca="1">IF($A122="S",VTOTALBM,IF($A122=0,0,ROUND(SomaAgrupBM,15-13*ORÇAMENTO!$AF$11)))</f>
        <v>0</v>
      </c>
      <c r="N122" s="381">
        <f t="shared" ca="1" si="11"/>
        <v>0</v>
      </c>
      <c r="O122" s="127">
        <f ca="1">IF($A122="S",VTOTALBM,IF($A122=0,0,ROUND(SomaAgrupBM,15-13*ORÇAMENTO!$AF$11)))</f>
        <v>0</v>
      </c>
      <c r="Q122" s="382"/>
      <c r="R122" s="383"/>
      <c r="T122" s="119" t="str">
        <f t="shared" ca="1" si="12"/>
        <v/>
      </c>
      <c r="U122" s="172" t="str">
        <f t="shared" ca="1" si="13"/>
        <v/>
      </c>
      <c r="V122" s="173" t="str">
        <f ca="1">IF(AND($W122&gt;0,RegimeExecucao="Unitário"),$F122,"")</f>
        <v/>
      </c>
      <c r="W122" s="547">
        <f ca="1">IF($Y122&gt;0,CHOOSE(MATCH(RegimeExecucao,{"Unitário","Global"},0),IF($A122="S",$Y122/$X122,""),($Y122/$X122)*100),0)</f>
        <v>0</v>
      </c>
      <c r="X122" s="384" t="str">
        <f ca="1">IF($Y122&gt;0,CHOOSE(MATCH(RegimeExecucao,{"Unitário","Global"},0),IF($A122="S",ROUND($H122,ORÇAMENTO!$AF$10),""),ROUND($I122,ORÇAMENTO!$AF$11)),"")</f>
        <v/>
      </c>
      <c r="Y122" s="384">
        <f t="shared" ca="1" si="14"/>
        <v>0</v>
      </c>
      <c r="Z122" s="572"/>
      <c r="AB122" s="382"/>
      <c r="AC122" s="516"/>
      <c r="AD122" s="516"/>
      <c r="AE122" s="516"/>
      <c r="AF122" s="516"/>
      <c r="AG122" s="516"/>
      <c r="AH122" s="516"/>
      <c r="AI122" s="516"/>
      <c r="AJ122" s="516"/>
      <c r="AK122" s="516"/>
      <c r="AL122" s="516"/>
      <c r="AM122" s="383"/>
      <c r="AO122">
        <f ca="1">IF($A122="S",IF(BM!$I122=0,0,CHOOSE(MATCH(RegimeExecucao,{"Global","Unitário"},0),ROUND(ROUND(BM.MEDAcumulado,15-13*BM!$A$9)/100*BM!$I122,15-13*ORÇAMENTO!$AF$11),ROUND(ROUND(BM.MEDAcumulado,15-13*BM!$A$9)*ROUND(BM!$H122,15-13*ORÇAMENTO!$AF$10),15-13*ORÇAMENTO!$AF$11))),IF($A122=0,0,ROUND(SomaAgrupBM,15-13*ORÇAMENTO!$AF$11)))</f>
        <v>0</v>
      </c>
    </row>
    <row r="123" spans="1:41" ht="38.25" x14ac:dyDescent="0.2">
      <c r="A123" t="str">
        <f ca="1">ORÇAMENTO!C123</f>
        <v>S</v>
      </c>
      <c r="B123">
        <f ca="1">ORÇAMENTO!D123</f>
        <v>0</v>
      </c>
      <c r="C123" s="116" t="str">
        <f t="shared" ca="1" si="8"/>
        <v>F</v>
      </c>
      <c r="D123" s="119" t="str">
        <f ca="1">ORÇAMENTO!O123</f>
        <v>1.6.7.4.</v>
      </c>
      <c r="E123" s="172" t="str">
        <f t="shared" ca="1" si="9"/>
        <v>(abra o arquivo 'Referência 03-2024.xlsm)</v>
      </c>
      <c r="F123" s="173" t="str">
        <f ca="1">IF(RegimeExecucao="Global","",ORÇAMENTO.Unidade)</f>
        <v/>
      </c>
      <c r="G123" s="124" t="str">
        <f ca="1">IF(RegimeExecucao="Global","",ORÇAMENTO!T123)</f>
        <v/>
      </c>
      <c r="H123" s="124" t="str">
        <f ca="1">IF(RegimeExecucao="Global","",ORÇAMENTO!W123)</f>
        <v/>
      </c>
      <c r="I123" s="127">
        <f ca="1">ORÇAMENTO!X123</f>
        <v>612.96</v>
      </c>
      <c r="J123" s="378">
        <f ca="1">IF($A123="S",IF(CAIXA.Modo,BM.AFAnterior,BM.MEDAnterior),IF(AND(RegimeExecucao="Global",$I123&gt;0,COUNTIF($AB$13:$AM$13,BM.medicao-1)&gt;0),M123/$I123*100,0))</f>
        <v>0</v>
      </c>
      <c r="K123" s="124">
        <f t="shared" ca="1" si="10"/>
        <v>0</v>
      </c>
      <c r="L123" s="379">
        <f ca="1">IF($A123="S",IF(CAIXA.Modo,BM.AFAcumulado,BM.MEDAcumulado),IF(AND(RegimeExecucao="Global",$I123&gt;0,COUNTIF($AB$13:$AM$13,BM.medicao)&gt;0),O123/$I123*100,0))</f>
        <v>0</v>
      </c>
      <c r="M123" s="380">
        <f ca="1">IF($A123="S",VTOTALBM,IF($A123=0,0,ROUND(SomaAgrupBM,15-13*ORÇAMENTO!$AF$11)))</f>
        <v>0</v>
      </c>
      <c r="N123" s="381">
        <f t="shared" ca="1" si="11"/>
        <v>0</v>
      </c>
      <c r="O123" s="127">
        <f ca="1">IF($A123="S",VTOTALBM,IF($A123=0,0,ROUND(SomaAgrupBM,15-13*ORÇAMENTO!$AF$11)))</f>
        <v>0</v>
      </c>
      <c r="Q123" s="382"/>
      <c r="R123" s="383"/>
      <c r="T123" s="119" t="str">
        <f t="shared" ca="1" si="12"/>
        <v/>
      </c>
      <c r="U123" s="172" t="str">
        <f t="shared" ca="1" si="13"/>
        <v/>
      </c>
      <c r="V123" s="173" t="str">
        <f ca="1">IF(AND($W123&gt;0,RegimeExecucao="Unitário"),$F123,"")</f>
        <v/>
      </c>
      <c r="W123" s="547">
        <f ca="1">IF($Y123&gt;0,CHOOSE(MATCH(RegimeExecucao,{"Unitário","Global"},0),IF($A123="S",$Y123/$X123,""),($Y123/$X123)*100),0)</f>
        <v>0</v>
      </c>
      <c r="X123" s="384" t="str">
        <f ca="1">IF($Y123&gt;0,CHOOSE(MATCH(RegimeExecucao,{"Unitário","Global"},0),IF($A123="S",ROUND($H123,ORÇAMENTO!$AF$10),""),ROUND($I123,ORÇAMENTO!$AF$11)),"")</f>
        <v/>
      </c>
      <c r="Y123" s="384">
        <f t="shared" ca="1" si="14"/>
        <v>0</v>
      </c>
      <c r="Z123" s="572"/>
      <c r="AB123" s="382"/>
      <c r="AC123" s="516"/>
      <c r="AD123" s="516"/>
      <c r="AE123" s="516"/>
      <c r="AF123" s="516"/>
      <c r="AG123" s="516"/>
      <c r="AH123" s="516"/>
      <c r="AI123" s="516"/>
      <c r="AJ123" s="516"/>
      <c r="AK123" s="516"/>
      <c r="AL123" s="516"/>
      <c r="AM123" s="383"/>
      <c r="AO123">
        <f ca="1">IF($A123="S",IF(BM!$I123=0,0,CHOOSE(MATCH(RegimeExecucao,{"Global","Unitário"},0),ROUND(ROUND(BM.MEDAcumulado,15-13*BM!$A$9)/100*BM!$I123,15-13*ORÇAMENTO!$AF$11),ROUND(ROUND(BM.MEDAcumulado,15-13*BM!$A$9)*ROUND(BM!$H123,15-13*ORÇAMENTO!$AF$10),15-13*ORÇAMENTO!$AF$11))),IF($A123=0,0,ROUND(SomaAgrupBM,15-13*ORÇAMENTO!$AF$11)))</f>
        <v>0</v>
      </c>
    </row>
    <row r="124" spans="1:41" x14ac:dyDescent="0.2">
      <c r="A124">
        <f ca="1">ORÇAMENTO!C124</f>
        <v>3</v>
      </c>
      <c r="B124">
        <f ca="1">ORÇAMENTO!D124</f>
        <v>7</v>
      </c>
      <c r="C124" s="116" t="str">
        <f t="shared" ca="1" si="8"/>
        <v>F</v>
      </c>
      <c r="D124" s="119" t="str">
        <f ca="1">ORÇAMENTO!O124</f>
        <v>1.6.8.</v>
      </c>
      <c r="E124" s="172" t="str">
        <f t="shared" si="9"/>
        <v>COBERTURA</v>
      </c>
      <c r="F124" s="173" t="str">
        <f ca="1">IF(RegimeExecucao="Global","",ORÇAMENTO.Unidade)</f>
        <v/>
      </c>
      <c r="G124" s="124" t="str">
        <f ca="1">IF(RegimeExecucao="Global","",ORÇAMENTO!T124)</f>
        <v/>
      </c>
      <c r="H124" s="124" t="str">
        <f ca="1">IF(RegimeExecucao="Global","",ORÇAMENTO!W124)</f>
        <v/>
      </c>
      <c r="I124" s="127">
        <f ca="1">ORÇAMENTO!X124</f>
        <v>10248.629999999999</v>
      </c>
      <c r="J124" s="378">
        <f ca="1">IF($A124="S",IF(CAIXA.Modo,BM.AFAnterior,BM.MEDAnterior),IF(AND(RegimeExecucao="Global",$I124&gt;0,COUNTIF($AB$13:$AM$13,BM.medicao-1)&gt;0),M124/$I124*100,0))</f>
        <v>0</v>
      </c>
      <c r="K124" s="124">
        <f t="shared" ca="1" si="10"/>
        <v>0</v>
      </c>
      <c r="L124" s="379">
        <f ca="1">IF($A124="S",IF(CAIXA.Modo,BM.AFAcumulado,BM.MEDAcumulado),IF(AND(RegimeExecucao="Global",$I124&gt;0,COUNTIF($AB$13:$AM$13,BM.medicao)&gt;0),O124/$I124*100,0))</f>
        <v>0</v>
      </c>
      <c r="M124" s="380">
        <f ca="1">IF($A124="S",VTOTALBM,IF($A124=0,0,ROUND(SomaAgrupBM,15-13*ORÇAMENTO!$AF$11)))</f>
        <v>0</v>
      </c>
      <c r="N124" s="381">
        <f t="shared" ca="1" si="11"/>
        <v>0</v>
      </c>
      <c r="O124" s="127">
        <f ca="1">IF($A124="S",VTOTALBM,IF($A124=0,0,ROUND(SomaAgrupBM,15-13*ORÇAMENTO!$AF$11)))</f>
        <v>0</v>
      </c>
      <c r="Q124" s="382"/>
      <c r="R124" s="383"/>
      <c r="T124" s="119" t="str">
        <f t="shared" ca="1" si="12"/>
        <v/>
      </c>
      <c r="U124" s="172" t="str">
        <f t="shared" ca="1" si="13"/>
        <v/>
      </c>
      <c r="V124" s="173" t="str">
        <f ca="1">IF(AND($W124&gt;0,RegimeExecucao="Unitário"),$F124,"")</f>
        <v/>
      </c>
      <c r="W124" s="547">
        <f ca="1">IF($Y124&gt;0,CHOOSE(MATCH(RegimeExecucao,{"Unitário","Global"},0),IF($A124="S",$Y124/$X124,""),($Y124/$X124)*100),0)</f>
        <v>0</v>
      </c>
      <c r="X124" s="384" t="str">
        <f ca="1">IF($Y124&gt;0,CHOOSE(MATCH(RegimeExecucao,{"Unitário","Global"},0),IF($A124="S",ROUND($H124,ORÇAMENTO!$AF$10),""),ROUND($I124,ORÇAMENTO!$AF$11)),"")</f>
        <v/>
      </c>
      <c r="Y124" s="384">
        <f t="shared" ca="1" si="14"/>
        <v>0</v>
      </c>
      <c r="Z124" s="572"/>
      <c r="AB124" s="382"/>
      <c r="AC124" s="516"/>
      <c r="AD124" s="516"/>
      <c r="AE124" s="516"/>
      <c r="AF124" s="516"/>
      <c r="AG124" s="516"/>
      <c r="AH124" s="516"/>
      <c r="AI124" s="516"/>
      <c r="AJ124" s="516"/>
      <c r="AK124" s="516"/>
      <c r="AL124" s="516"/>
      <c r="AM124" s="383"/>
      <c r="AO124">
        <f ca="1">IF($A124="S",IF(BM!$I124=0,0,CHOOSE(MATCH(RegimeExecucao,{"Global","Unitário"},0),ROUND(ROUND(BM.MEDAcumulado,15-13*BM!$A$9)/100*BM!$I124,15-13*ORÇAMENTO!$AF$11),ROUND(ROUND(BM.MEDAcumulado,15-13*BM!$A$9)*ROUND(BM!$H124,15-13*ORÇAMENTO!$AF$10),15-13*ORÇAMENTO!$AF$11))),IF($A124=0,0,ROUND(SomaAgrupBM,15-13*ORÇAMENTO!$AF$11)))</f>
        <v>0</v>
      </c>
    </row>
    <row r="125" spans="1:41" ht="38.25" x14ac:dyDescent="0.2">
      <c r="A125" t="str">
        <f ca="1">ORÇAMENTO!C125</f>
        <v>S</v>
      </c>
      <c r="B125">
        <f ca="1">ORÇAMENTO!D125</f>
        <v>0</v>
      </c>
      <c r="C125" s="116" t="str">
        <f t="shared" ca="1" si="8"/>
        <v>F</v>
      </c>
      <c r="D125" s="119" t="str">
        <f ca="1">ORÇAMENTO!O125</f>
        <v>1.6.8.1.</v>
      </c>
      <c r="E125" s="172" t="str">
        <f t="shared" ca="1" si="9"/>
        <v>(abra o arquivo 'Referência 03-2024.xlsm)</v>
      </c>
      <c r="F125" s="173" t="str">
        <f ca="1">IF(RegimeExecucao="Global","",ORÇAMENTO.Unidade)</f>
        <v/>
      </c>
      <c r="G125" s="124" t="str">
        <f ca="1">IF(RegimeExecucao="Global","",ORÇAMENTO!T125)</f>
        <v/>
      </c>
      <c r="H125" s="124" t="str">
        <f ca="1">IF(RegimeExecucao="Global","",ORÇAMENTO!W125)</f>
        <v/>
      </c>
      <c r="I125" s="127">
        <f ca="1">ORÇAMENTO!X125</f>
        <v>783.51</v>
      </c>
      <c r="J125" s="378">
        <f ca="1">IF($A125="S",IF(CAIXA.Modo,BM.AFAnterior,BM.MEDAnterior),IF(AND(RegimeExecucao="Global",$I125&gt;0,COUNTIF($AB$13:$AM$13,BM.medicao-1)&gt;0),M125/$I125*100,0))</f>
        <v>0</v>
      </c>
      <c r="K125" s="124">
        <f t="shared" ca="1" si="10"/>
        <v>0</v>
      </c>
      <c r="L125" s="379">
        <f ca="1">IF($A125="S",IF(CAIXA.Modo,BM.AFAcumulado,BM.MEDAcumulado),IF(AND(RegimeExecucao="Global",$I125&gt;0,COUNTIF($AB$13:$AM$13,BM.medicao)&gt;0),O125/$I125*100,0))</f>
        <v>0</v>
      </c>
      <c r="M125" s="380">
        <f ca="1">IF($A125="S",VTOTALBM,IF($A125=0,0,ROUND(SomaAgrupBM,15-13*ORÇAMENTO!$AF$11)))</f>
        <v>0</v>
      </c>
      <c r="N125" s="381">
        <f t="shared" ca="1" si="11"/>
        <v>0</v>
      </c>
      <c r="O125" s="127">
        <f ca="1">IF($A125="S",VTOTALBM,IF($A125=0,0,ROUND(SomaAgrupBM,15-13*ORÇAMENTO!$AF$11)))</f>
        <v>0</v>
      </c>
      <c r="Q125" s="382"/>
      <c r="R125" s="383"/>
      <c r="T125" s="119" t="str">
        <f t="shared" ca="1" si="12"/>
        <v/>
      </c>
      <c r="U125" s="172" t="str">
        <f t="shared" ca="1" si="13"/>
        <v/>
      </c>
      <c r="V125" s="173" t="str">
        <f ca="1">IF(AND($W125&gt;0,RegimeExecucao="Unitário"),$F125,"")</f>
        <v/>
      </c>
      <c r="W125" s="547">
        <f ca="1">IF($Y125&gt;0,CHOOSE(MATCH(RegimeExecucao,{"Unitário","Global"},0),IF($A125="S",$Y125/$X125,""),($Y125/$X125)*100),0)</f>
        <v>0</v>
      </c>
      <c r="X125" s="384" t="str">
        <f ca="1">IF($Y125&gt;0,CHOOSE(MATCH(RegimeExecucao,{"Unitário","Global"},0),IF($A125="S",ROUND($H125,ORÇAMENTO!$AF$10),""),ROUND($I125,ORÇAMENTO!$AF$11)),"")</f>
        <v/>
      </c>
      <c r="Y125" s="384">
        <f t="shared" ca="1" si="14"/>
        <v>0</v>
      </c>
      <c r="Z125" s="572"/>
      <c r="AB125" s="382"/>
      <c r="AC125" s="516"/>
      <c r="AD125" s="516"/>
      <c r="AE125" s="516"/>
      <c r="AF125" s="516"/>
      <c r="AG125" s="516"/>
      <c r="AH125" s="516"/>
      <c r="AI125" s="516"/>
      <c r="AJ125" s="516"/>
      <c r="AK125" s="516"/>
      <c r="AL125" s="516"/>
      <c r="AM125" s="383"/>
      <c r="AO125">
        <f ca="1">IF($A125="S",IF(BM!$I125=0,0,CHOOSE(MATCH(RegimeExecucao,{"Global","Unitário"},0),ROUND(ROUND(BM.MEDAcumulado,15-13*BM!$A$9)/100*BM!$I125,15-13*ORÇAMENTO!$AF$11),ROUND(ROUND(BM.MEDAcumulado,15-13*BM!$A$9)*ROUND(BM!$H125,15-13*ORÇAMENTO!$AF$10),15-13*ORÇAMENTO!$AF$11))),IF($A125=0,0,ROUND(SomaAgrupBM,15-13*ORÇAMENTO!$AF$11)))</f>
        <v>0</v>
      </c>
    </row>
    <row r="126" spans="1:41" ht="25.5" x14ac:dyDescent="0.2">
      <c r="A126" t="str">
        <f ca="1">ORÇAMENTO!C126</f>
        <v>S</v>
      </c>
      <c r="B126">
        <f ca="1">ORÇAMENTO!D126</f>
        <v>0</v>
      </c>
      <c r="C126" s="116" t="str">
        <f t="shared" ca="1" si="8"/>
        <v>F</v>
      </c>
      <c r="D126" s="119" t="str">
        <f ca="1">ORÇAMENTO!O126</f>
        <v>1.6.8.2.</v>
      </c>
      <c r="E126" s="172" t="str">
        <f t="shared" ca="1" si="9"/>
        <v>(abra o arquivo 'Referência 03-2024.xlsm)</v>
      </c>
      <c r="F126" s="173" t="str">
        <f ca="1">IF(RegimeExecucao="Global","",ORÇAMENTO.Unidade)</f>
        <v/>
      </c>
      <c r="G126" s="124" t="str">
        <f ca="1">IF(RegimeExecucao="Global","",ORÇAMENTO!T126)</f>
        <v/>
      </c>
      <c r="H126" s="124" t="str">
        <f ca="1">IF(RegimeExecucao="Global","",ORÇAMENTO!W126)</f>
        <v/>
      </c>
      <c r="I126" s="127">
        <f ca="1">ORÇAMENTO!X126</f>
        <v>4273.66</v>
      </c>
      <c r="J126" s="378">
        <f ca="1">IF($A126="S",IF(CAIXA.Modo,BM.AFAnterior,BM.MEDAnterior),IF(AND(RegimeExecucao="Global",$I126&gt;0,COUNTIF($AB$13:$AM$13,BM.medicao-1)&gt;0),M126/$I126*100,0))</f>
        <v>0</v>
      </c>
      <c r="K126" s="124">
        <f t="shared" ca="1" si="10"/>
        <v>0</v>
      </c>
      <c r="L126" s="379">
        <f ca="1">IF($A126="S",IF(CAIXA.Modo,BM.AFAcumulado,BM.MEDAcumulado),IF(AND(RegimeExecucao="Global",$I126&gt;0,COUNTIF($AB$13:$AM$13,BM.medicao)&gt;0),O126/$I126*100,0))</f>
        <v>0</v>
      </c>
      <c r="M126" s="380">
        <f ca="1">IF($A126="S",VTOTALBM,IF($A126=0,0,ROUND(SomaAgrupBM,15-13*ORÇAMENTO!$AF$11)))</f>
        <v>0</v>
      </c>
      <c r="N126" s="381">
        <f t="shared" ca="1" si="11"/>
        <v>0</v>
      </c>
      <c r="O126" s="127">
        <f ca="1">IF($A126="S",VTOTALBM,IF($A126=0,0,ROUND(SomaAgrupBM,15-13*ORÇAMENTO!$AF$11)))</f>
        <v>0</v>
      </c>
      <c r="Q126" s="382"/>
      <c r="R126" s="383"/>
      <c r="T126" s="119" t="str">
        <f t="shared" ca="1" si="12"/>
        <v/>
      </c>
      <c r="U126" s="172" t="str">
        <f t="shared" ca="1" si="13"/>
        <v/>
      </c>
      <c r="V126" s="173" t="str">
        <f ca="1">IF(AND($W126&gt;0,RegimeExecucao="Unitário"),$F126,"")</f>
        <v/>
      </c>
      <c r="W126" s="547">
        <f ca="1">IF($Y126&gt;0,CHOOSE(MATCH(RegimeExecucao,{"Unitário","Global"},0),IF($A126="S",$Y126/$X126,""),($Y126/$X126)*100),0)</f>
        <v>0</v>
      </c>
      <c r="X126" s="384" t="str">
        <f ca="1">IF($Y126&gt;0,CHOOSE(MATCH(RegimeExecucao,{"Unitário","Global"},0),IF($A126="S",ROUND($H126,ORÇAMENTO!$AF$10),""),ROUND($I126,ORÇAMENTO!$AF$11)),"")</f>
        <v/>
      </c>
      <c r="Y126" s="384">
        <f t="shared" ca="1" si="14"/>
        <v>0</v>
      </c>
      <c r="Z126" s="572"/>
      <c r="AB126" s="382"/>
      <c r="AC126" s="516"/>
      <c r="AD126" s="516"/>
      <c r="AE126" s="516"/>
      <c r="AF126" s="516"/>
      <c r="AG126" s="516"/>
      <c r="AH126" s="516"/>
      <c r="AI126" s="516"/>
      <c r="AJ126" s="516"/>
      <c r="AK126" s="516"/>
      <c r="AL126" s="516"/>
      <c r="AM126" s="383"/>
      <c r="AO126">
        <f ca="1">IF($A126="S",IF(BM!$I126=0,0,CHOOSE(MATCH(RegimeExecucao,{"Global","Unitário"},0),ROUND(ROUND(BM.MEDAcumulado,15-13*BM!$A$9)/100*BM!$I126,15-13*ORÇAMENTO!$AF$11),ROUND(ROUND(BM.MEDAcumulado,15-13*BM!$A$9)*ROUND(BM!$H126,15-13*ORÇAMENTO!$AF$10),15-13*ORÇAMENTO!$AF$11))),IF($A126=0,0,ROUND(SomaAgrupBM,15-13*ORÇAMENTO!$AF$11)))</f>
        <v>0</v>
      </c>
    </row>
    <row r="127" spans="1:41" ht="25.5" x14ac:dyDescent="0.2">
      <c r="A127" t="str">
        <f ca="1">ORÇAMENTO!C127</f>
        <v>S</v>
      </c>
      <c r="B127">
        <f ca="1">ORÇAMENTO!D127</f>
        <v>0</v>
      </c>
      <c r="C127" s="116" t="str">
        <f t="shared" ca="1" si="8"/>
        <v>F</v>
      </c>
      <c r="D127" s="119" t="str">
        <f ca="1">ORÇAMENTO!O127</f>
        <v>1.6.8.3.</v>
      </c>
      <c r="E127" s="172" t="str">
        <f t="shared" ca="1" si="9"/>
        <v>(abra o arquivo 'Referência 03-2024.xlsm)</v>
      </c>
      <c r="F127" s="173" t="str">
        <f ca="1">IF(RegimeExecucao="Global","",ORÇAMENTO.Unidade)</f>
        <v/>
      </c>
      <c r="G127" s="124" t="str">
        <f ca="1">IF(RegimeExecucao="Global","",ORÇAMENTO!T127)</f>
        <v/>
      </c>
      <c r="H127" s="124" t="str">
        <f ca="1">IF(RegimeExecucao="Global","",ORÇAMENTO!W127)</f>
        <v/>
      </c>
      <c r="I127" s="127">
        <f ca="1">ORÇAMENTO!X127</f>
        <v>1601.06</v>
      </c>
      <c r="J127" s="378">
        <f ca="1">IF($A127="S",IF(CAIXA.Modo,BM.AFAnterior,BM.MEDAnterior),IF(AND(RegimeExecucao="Global",$I127&gt;0,COUNTIF($AB$13:$AM$13,BM.medicao-1)&gt;0),M127/$I127*100,0))</f>
        <v>0</v>
      </c>
      <c r="K127" s="124">
        <f t="shared" ca="1" si="10"/>
        <v>0</v>
      </c>
      <c r="L127" s="379">
        <f ca="1">IF($A127="S",IF(CAIXA.Modo,BM.AFAcumulado,BM.MEDAcumulado),IF(AND(RegimeExecucao="Global",$I127&gt;0,COUNTIF($AB$13:$AM$13,BM.medicao)&gt;0),O127/$I127*100,0))</f>
        <v>0</v>
      </c>
      <c r="M127" s="380">
        <f ca="1">IF($A127="S",VTOTALBM,IF($A127=0,0,ROUND(SomaAgrupBM,15-13*ORÇAMENTO!$AF$11)))</f>
        <v>0</v>
      </c>
      <c r="N127" s="381">
        <f t="shared" ca="1" si="11"/>
        <v>0</v>
      </c>
      <c r="O127" s="127">
        <f ca="1">IF($A127="S",VTOTALBM,IF($A127=0,0,ROUND(SomaAgrupBM,15-13*ORÇAMENTO!$AF$11)))</f>
        <v>0</v>
      </c>
      <c r="Q127" s="382"/>
      <c r="R127" s="383"/>
      <c r="T127" s="119" t="str">
        <f t="shared" ca="1" si="12"/>
        <v/>
      </c>
      <c r="U127" s="172" t="str">
        <f t="shared" ca="1" si="13"/>
        <v/>
      </c>
      <c r="V127" s="173" t="str">
        <f ca="1">IF(AND($W127&gt;0,RegimeExecucao="Unitário"),$F127,"")</f>
        <v/>
      </c>
      <c r="W127" s="547">
        <f ca="1">IF($Y127&gt;0,CHOOSE(MATCH(RegimeExecucao,{"Unitário","Global"},0),IF($A127="S",$Y127/$X127,""),($Y127/$X127)*100),0)</f>
        <v>0</v>
      </c>
      <c r="X127" s="384" t="str">
        <f ca="1">IF($Y127&gt;0,CHOOSE(MATCH(RegimeExecucao,{"Unitário","Global"},0),IF($A127="S",ROUND($H127,ORÇAMENTO!$AF$10),""),ROUND($I127,ORÇAMENTO!$AF$11)),"")</f>
        <v/>
      </c>
      <c r="Y127" s="384">
        <f t="shared" ca="1" si="14"/>
        <v>0</v>
      </c>
      <c r="Z127" s="572"/>
      <c r="AB127" s="382"/>
      <c r="AC127" s="516"/>
      <c r="AD127" s="516"/>
      <c r="AE127" s="516"/>
      <c r="AF127" s="516"/>
      <c r="AG127" s="516"/>
      <c r="AH127" s="516"/>
      <c r="AI127" s="516"/>
      <c r="AJ127" s="516"/>
      <c r="AK127" s="516"/>
      <c r="AL127" s="516"/>
      <c r="AM127" s="383"/>
      <c r="AO127">
        <f ca="1">IF($A127="S",IF(BM!$I127=0,0,CHOOSE(MATCH(RegimeExecucao,{"Global","Unitário"},0),ROUND(ROUND(BM.MEDAcumulado,15-13*BM!$A$9)/100*BM!$I127,15-13*ORÇAMENTO!$AF$11),ROUND(ROUND(BM.MEDAcumulado,15-13*BM!$A$9)*ROUND(BM!$H127,15-13*ORÇAMENTO!$AF$10),15-13*ORÇAMENTO!$AF$11))),IF($A127=0,0,ROUND(SomaAgrupBM,15-13*ORÇAMENTO!$AF$11)))</f>
        <v>0</v>
      </c>
    </row>
    <row r="128" spans="1:41" ht="38.25" x14ac:dyDescent="0.2">
      <c r="A128" t="str">
        <f ca="1">ORÇAMENTO!C128</f>
        <v>S</v>
      </c>
      <c r="B128">
        <f ca="1">ORÇAMENTO!D128</f>
        <v>0</v>
      </c>
      <c r="C128" s="116" t="str">
        <f t="shared" ca="1" si="8"/>
        <v>F</v>
      </c>
      <c r="D128" s="119" t="str">
        <f ca="1">ORÇAMENTO!O128</f>
        <v>1.6.8.4.</v>
      </c>
      <c r="E128" s="172" t="str">
        <f t="shared" ca="1" si="9"/>
        <v>(abra o arquivo 'Referência 03-2024.xlsm)</v>
      </c>
      <c r="F128" s="173" t="str">
        <f ca="1">IF(RegimeExecucao="Global","",ORÇAMENTO.Unidade)</f>
        <v/>
      </c>
      <c r="G128" s="124" t="str">
        <f ca="1">IF(RegimeExecucao="Global","",ORÇAMENTO!T128)</f>
        <v/>
      </c>
      <c r="H128" s="124" t="str">
        <f ca="1">IF(RegimeExecucao="Global","",ORÇAMENTO!W128)</f>
        <v/>
      </c>
      <c r="I128" s="127">
        <f ca="1">ORÇAMENTO!X128</f>
        <v>2173.1999999999998</v>
      </c>
      <c r="J128" s="378">
        <f ca="1">IF($A128="S",IF(CAIXA.Modo,BM.AFAnterior,BM.MEDAnterior),IF(AND(RegimeExecucao="Global",$I128&gt;0,COUNTIF($AB$13:$AM$13,BM.medicao-1)&gt;0),M128/$I128*100,0))</f>
        <v>0</v>
      </c>
      <c r="K128" s="124">
        <f t="shared" ca="1" si="10"/>
        <v>0</v>
      </c>
      <c r="L128" s="379">
        <f ca="1">IF($A128="S",IF(CAIXA.Modo,BM.AFAcumulado,BM.MEDAcumulado),IF(AND(RegimeExecucao="Global",$I128&gt;0,COUNTIF($AB$13:$AM$13,BM.medicao)&gt;0),O128/$I128*100,0))</f>
        <v>0</v>
      </c>
      <c r="M128" s="380">
        <f ca="1">IF($A128="S",VTOTALBM,IF($A128=0,0,ROUND(SomaAgrupBM,15-13*ORÇAMENTO!$AF$11)))</f>
        <v>0</v>
      </c>
      <c r="N128" s="381">
        <f t="shared" ca="1" si="11"/>
        <v>0</v>
      </c>
      <c r="O128" s="127">
        <f ca="1">IF($A128="S",VTOTALBM,IF($A128=0,0,ROUND(SomaAgrupBM,15-13*ORÇAMENTO!$AF$11)))</f>
        <v>0</v>
      </c>
      <c r="Q128" s="382"/>
      <c r="R128" s="383"/>
      <c r="T128" s="119" t="str">
        <f t="shared" ca="1" si="12"/>
        <v/>
      </c>
      <c r="U128" s="172" t="str">
        <f t="shared" ca="1" si="13"/>
        <v/>
      </c>
      <c r="V128" s="173" t="str">
        <f ca="1">IF(AND($W128&gt;0,RegimeExecucao="Unitário"),$F128,"")</f>
        <v/>
      </c>
      <c r="W128" s="547">
        <f ca="1">IF($Y128&gt;0,CHOOSE(MATCH(RegimeExecucao,{"Unitário","Global"},0),IF($A128="S",$Y128/$X128,""),($Y128/$X128)*100),0)</f>
        <v>0</v>
      </c>
      <c r="X128" s="384" t="str">
        <f ca="1">IF($Y128&gt;0,CHOOSE(MATCH(RegimeExecucao,{"Unitário","Global"},0),IF($A128="S",ROUND($H128,ORÇAMENTO!$AF$10),""),ROUND($I128,ORÇAMENTO!$AF$11)),"")</f>
        <v/>
      </c>
      <c r="Y128" s="384">
        <f t="shared" ca="1" si="14"/>
        <v>0</v>
      </c>
      <c r="Z128" s="572"/>
      <c r="AB128" s="382"/>
      <c r="AC128" s="516"/>
      <c r="AD128" s="516"/>
      <c r="AE128" s="516"/>
      <c r="AF128" s="516"/>
      <c r="AG128" s="516"/>
      <c r="AH128" s="516"/>
      <c r="AI128" s="516"/>
      <c r="AJ128" s="516"/>
      <c r="AK128" s="516"/>
      <c r="AL128" s="516"/>
      <c r="AM128" s="383"/>
      <c r="AO128">
        <f ca="1">IF($A128="S",IF(BM!$I128=0,0,CHOOSE(MATCH(RegimeExecucao,{"Global","Unitário"},0),ROUND(ROUND(BM.MEDAcumulado,15-13*BM!$A$9)/100*BM!$I128,15-13*ORÇAMENTO!$AF$11),ROUND(ROUND(BM.MEDAcumulado,15-13*BM!$A$9)*ROUND(BM!$H128,15-13*ORÇAMENTO!$AF$10),15-13*ORÇAMENTO!$AF$11))),IF($A128=0,0,ROUND(SomaAgrupBM,15-13*ORÇAMENTO!$AF$11)))</f>
        <v>0</v>
      </c>
    </row>
    <row r="129" spans="1:41" ht="38.25" x14ac:dyDescent="0.2">
      <c r="A129" t="str">
        <f ca="1">ORÇAMENTO!C129</f>
        <v>S</v>
      </c>
      <c r="B129">
        <f ca="1">ORÇAMENTO!D129</f>
        <v>0</v>
      </c>
      <c r="C129" s="116" t="str">
        <f t="shared" ca="1" si="8"/>
        <v>F</v>
      </c>
      <c r="D129" s="119" t="str">
        <f ca="1">ORÇAMENTO!O129</f>
        <v>1.6.8.5.</v>
      </c>
      <c r="E129" s="172" t="str">
        <f t="shared" ca="1" si="9"/>
        <v>(abra o arquivo 'Referência 03-2024.xlsm)</v>
      </c>
      <c r="F129" s="173" t="str">
        <f ca="1">IF(RegimeExecucao="Global","",ORÇAMENTO.Unidade)</f>
        <v/>
      </c>
      <c r="G129" s="124" t="str">
        <f ca="1">IF(RegimeExecucao="Global","",ORÇAMENTO!T129)</f>
        <v/>
      </c>
      <c r="H129" s="124" t="str">
        <f ca="1">IF(RegimeExecucao="Global","",ORÇAMENTO!W129)</f>
        <v/>
      </c>
      <c r="I129" s="127">
        <f ca="1">ORÇAMENTO!X129</f>
        <v>897.56</v>
      </c>
      <c r="J129" s="378">
        <f ca="1">IF($A129="S",IF(CAIXA.Modo,BM.AFAnterior,BM.MEDAnterior),IF(AND(RegimeExecucao="Global",$I129&gt;0,COUNTIF($AB$13:$AM$13,BM.medicao-1)&gt;0),M129/$I129*100,0))</f>
        <v>0</v>
      </c>
      <c r="K129" s="124">
        <f t="shared" ca="1" si="10"/>
        <v>0</v>
      </c>
      <c r="L129" s="379">
        <f ca="1">IF($A129="S",IF(CAIXA.Modo,BM.AFAcumulado,BM.MEDAcumulado),IF(AND(RegimeExecucao="Global",$I129&gt;0,COUNTIF($AB$13:$AM$13,BM.medicao)&gt;0),O129/$I129*100,0))</f>
        <v>0</v>
      </c>
      <c r="M129" s="380">
        <f ca="1">IF($A129="S",VTOTALBM,IF($A129=0,0,ROUND(SomaAgrupBM,15-13*ORÇAMENTO!$AF$11)))</f>
        <v>0</v>
      </c>
      <c r="N129" s="381">
        <f t="shared" ca="1" si="11"/>
        <v>0</v>
      </c>
      <c r="O129" s="127">
        <f ca="1">IF($A129="S",VTOTALBM,IF($A129=0,0,ROUND(SomaAgrupBM,15-13*ORÇAMENTO!$AF$11)))</f>
        <v>0</v>
      </c>
      <c r="Q129" s="382"/>
      <c r="R129" s="383"/>
      <c r="T129" s="119" t="str">
        <f t="shared" ca="1" si="12"/>
        <v/>
      </c>
      <c r="U129" s="172" t="str">
        <f t="shared" ca="1" si="13"/>
        <v/>
      </c>
      <c r="V129" s="173" t="str">
        <f ca="1">IF(AND($W129&gt;0,RegimeExecucao="Unitário"),$F129,"")</f>
        <v/>
      </c>
      <c r="W129" s="547">
        <f ca="1">IF($Y129&gt;0,CHOOSE(MATCH(RegimeExecucao,{"Unitário","Global"},0),IF($A129="S",$Y129/$X129,""),($Y129/$X129)*100),0)</f>
        <v>0</v>
      </c>
      <c r="X129" s="384" t="str">
        <f ca="1">IF($Y129&gt;0,CHOOSE(MATCH(RegimeExecucao,{"Unitário","Global"},0),IF($A129="S",ROUND($H129,ORÇAMENTO!$AF$10),""),ROUND($I129,ORÇAMENTO!$AF$11)),"")</f>
        <v/>
      </c>
      <c r="Y129" s="384">
        <f t="shared" ca="1" si="14"/>
        <v>0</v>
      </c>
      <c r="Z129" s="572"/>
      <c r="AB129" s="382"/>
      <c r="AC129" s="516"/>
      <c r="AD129" s="516"/>
      <c r="AE129" s="516"/>
      <c r="AF129" s="516"/>
      <c r="AG129" s="516"/>
      <c r="AH129" s="516"/>
      <c r="AI129" s="516"/>
      <c r="AJ129" s="516"/>
      <c r="AK129" s="516"/>
      <c r="AL129" s="516"/>
      <c r="AM129" s="383"/>
      <c r="AO129">
        <f ca="1">IF($A129="S",IF(BM!$I129=0,0,CHOOSE(MATCH(RegimeExecucao,{"Global","Unitário"},0),ROUND(ROUND(BM.MEDAcumulado,15-13*BM!$A$9)/100*BM!$I129,15-13*ORÇAMENTO!$AF$11),ROUND(ROUND(BM.MEDAcumulado,15-13*BM!$A$9)*ROUND(BM!$H129,15-13*ORÇAMENTO!$AF$10),15-13*ORÇAMENTO!$AF$11))),IF($A129=0,0,ROUND(SomaAgrupBM,15-13*ORÇAMENTO!$AF$11)))</f>
        <v>0</v>
      </c>
    </row>
    <row r="130" spans="1:41" ht="25.5" x14ac:dyDescent="0.2">
      <c r="A130" t="str">
        <f ca="1">ORÇAMENTO!C130</f>
        <v>S</v>
      </c>
      <c r="B130">
        <f ca="1">ORÇAMENTO!D130</f>
        <v>0</v>
      </c>
      <c r="C130" s="116" t="str">
        <f ca="1">IF(OR($I130&gt;0,$A130=1,$A130=2,$A130=3,$A130=4),"F","")</f>
        <v>F</v>
      </c>
      <c r="D130" s="119" t="str">
        <f ca="1">ORÇAMENTO!O130</f>
        <v>1.6.8.6.</v>
      </c>
      <c r="E130" s="172" t="str">
        <f ca="1">ORÇAMENTO.Descricao</f>
        <v>(abra o arquivo 'Referência 03-2024.xlsm)</v>
      </c>
      <c r="F130" s="173" t="str">
        <f ca="1">IF(RegimeExecucao="Global","",ORÇAMENTO.Unidade)</f>
        <v/>
      </c>
      <c r="G130" s="124" t="str">
        <f ca="1">IF(RegimeExecucao="Global","",ORÇAMENTO!T130)</f>
        <v/>
      </c>
      <c r="H130" s="124" t="str">
        <f ca="1">IF(RegimeExecucao="Global","",ORÇAMENTO!W130)</f>
        <v/>
      </c>
      <c r="I130" s="127">
        <f ca="1">ORÇAMENTO!X130</f>
        <v>519.64</v>
      </c>
      <c r="J130" s="378">
        <f ca="1">IF($A130="S",IF(CAIXA.Modo,BM.AFAnterior,BM.MEDAnterior),IF(AND(RegimeExecucao="Global",$I130&gt;0,COUNTIF($AB$13:$AM$13,BM.medicao-1)&gt;0),M130/$I130*100,0))</f>
        <v>0</v>
      </c>
      <c r="K130" s="124">
        <f ca="1">L130-J130</f>
        <v>0</v>
      </c>
      <c r="L130" s="379">
        <f ca="1">IF($A130="S",IF(CAIXA.Modo,BM.AFAcumulado,BM.MEDAcumulado),IF(AND(RegimeExecucao="Global",$I130&gt;0,COUNTIF($AB$13:$AM$13,BM.medicao)&gt;0),O130/$I130*100,0))</f>
        <v>0</v>
      </c>
      <c r="M130" s="380">
        <f ca="1">IF($A130="S",VTOTALBM,IF($A130=0,0,ROUND(SomaAgrupBM,15-13*ORÇAMENTO!$AF$11)))</f>
        <v>0</v>
      </c>
      <c r="N130" s="381">
        <f ca="1">O130-M130</f>
        <v>0</v>
      </c>
      <c r="O130" s="127">
        <f ca="1">IF($A130="S",VTOTALBM,IF($A130=0,0,ROUND(SomaAgrupBM,15-13*ORÇAMENTO!$AF$11)))</f>
        <v>0</v>
      </c>
      <c r="Q130" s="382"/>
      <c r="R130" s="383"/>
      <c r="T130" s="119" t="str">
        <f ca="1">IF($W130&gt;0,$D130,"")</f>
        <v/>
      </c>
      <c r="U130" s="172" t="str">
        <f ca="1">IF($W130&gt;0,$E130,"")</f>
        <v/>
      </c>
      <c r="V130" s="173" t="str">
        <f ca="1">IF(AND($W130&gt;0,RegimeExecucao="Unitário"),$F130,"")</f>
        <v/>
      </c>
      <c r="W130" s="547">
        <f ca="1">IF($Y130&gt;0,CHOOSE(MATCH(RegimeExecucao,{"Unitário","Global"},0),IF($A130="S",$Y130/$X130,""),($Y130/$X130)*100),0)</f>
        <v>0</v>
      </c>
      <c r="X130" s="384" t="str">
        <f ca="1">IF($Y130&gt;0,CHOOSE(MATCH(RegimeExecucao,{"Unitário","Global"},0),IF($A130="S",ROUND($H130,ORÇAMENTO!$AF$10),""),ROUND($I130,ORÇAMENTO!$AF$11)),"")</f>
        <v/>
      </c>
      <c r="Y130" s="384">
        <f ca="1">AO130-O130</f>
        <v>0</v>
      </c>
      <c r="Z130" s="572"/>
      <c r="AB130" s="382"/>
      <c r="AC130" s="516"/>
      <c r="AD130" s="516"/>
      <c r="AE130" s="516"/>
      <c r="AF130" s="516"/>
      <c r="AG130" s="516"/>
      <c r="AH130" s="516"/>
      <c r="AI130" s="516"/>
      <c r="AJ130" s="516"/>
      <c r="AK130" s="516"/>
      <c r="AL130" s="516"/>
      <c r="AM130" s="383"/>
      <c r="AO130">
        <f ca="1">IF($A130="S",IF(BM!$I130=0,0,CHOOSE(MATCH(RegimeExecucao,{"Global","Unitário"},0),ROUND(ROUND(BM.MEDAcumulado,15-13*BM!$A$9)/100*BM!$I130,15-13*ORÇAMENTO!$AF$11),ROUND(ROUND(BM.MEDAcumulado,15-13*BM!$A$9)*ROUND(BM!$H130,15-13*ORÇAMENTO!$AF$10),15-13*ORÇAMENTO!$AF$11))),IF($A130=0,0,ROUND(SomaAgrupBM,15-13*ORÇAMENTO!$AF$11)))</f>
        <v>0</v>
      </c>
    </row>
    <row r="131" spans="1:41" x14ac:dyDescent="0.2">
      <c r="A131">
        <f ca="1">ORÇAMENTO!C131</f>
        <v>3</v>
      </c>
      <c r="B131">
        <f ca="1">ORÇAMENTO!D131</f>
        <v>3</v>
      </c>
      <c r="C131" s="116" t="str">
        <f t="shared" ca="1" si="8"/>
        <v>F</v>
      </c>
      <c r="D131" s="119" t="str">
        <f ca="1">ORÇAMENTO!O131</f>
        <v>1.6.9.</v>
      </c>
      <c r="E131" s="172" t="str">
        <f t="shared" si="9"/>
        <v>ESQUADRIAS</v>
      </c>
      <c r="F131" s="173" t="str">
        <f ca="1">IF(RegimeExecucao="Global","",ORÇAMENTO.Unidade)</f>
        <v/>
      </c>
      <c r="G131" s="124" t="str">
        <f ca="1">IF(RegimeExecucao="Global","",ORÇAMENTO!T131)</f>
        <v/>
      </c>
      <c r="H131" s="124" t="str">
        <f ca="1">IF(RegimeExecucao="Global","",ORÇAMENTO!W131)</f>
        <v/>
      </c>
      <c r="I131" s="127">
        <f ca="1">ORÇAMENTO!X131</f>
        <v>4802.62</v>
      </c>
      <c r="J131" s="378">
        <f ca="1">IF($A131="S",IF(CAIXA.Modo,BM.AFAnterior,BM.MEDAnterior),IF(AND(RegimeExecucao="Global",$I131&gt;0,COUNTIF($AB$13:$AM$13,BM.medicao-1)&gt;0),M131/$I131*100,0))</f>
        <v>0</v>
      </c>
      <c r="K131" s="124">
        <f t="shared" ca="1" si="10"/>
        <v>0</v>
      </c>
      <c r="L131" s="379">
        <f ca="1">IF($A131="S",IF(CAIXA.Modo,BM.AFAcumulado,BM.MEDAcumulado),IF(AND(RegimeExecucao="Global",$I131&gt;0,COUNTIF($AB$13:$AM$13,BM.medicao)&gt;0),O131/$I131*100,0))</f>
        <v>0</v>
      </c>
      <c r="M131" s="380">
        <f ca="1">IF($A131="S",VTOTALBM,IF($A131=0,0,ROUND(SomaAgrupBM,15-13*ORÇAMENTO!$AF$11)))</f>
        <v>0</v>
      </c>
      <c r="N131" s="381">
        <f t="shared" ca="1" si="11"/>
        <v>0</v>
      </c>
      <c r="O131" s="127">
        <f ca="1">IF($A131="S",VTOTALBM,IF($A131=0,0,ROUND(SomaAgrupBM,15-13*ORÇAMENTO!$AF$11)))</f>
        <v>0</v>
      </c>
      <c r="Q131" s="382"/>
      <c r="R131" s="383"/>
      <c r="T131" s="119" t="str">
        <f t="shared" ca="1" si="12"/>
        <v/>
      </c>
      <c r="U131" s="172" t="str">
        <f t="shared" ca="1" si="13"/>
        <v/>
      </c>
      <c r="V131" s="173" t="str">
        <f ca="1">IF(AND($W131&gt;0,RegimeExecucao="Unitário"),$F131,"")</f>
        <v/>
      </c>
      <c r="W131" s="547">
        <f ca="1">IF($Y131&gt;0,CHOOSE(MATCH(RegimeExecucao,{"Unitário","Global"},0),IF($A131="S",$Y131/$X131,""),($Y131/$X131)*100),0)</f>
        <v>0</v>
      </c>
      <c r="X131" s="384" t="str">
        <f ca="1">IF($Y131&gt;0,CHOOSE(MATCH(RegimeExecucao,{"Unitário","Global"},0),IF($A131="S",ROUND($H131,ORÇAMENTO!$AF$10),""),ROUND($I131,ORÇAMENTO!$AF$11)),"")</f>
        <v/>
      </c>
      <c r="Y131" s="384">
        <f t="shared" ca="1" si="14"/>
        <v>0</v>
      </c>
      <c r="Z131" s="572"/>
      <c r="AB131" s="382"/>
      <c r="AC131" s="516"/>
      <c r="AD131" s="516"/>
      <c r="AE131" s="516"/>
      <c r="AF131" s="516"/>
      <c r="AG131" s="516"/>
      <c r="AH131" s="516"/>
      <c r="AI131" s="516"/>
      <c r="AJ131" s="516"/>
      <c r="AK131" s="516"/>
      <c r="AL131" s="516"/>
      <c r="AM131" s="383"/>
      <c r="AO131">
        <f ca="1">IF($A131="S",IF(BM!$I131=0,0,CHOOSE(MATCH(RegimeExecucao,{"Global","Unitário"},0),ROUND(ROUND(BM.MEDAcumulado,15-13*BM!$A$9)/100*BM!$I131,15-13*ORÇAMENTO!$AF$11),ROUND(ROUND(BM.MEDAcumulado,15-13*BM!$A$9)*ROUND(BM!$H131,15-13*ORÇAMENTO!$AF$10),15-13*ORÇAMENTO!$AF$11))),IF($A131=0,0,ROUND(SomaAgrupBM,15-13*ORÇAMENTO!$AF$11)))</f>
        <v>0</v>
      </c>
    </row>
    <row r="132" spans="1:41" ht="51" x14ac:dyDescent="0.2">
      <c r="A132" t="str">
        <f ca="1">ORÇAMENTO!C132</f>
        <v>S</v>
      </c>
      <c r="B132">
        <f ca="1">ORÇAMENTO!D132</f>
        <v>0</v>
      </c>
      <c r="C132" s="116" t="str">
        <f t="shared" ca="1" si="8"/>
        <v>F</v>
      </c>
      <c r="D132" s="119" t="str">
        <f ca="1">ORÇAMENTO!O132</f>
        <v>1.6.9.1.</v>
      </c>
      <c r="E132" s="172" t="str">
        <f t="shared" ca="1" si="9"/>
        <v>(abra o arquivo 'Referência 03-2024.xlsm)</v>
      </c>
      <c r="F132" s="173" t="str">
        <f ca="1">IF(RegimeExecucao="Global","",ORÇAMENTO.Unidade)</f>
        <v/>
      </c>
      <c r="G132" s="124" t="str">
        <f ca="1">IF(RegimeExecucao="Global","",ORÇAMENTO!T132)</f>
        <v/>
      </c>
      <c r="H132" s="124" t="str">
        <f ca="1">IF(RegimeExecucao="Global","",ORÇAMENTO!W132)</f>
        <v/>
      </c>
      <c r="I132" s="127">
        <f ca="1">ORÇAMENTO!X132</f>
        <v>3673.74</v>
      </c>
      <c r="J132" s="378">
        <f ca="1">IF($A132="S",IF(CAIXA.Modo,BM.AFAnterior,BM.MEDAnterior),IF(AND(RegimeExecucao="Global",$I132&gt;0,COUNTIF($AB$13:$AM$13,BM.medicao-1)&gt;0),M132/$I132*100,0))</f>
        <v>0</v>
      </c>
      <c r="K132" s="124">
        <f t="shared" ca="1" si="10"/>
        <v>0</v>
      </c>
      <c r="L132" s="379">
        <f ca="1">IF($A132="S",IF(CAIXA.Modo,BM.AFAcumulado,BM.MEDAcumulado),IF(AND(RegimeExecucao="Global",$I132&gt;0,COUNTIF($AB$13:$AM$13,BM.medicao)&gt;0),O132/$I132*100,0))</f>
        <v>0</v>
      </c>
      <c r="M132" s="380">
        <f ca="1">IF($A132="S",VTOTALBM,IF($A132=0,0,ROUND(SomaAgrupBM,15-13*ORÇAMENTO!$AF$11)))</f>
        <v>0</v>
      </c>
      <c r="N132" s="381">
        <f t="shared" ca="1" si="11"/>
        <v>0</v>
      </c>
      <c r="O132" s="127">
        <f ca="1">IF($A132="S",VTOTALBM,IF($A132=0,0,ROUND(SomaAgrupBM,15-13*ORÇAMENTO!$AF$11)))</f>
        <v>0</v>
      </c>
      <c r="Q132" s="382"/>
      <c r="R132" s="383"/>
      <c r="T132" s="119" t="str">
        <f t="shared" ca="1" si="12"/>
        <v/>
      </c>
      <c r="U132" s="172" t="str">
        <f t="shared" ca="1" si="13"/>
        <v/>
      </c>
      <c r="V132" s="173" t="str">
        <f ca="1">IF(AND($W132&gt;0,RegimeExecucao="Unitário"),$F132,"")</f>
        <v/>
      </c>
      <c r="W132" s="547">
        <f ca="1">IF($Y132&gt;0,CHOOSE(MATCH(RegimeExecucao,{"Unitário","Global"},0),IF($A132="S",$Y132/$X132,""),($Y132/$X132)*100),0)</f>
        <v>0</v>
      </c>
      <c r="X132" s="384" t="str">
        <f ca="1">IF($Y132&gt;0,CHOOSE(MATCH(RegimeExecucao,{"Unitário","Global"},0),IF($A132="S",ROUND($H132,ORÇAMENTO!$AF$10),""),ROUND($I132,ORÇAMENTO!$AF$11)),"")</f>
        <v/>
      </c>
      <c r="Y132" s="384">
        <f t="shared" ca="1" si="14"/>
        <v>0</v>
      </c>
      <c r="Z132" s="572"/>
      <c r="AB132" s="382"/>
      <c r="AC132" s="516"/>
      <c r="AD132" s="516"/>
      <c r="AE132" s="516"/>
      <c r="AF132" s="516"/>
      <c r="AG132" s="516"/>
      <c r="AH132" s="516"/>
      <c r="AI132" s="516"/>
      <c r="AJ132" s="516"/>
      <c r="AK132" s="516"/>
      <c r="AL132" s="516"/>
      <c r="AM132" s="383"/>
      <c r="AO132">
        <f ca="1">IF($A132="S",IF(BM!$I132=0,0,CHOOSE(MATCH(RegimeExecucao,{"Global","Unitário"},0),ROUND(ROUND(BM.MEDAcumulado,15-13*BM!$A$9)/100*BM!$I132,15-13*ORÇAMENTO!$AF$11),ROUND(ROUND(BM.MEDAcumulado,15-13*BM!$A$9)*ROUND(BM!$H132,15-13*ORÇAMENTO!$AF$10),15-13*ORÇAMENTO!$AF$11))),IF($A132=0,0,ROUND(SomaAgrupBM,15-13*ORÇAMENTO!$AF$11)))</f>
        <v>0</v>
      </c>
    </row>
    <row r="133" spans="1:41" ht="38.25" x14ac:dyDescent="0.2">
      <c r="A133" t="str">
        <f ca="1">ORÇAMENTO!C133</f>
        <v>S</v>
      </c>
      <c r="B133">
        <f ca="1">ORÇAMENTO!D133</f>
        <v>0</v>
      </c>
      <c r="C133" s="116" t="str">
        <f t="shared" ca="1" si="8"/>
        <v>F</v>
      </c>
      <c r="D133" s="119" t="str">
        <f ca="1">ORÇAMENTO!O133</f>
        <v>1.6.9.2.</v>
      </c>
      <c r="E133" s="172" t="str">
        <f t="shared" ca="1" si="9"/>
        <v>(abra o arquivo 'Referência 03-2024.xlsm)</v>
      </c>
      <c r="F133" s="173" t="str">
        <f ca="1">IF(RegimeExecucao="Global","",ORÇAMENTO.Unidade)</f>
        <v/>
      </c>
      <c r="G133" s="124" t="str">
        <f ca="1">IF(RegimeExecucao="Global","",ORÇAMENTO!T133)</f>
        <v/>
      </c>
      <c r="H133" s="124" t="str">
        <f ca="1">IF(RegimeExecucao="Global","",ORÇAMENTO!W133)</f>
        <v/>
      </c>
      <c r="I133" s="127">
        <f ca="1">ORÇAMENTO!X133</f>
        <v>1128.8800000000001</v>
      </c>
      <c r="J133" s="378">
        <f ca="1">IF($A133="S",IF(CAIXA.Modo,BM.AFAnterior,BM.MEDAnterior),IF(AND(RegimeExecucao="Global",$I133&gt;0,COUNTIF($AB$13:$AM$13,BM.medicao-1)&gt;0),M133/$I133*100,0))</f>
        <v>0</v>
      </c>
      <c r="K133" s="124">
        <f t="shared" ca="1" si="10"/>
        <v>0</v>
      </c>
      <c r="L133" s="379">
        <f ca="1">IF($A133="S",IF(CAIXA.Modo,BM.AFAcumulado,BM.MEDAcumulado),IF(AND(RegimeExecucao="Global",$I133&gt;0,COUNTIF($AB$13:$AM$13,BM.medicao)&gt;0),O133/$I133*100,0))</f>
        <v>0</v>
      </c>
      <c r="M133" s="380">
        <f ca="1">IF($A133="S",VTOTALBM,IF($A133=0,0,ROUND(SomaAgrupBM,15-13*ORÇAMENTO!$AF$11)))</f>
        <v>0</v>
      </c>
      <c r="N133" s="381">
        <f t="shared" ca="1" si="11"/>
        <v>0</v>
      </c>
      <c r="O133" s="127">
        <f ca="1">IF($A133="S",VTOTALBM,IF($A133=0,0,ROUND(SomaAgrupBM,15-13*ORÇAMENTO!$AF$11)))</f>
        <v>0</v>
      </c>
      <c r="Q133" s="382"/>
      <c r="R133" s="383"/>
      <c r="T133" s="119" t="str">
        <f t="shared" ca="1" si="12"/>
        <v/>
      </c>
      <c r="U133" s="172" t="str">
        <f t="shared" ca="1" si="13"/>
        <v/>
      </c>
      <c r="V133" s="173" t="str">
        <f ca="1">IF(AND($W133&gt;0,RegimeExecucao="Unitário"),$F133,"")</f>
        <v/>
      </c>
      <c r="W133" s="547">
        <f ca="1">IF($Y133&gt;0,CHOOSE(MATCH(RegimeExecucao,{"Unitário","Global"},0),IF($A133="S",$Y133/$X133,""),($Y133/$X133)*100),0)</f>
        <v>0</v>
      </c>
      <c r="X133" s="384" t="str">
        <f ca="1">IF($Y133&gt;0,CHOOSE(MATCH(RegimeExecucao,{"Unitário","Global"},0),IF($A133="S",ROUND($H133,ORÇAMENTO!$AF$10),""),ROUND($I133,ORÇAMENTO!$AF$11)),"")</f>
        <v/>
      </c>
      <c r="Y133" s="384">
        <f t="shared" ca="1" si="14"/>
        <v>0</v>
      </c>
      <c r="Z133" s="572"/>
      <c r="AB133" s="382"/>
      <c r="AC133" s="516"/>
      <c r="AD133" s="516"/>
      <c r="AE133" s="516"/>
      <c r="AF133" s="516"/>
      <c r="AG133" s="516"/>
      <c r="AH133" s="516"/>
      <c r="AI133" s="516"/>
      <c r="AJ133" s="516"/>
      <c r="AK133" s="516"/>
      <c r="AL133" s="516"/>
      <c r="AM133" s="383"/>
      <c r="AO133">
        <f ca="1">IF($A133="S",IF(BM!$I133=0,0,CHOOSE(MATCH(RegimeExecucao,{"Global","Unitário"},0),ROUND(ROUND(BM.MEDAcumulado,15-13*BM!$A$9)/100*BM!$I133,15-13*ORÇAMENTO!$AF$11),ROUND(ROUND(BM.MEDAcumulado,15-13*BM!$A$9)*ROUND(BM!$H133,15-13*ORÇAMENTO!$AF$10),15-13*ORÇAMENTO!$AF$11))),IF($A133=0,0,ROUND(SomaAgrupBM,15-13*ORÇAMENTO!$AF$11)))</f>
        <v>0</v>
      </c>
    </row>
    <row r="134" spans="1:41" x14ac:dyDescent="0.2">
      <c r="A134">
        <f ca="1">ORÇAMENTO!C134</f>
        <v>3</v>
      </c>
      <c r="B134">
        <f ca="1">ORÇAMENTO!D134</f>
        <v>2</v>
      </c>
      <c r="C134" s="116" t="str">
        <f t="shared" ca="1" si="8"/>
        <v>F</v>
      </c>
      <c r="D134" s="119" t="str">
        <f ca="1">ORÇAMENTO!O134</f>
        <v>1.6.10.</v>
      </c>
      <c r="E134" s="172" t="str">
        <f t="shared" si="9"/>
        <v>BARRAS DE APOIO</v>
      </c>
      <c r="F134" s="173" t="str">
        <f ca="1">IF(RegimeExecucao="Global","",ORÇAMENTO.Unidade)</f>
        <v/>
      </c>
      <c r="G134" s="124" t="str">
        <f ca="1">IF(RegimeExecucao="Global","",ORÇAMENTO!T134)</f>
        <v/>
      </c>
      <c r="H134" s="124" t="str">
        <f ca="1">IF(RegimeExecucao="Global","",ORÇAMENTO!W134)</f>
        <v/>
      </c>
      <c r="I134" s="127">
        <f ca="1">ORÇAMENTO!X134</f>
        <v>2225.6999999999998</v>
      </c>
      <c r="J134" s="378">
        <f ca="1">IF($A134="S",IF(CAIXA.Modo,BM.AFAnterior,BM.MEDAnterior),IF(AND(RegimeExecucao="Global",$I134&gt;0,COUNTIF($AB$13:$AM$13,BM.medicao-1)&gt;0),M134/$I134*100,0))</f>
        <v>0</v>
      </c>
      <c r="K134" s="124">
        <f t="shared" ca="1" si="10"/>
        <v>0</v>
      </c>
      <c r="L134" s="379">
        <f ca="1">IF($A134="S",IF(CAIXA.Modo,BM.AFAcumulado,BM.MEDAcumulado),IF(AND(RegimeExecucao="Global",$I134&gt;0,COUNTIF($AB$13:$AM$13,BM.medicao)&gt;0),O134/$I134*100,0))</f>
        <v>0</v>
      </c>
      <c r="M134" s="380">
        <f ca="1">IF($A134="S",VTOTALBM,IF($A134=0,0,ROUND(SomaAgrupBM,15-13*ORÇAMENTO!$AF$11)))</f>
        <v>0</v>
      </c>
      <c r="N134" s="381">
        <f t="shared" ca="1" si="11"/>
        <v>0</v>
      </c>
      <c r="O134" s="127">
        <f ca="1">IF($A134="S",VTOTALBM,IF($A134=0,0,ROUND(SomaAgrupBM,15-13*ORÇAMENTO!$AF$11)))</f>
        <v>0</v>
      </c>
      <c r="Q134" s="382"/>
      <c r="R134" s="383"/>
      <c r="T134" s="119" t="str">
        <f t="shared" ca="1" si="12"/>
        <v/>
      </c>
      <c r="U134" s="172" t="str">
        <f t="shared" ca="1" si="13"/>
        <v/>
      </c>
      <c r="V134" s="173" t="str">
        <f ca="1">IF(AND($W134&gt;0,RegimeExecucao="Unitário"),$F134,"")</f>
        <v/>
      </c>
      <c r="W134" s="547">
        <f ca="1">IF($Y134&gt;0,CHOOSE(MATCH(RegimeExecucao,{"Unitário","Global"},0),IF($A134="S",$Y134/$X134,""),($Y134/$X134)*100),0)</f>
        <v>0</v>
      </c>
      <c r="X134" s="384" t="str">
        <f ca="1">IF($Y134&gt;0,CHOOSE(MATCH(RegimeExecucao,{"Unitário","Global"},0),IF($A134="S",ROUND($H134,ORÇAMENTO!$AF$10),""),ROUND($I134,ORÇAMENTO!$AF$11)),"")</f>
        <v/>
      </c>
      <c r="Y134" s="384">
        <f t="shared" ca="1" si="14"/>
        <v>0</v>
      </c>
      <c r="Z134" s="572"/>
      <c r="AB134" s="382"/>
      <c r="AC134" s="516"/>
      <c r="AD134" s="516"/>
      <c r="AE134" s="516"/>
      <c r="AF134" s="516"/>
      <c r="AG134" s="516"/>
      <c r="AH134" s="516"/>
      <c r="AI134" s="516"/>
      <c r="AJ134" s="516"/>
      <c r="AK134" s="516"/>
      <c r="AL134" s="516"/>
      <c r="AM134" s="383"/>
      <c r="AO134">
        <f ca="1">IF($A134="S",IF(BM!$I134=0,0,CHOOSE(MATCH(RegimeExecucao,{"Global","Unitário"},0),ROUND(ROUND(BM.MEDAcumulado,15-13*BM!$A$9)/100*BM!$I134,15-13*ORÇAMENTO!$AF$11),ROUND(ROUND(BM.MEDAcumulado,15-13*BM!$A$9)*ROUND(BM!$H134,15-13*ORÇAMENTO!$AF$10),15-13*ORÇAMENTO!$AF$11))),IF($A134=0,0,ROUND(SomaAgrupBM,15-13*ORÇAMENTO!$AF$11)))</f>
        <v>0</v>
      </c>
    </row>
    <row r="135" spans="1:41" ht="38.25" x14ac:dyDescent="0.2">
      <c r="A135" t="str">
        <f ca="1">ORÇAMENTO!C135</f>
        <v>S</v>
      </c>
      <c r="B135">
        <f ca="1">ORÇAMENTO!D135</f>
        <v>0</v>
      </c>
      <c r="C135" s="116" t="str">
        <f t="shared" ca="1" si="8"/>
        <v>F</v>
      </c>
      <c r="D135" s="119" t="str">
        <f ca="1">ORÇAMENTO!O135</f>
        <v>1.6.10.1.</v>
      </c>
      <c r="E135" s="172" t="str">
        <f t="shared" ca="1" si="9"/>
        <v>(abra o arquivo 'Referência 03-2024.xlsm)</v>
      </c>
      <c r="F135" s="173" t="str">
        <f ca="1">IF(RegimeExecucao="Global","",ORÇAMENTO.Unidade)</f>
        <v/>
      </c>
      <c r="G135" s="124" t="str">
        <f ca="1">IF(RegimeExecucao="Global","",ORÇAMENTO!T135)</f>
        <v/>
      </c>
      <c r="H135" s="124" t="str">
        <f ca="1">IF(RegimeExecucao="Global","",ORÇAMENTO!W135)</f>
        <v/>
      </c>
      <c r="I135" s="127">
        <f ca="1">ORÇAMENTO!X135</f>
        <v>2225.6999999999998</v>
      </c>
      <c r="J135" s="378">
        <f ca="1">IF($A135="S",IF(CAIXA.Modo,BM.AFAnterior,BM.MEDAnterior),IF(AND(RegimeExecucao="Global",$I135&gt;0,COUNTIF($AB$13:$AM$13,BM.medicao-1)&gt;0),M135/$I135*100,0))</f>
        <v>0</v>
      </c>
      <c r="K135" s="124">
        <f t="shared" ca="1" si="10"/>
        <v>0</v>
      </c>
      <c r="L135" s="379">
        <f ca="1">IF($A135="S",IF(CAIXA.Modo,BM.AFAcumulado,BM.MEDAcumulado),IF(AND(RegimeExecucao="Global",$I135&gt;0,COUNTIF($AB$13:$AM$13,BM.medicao)&gt;0),O135/$I135*100,0))</f>
        <v>0</v>
      </c>
      <c r="M135" s="380">
        <f ca="1">IF($A135="S",VTOTALBM,IF($A135=0,0,ROUND(SomaAgrupBM,15-13*ORÇAMENTO!$AF$11)))</f>
        <v>0</v>
      </c>
      <c r="N135" s="381">
        <f t="shared" ca="1" si="11"/>
        <v>0</v>
      </c>
      <c r="O135" s="127">
        <f ca="1">IF($A135="S",VTOTALBM,IF($A135=0,0,ROUND(SomaAgrupBM,15-13*ORÇAMENTO!$AF$11)))</f>
        <v>0</v>
      </c>
      <c r="Q135" s="382"/>
      <c r="R135" s="383"/>
      <c r="T135" s="119" t="str">
        <f t="shared" ca="1" si="12"/>
        <v/>
      </c>
      <c r="U135" s="172" t="str">
        <f t="shared" ca="1" si="13"/>
        <v/>
      </c>
      <c r="V135" s="173" t="str">
        <f ca="1">IF(AND($W135&gt;0,RegimeExecucao="Unitário"),$F135,"")</f>
        <v/>
      </c>
      <c r="W135" s="547">
        <f ca="1">IF($Y135&gt;0,CHOOSE(MATCH(RegimeExecucao,{"Unitário","Global"},0),IF($A135="S",$Y135/$X135,""),($Y135/$X135)*100),0)</f>
        <v>0</v>
      </c>
      <c r="X135" s="384" t="str">
        <f ca="1">IF($Y135&gt;0,CHOOSE(MATCH(RegimeExecucao,{"Unitário","Global"},0),IF($A135="S",ROUND($H135,ORÇAMENTO!$AF$10),""),ROUND($I135,ORÇAMENTO!$AF$11)),"")</f>
        <v/>
      </c>
      <c r="Y135" s="384">
        <f t="shared" ca="1" si="14"/>
        <v>0</v>
      </c>
      <c r="Z135" s="572"/>
      <c r="AB135" s="382"/>
      <c r="AC135" s="516"/>
      <c r="AD135" s="516"/>
      <c r="AE135" s="516"/>
      <c r="AF135" s="516"/>
      <c r="AG135" s="516"/>
      <c r="AH135" s="516"/>
      <c r="AI135" s="516"/>
      <c r="AJ135" s="516"/>
      <c r="AK135" s="516"/>
      <c r="AL135" s="516"/>
      <c r="AM135" s="383"/>
      <c r="AO135">
        <f ca="1">IF($A135="S",IF(BM!$I135=0,0,CHOOSE(MATCH(RegimeExecucao,{"Global","Unitário"},0),ROUND(ROUND(BM.MEDAcumulado,15-13*BM!$A$9)/100*BM!$I135,15-13*ORÇAMENTO!$AF$11),ROUND(ROUND(BM.MEDAcumulado,15-13*BM!$A$9)*ROUND(BM!$H135,15-13*ORÇAMENTO!$AF$10),15-13*ORÇAMENTO!$AF$11))),IF($A135=0,0,ROUND(SomaAgrupBM,15-13*ORÇAMENTO!$AF$11)))</f>
        <v>0</v>
      </c>
    </row>
    <row r="136" spans="1:41" x14ac:dyDescent="0.2">
      <c r="A136">
        <f ca="1">ORÇAMENTO!C136</f>
        <v>3</v>
      </c>
      <c r="B136">
        <f ca="1">ORÇAMENTO!D136</f>
        <v>4</v>
      </c>
      <c r="C136" s="116" t="str">
        <f t="shared" ca="1" si="8"/>
        <v>F</v>
      </c>
      <c r="D136" s="119" t="str">
        <f ca="1">ORÇAMENTO!O136</f>
        <v>1.6.11.</v>
      </c>
      <c r="E136" s="172" t="str">
        <f t="shared" si="9"/>
        <v>REVESTIMENTO INTERNO</v>
      </c>
      <c r="F136" s="173" t="str">
        <f ca="1">IF(RegimeExecucao="Global","",ORÇAMENTO.Unidade)</f>
        <v/>
      </c>
      <c r="G136" s="124" t="str">
        <f ca="1">IF(RegimeExecucao="Global","",ORÇAMENTO!T136)</f>
        <v/>
      </c>
      <c r="H136" s="124" t="str">
        <f ca="1">IF(RegimeExecucao="Global","",ORÇAMENTO!W136)</f>
        <v/>
      </c>
      <c r="I136" s="127">
        <f ca="1">ORÇAMENTO!X136</f>
        <v>4299.32</v>
      </c>
      <c r="J136" s="378">
        <f ca="1">IF($A136="S",IF(CAIXA.Modo,BM.AFAnterior,BM.MEDAnterior),IF(AND(RegimeExecucao="Global",$I136&gt;0,COUNTIF($AB$13:$AM$13,BM.medicao-1)&gt;0),M136/$I136*100,0))</f>
        <v>0</v>
      </c>
      <c r="K136" s="124">
        <f t="shared" ca="1" si="10"/>
        <v>0</v>
      </c>
      <c r="L136" s="379">
        <f ca="1">IF($A136="S",IF(CAIXA.Modo,BM.AFAcumulado,BM.MEDAcumulado),IF(AND(RegimeExecucao="Global",$I136&gt;0,COUNTIF($AB$13:$AM$13,BM.medicao)&gt;0),O136/$I136*100,0))</f>
        <v>0</v>
      </c>
      <c r="M136" s="380">
        <f ca="1">IF($A136="S",VTOTALBM,IF($A136=0,0,ROUND(SomaAgrupBM,15-13*ORÇAMENTO!$AF$11)))</f>
        <v>0</v>
      </c>
      <c r="N136" s="381">
        <f t="shared" ca="1" si="11"/>
        <v>0</v>
      </c>
      <c r="O136" s="127">
        <f ca="1">IF($A136="S",VTOTALBM,IF($A136=0,0,ROUND(SomaAgrupBM,15-13*ORÇAMENTO!$AF$11)))</f>
        <v>0</v>
      </c>
      <c r="Q136" s="382"/>
      <c r="R136" s="383"/>
      <c r="T136" s="119" t="str">
        <f t="shared" ca="1" si="12"/>
        <v/>
      </c>
      <c r="U136" s="172" t="str">
        <f t="shared" ca="1" si="13"/>
        <v/>
      </c>
      <c r="V136" s="173" t="str">
        <f ca="1">IF(AND($W136&gt;0,RegimeExecucao="Unitário"),$F136,"")</f>
        <v/>
      </c>
      <c r="W136" s="547">
        <f ca="1">IF($Y136&gt;0,CHOOSE(MATCH(RegimeExecucao,{"Unitário","Global"},0),IF($A136="S",$Y136/$X136,""),($Y136/$X136)*100),0)</f>
        <v>0</v>
      </c>
      <c r="X136" s="384" t="str">
        <f ca="1">IF($Y136&gt;0,CHOOSE(MATCH(RegimeExecucao,{"Unitário","Global"},0),IF($A136="S",ROUND($H136,ORÇAMENTO!$AF$10),""),ROUND($I136,ORÇAMENTO!$AF$11)),"")</f>
        <v/>
      </c>
      <c r="Y136" s="384">
        <f t="shared" ca="1" si="14"/>
        <v>0</v>
      </c>
      <c r="Z136" s="572"/>
      <c r="AB136" s="382"/>
      <c r="AC136" s="516"/>
      <c r="AD136" s="516"/>
      <c r="AE136" s="516"/>
      <c r="AF136" s="516"/>
      <c r="AG136" s="516"/>
      <c r="AH136" s="516"/>
      <c r="AI136" s="516"/>
      <c r="AJ136" s="516"/>
      <c r="AK136" s="516"/>
      <c r="AL136" s="516"/>
      <c r="AM136" s="383"/>
      <c r="AO136">
        <f ca="1">IF($A136="S",IF(BM!$I136=0,0,CHOOSE(MATCH(RegimeExecucao,{"Global","Unitário"},0),ROUND(ROUND(BM.MEDAcumulado,15-13*BM!$A$9)/100*BM!$I136,15-13*ORÇAMENTO!$AF$11),ROUND(ROUND(BM.MEDAcumulado,15-13*BM!$A$9)*ROUND(BM!$H136,15-13*ORÇAMENTO!$AF$10),15-13*ORÇAMENTO!$AF$11))),IF($A136=0,0,ROUND(SomaAgrupBM,15-13*ORÇAMENTO!$AF$11)))</f>
        <v>0</v>
      </c>
    </row>
    <row r="137" spans="1:41" ht="51" x14ac:dyDescent="0.2">
      <c r="A137" t="str">
        <f ca="1">ORÇAMENTO!C137</f>
        <v>S</v>
      </c>
      <c r="B137">
        <f ca="1">ORÇAMENTO!D137</f>
        <v>0</v>
      </c>
      <c r="C137" s="116" t="str">
        <f t="shared" ca="1" si="8"/>
        <v>F</v>
      </c>
      <c r="D137" s="119" t="str">
        <f ca="1">ORÇAMENTO!O137</f>
        <v>1.6.11.1.</v>
      </c>
      <c r="E137" s="172" t="str">
        <f t="shared" ca="1" si="9"/>
        <v>(abra o arquivo 'Referência 03-2024.xlsm)</v>
      </c>
      <c r="F137" s="173" t="str">
        <f ca="1">IF(RegimeExecucao="Global","",ORÇAMENTO.Unidade)</f>
        <v/>
      </c>
      <c r="G137" s="124" t="str">
        <f ca="1">IF(RegimeExecucao="Global","",ORÇAMENTO!T137)</f>
        <v/>
      </c>
      <c r="H137" s="124" t="str">
        <f ca="1">IF(RegimeExecucao="Global","",ORÇAMENTO!W137)</f>
        <v/>
      </c>
      <c r="I137" s="127">
        <f ca="1">ORÇAMENTO!X137</f>
        <v>266.38</v>
      </c>
      <c r="J137" s="378">
        <f ca="1">IF($A137="S",IF(CAIXA.Modo,BM.AFAnterior,BM.MEDAnterior),IF(AND(RegimeExecucao="Global",$I137&gt;0,COUNTIF($AB$13:$AM$13,BM.medicao-1)&gt;0),M137/$I137*100,0))</f>
        <v>0</v>
      </c>
      <c r="K137" s="124">
        <f t="shared" ca="1" si="10"/>
        <v>0</v>
      </c>
      <c r="L137" s="379">
        <f ca="1">IF($A137="S",IF(CAIXA.Modo,BM.AFAcumulado,BM.MEDAcumulado),IF(AND(RegimeExecucao="Global",$I137&gt;0,COUNTIF($AB$13:$AM$13,BM.medicao)&gt;0),O137/$I137*100,0))</f>
        <v>0</v>
      </c>
      <c r="M137" s="380">
        <f ca="1">IF($A137="S",VTOTALBM,IF($A137=0,0,ROUND(SomaAgrupBM,15-13*ORÇAMENTO!$AF$11)))</f>
        <v>0</v>
      </c>
      <c r="N137" s="381">
        <f t="shared" ca="1" si="11"/>
        <v>0</v>
      </c>
      <c r="O137" s="127">
        <f ca="1">IF($A137="S",VTOTALBM,IF($A137=0,0,ROUND(SomaAgrupBM,15-13*ORÇAMENTO!$AF$11)))</f>
        <v>0</v>
      </c>
      <c r="Q137" s="382"/>
      <c r="R137" s="383"/>
      <c r="T137" s="119" t="str">
        <f t="shared" ca="1" si="12"/>
        <v/>
      </c>
      <c r="U137" s="172" t="str">
        <f t="shared" ca="1" si="13"/>
        <v/>
      </c>
      <c r="V137" s="173" t="str">
        <f ca="1">IF(AND($W137&gt;0,RegimeExecucao="Unitário"),$F137,"")</f>
        <v/>
      </c>
      <c r="W137" s="547">
        <f ca="1">IF($Y137&gt;0,CHOOSE(MATCH(RegimeExecucao,{"Unitário","Global"},0),IF($A137="S",$Y137/$X137,""),($Y137/$X137)*100),0)</f>
        <v>0</v>
      </c>
      <c r="X137" s="384" t="str">
        <f ca="1">IF($Y137&gt;0,CHOOSE(MATCH(RegimeExecucao,{"Unitário","Global"},0),IF($A137="S",ROUND($H137,ORÇAMENTO!$AF$10),""),ROUND($I137,ORÇAMENTO!$AF$11)),"")</f>
        <v/>
      </c>
      <c r="Y137" s="384">
        <f t="shared" ca="1" si="14"/>
        <v>0</v>
      </c>
      <c r="Z137" s="572"/>
      <c r="AB137" s="382"/>
      <c r="AC137" s="516"/>
      <c r="AD137" s="516"/>
      <c r="AE137" s="516"/>
      <c r="AF137" s="516"/>
      <c r="AG137" s="516"/>
      <c r="AH137" s="516"/>
      <c r="AI137" s="516"/>
      <c r="AJ137" s="516"/>
      <c r="AK137" s="516"/>
      <c r="AL137" s="516"/>
      <c r="AM137" s="383"/>
      <c r="AO137">
        <f ca="1">IF($A137="S",IF(BM!$I137=0,0,CHOOSE(MATCH(RegimeExecucao,{"Global","Unitário"},0),ROUND(ROUND(BM.MEDAcumulado,15-13*BM!$A$9)/100*BM!$I137,15-13*ORÇAMENTO!$AF$11),ROUND(ROUND(BM.MEDAcumulado,15-13*BM!$A$9)*ROUND(BM!$H137,15-13*ORÇAMENTO!$AF$10),15-13*ORÇAMENTO!$AF$11))),IF($A137=0,0,ROUND(SomaAgrupBM,15-13*ORÇAMENTO!$AF$11)))</f>
        <v>0</v>
      </c>
    </row>
    <row r="138" spans="1:41" ht="63.75" x14ac:dyDescent="0.2">
      <c r="A138" t="str">
        <f ca="1">ORÇAMENTO!C138</f>
        <v>S</v>
      </c>
      <c r="B138">
        <f ca="1">ORÇAMENTO!D138</f>
        <v>0</v>
      </c>
      <c r="C138" s="116" t="str">
        <f t="shared" ca="1" si="8"/>
        <v>F</v>
      </c>
      <c r="D138" s="119" t="str">
        <f ca="1">ORÇAMENTO!O138</f>
        <v>1.6.11.2.</v>
      </c>
      <c r="E138" s="172" t="str">
        <f t="shared" ca="1" si="9"/>
        <v>(abra o arquivo 'Referência 03-2024.xlsm)</v>
      </c>
      <c r="F138" s="173" t="str">
        <f ca="1">IF(RegimeExecucao="Global","",ORÇAMENTO.Unidade)</f>
        <v/>
      </c>
      <c r="G138" s="124" t="str">
        <f ca="1">IF(RegimeExecucao="Global","",ORÇAMENTO!T138)</f>
        <v/>
      </c>
      <c r="H138" s="124" t="str">
        <f ca="1">IF(RegimeExecucao="Global","",ORÇAMENTO!W138)</f>
        <v/>
      </c>
      <c r="I138" s="127">
        <f ca="1">ORÇAMENTO!X138</f>
        <v>1113.02</v>
      </c>
      <c r="J138" s="378">
        <f ca="1">IF($A138="S",IF(CAIXA.Modo,BM.AFAnterior,BM.MEDAnterior),IF(AND(RegimeExecucao="Global",$I138&gt;0,COUNTIF($AB$13:$AM$13,BM.medicao-1)&gt;0),M138/$I138*100,0))</f>
        <v>0</v>
      </c>
      <c r="K138" s="124">
        <f t="shared" ca="1" si="10"/>
        <v>0</v>
      </c>
      <c r="L138" s="379">
        <f ca="1">IF($A138="S",IF(CAIXA.Modo,BM.AFAcumulado,BM.MEDAcumulado),IF(AND(RegimeExecucao="Global",$I138&gt;0,COUNTIF($AB$13:$AM$13,BM.medicao)&gt;0),O138/$I138*100,0))</f>
        <v>0</v>
      </c>
      <c r="M138" s="380">
        <f ca="1">IF($A138="S",VTOTALBM,IF($A138=0,0,ROUND(SomaAgrupBM,15-13*ORÇAMENTO!$AF$11)))</f>
        <v>0</v>
      </c>
      <c r="N138" s="381">
        <f t="shared" ca="1" si="11"/>
        <v>0</v>
      </c>
      <c r="O138" s="127">
        <f ca="1">IF($A138="S",VTOTALBM,IF($A138=0,0,ROUND(SomaAgrupBM,15-13*ORÇAMENTO!$AF$11)))</f>
        <v>0</v>
      </c>
      <c r="Q138" s="382"/>
      <c r="R138" s="383"/>
      <c r="T138" s="119" t="str">
        <f t="shared" ca="1" si="12"/>
        <v/>
      </c>
      <c r="U138" s="172" t="str">
        <f t="shared" ca="1" si="13"/>
        <v/>
      </c>
      <c r="V138" s="173" t="str">
        <f ca="1">IF(AND($W138&gt;0,RegimeExecucao="Unitário"),$F138,"")</f>
        <v/>
      </c>
      <c r="W138" s="547">
        <f ca="1">IF($Y138&gt;0,CHOOSE(MATCH(RegimeExecucao,{"Unitário","Global"},0),IF($A138="S",$Y138/$X138,""),($Y138/$X138)*100),0)</f>
        <v>0</v>
      </c>
      <c r="X138" s="384" t="str">
        <f ca="1">IF($Y138&gt;0,CHOOSE(MATCH(RegimeExecucao,{"Unitário","Global"},0),IF($A138="S",ROUND($H138,ORÇAMENTO!$AF$10),""),ROUND($I138,ORÇAMENTO!$AF$11)),"")</f>
        <v/>
      </c>
      <c r="Y138" s="384">
        <f t="shared" ca="1" si="14"/>
        <v>0</v>
      </c>
      <c r="Z138" s="572"/>
      <c r="AB138" s="382"/>
      <c r="AC138" s="516"/>
      <c r="AD138" s="516"/>
      <c r="AE138" s="516"/>
      <c r="AF138" s="516"/>
      <c r="AG138" s="516"/>
      <c r="AH138" s="516"/>
      <c r="AI138" s="516"/>
      <c r="AJ138" s="516"/>
      <c r="AK138" s="516"/>
      <c r="AL138" s="516"/>
      <c r="AM138" s="383"/>
      <c r="AO138">
        <f ca="1">IF($A138="S",IF(BM!$I138=0,0,CHOOSE(MATCH(RegimeExecucao,{"Global","Unitário"},0),ROUND(ROUND(BM.MEDAcumulado,15-13*BM!$A$9)/100*BM!$I138,15-13*ORÇAMENTO!$AF$11),ROUND(ROUND(BM.MEDAcumulado,15-13*BM!$A$9)*ROUND(BM!$H138,15-13*ORÇAMENTO!$AF$10),15-13*ORÇAMENTO!$AF$11))),IF($A138=0,0,ROUND(SomaAgrupBM,15-13*ORÇAMENTO!$AF$11)))</f>
        <v>0</v>
      </c>
    </row>
    <row r="139" spans="1:41" ht="38.25" x14ac:dyDescent="0.2">
      <c r="A139" t="str">
        <f ca="1">ORÇAMENTO!C139</f>
        <v>S</v>
      </c>
      <c r="B139">
        <f ca="1">ORÇAMENTO!D139</f>
        <v>0</v>
      </c>
      <c r="C139" s="116" t="str">
        <f t="shared" ca="1" si="8"/>
        <v>F</v>
      </c>
      <c r="D139" s="119" t="str">
        <f ca="1">ORÇAMENTO!O139</f>
        <v>1.6.11.3.</v>
      </c>
      <c r="E139" s="172" t="str">
        <f t="shared" ca="1" si="9"/>
        <v>(abra o arquivo 'Referência 03-2024.xlsm)</v>
      </c>
      <c r="F139" s="173" t="str">
        <f ca="1">IF(RegimeExecucao="Global","",ORÇAMENTO.Unidade)</f>
        <v/>
      </c>
      <c r="G139" s="124" t="str">
        <f ca="1">IF(RegimeExecucao="Global","",ORÇAMENTO!T139)</f>
        <v/>
      </c>
      <c r="H139" s="124" t="str">
        <f ca="1">IF(RegimeExecucao="Global","",ORÇAMENTO!W139)</f>
        <v/>
      </c>
      <c r="I139" s="127">
        <f ca="1">ORÇAMENTO!X139</f>
        <v>2919.92</v>
      </c>
      <c r="J139" s="378">
        <f ca="1">IF($A139="S",IF(CAIXA.Modo,BM.AFAnterior,BM.MEDAnterior),IF(AND(RegimeExecucao="Global",$I139&gt;0,COUNTIF($AB$13:$AM$13,BM.medicao-1)&gt;0),M139/$I139*100,0))</f>
        <v>0</v>
      </c>
      <c r="K139" s="124">
        <f t="shared" ca="1" si="10"/>
        <v>0</v>
      </c>
      <c r="L139" s="379">
        <f ca="1">IF($A139="S",IF(CAIXA.Modo,BM.AFAcumulado,BM.MEDAcumulado),IF(AND(RegimeExecucao="Global",$I139&gt;0,COUNTIF($AB$13:$AM$13,BM.medicao)&gt;0),O139/$I139*100,0))</f>
        <v>0</v>
      </c>
      <c r="M139" s="380">
        <f ca="1">IF($A139="S",VTOTALBM,IF($A139=0,0,ROUND(SomaAgrupBM,15-13*ORÇAMENTO!$AF$11)))</f>
        <v>0</v>
      </c>
      <c r="N139" s="381">
        <f t="shared" ca="1" si="11"/>
        <v>0</v>
      </c>
      <c r="O139" s="127">
        <f ca="1">IF($A139="S",VTOTALBM,IF($A139=0,0,ROUND(SomaAgrupBM,15-13*ORÇAMENTO!$AF$11)))</f>
        <v>0</v>
      </c>
      <c r="Q139" s="382"/>
      <c r="R139" s="383"/>
      <c r="T139" s="119" t="str">
        <f t="shared" ca="1" si="12"/>
        <v/>
      </c>
      <c r="U139" s="172" t="str">
        <f t="shared" ca="1" si="13"/>
        <v/>
      </c>
      <c r="V139" s="173" t="str">
        <f ca="1">IF(AND($W139&gt;0,RegimeExecucao="Unitário"),$F139,"")</f>
        <v/>
      </c>
      <c r="W139" s="547">
        <f ca="1">IF($Y139&gt;0,CHOOSE(MATCH(RegimeExecucao,{"Unitário","Global"},0),IF($A139="S",$Y139/$X139,""),($Y139/$X139)*100),0)</f>
        <v>0</v>
      </c>
      <c r="X139" s="384" t="str">
        <f ca="1">IF($Y139&gt;0,CHOOSE(MATCH(RegimeExecucao,{"Unitário","Global"},0),IF($A139="S",ROUND($H139,ORÇAMENTO!$AF$10),""),ROUND($I139,ORÇAMENTO!$AF$11)),"")</f>
        <v/>
      </c>
      <c r="Y139" s="384">
        <f t="shared" ca="1" si="14"/>
        <v>0</v>
      </c>
      <c r="Z139" s="572"/>
      <c r="AB139" s="382"/>
      <c r="AC139" s="516"/>
      <c r="AD139" s="516"/>
      <c r="AE139" s="516"/>
      <c r="AF139" s="516"/>
      <c r="AG139" s="516"/>
      <c r="AH139" s="516"/>
      <c r="AI139" s="516"/>
      <c r="AJ139" s="516"/>
      <c r="AK139" s="516"/>
      <c r="AL139" s="516"/>
      <c r="AM139" s="383"/>
      <c r="AO139">
        <f ca="1">IF($A139="S",IF(BM!$I139=0,0,CHOOSE(MATCH(RegimeExecucao,{"Global","Unitário"},0),ROUND(ROUND(BM.MEDAcumulado,15-13*BM!$A$9)/100*BM!$I139,15-13*ORÇAMENTO!$AF$11),ROUND(ROUND(BM.MEDAcumulado,15-13*BM!$A$9)*ROUND(BM!$H139,15-13*ORÇAMENTO!$AF$10),15-13*ORÇAMENTO!$AF$11))),IF($A139=0,0,ROUND(SomaAgrupBM,15-13*ORÇAMENTO!$AF$11)))</f>
        <v>0</v>
      </c>
    </row>
    <row r="140" spans="1:41" x14ac:dyDescent="0.2">
      <c r="A140">
        <f ca="1">ORÇAMENTO!C140</f>
        <v>3</v>
      </c>
      <c r="B140">
        <f ca="1">ORÇAMENTO!D140</f>
        <v>4</v>
      </c>
      <c r="C140" s="116" t="str">
        <f t="shared" ca="1" si="8"/>
        <v>F</v>
      </c>
      <c r="D140" s="119" t="str">
        <f ca="1">ORÇAMENTO!O140</f>
        <v>1.6.12.</v>
      </c>
      <c r="E140" s="172" t="str">
        <f t="shared" si="9"/>
        <v>REVESTIMENTO EXTERNO</v>
      </c>
      <c r="F140" s="173" t="str">
        <f ca="1">IF(RegimeExecucao="Global","",ORÇAMENTO.Unidade)</f>
        <v/>
      </c>
      <c r="G140" s="124" t="str">
        <f ca="1">IF(RegimeExecucao="Global","",ORÇAMENTO!T140)</f>
        <v/>
      </c>
      <c r="H140" s="124" t="str">
        <f ca="1">IF(RegimeExecucao="Global","",ORÇAMENTO!W140)</f>
        <v/>
      </c>
      <c r="I140" s="127">
        <f ca="1">ORÇAMENTO!X140</f>
        <v>3686.68</v>
      </c>
      <c r="J140" s="378">
        <f ca="1">IF($A140="S",IF(CAIXA.Modo,BM.AFAnterior,BM.MEDAnterior),IF(AND(RegimeExecucao="Global",$I140&gt;0,COUNTIF($AB$13:$AM$13,BM.medicao-1)&gt;0),M140/$I140*100,0))</f>
        <v>0</v>
      </c>
      <c r="K140" s="124">
        <f t="shared" ca="1" si="10"/>
        <v>0</v>
      </c>
      <c r="L140" s="379">
        <f ca="1">IF($A140="S",IF(CAIXA.Modo,BM.AFAcumulado,BM.MEDAcumulado),IF(AND(RegimeExecucao="Global",$I140&gt;0,COUNTIF($AB$13:$AM$13,BM.medicao)&gt;0),O140/$I140*100,0))</f>
        <v>0</v>
      </c>
      <c r="M140" s="380">
        <f ca="1">IF($A140="S",VTOTALBM,IF($A140=0,0,ROUND(SomaAgrupBM,15-13*ORÇAMENTO!$AF$11)))</f>
        <v>0</v>
      </c>
      <c r="N140" s="381">
        <f t="shared" ca="1" si="11"/>
        <v>0</v>
      </c>
      <c r="O140" s="127">
        <f ca="1">IF($A140="S",VTOTALBM,IF($A140=0,0,ROUND(SomaAgrupBM,15-13*ORÇAMENTO!$AF$11)))</f>
        <v>0</v>
      </c>
      <c r="Q140" s="382"/>
      <c r="R140" s="383"/>
      <c r="T140" s="119" t="str">
        <f t="shared" ca="1" si="12"/>
        <v/>
      </c>
      <c r="U140" s="172" t="str">
        <f t="shared" ca="1" si="13"/>
        <v/>
      </c>
      <c r="V140" s="173" t="str">
        <f ca="1">IF(AND($W140&gt;0,RegimeExecucao="Unitário"),$F140,"")</f>
        <v/>
      </c>
      <c r="W140" s="547">
        <f ca="1">IF($Y140&gt;0,CHOOSE(MATCH(RegimeExecucao,{"Unitário","Global"},0),IF($A140="S",$Y140/$X140,""),($Y140/$X140)*100),0)</f>
        <v>0</v>
      </c>
      <c r="X140" s="384" t="str">
        <f ca="1">IF($Y140&gt;0,CHOOSE(MATCH(RegimeExecucao,{"Unitário","Global"},0),IF($A140="S",ROUND($H140,ORÇAMENTO!$AF$10),""),ROUND($I140,ORÇAMENTO!$AF$11)),"")</f>
        <v/>
      </c>
      <c r="Y140" s="384">
        <f t="shared" ca="1" si="14"/>
        <v>0</v>
      </c>
      <c r="Z140" s="572"/>
      <c r="AB140" s="382"/>
      <c r="AC140" s="516"/>
      <c r="AD140" s="516"/>
      <c r="AE140" s="516"/>
      <c r="AF140" s="516"/>
      <c r="AG140" s="516"/>
      <c r="AH140" s="516"/>
      <c r="AI140" s="516"/>
      <c r="AJ140" s="516"/>
      <c r="AK140" s="516"/>
      <c r="AL140" s="516"/>
      <c r="AM140" s="383"/>
      <c r="AO140">
        <f ca="1">IF($A140="S",IF(BM!$I140=0,0,CHOOSE(MATCH(RegimeExecucao,{"Global","Unitário"},0),ROUND(ROUND(BM.MEDAcumulado,15-13*BM!$A$9)/100*BM!$I140,15-13*ORÇAMENTO!$AF$11),ROUND(ROUND(BM.MEDAcumulado,15-13*BM!$A$9)*ROUND(BM!$H140,15-13*ORÇAMENTO!$AF$10),15-13*ORÇAMENTO!$AF$11))),IF($A140=0,0,ROUND(SomaAgrupBM,15-13*ORÇAMENTO!$AF$11)))</f>
        <v>0</v>
      </c>
    </row>
    <row r="141" spans="1:41" ht="51" x14ac:dyDescent="0.2">
      <c r="A141" t="str">
        <f ca="1">ORÇAMENTO!C141</f>
        <v>S</v>
      </c>
      <c r="B141">
        <f ca="1">ORÇAMENTO!D141</f>
        <v>0</v>
      </c>
      <c r="C141" s="116" t="str">
        <f t="shared" ca="1" si="8"/>
        <v>F</v>
      </c>
      <c r="D141" s="119" t="str">
        <f ca="1">ORÇAMENTO!O141</f>
        <v>1.6.12.1.</v>
      </c>
      <c r="E141" s="172" t="str">
        <f t="shared" ca="1" si="9"/>
        <v>(abra o arquivo 'Referência 03-2024.xlsm)</v>
      </c>
      <c r="F141" s="173" t="str">
        <f ca="1">IF(RegimeExecucao="Global","",ORÇAMENTO.Unidade)</f>
        <v/>
      </c>
      <c r="G141" s="124" t="str">
        <f ca="1">IF(RegimeExecucao="Global","",ORÇAMENTO!T141)</f>
        <v/>
      </c>
      <c r="H141" s="124" t="str">
        <f ca="1">IF(RegimeExecucao="Global","",ORÇAMENTO!W141)</f>
        <v/>
      </c>
      <c r="I141" s="127">
        <f ca="1">ORÇAMENTO!X141</f>
        <v>371.53</v>
      </c>
      <c r="J141" s="378">
        <f ca="1">IF($A141="S",IF(CAIXA.Modo,BM.AFAnterior,BM.MEDAnterior),IF(AND(RegimeExecucao="Global",$I141&gt;0,COUNTIF($AB$13:$AM$13,BM.medicao-1)&gt;0),M141/$I141*100,0))</f>
        <v>0</v>
      </c>
      <c r="K141" s="124">
        <f t="shared" ca="1" si="10"/>
        <v>0</v>
      </c>
      <c r="L141" s="379">
        <f ca="1">IF($A141="S",IF(CAIXA.Modo,BM.AFAcumulado,BM.MEDAcumulado),IF(AND(RegimeExecucao="Global",$I141&gt;0,COUNTIF($AB$13:$AM$13,BM.medicao)&gt;0),O141/$I141*100,0))</f>
        <v>0</v>
      </c>
      <c r="M141" s="380">
        <f ca="1">IF($A141="S",VTOTALBM,IF($A141=0,0,ROUND(SomaAgrupBM,15-13*ORÇAMENTO!$AF$11)))</f>
        <v>0</v>
      </c>
      <c r="N141" s="381">
        <f t="shared" ca="1" si="11"/>
        <v>0</v>
      </c>
      <c r="O141" s="127">
        <f ca="1">IF($A141="S",VTOTALBM,IF($A141=0,0,ROUND(SomaAgrupBM,15-13*ORÇAMENTO!$AF$11)))</f>
        <v>0</v>
      </c>
      <c r="Q141" s="382"/>
      <c r="R141" s="383"/>
      <c r="T141" s="119" t="str">
        <f t="shared" ca="1" si="12"/>
        <v/>
      </c>
      <c r="U141" s="172" t="str">
        <f t="shared" ca="1" si="13"/>
        <v/>
      </c>
      <c r="V141" s="173" t="str">
        <f ca="1">IF(AND($W141&gt;0,RegimeExecucao="Unitário"),$F141,"")</f>
        <v/>
      </c>
      <c r="W141" s="547">
        <f ca="1">IF($Y141&gt;0,CHOOSE(MATCH(RegimeExecucao,{"Unitário","Global"},0),IF($A141="S",$Y141/$X141,""),($Y141/$X141)*100),0)</f>
        <v>0</v>
      </c>
      <c r="X141" s="384" t="str">
        <f ca="1">IF($Y141&gt;0,CHOOSE(MATCH(RegimeExecucao,{"Unitário","Global"},0),IF($A141="S",ROUND($H141,ORÇAMENTO!$AF$10),""),ROUND($I141,ORÇAMENTO!$AF$11)),"")</f>
        <v/>
      </c>
      <c r="Y141" s="384">
        <f t="shared" ca="1" si="14"/>
        <v>0</v>
      </c>
      <c r="Z141" s="572"/>
      <c r="AB141" s="382"/>
      <c r="AC141" s="516"/>
      <c r="AD141" s="516"/>
      <c r="AE141" s="516"/>
      <c r="AF141" s="516"/>
      <c r="AG141" s="516"/>
      <c r="AH141" s="516"/>
      <c r="AI141" s="516"/>
      <c r="AJ141" s="516"/>
      <c r="AK141" s="516"/>
      <c r="AL141" s="516"/>
      <c r="AM141" s="383"/>
      <c r="AO141">
        <f ca="1">IF($A141="S",IF(BM!$I141=0,0,CHOOSE(MATCH(RegimeExecucao,{"Global","Unitário"},0),ROUND(ROUND(BM.MEDAcumulado,15-13*BM!$A$9)/100*BM!$I141,15-13*ORÇAMENTO!$AF$11),ROUND(ROUND(BM.MEDAcumulado,15-13*BM!$A$9)*ROUND(BM!$H141,15-13*ORÇAMENTO!$AF$10),15-13*ORÇAMENTO!$AF$11))),IF($A141=0,0,ROUND(SomaAgrupBM,15-13*ORÇAMENTO!$AF$11)))</f>
        <v>0</v>
      </c>
    </row>
    <row r="142" spans="1:41" ht="51" x14ac:dyDescent="0.2">
      <c r="A142" t="str">
        <f ca="1">ORÇAMENTO!C142</f>
        <v>S</v>
      </c>
      <c r="B142">
        <f ca="1">ORÇAMENTO!D142</f>
        <v>0</v>
      </c>
      <c r="C142" s="116" t="str">
        <f t="shared" ca="1" si="8"/>
        <v>F</v>
      </c>
      <c r="D142" s="119" t="str">
        <f ca="1">ORÇAMENTO!O142</f>
        <v>1.6.12.2.</v>
      </c>
      <c r="E142" s="172" t="str">
        <f t="shared" ca="1" si="9"/>
        <v>(abra o arquivo 'Referência 03-2024.xlsm)</v>
      </c>
      <c r="F142" s="173" t="str">
        <f ca="1">IF(RegimeExecucao="Global","",ORÇAMENTO.Unidade)</f>
        <v/>
      </c>
      <c r="G142" s="124" t="str">
        <f ca="1">IF(RegimeExecucao="Global","",ORÇAMENTO!T142)</f>
        <v/>
      </c>
      <c r="H142" s="124" t="str">
        <f ca="1">IF(RegimeExecucao="Global","",ORÇAMENTO!W142)</f>
        <v/>
      </c>
      <c r="I142" s="127">
        <f ca="1">ORÇAMENTO!X142</f>
        <v>1769.14</v>
      </c>
      <c r="J142" s="378">
        <f ca="1">IF($A142="S",IF(CAIXA.Modo,BM.AFAnterior,BM.MEDAnterior),IF(AND(RegimeExecucao="Global",$I142&gt;0,COUNTIF($AB$13:$AM$13,BM.medicao-1)&gt;0),M142/$I142*100,0))</f>
        <v>0</v>
      </c>
      <c r="K142" s="124">
        <f t="shared" ca="1" si="10"/>
        <v>0</v>
      </c>
      <c r="L142" s="379">
        <f ca="1">IF($A142="S",IF(CAIXA.Modo,BM.AFAcumulado,BM.MEDAcumulado),IF(AND(RegimeExecucao="Global",$I142&gt;0,COUNTIF($AB$13:$AM$13,BM.medicao)&gt;0),O142/$I142*100,0))</f>
        <v>0</v>
      </c>
      <c r="M142" s="380">
        <f ca="1">IF($A142="S",VTOTALBM,IF($A142=0,0,ROUND(SomaAgrupBM,15-13*ORÇAMENTO!$AF$11)))</f>
        <v>0</v>
      </c>
      <c r="N142" s="381">
        <f t="shared" ca="1" si="11"/>
        <v>0</v>
      </c>
      <c r="O142" s="127">
        <f ca="1">IF($A142="S",VTOTALBM,IF($A142=0,0,ROUND(SomaAgrupBM,15-13*ORÇAMENTO!$AF$11)))</f>
        <v>0</v>
      </c>
      <c r="Q142" s="382"/>
      <c r="R142" s="383"/>
      <c r="T142" s="119" t="str">
        <f t="shared" ca="1" si="12"/>
        <v/>
      </c>
      <c r="U142" s="172" t="str">
        <f t="shared" ca="1" si="13"/>
        <v/>
      </c>
      <c r="V142" s="173" t="str">
        <f ca="1">IF(AND($W142&gt;0,RegimeExecucao="Unitário"),$F142,"")</f>
        <v/>
      </c>
      <c r="W142" s="547">
        <f ca="1">IF($Y142&gt;0,CHOOSE(MATCH(RegimeExecucao,{"Unitário","Global"},0),IF($A142="S",$Y142/$X142,""),($Y142/$X142)*100),0)</f>
        <v>0</v>
      </c>
      <c r="X142" s="384" t="str">
        <f ca="1">IF($Y142&gt;0,CHOOSE(MATCH(RegimeExecucao,{"Unitário","Global"},0),IF($A142="S",ROUND($H142,ORÇAMENTO!$AF$10),""),ROUND($I142,ORÇAMENTO!$AF$11)),"")</f>
        <v/>
      </c>
      <c r="Y142" s="384">
        <f t="shared" ca="1" si="14"/>
        <v>0</v>
      </c>
      <c r="Z142" s="572"/>
      <c r="AB142" s="382"/>
      <c r="AC142" s="516"/>
      <c r="AD142" s="516"/>
      <c r="AE142" s="516"/>
      <c r="AF142" s="516"/>
      <c r="AG142" s="516"/>
      <c r="AH142" s="516"/>
      <c r="AI142" s="516"/>
      <c r="AJ142" s="516"/>
      <c r="AK142" s="516"/>
      <c r="AL142" s="516"/>
      <c r="AM142" s="383"/>
      <c r="AO142">
        <f ca="1">IF($A142="S",IF(BM!$I142=0,0,CHOOSE(MATCH(RegimeExecucao,{"Global","Unitário"},0),ROUND(ROUND(BM.MEDAcumulado,15-13*BM!$A$9)/100*BM!$I142,15-13*ORÇAMENTO!$AF$11),ROUND(ROUND(BM.MEDAcumulado,15-13*BM!$A$9)*ROUND(BM!$H142,15-13*ORÇAMENTO!$AF$10),15-13*ORÇAMENTO!$AF$11))),IF($A142=0,0,ROUND(SomaAgrupBM,15-13*ORÇAMENTO!$AF$11)))</f>
        <v>0</v>
      </c>
    </row>
    <row r="143" spans="1:41" ht="63.75" x14ac:dyDescent="0.2">
      <c r="A143" t="str">
        <f ca="1">ORÇAMENTO!C143</f>
        <v>S</v>
      </c>
      <c r="B143">
        <f ca="1">ORÇAMENTO!D143</f>
        <v>0</v>
      </c>
      <c r="C143" s="116" t="str">
        <f t="shared" ca="1" si="8"/>
        <v>F</v>
      </c>
      <c r="D143" s="119" t="str">
        <f ca="1">ORÇAMENTO!O143</f>
        <v>1.6.12.3.</v>
      </c>
      <c r="E143" s="172" t="str">
        <f t="shared" ca="1" si="9"/>
        <v>(abra o arquivo 'Referência 03-2024.xlsm)</v>
      </c>
      <c r="F143" s="173" t="str">
        <f ca="1">IF(RegimeExecucao="Global","",ORÇAMENTO.Unidade)</f>
        <v/>
      </c>
      <c r="G143" s="124" t="str">
        <f ca="1">IF(RegimeExecucao="Global","",ORÇAMENTO!T143)</f>
        <v/>
      </c>
      <c r="H143" s="124" t="str">
        <f ca="1">IF(RegimeExecucao="Global","",ORÇAMENTO!W143)</f>
        <v/>
      </c>
      <c r="I143" s="127">
        <f ca="1">ORÇAMENTO!X143</f>
        <v>1546.01</v>
      </c>
      <c r="J143" s="378">
        <f ca="1">IF($A143="S",IF(CAIXA.Modo,BM.AFAnterior,BM.MEDAnterior),IF(AND(RegimeExecucao="Global",$I143&gt;0,COUNTIF($AB$13:$AM$13,BM.medicao-1)&gt;0),M143/$I143*100,0))</f>
        <v>0</v>
      </c>
      <c r="K143" s="124">
        <f t="shared" ca="1" si="10"/>
        <v>0</v>
      </c>
      <c r="L143" s="379">
        <f ca="1">IF($A143="S",IF(CAIXA.Modo,BM.AFAcumulado,BM.MEDAcumulado),IF(AND(RegimeExecucao="Global",$I143&gt;0,COUNTIF($AB$13:$AM$13,BM.medicao)&gt;0),O143/$I143*100,0))</f>
        <v>0</v>
      </c>
      <c r="M143" s="380">
        <f ca="1">IF($A143="S",VTOTALBM,IF($A143=0,0,ROUND(SomaAgrupBM,15-13*ORÇAMENTO!$AF$11)))</f>
        <v>0</v>
      </c>
      <c r="N143" s="381">
        <f t="shared" ca="1" si="11"/>
        <v>0</v>
      </c>
      <c r="O143" s="127">
        <f ca="1">IF($A143="S",VTOTALBM,IF($A143=0,0,ROUND(SomaAgrupBM,15-13*ORÇAMENTO!$AF$11)))</f>
        <v>0</v>
      </c>
      <c r="Q143" s="382"/>
      <c r="R143" s="383"/>
      <c r="T143" s="119" t="str">
        <f t="shared" ca="1" si="12"/>
        <v/>
      </c>
      <c r="U143" s="172" t="str">
        <f t="shared" ca="1" si="13"/>
        <v/>
      </c>
      <c r="V143" s="173" t="str">
        <f ca="1">IF(AND($W143&gt;0,RegimeExecucao="Unitário"),$F143,"")</f>
        <v/>
      </c>
      <c r="W143" s="547">
        <f ca="1">IF($Y143&gt;0,CHOOSE(MATCH(RegimeExecucao,{"Unitário","Global"},0),IF($A143="S",$Y143/$X143,""),($Y143/$X143)*100),0)</f>
        <v>0</v>
      </c>
      <c r="X143" s="384" t="str">
        <f ca="1">IF($Y143&gt;0,CHOOSE(MATCH(RegimeExecucao,{"Unitário","Global"},0),IF($A143="S",ROUND($H143,ORÇAMENTO!$AF$10),""),ROUND($I143,ORÇAMENTO!$AF$11)),"")</f>
        <v/>
      </c>
      <c r="Y143" s="384">
        <f t="shared" ca="1" si="14"/>
        <v>0</v>
      </c>
      <c r="Z143" s="572"/>
      <c r="AB143" s="382"/>
      <c r="AC143" s="516"/>
      <c r="AD143" s="516"/>
      <c r="AE143" s="516"/>
      <c r="AF143" s="516"/>
      <c r="AG143" s="516"/>
      <c r="AH143" s="516"/>
      <c r="AI143" s="516"/>
      <c r="AJ143" s="516"/>
      <c r="AK143" s="516"/>
      <c r="AL143" s="516"/>
      <c r="AM143" s="383"/>
      <c r="AO143">
        <f ca="1">IF($A143="S",IF(BM!$I143=0,0,CHOOSE(MATCH(RegimeExecucao,{"Global","Unitário"},0),ROUND(ROUND(BM.MEDAcumulado,15-13*BM!$A$9)/100*BM!$I143,15-13*ORÇAMENTO!$AF$11),ROUND(ROUND(BM.MEDAcumulado,15-13*BM!$A$9)*ROUND(BM!$H143,15-13*ORÇAMENTO!$AF$10),15-13*ORÇAMENTO!$AF$11))),IF($A143=0,0,ROUND(SomaAgrupBM,15-13*ORÇAMENTO!$AF$11)))</f>
        <v>0</v>
      </c>
    </row>
    <row r="144" spans="1:41" x14ac:dyDescent="0.2">
      <c r="A144">
        <f ca="1">ORÇAMENTO!C144</f>
        <v>3</v>
      </c>
      <c r="B144">
        <f ca="1">ORÇAMENTO!D144</f>
        <v>6</v>
      </c>
      <c r="C144" s="116" t="str">
        <f t="shared" ca="1" si="8"/>
        <v>F</v>
      </c>
      <c r="D144" s="119" t="str">
        <f ca="1">ORÇAMENTO!O144</f>
        <v>1.6.13.</v>
      </c>
      <c r="E144" s="172" t="str">
        <f t="shared" si="9"/>
        <v>PISO E CALÇADAS E RAMPA ACESSÍVEL</v>
      </c>
      <c r="F144" s="173" t="str">
        <f ca="1">IF(RegimeExecucao="Global","",ORÇAMENTO.Unidade)</f>
        <v/>
      </c>
      <c r="G144" s="124" t="str">
        <f ca="1">IF(RegimeExecucao="Global","",ORÇAMENTO!T144)</f>
        <v/>
      </c>
      <c r="H144" s="124" t="str">
        <f ca="1">IF(RegimeExecucao="Global","",ORÇAMENTO!W144)</f>
        <v/>
      </c>
      <c r="I144" s="127">
        <f ca="1">ORÇAMENTO!X144</f>
        <v>2869.8</v>
      </c>
      <c r="J144" s="378">
        <f ca="1">IF($A144="S",IF(CAIXA.Modo,BM.AFAnterior,BM.MEDAnterior),IF(AND(RegimeExecucao="Global",$I144&gt;0,COUNTIF($AB$13:$AM$13,BM.medicao-1)&gt;0),M144/$I144*100,0))</f>
        <v>0</v>
      </c>
      <c r="K144" s="124">
        <f t="shared" ca="1" si="10"/>
        <v>0</v>
      </c>
      <c r="L144" s="379">
        <f ca="1">IF($A144="S",IF(CAIXA.Modo,BM.AFAcumulado,BM.MEDAcumulado),IF(AND(RegimeExecucao="Global",$I144&gt;0,COUNTIF($AB$13:$AM$13,BM.medicao)&gt;0),O144/$I144*100,0))</f>
        <v>0</v>
      </c>
      <c r="M144" s="380">
        <f ca="1">IF($A144="S",VTOTALBM,IF($A144=0,0,ROUND(SomaAgrupBM,15-13*ORÇAMENTO!$AF$11)))</f>
        <v>0</v>
      </c>
      <c r="N144" s="381">
        <f t="shared" ca="1" si="11"/>
        <v>0</v>
      </c>
      <c r="O144" s="127">
        <f ca="1">IF($A144="S",VTOTALBM,IF($A144=0,0,ROUND(SomaAgrupBM,15-13*ORÇAMENTO!$AF$11)))</f>
        <v>0</v>
      </c>
      <c r="Q144" s="382"/>
      <c r="R144" s="383"/>
      <c r="T144" s="119" t="str">
        <f t="shared" ca="1" si="12"/>
        <v/>
      </c>
      <c r="U144" s="172" t="str">
        <f t="shared" ca="1" si="13"/>
        <v/>
      </c>
      <c r="V144" s="173" t="str">
        <f ca="1">IF(AND($W144&gt;0,RegimeExecucao="Unitário"),$F144,"")</f>
        <v/>
      </c>
      <c r="W144" s="547">
        <f ca="1">IF($Y144&gt;0,CHOOSE(MATCH(RegimeExecucao,{"Unitário","Global"},0),IF($A144="S",$Y144/$X144,""),($Y144/$X144)*100),0)</f>
        <v>0</v>
      </c>
      <c r="X144" s="384" t="str">
        <f ca="1">IF($Y144&gt;0,CHOOSE(MATCH(RegimeExecucao,{"Unitário","Global"},0),IF($A144="S",ROUND($H144,ORÇAMENTO!$AF$10),""),ROUND($I144,ORÇAMENTO!$AF$11)),"")</f>
        <v/>
      </c>
      <c r="Y144" s="384">
        <f t="shared" ca="1" si="14"/>
        <v>0</v>
      </c>
      <c r="Z144" s="572"/>
      <c r="AB144" s="382"/>
      <c r="AC144" s="516"/>
      <c r="AD144" s="516"/>
      <c r="AE144" s="516"/>
      <c r="AF144" s="516"/>
      <c r="AG144" s="516"/>
      <c r="AH144" s="516"/>
      <c r="AI144" s="516"/>
      <c r="AJ144" s="516"/>
      <c r="AK144" s="516"/>
      <c r="AL144" s="516"/>
      <c r="AM144" s="383"/>
      <c r="AO144">
        <f ca="1">IF($A144="S",IF(BM!$I144=0,0,CHOOSE(MATCH(RegimeExecucao,{"Global","Unitário"},0),ROUND(ROUND(BM.MEDAcumulado,15-13*BM!$A$9)/100*BM!$I144,15-13*ORÇAMENTO!$AF$11),ROUND(ROUND(BM.MEDAcumulado,15-13*BM!$A$9)*ROUND(BM!$H144,15-13*ORÇAMENTO!$AF$10),15-13*ORÇAMENTO!$AF$11))),IF($A144=0,0,ROUND(SomaAgrupBM,15-13*ORÇAMENTO!$AF$11)))</f>
        <v>0</v>
      </c>
    </row>
    <row r="145" spans="1:41" ht="25.5" x14ac:dyDescent="0.2">
      <c r="A145" t="str">
        <f ca="1">ORÇAMENTO!C145</f>
        <v>S</v>
      </c>
      <c r="B145">
        <f ca="1">ORÇAMENTO!D145</f>
        <v>0</v>
      </c>
      <c r="C145" s="116" t="str">
        <f t="shared" ca="1" si="8"/>
        <v>F</v>
      </c>
      <c r="D145" s="119" t="str">
        <f ca="1">ORÇAMENTO!O145</f>
        <v>1.6.13.1.</v>
      </c>
      <c r="E145" s="172" t="str">
        <f t="shared" ca="1" si="9"/>
        <v>(abra o arquivo 'Referência 03-2024.xlsm)</v>
      </c>
      <c r="F145" s="173" t="str">
        <f ca="1">IF(RegimeExecucao="Global","",ORÇAMENTO.Unidade)</f>
        <v/>
      </c>
      <c r="G145" s="124" t="str">
        <f ca="1">IF(RegimeExecucao="Global","",ORÇAMENTO!T145)</f>
        <v/>
      </c>
      <c r="H145" s="124" t="str">
        <f ca="1">IF(RegimeExecucao="Global","",ORÇAMENTO!W145)</f>
        <v/>
      </c>
      <c r="I145" s="127">
        <f ca="1">ORÇAMENTO!X145</f>
        <v>126.67</v>
      </c>
      <c r="J145" s="378">
        <f ca="1">IF($A145="S",IF(CAIXA.Modo,BM.AFAnterior,BM.MEDAnterior),IF(AND(RegimeExecucao="Global",$I145&gt;0,COUNTIF($AB$13:$AM$13,BM.medicao-1)&gt;0),M145/$I145*100,0))</f>
        <v>0</v>
      </c>
      <c r="K145" s="124">
        <f t="shared" ca="1" si="10"/>
        <v>0</v>
      </c>
      <c r="L145" s="379">
        <f ca="1">IF($A145="S",IF(CAIXA.Modo,BM.AFAcumulado,BM.MEDAcumulado),IF(AND(RegimeExecucao="Global",$I145&gt;0,COUNTIF($AB$13:$AM$13,BM.medicao)&gt;0),O145/$I145*100,0))</f>
        <v>0</v>
      </c>
      <c r="M145" s="380">
        <f ca="1">IF($A145="S",VTOTALBM,IF($A145=0,0,ROUND(SomaAgrupBM,15-13*ORÇAMENTO!$AF$11)))</f>
        <v>0</v>
      </c>
      <c r="N145" s="381">
        <f t="shared" ca="1" si="11"/>
        <v>0</v>
      </c>
      <c r="O145" s="127">
        <f ca="1">IF($A145="S",VTOTALBM,IF($A145=0,0,ROUND(SomaAgrupBM,15-13*ORÇAMENTO!$AF$11)))</f>
        <v>0</v>
      </c>
      <c r="Q145" s="382"/>
      <c r="R145" s="383"/>
      <c r="T145" s="119" t="str">
        <f t="shared" ca="1" si="12"/>
        <v/>
      </c>
      <c r="U145" s="172" t="str">
        <f t="shared" ca="1" si="13"/>
        <v/>
      </c>
      <c r="V145" s="173" t="str">
        <f ca="1">IF(AND($W145&gt;0,RegimeExecucao="Unitário"),$F145,"")</f>
        <v/>
      </c>
      <c r="W145" s="547">
        <f ca="1">IF($Y145&gt;0,CHOOSE(MATCH(RegimeExecucao,{"Unitário","Global"},0),IF($A145="S",$Y145/$X145,""),($Y145/$X145)*100),0)</f>
        <v>0</v>
      </c>
      <c r="X145" s="384" t="str">
        <f ca="1">IF($Y145&gt;0,CHOOSE(MATCH(RegimeExecucao,{"Unitário","Global"},0),IF($A145="S",ROUND($H145,ORÇAMENTO!$AF$10),""),ROUND($I145,ORÇAMENTO!$AF$11)),"")</f>
        <v/>
      </c>
      <c r="Y145" s="384">
        <f t="shared" ca="1" si="14"/>
        <v>0</v>
      </c>
      <c r="Z145" s="572"/>
      <c r="AB145" s="382"/>
      <c r="AC145" s="516"/>
      <c r="AD145" s="516"/>
      <c r="AE145" s="516"/>
      <c r="AF145" s="516"/>
      <c r="AG145" s="516"/>
      <c r="AH145" s="516"/>
      <c r="AI145" s="516"/>
      <c r="AJ145" s="516"/>
      <c r="AK145" s="516"/>
      <c r="AL145" s="516"/>
      <c r="AM145" s="383"/>
      <c r="AO145">
        <f ca="1">IF($A145="S",IF(BM!$I145=0,0,CHOOSE(MATCH(RegimeExecucao,{"Global","Unitário"},0),ROUND(ROUND(BM.MEDAcumulado,15-13*BM!$A$9)/100*BM!$I145,15-13*ORÇAMENTO!$AF$11),ROUND(ROUND(BM.MEDAcumulado,15-13*BM!$A$9)*ROUND(BM!$H145,15-13*ORÇAMENTO!$AF$10),15-13*ORÇAMENTO!$AF$11))),IF($A145=0,0,ROUND(SomaAgrupBM,15-13*ORÇAMENTO!$AF$11)))</f>
        <v>0</v>
      </c>
    </row>
    <row r="146" spans="1:41" ht="38.25" x14ac:dyDescent="0.2">
      <c r="A146" t="str">
        <f ca="1">ORÇAMENTO!C146</f>
        <v>S</v>
      </c>
      <c r="B146">
        <f ca="1">ORÇAMENTO!D146</f>
        <v>0</v>
      </c>
      <c r="C146" s="116" t="str">
        <f t="shared" ca="1" si="8"/>
        <v>F</v>
      </c>
      <c r="D146" s="119" t="str">
        <f ca="1">ORÇAMENTO!O146</f>
        <v>1.6.13.2.</v>
      </c>
      <c r="E146" s="172" t="str">
        <f t="shared" ca="1" si="9"/>
        <v>(abra o arquivo 'Referência 03-2024.xlsm)</v>
      </c>
      <c r="F146" s="173" t="str">
        <f ca="1">IF(RegimeExecucao="Global","",ORÇAMENTO.Unidade)</f>
        <v/>
      </c>
      <c r="G146" s="124" t="str">
        <f ca="1">IF(RegimeExecucao="Global","",ORÇAMENTO!T146)</f>
        <v/>
      </c>
      <c r="H146" s="124" t="str">
        <f ca="1">IF(RegimeExecucao="Global","",ORÇAMENTO!W146)</f>
        <v/>
      </c>
      <c r="I146" s="127">
        <f ca="1">ORÇAMENTO!X146</f>
        <v>696.14</v>
      </c>
      <c r="J146" s="378">
        <f ca="1">IF($A146="S",IF(CAIXA.Modo,BM.AFAnterior,BM.MEDAnterior),IF(AND(RegimeExecucao="Global",$I146&gt;0,COUNTIF($AB$13:$AM$13,BM.medicao-1)&gt;0),M146/$I146*100,0))</f>
        <v>0</v>
      </c>
      <c r="K146" s="124">
        <f t="shared" ca="1" si="10"/>
        <v>0</v>
      </c>
      <c r="L146" s="379">
        <f ca="1">IF($A146="S",IF(CAIXA.Modo,BM.AFAcumulado,BM.MEDAcumulado),IF(AND(RegimeExecucao="Global",$I146&gt;0,COUNTIF($AB$13:$AM$13,BM.medicao)&gt;0),O146/$I146*100,0))</f>
        <v>0</v>
      </c>
      <c r="M146" s="380">
        <f ca="1">IF($A146="S",VTOTALBM,IF($A146=0,0,ROUND(SomaAgrupBM,15-13*ORÇAMENTO!$AF$11)))</f>
        <v>0</v>
      </c>
      <c r="N146" s="381">
        <f t="shared" ca="1" si="11"/>
        <v>0</v>
      </c>
      <c r="O146" s="127">
        <f ca="1">IF($A146="S",VTOTALBM,IF($A146=0,0,ROUND(SomaAgrupBM,15-13*ORÇAMENTO!$AF$11)))</f>
        <v>0</v>
      </c>
      <c r="Q146" s="382"/>
      <c r="R146" s="383"/>
      <c r="T146" s="119" t="str">
        <f t="shared" ca="1" si="12"/>
        <v/>
      </c>
      <c r="U146" s="172" t="str">
        <f t="shared" ca="1" si="13"/>
        <v/>
      </c>
      <c r="V146" s="173" t="str">
        <f ca="1">IF(AND($W146&gt;0,RegimeExecucao="Unitário"),$F146,"")</f>
        <v/>
      </c>
      <c r="W146" s="547">
        <f ca="1">IF($Y146&gt;0,CHOOSE(MATCH(RegimeExecucao,{"Unitário","Global"},0),IF($A146="S",$Y146/$X146,""),($Y146/$X146)*100),0)</f>
        <v>0</v>
      </c>
      <c r="X146" s="384" t="str">
        <f ca="1">IF($Y146&gt;0,CHOOSE(MATCH(RegimeExecucao,{"Unitário","Global"},0),IF($A146="S",ROUND($H146,ORÇAMENTO!$AF$10),""),ROUND($I146,ORÇAMENTO!$AF$11)),"")</f>
        <v/>
      </c>
      <c r="Y146" s="384">
        <f t="shared" ca="1" si="14"/>
        <v>0</v>
      </c>
      <c r="Z146" s="572"/>
      <c r="AB146" s="382"/>
      <c r="AC146" s="516"/>
      <c r="AD146" s="516"/>
      <c r="AE146" s="516"/>
      <c r="AF146" s="516"/>
      <c r="AG146" s="516"/>
      <c r="AH146" s="516"/>
      <c r="AI146" s="516"/>
      <c r="AJ146" s="516"/>
      <c r="AK146" s="516"/>
      <c r="AL146" s="516"/>
      <c r="AM146" s="383"/>
      <c r="AO146">
        <f ca="1">IF($A146="S",IF(BM!$I146=0,0,CHOOSE(MATCH(RegimeExecucao,{"Global","Unitário"},0),ROUND(ROUND(BM.MEDAcumulado,15-13*BM!$A$9)/100*BM!$I146,15-13*ORÇAMENTO!$AF$11),ROUND(ROUND(BM.MEDAcumulado,15-13*BM!$A$9)*ROUND(BM!$H146,15-13*ORÇAMENTO!$AF$10),15-13*ORÇAMENTO!$AF$11))),IF($A146=0,0,ROUND(SomaAgrupBM,15-13*ORÇAMENTO!$AF$11)))</f>
        <v>0</v>
      </c>
    </row>
    <row r="147" spans="1:41" ht="51" x14ac:dyDescent="0.2">
      <c r="A147" t="str">
        <f ca="1">ORÇAMENTO!C147</f>
        <v>S</v>
      </c>
      <c r="B147">
        <f ca="1">ORÇAMENTO!D147</f>
        <v>0</v>
      </c>
      <c r="C147" s="116" t="str">
        <f t="shared" ca="1" si="8"/>
        <v>F</v>
      </c>
      <c r="D147" s="119" t="str">
        <f ca="1">ORÇAMENTO!O147</f>
        <v>1.6.13.3.</v>
      </c>
      <c r="E147" s="172" t="str">
        <f t="shared" ca="1" si="9"/>
        <v>(abra o arquivo 'Referência 03-2024.xlsm)</v>
      </c>
      <c r="F147" s="173" t="str">
        <f ca="1">IF(RegimeExecucao="Global","",ORÇAMENTO.Unidade)</f>
        <v/>
      </c>
      <c r="G147" s="124" t="str">
        <f ca="1">IF(RegimeExecucao="Global","",ORÇAMENTO!T147)</f>
        <v/>
      </c>
      <c r="H147" s="124" t="str">
        <f ca="1">IF(RegimeExecucao="Global","",ORÇAMENTO!W147)</f>
        <v/>
      </c>
      <c r="I147" s="127">
        <f ca="1">ORÇAMENTO!X147</f>
        <v>791.86</v>
      </c>
      <c r="J147" s="378">
        <f ca="1">IF($A147="S",IF(CAIXA.Modo,BM.AFAnterior,BM.MEDAnterior),IF(AND(RegimeExecucao="Global",$I147&gt;0,COUNTIF($AB$13:$AM$13,BM.medicao-1)&gt;0),M147/$I147*100,0))</f>
        <v>0</v>
      </c>
      <c r="K147" s="124">
        <f t="shared" ca="1" si="10"/>
        <v>0</v>
      </c>
      <c r="L147" s="379">
        <f ca="1">IF($A147="S",IF(CAIXA.Modo,BM.AFAcumulado,BM.MEDAcumulado),IF(AND(RegimeExecucao="Global",$I147&gt;0,COUNTIF($AB$13:$AM$13,BM.medicao)&gt;0),O147/$I147*100,0))</f>
        <v>0</v>
      </c>
      <c r="M147" s="380">
        <f ca="1">IF($A147="S",VTOTALBM,IF($A147=0,0,ROUND(SomaAgrupBM,15-13*ORÇAMENTO!$AF$11)))</f>
        <v>0</v>
      </c>
      <c r="N147" s="381">
        <f t="shared" ca="1" si="11"/>
        <v>0</v>
      </c>
      <c r="O147" s="127">
        <f ca="1">IF($A147="S",VTOTALBM,IF($A147=0,0,ROUND(SomaAgrupBM,15-13*ORÇAMENTO!$AF$11)))</f>
        <v>0</v>
      </c>
      <c r="Q147" s="382"/>
      <c r="R147" s="383"/>
      <c r="T147" s="119" t="str">
        <f t="shared" ca="1" si="12"/>
        <v/>
      </c>
      <c r="U147" s="172" t="str">
        <f t="shared" ca="1" si="13"/>
        <v/>
      </c>
      <c r="V147" s="173" t="str">
        <f ca="1">IF(AND($W147&gt;0,RegimeExecucao="Unitário"),$F147,"")</f>
        <v/>
      </c>
      <c r="W147" s="547">
        <f ca="1">IF($Y147&gt;0,CHOOSE(MATCH(RegimeExecucao,{"Unitário","Global"},0),IF($A147="S",$Y147/$X147,""),($Y147/$X147)*100),0)</f>
        <v>0</v>
      </c>
      <c r="X147" s="384" t="str">
        <f ca="1">IF($Y147&gt;0,CHOOSE(MATCH(RegimeExecucao,{"Unitário","Global"},0),IF($A147="S",ROUND($H147,ORÇAMENTO!$AF$10),""),ROUND($I147,ORÇAMENTO!$AF$11)),"")</f>
        <v/>
      </c>
      <c r="Y147" s="384">
        <f t="shared" ca="1" si="14"/>
        <v>0</v>
      </c>
      <c r="Z147" s="572"/>
      <c r="AB147" s="382"/>
      <c r="AC147" s="516"/>
      <c r="AD147" s="516"/>
      <c r="AE147" s="516"/>
      <c r="AF147" s="516"/>
      <c r="AG147" s="516"/>
      <c r="AH147" s="516"/>
      <c r="AI147" s="516"/>
      <c r="AJ147" s="516"/>
      <c r="AK147" s="516"/>
      <c r="AL147" s="516"/>
      <c r="AM147" s="383"/>
      <c r="AO147">
        <f ca="1">IF($A147="S",IF(BM!$I147=0,0,CHOOSE(MATCH(RegimeExecucao,{"Global","Unitário"},0),ROUND(ROUND(BM.MEDAcumulado,15-13*BM!$A$9)/100*BM!$I147,15-13*ORÇAMENTO!$AF$11),ROUND(ROUND(BM.MEDAcumulado,15-13*BM!$A$9)*ROUND(BM!$H147,15-13*ORÇAMENTO!$AF$10),15-13*ORÇAMENTO!$AF$11))),IF($A147=0,0,ROUND(SomaAgrupBM,15-13*ORÇAMENTO!$AF$11)))</f>
        <v>0</v>
      </c>
    </row>
    <row r="148" spans="1:41" ht="25.5" x14ac:dyDescent="0.2">
      <c r="A148" t="str">
        <f ca="1">ORÇAMENTO!C148</f>
        <v>S</v>
      </c>
      <c r="B148">
        <f ca="1">ORÇAMENTO!D148</f>
        <v>0</v>
      </c>
      <c r="C148" s="116" t="str">
        <f ca="1">IF(OR($I148&gt;0,$A148=1,$A148=2,$A148=3,$A148=4),"F","")</f>
        <v>F</v>
      </c>
      <c r="D148" s="119" t="str">
        <f ca="1">ORÇAMENTO!O148</f>
        <v>1.6.13.4.</v>
      </c>
      <c r="E148" s="172" t="str">
        <f ca="1">ORÇAMENTO.Descricao</f>
        <v>(abra o arquivo 'Referência 03-2024.xlsm)</v>
      </c>
      <c r="F148" s="173" t="str">
        <f ca="1">IF(RegimeExecucao="Global","",ORÇAMENTO.Unidade)</f>
        <v/>
      </c>
      <c r="G148" s="124" t="str">
        <f ca="1">IF(RegimeExecucao="Global","",ORÇAMENTO!T148)</f>
        <v/>
      </c>
      <c r="H148" s="124" t="str">
        <f ca="1">IF(RegimeExecucao="Global","",ORÇAMENTO!W148)</f>
        <v/>
      </c>
      <c r="I148" s="127">
        <f ca="1">ORÇAMENTO!X148</f>
        <v>226.58</v>
      </c>
      <c r="J148" s="378">
        <f ca="1">IF($A148="S",IF(CAIXA.Modo,BM.AFAnterior,BM.MEDAnterior),IF(AND(RegimeExecucao="Global",$I148&gt;0,COUNTIF($AB$13:$AM$13,BM.medicao-1)&gt;0),M148/$I148*100,0))</f>
        <v>0</v>
      </c>
      <c r="K148" s="124">
        <f ca="1">L148-J148</f>
        <v>0</v>
      </c>
      <c r="L148" s="379">
        <f ca="1">IF($A148="S",IF(CAIXA.Modo,BM.AFAcumulado,BM.MEDAcumulado),IF(AND(RegimeExecucao="Global",$I148&gt;0,COUNTIF($AB$13:$AM$13,BM.medicao)&gt;0),O148/$I148*100,0))</f>
        <v>0</v>
      </c>
      <c r="M148" s="380">
        <f ca="1">IF($A148="S",VTOTALBM,IF($A148=0,0,ROUND(SomaAgrupBM,15-13*ORÇAMENTO!$AF$11)))</f>
        <v>0</v>
      </c>
      <c r="N148" s="381">
        <f ca="1">O148-M148</f>
        <v>0</v>
      </c>
      <c r="O148" s="127">
        <f ca="1">IF($A148="S",VTOTALBM,IF($A148=0,0,ROUND(SomaAgrupBM,15-13*ORÇAMENTO!$AF$11)))</f>
        <v>0</v>
      </c>
      <c r="Q148" s="382"/>
      <c r="R148" s="383"/>
      <c r="T148" s="119" t="str">
        <f ca="1">IF($W148&gt;0,$D148,"")</f>
        <v/>
      </c>
      <c r="U148" s="172" t="str">
        <f ca="1">IF($W148&gt;0,$E148,"")</f>
        <v/>
      </c>
      <c r="V148" s="173" t="str">
        <f ca="1">IF(AND($W148&gt;0,RegimeExecucao="Unitário"),$F148,"")</f>
        <v/>
      </c>
      <c r="W148" s="547">
        <f ca="1">IF($Y148&gt;0,CHOOSE(MATCH(RegimeExecucao,{"Unitário","Global"},0),IF($A148="S",$Y148/$X148,""),($Y148/$X148)*100),0)</f>
        <v>0</v>
      </c>
      <c r="X148" s="384" t="str">
        <f ca="1">IF($Y148&gt;0,CHOOSE(MATCH(RegimeExecucao,{"Unitário","Global"},0),IF($A148="S",ROUND($H148,ORÇAMENTO!$AF$10),""),ROUND($I148,ORÇAMENTO!$AF$11)),"")</f>
        <v/>
      </c>
      <c r="Y148" s="384">
        <f ca="1">AO148-O148</f>
        <v>0</v>
      </c>
      <c r="Z148" s="572"/>
      <c r="AB148" s="382"/>
      <c r="AC148" s="516"/>
      <c r="AD148" s="516"/>
      <c r="AE148" s="516"/>
      <c r="AF148" s="516"/>
      <c r="AG148" s="516"/>
      <c r="AH148" s="516"/>
      <c r="AI148" s="516"/>
      <c r="AJ148" s="516"/>
      <c r="AK148" s="516"/>
      <c r="AL148" s="516"/>
      <c r="AM148" s="383"/>
      <c r="AO148">
        <f ca="1">IF($A148="S",IF(BM!$I148=0,0,CHOOSE(MATCH(RegimeExecucao,{"Global","Unitário"},0),ROUND(ROUND(BM.MEDAcumulado,15-13*BM!$A$9)/100*BM!$I148,15-13*ORÇAMENTO!$AF$11),ROUND(ROUND(BM.MEDAcumulado,15-13*BM!$A$9)*ROUND(BM!$H148,15-13*ORÇAMENTO!$AF$10),15-13*ORÇAMENTO!$AF$11))),IF($A148=0,0,ROUND(SomaAgrupBM,15-13*ORÇAMENTO!$AF$11)))</f>
        <v>0</v>
      </c>
    </row>
    <row r="149" spans="1:41" ht="38.25" x14ac:dyDescent="0.2">
      <c r="A149" t="str">
        <f ca="1">ORÇAMENTO!C149</f>
        <v>S</v>
      </c>
      <c r="B149">
        <f ca="1">ORÇAMENTO!D149</f>
        <v>0</v>
      </c>
      <c r="C149" s="116" t="str">
        <f t="shared" ca="1" si="8"/>
        <v>F</v>
      </c>
      <c r="D149" s="119" t="str">
        <f ca="1">ORÇAMENTO!O149</f>
        <v>1.6.13.5.</v>
      </c>
      <c r="E149" s="172" t="str">
        <f t="shared" ca="1" si="9"/>
        <v>(abra o arquivo 'Referência 03-2024.xlsm)</v>
      </c>
      <c r="F149" s="173" t="str">
        <f ca="1">IF(RegimeExecucao="Global","",ORÇAMENTO.Unidade)</f>
        <v/>
      </c>
      <c r="G149" s="124" t="str">
        <f ca="1">IF(RegimeExecucao="Global","",ORÇAMENTO!T149)</f>
        <v/>
      </c>
      <c r="H149" s="124" t="str">
        <f ca="1">IF(RegimeExecucao="Global","",ORÇAMENTO!W149)</f>
        <v/>
      </c>
      <c r="I149" s="127">
        <f ca="1">ORÇAMENTO!X149</f>
        <v>1028.55</v>
      </c>
      <c r="J149" s="378">
        <f ca="1">IF($A149="S",IF(CAIXA.Modo,BM.AFAnterior,BM.MEDAnterior),IF(AND(RegimeExecucao="Global",$I149&gt;0,COUNTIF($AB$13:$AM$13,BM.medicao-1)&gt;0),M149/$I149*100,0))</f>
        <v>0</v>
      </c>
      <c r="K149" s="124">
        <f t="shared" ca="1" si="10"/>
        <v>0</v>
      </c>
      <c r="L149" s="379">
        <f ca="1">IF($A149="S",IF(CAIXA.Modo,BM.AFAcumulado,BM.MEDAcumulado),IF(AND(RegimeExecucao="Global",$I149&gt;0,COUNTIF($AB$13:$AM$13,BM.medicao)&gt;0),O149/$I149*100,0))</f>
        <v>0</v>
      </c>
      <c r="M149" s="380">
        <f ca="1">IF($A149="S",VTOTALBM,IF($A149=0,0,ROUND(SomaAgrupBM,15-13*ORÇAMENTO!$AF$11)))</f>
        <v>0</v>
      </c>
      <c r="N149" s="381">
        <f t="shared" ca="1" si="11"/>
        <v>0</v>
      </c>
      <c r="O149" s="127">
        <f ca="1">IF($A149="S",VTOTALBM,IF($A149=0,0,ROUND(SomaAgrupBM,15-13*ORÇAMENTO!$AF$11)))</f>
        <v>0</v>
      </c>
      <c r="Q149" s="382"/>
      <c r="R149" s="383"/>
      <c r="T149" s="119" t="str">
        <f t="shared" ca="1" si="12"/>
        <v/>
      </c>
      <c r="U149" s="172" t="str">
        <f t="shared" ca="1" si="13"/>
        <v/>
      </c>
      <c r="V149" s="173" t="str">
        <f ca="1">IF(AND($W149&gt;0,RegimeExecucao="Unitário"),$F149,"")</f>
        <v/>
      </c>
      <c r="W149" s="547">
        <f ca="1">IF($Y149&gt;0,CHOOSE(MATCH(RegimeExecucao,{"Unitário","Global"},0),IF($A149="S",$Y149/$X149,""),($Y149/$X149)*100),0)</f>
        <v>0</v>
      </c>
      <c r="X149" s="384" t="str">
        <f ca="1">IF($Y149&gt;0,CHOOSE(MATCH(RegimeExecucao,{"Unitário","Global"},0),IF($A149="S",ROUND($H149,ORÇAMENTO!$AF$10),""),ROUND($I149,ORÇAMENTO!$AF$11)),"")</f>
        <v/>
      </c>
      <c r="Y149" s="384">
        <f t="shared" ca="1" si="14"/>
        <v>0</v>
      </c>
      <c r="Z149" s="572"/>
      <c r="AB149" s="382"/>
      <c r="AC149" s="516"/>
      <c r="AD149" s="516"/>
      <c r="AE149" s="516"/>
      <c r="AF149" s="516"/>
      <c r="AG149" s="516"/>
      <c r="AH149" s="516"/>
      <c r="AI149" s="516"/>
      <c r="AJ149" s="516"/>
      <c r="AK149" s="516"/>
      <c r="AL149" s="516"/>
      <c r="AM149" s="383"/>
      <c r="AO149">
        <f ca="1">IF($A149="S",IF(BM!$I149=0,0,CHOOSE(MATCH(RegimeExecucao,{"Global","Unitário"},0),ROUND(ROUND(BM.MEDAcumulado,15-13*BM!$A$9)/100*BM!$I149,15-13*ORÇAMENTO!$AF$11),ROUND(ROUND(BM.MEDAcumulado,15-13*BM!$A$9)*ROUND(BM!$H149,15-13*ORÇAMENTO!$AF$10),15-13*ORÇAMENTO!$AF$11))),IF($A149=0,0,ROUND(SomaAgrupBM,15-13*ORÇAMENTO!$AF$11)))</f>
        <v>0</v>
      </c>
    </row>
    <row r="150" spans="1:41" x14ac:dyDescent="0.2">
      <c r="A150">
        <f ca="1">ORÇAMENTO!C150</f>
        <v>3</v>
      </c>
      <c r="B150">
        <f ca="1">ORÇAMENTO!D150</f>
        <v>4</v>
      </c>
      <c r="C150" s="116" t="str">
        <f t="shared" ca="1" si="8"/>
        <v>F</v>
      </c>
      <c r="D150" s="119" t="str">
        <f ca="1">ORÇAMENTO!O150</f>
        <v>1.6.14.</v>
      </c>
      <c r="E150" s="172" t="str">
        <f t="shared" si="9"/>
        <v>PINTURA</v>
      </c>
      <c r="F150" s="173" t="str">
        <f ca="1">IF(RegimeExecucao="Global","",ORÇAMENTO.Unidade)</f>
        <v/>
      </c>
      <c r="G150" s="124" t="str">
        <f ca="1">IF(RegimeExecucao="Global","",ORÇAMENTO!T150)</f>
        <v/>
      </c>
      <c r="H150" s="124" t="str">
        <f ca="1">IF(RegimeExecucao="Global","",ORÇAMENTO!W150)</f>
        <v/>
      </c>
      <c r="I150" s="127">
        <f ca="1">ORÇAMENTO!X150</f>
        <v>1387.2</v>
      </c>
      <c r="J150" s="378">
        <f ca="1">IF($A150="S",IF(CAIXA.Modo,BM.AFAnterior,BM.MEDAnterior),IF(AND(RegimeExecucao="Global",$I150&gt;0,COUNTIF($AB$13:$AM$13,BM.medicao-1)&gt;0),M150/$I150*100,0))</f>
        <v>0</v>
      </c>
      <c r="K150" s="124">
        <f t="shared" ca="1" si="10"/>
        <v>0</v>
      </c>
      <c r="L150" s="379">
        <f ca="1">IF($A150="S",IF(CAIXA.Modo,BM.AFAcumulado,BM.MEDAcumulado),IF(AND(RegimeExecucao="Global",$I150&gt;0,COUNTIF($AB$13:$AM$13,BM.medicao)&gt;0),O150/$I150*100,0))</f>
        <v>0</v>
      </c>
      <c r="M150" s="380">
        <f ca="1">IF($A150="S",VTOTALBM,IF($A150=0,0,ROUND(SomaAgrupBM,15-13*ORÇAMENTO!$AF$11)))</f>
        <v>0</v>
      </c>
      <c r="N150" s="381">
        <f t="shared" ca="1" si="11"/>
        <v>0</v>
      </c>
      <c r="O150" s="127">
        <f ca="1">IF($A150="S",VTOTALBM,IF($A150=0,0,ROUND(SomaAgrupBM,15-13*ORÇAMENTO!$AF$11)))</f>
        <v>0</v>
      </c>
      <c r="Q150" s="382"/>
      <c r="R150" s="383"/>
      <c r="T150" s="119" t="str">
        <f t="shared" ca="1" si="12"/>
        <v/>
      </c>
      <c r="U150" s="172" t="str">
        <f t="shared" ca="1" si="13"/>
        <v/>
      </c>
      <c r="V150" s="173" t="str">
        <f ca="1">IF(AND($W150&gt;0,RegimeExecucao="Unitário"),$F150,"")</f>
        <v/>
      </c>
      <c r="W150" s="547">
        <f ca="1">IF($Y150&gt;0,CHOOSE(MATCH(RegimeExecucao,{"Unitário","Global"},0),IF($A150="S",$Y150/$X150,""),($Y150/$X150)*100),0)</f>
        <v>0</v>
      </c>
      <c r="X150" s="384" t="str">
        <f ca="1">IF($Y150&gt;0,CHOOSE(MATCH(RegimeExecucao,{"Unitário","Global"},0),IF($A150="S",ROUND($H150,ORÇAMENTO!$AF$10),""),ROUND($I150,ORÇAMENTO!$AF$11)),"")</f>
        <v/>
      </c>
      <c r="Y150" s="384">
        <f t="shared" ca="1" si="14"/>
        <v>0</v>
      </c>
      <c r="Z150" s="572"/>
      <c r="AB150" s="382"/>
      <c r="AC150" s="516"/>
      <c r="AD150" s="516"/>
      <c r="AE150" s="516"/>
      <c r="AF150" s="516"/>
      <c r="AG150" s="516"/>
      <c r="AH150" s="516"/>
      <c r="AI150" s="516"/>
      <c r="AJ150" s="516"/>
      <c r="AK150" s="516"/>
      <c r="AL150" s="516"/>
      <c r="AM150" s="383"/>
      <c r="AO150">
        <f ca="1">IF($A150="S",IF(BM!$I150=0,0,CHOOSE(MATCH(RegimeExecucao,{"Global","Unitário"},0),ROUND(ROUND(BM.MEDAcumulado,15-13*BM!$A$9)/100*BM!$I150,15-13*ORÇAMENTO!$AF$11),ROUND(ROUND(BM.MEDAcumulado,15-13*BM!$A$9)*ROUND(BM!$H150,15-13*ORÇAMENTO!$AF$10),15-13*ORÇAMENTO!$AF$11))),IF($A150=0,0,ROUND(SomaAgrupBM,15-13*ORÇAMENTO!$AF$11)))</f>
        <v>0</v>
      </c>
    </row>
    <row r="151" spans="1:41" ht="25.5" x14ac:dyDescent="0.2">
      <c r="A151" t="str">
        <f ca="1">ORÇAMENTO!C151</f>
        <v>S</v>
      </c>
      <c r="B151">
        <f ca="1">ORÇAMENTO!D151</f>
        <v>0</v>
      </c>
      <c r="C151" s="116" t="str">
        <f t="shared" ca="1" si="8"/>
        <v>F</v>
      </c>
      <c r="D151" s="119" t="str">
        <f ca="1">ORÇAMENTO!O151</f>
        <v>1.6.14.1.</v>
      </c>
      <c r="E151" s="172" t="str">
        <f t="shared" ca="1" si="9"/>
        <v>(abra o arquivo 'Referência 03-2024.xlsm)</v>
      </c>
      <c r="F151" s="173" t="str">
        <f ca="1">IF(RegimeExecucao="Global","",ORÇAMENTO.Unidade)</f>
        <v/>
      </c>
      <c r="G151" s="124" t="str">
        <f ca="1">IF(RegimeExecucao="Global","",ORÇAMENTO!T151)</f>
        <v/>
      </c>
      <c r="H151" s="124" t="str">
        <f ca="1">IF(RegimeExecucao="Global","",ORÇAMENTO!W151)</f>
        <v/>
      </c>
      <c r="I151" s="127">
        <f ca="1">ORÇAMENTO!X151</f>
        <v>181.26</v>
      </c>
      <c r="J151" s="378">
        <f ca="1">IF($A151="S",IF(CAIXA.Modo,BM.AFAnterior,BM.MEDAnterior),IF(AND(RegimeExecucao="Global",$I151&gt;0,COUNTIF($AB$13:$AM$13,BM.medicao-1)&gt;0),M151/$I151*100,0))</f>
        <v>0</v>
      </c>
      <c r="K151" s="124">
        <f t="shared" ca="1" si="10"/>
        <v>0</v>
      </c>
      <c r="L151" s="379">
        <f ca="1">IF($A151="S",IF(CAIXA.Modo,BM.AFAcumulado,BM.MEDAcumulado),IF(AND(RegimeExecucao="Global",$I151&gt;0,COUNTIF($AB$13:$AM$13,BM.medicao)&gt;0),O151/$I151*100,0))</f>
        <v>0</v>
      </c>
      <c r="M151" s="380">
        <f ca="1">IF($A151="S",VTOTALBM,IF($A151=0,0,ROUND(SomaAgrupBM,15-13*ORÇAMENTO!$AF$11)))</f>
        <v>0</v>
      </c>
      <c r="N151" s="381">
        <f t="shared" ca="1" si="11"/>
        <v>0</v>
      </c>
      <c r="O151" s="127">
        <f ca="1">IF($A151="S",VTOTALBM,IF($A151=0,0,ROUND(SomaAgrupBM,15-13*ORÇAMENTO!$AF$11)))</f>
        <v>0</v>
      </c>
      <c r="Q151" s="382"/>
      <c r="R151" s="383"/>
      <c r="T151" s="119" t="str">
        <f t="shared" ca="1" si="12"/>
        <v/>
      </c>
      <c r="U151" s="172" t="str">
        <f t="shared" ca="1" si="13"/>
        <v/>
      </c>
      <c r="V151" s="173" t="str">
        <f ca="1">IF(AND($W151&gt;0,RegimeExecucao="Unitário"),$F151,"")</f>
        <v/>
      </c>
      <c r="W151" s="547">
        <f ca="1">IF($Y151&gt;0,CHOOSE(MATCH(RegimeExecucao,{"Unitário","Global"},0),IF($A151="S",$Y151/$X151,""),($Y151/$X151)*100),0)</f>
        <v>0</v>
      </c>
      <c r="X151" s="384" t="str">
        <f ca="1">IF($Y151&gt;0,CHOOSE(MATCH(RegimeExecucao,{"Unitário","Global"},0),IF($A151="S",ROUND($H151,ORÇAMENTO!$AF$10),""),ROUND($I151,ORÇAMENTO!$AF$11)),"")</f>
        <v/>
      </c>
      <c r="Y151" s="384">
        <f t="shared" ca="1" si="14"/>
        <v>0</v>
      </c>
      <c r="Z151" s="572"/>
      <c r="AB151" s="382"/>
      <c r="AC151" s="516"/>
      <c r="AD151" s="516"/>
      <c r="AE151" s="516"/>
      <c r="AF151" s="516"/>
      <c r="AG151" s="516"/>
      <c r="AH151" s="516"/>
      <c r="AI151" s="516"/>
      <c r="AJ151" s="516"/>
      <c r="AK151" s="516"/>
      <c r="AL151" s="516"/>
      <c r="AM151" s="383"/>
      <c r="AO151">
        <f ca="1">IF($A151="S",IF(BM!$I151=0,0,CHOOSE(MATCH(RegimeExecucao,{"Global","Unitário"},0),ROUND(ROUND(BM.MEDAcumulado,15-13*BM!$A$9)/100*BM!$I151,15-13*ORÇAMENTO!$AF$11),ROUND(ROUND(BM.MEDAcumulado,15-13*BM!$A$9)*ROUND(BM!$H151,15-13*ORÇAMENTO!$AF$10),15-13*ORÇAMENTO!$AF$11))),IF($A151=0,0,ROUND(SomaAgrupBM,15-13*ORÇAMENTO!$AF$11)))</f>
        <v>0</v>
      </c>
    </row>
    <row r="152" spans="1:41" ht="25.5" x14ac:dyDescent="0.2">
      <c r="A152" t="str">
        <f ca="1">ORÇAMENTO!C152</f>
        <v>S</v>
      </c>
      <c r="B152">
        <f ca="1">ORÇAMENTO!D152</f>
        <v>0</v>
      </c>
      <c r="C152" s="116" t="str">
        <f t="shared" ca="1" si="8"/>
        <v>F</v>
      </c>
      <c r="D152" s="119" t="str">
        <f ca="1">ORÇAMENTO!O152</f>
        <v>1.6.14.2.</v>
      </c>
      <c r="E152" s="172" t="str">
        <f t="shared" ca="1" si="9"/>
        <v>(abra o arquivo 'Referência 03-2024.xlsm)</v>
      </c>
      <c r="F152" s="173" t="str">
        <f ca="1">IF(RegimeExecucao="Global","",ORÇAMENTO.Unidade)</f>
        <v/>
      </c>
      <c r="G152" s="124" t="str">
        <f ca="1">IF(RegimeExecucao="Global","",ORÇAMENTO!T152)</f>
        <v/>
      </c>
      <c r="H152" s="124" t="str">
        <f ca="1">IF(RegimeExecucao="Global","",ORÇAMENTO!W152)</f>
        <v/>
      </c>
      <c r="I152" s="127">
        <f ca="1">ORÇAMENTO!X152</f>
        <v>1063.71</v>
      </c>
      <c r="J152" s="378">
        <f ca="1">IF($A152="S",IF(CAIXA.Modo,BM.AFAnterior,BM.MEDAnterior),IF(AND(RegimeExecucao="Global",$I152&gt;0,COUNTIF($AB$13:$AM$13,BM.medicao-1)&gt;0),M152/$I152*100,0))</f>
        <v>0</v>
      </c>
      <c r="K152" s="124">
        <f t="shared" ca="1" si="10"/>
        <v>0</v>
      </c>
      <c r="L152" s="379">
        <f ca="1">IF($A152="S",IF(CAIXA.Modo,BM.AFAcumulado,BM.MEDAcumulado),IF(AND(RegimeExecucao="Global",$I152&gt;0,COUNTIF($AB$13:$AM$13,BM.medicao)&gt;0),O152/$I152*100,0))</f>
        <v>0</v>
      </c>
      <c r="M152" s="380">
        <f ca="1">IF($A152="S",VTOTALBM,IF($A152=0,0,ROUND(SomaAgrupBM,15-13*ORÇAMENTO!$AF$11)))</f>
        <v>0</v>
      </c>
      <c r="N152" s="381">
        <f t="shared" ca="1" si="11"/>
        <v>0</v>
      </c>
      <c r="O152" s="127">
        <f ca="1">IF($A152="S",VTOTALBM,IF($A152=0,0,ROUND(SomaAgrupBM,15-13*ORÇAMENTO!$AF$11)))</f>
        <v>0</v>
      </c>
      <c r="Q152" s="382"/>
      <c r="R152" s="383"/>
      <c r="T152" s="119" t="str">
        <f t="shared" ca="1" si="12"/>
        <v/>
      </c>
      <c r="U152" s="172" t="str">
        <f t="shared" ca="1" si="13"/>
        <v/>
      </c>
      <c r="V152" s="173" t="str">
        <f ca="1">IF(AND($W152&gt;0,RegimeExecucao="Unitário"),$F152,"")</f>
        <v/>
      </c>
      <c r="W152" s="547">
        <f ca="1">IF($Y152&gt;0,CHOOSE(MATCH(RegimeExecucao,{"Unitário","Global"},0),IF($A152="S",$Y152/$X152,""),($Y152/$X152)*100),0)</f>
        <v>0</v>
      </c>
      <c r="X152" s="384" t="str">
        <f ca="1">IF($Y152&gt;0,CHOOSE(MATCH(RegimeExecucao,{"Unitário","Global"},0),IF($A152="S",ROUND($H152,ORÇAMENTO!$AF$10),""),ROUND($I152,ORÇAMENTO!$AF$11)),"")</f>
        <v/>
      </c>
      <c r="Y152" s="384">
        <f t="shared" ca="1" si="14"/>
        <v>0</v>
      </c>
      <c r="Z152" s="572"/>
      <c r="AB152" s="382"/>
      <c r="AC152" s="516"/>
      <c r="AD152" s="516"/>
      <c r="AE152" s="516"/>
      <c r="AF152" s="516"/>
      <c r="AG152" s="516"/>
      <c r="AH152" s="516"/>
      <c r="AI152" s="516"/>
      <c r="AJ152" s="516"/>
      <c r="AK152" s="516"/>
      <c r="AL152" s="516"/>
      <c r="AM152" s="383"/>
      <c r="AO152">
        <f ca="1">IF($A152="S",IF(BM!$I152=0,0,CHOOSE(MATCH(RegimeExecucao,{"Global","Unitário"},0),ROUND(ROUND(BM.MEDAcumulado,15-13*BM!$A$9)/100*BM!$I152,15-13*ORÇAMENTO!$AF$11),ROUND(ROUND(BM.MEDAcumulado,15-13*BM!$A$9)*ROUND(BM!$H152,15-13*ORÇAMENTO!$AF$10),15-13*ORÇAMENTO!$AF$11))),IF($A152=0,0,ROUND(SomaAgrupBM,15-13*ORÇAMENTO!$AF$11)))</f>
        <v>0</v>
      </c>
    </row>
    <row r="153" spans="1:41" ht="38.25" x14ac:dyDescent="0.2">
      <c r="A153" t="str">
        <f ca="1">ORÇAMENTO!C153</f>
        <v>S</v>
      </c>
      <c r="B153">
        <f ca="1">ORÇAMENTO!D153</f>
        <v>0</v>
      </c>
      <c r="C153" s="116" t="str">
        <f t="shared" ca="1" si="8"/>
        <v>F</v>
      </c>
      <c r="D153" s="119" t="str">
        <f ca="1">ORÇAMENTO!O153</f>
        <v>1.6.14.3.</v>
      </c>
      <c r="E153" s="172" t="str">
        <f t="shared" ca="1" si="9"/>
        <v>(abra o arquivo 'Referência 03-2024.xlsm)</v>
      </c>
      <c r="F153" s="173" t="str">
        <f ca="1">IF(RegimeExecucao="Global","",ORÇAMENTO.Unidade)</f>
        <v/>
      </c>
      <c r="G153" s="124" t="str">
        <f ca="1">IF(RegimeExecucao="Global","",ORÇAMENTO!T153)</f>
        <v/>
      </c>
      <c r="H153" s="124" t="str">
        <f ca="1">IF(RegimeExecucao="Global","",ORÇAMENTO!W153)</f>
        <v/>
      </c>
      <c r="I153" s="127">
        <f ca="1">ORÇAMENTO!X153</f>
        <v>142.22999999999999</v>
      </c>
      <c r="J153" s="378">
        <f ca="1">IF($A153="S",IF(CAIXA.Modo,BM.AFAnterior,BM.MEDAnterior),IF(AND(RegimeExecucao="Global",$I153&gt;0,COUNTIF($AB$13:$AM$13,BM.medicao-1)&gt;0),M153/$I153*100,0))</f>
        <v>0</v>
      </c>
      <c r="K153" s="124">
        <f t="shared" ca="1" si="10"/>
        <v>0</v>
      </c>
      <c r="L153" s="379">
        <f ca="1">IF($A153="S",IF(CAIXA.Modo,BM.AFAcumulado,BM.MEDAcumulado),IF(AND(RegimeExecucao="Global",$I153&gt;0,COUNTIF($AB$13:$AM$13,BM.medicao)&gt;0),O153/$I153*100,0))</f>
        <v>0</v>
      </c>
      <c r="M153" s="380">
        <f ca="1">IF($A153="S",VTOTALBM,IF($A153=0,0,ROUND(SomaAgrupBM,15-13*ORÇAMENTO!$AF$11)))</f>
        <v>0</v>
      </c>
      <c r="N153" s="381">
        <f t="shared" ca="1" si="11"/>
        <v>0</v>
      </c>
      <c r="O153" s="127">
        <f ca="1">IF($A153="S",VTOTALBM,IF($A153=0,0,ROUND(SomaAgrupBM,15-13*ORÇAMENTO!$AF$11)))</f>
        <v>0</v>
      </c>
      <c r="Q153" s="382"/>
      <c r="R153" s="383"/>
      <c r="T153" s="119" t="str">
        <f t="shared" ca="1" si="12"/>
        <v/>
      </c>
      <c r="U153" s="172" t="str">
        <f t="shared" ca="1" si="13"/>
        <v/>
      </c>
      <c r="V153" s="173" t="str">
        <f ca="1">IF(AND($W153&gt;0,RegimeExecucao="Unitário"),$F153,"")</f>
        <v/>
      </c>
      <c r="W153" s="547">
        <f ca="1">IF($Y153&gt;0,CHOOSE(MATCH(RegimeExecucao,{"Unitário","Global"},0),IF($A153="S",$Y153/$X153,""),($Y153/$X153)*100),0)</f>
        <v>0</v>
      </c>
      <c r="X153" s="384" t="str">
        <f ca="1">IF($Y153&gt;0,CHOOSE(MATCH(RegimeExecucao,{"Unitário","Global"},0),IF($A153="S",ROUND($H153,ORÇAMENTO!$AF$10),""),ROUND($I153,ORÇAMENTO!$AF$11)),"")</f>
        <v/>
      </c>
      <c r="Y153" s="384">
        <f t="shared" ca="1" si="14"/>
        <v>0</v>
      </c>
      <c r="Z153" s="572"/>
      <c r="AB153" s="382"/>
      <c r="AC153" s="516"/>
      <c r="AD153" s="516"/>
      <c r="AE153" s="516"/>
      <c r="AF153" s="516"/>
      <c r="AG153" s="516"/>
      <c r="AH153" s="516"/>
      <c r="AI153" s="516"/>
      <c r="AJ153" s="516"/>
      <c r="AK153" s="516"/>
      <c r="AL153" s="516"/>
      <c r="AM153" s="383"/>
      <c r="AO153">
        <f ca="1">IF($A153="S",IF(BM!$I153=0,0,CHOOSE(MATCH(RegimeExecucao,{"Global","Unitário"},0),ROUND(ROUND(BM.MEDAcumulado,15-13*BM!$A$9)/100*BM!$I153,15-13*ORÇAMENTO!$AF$11),ROUND(ROUND(BM.MEDAcumulado,15-13*BM!$A$9)*ROUND(BM!$H153,15-13*ORÇAMENTO!$AF$10),15-13*ORÇAMENTO!$AF$11))),IF($A153=0,0,ROUND(SomaAgrupBM,15-13*ORÇAMENTO!$AF$11)))</f>
        <v>0</v>
      </c>
    </row>
    <row r="154" spans="1:41" x14ac:dyDescent="0.2">
      <c r="A154">
        <f ca="1">ORÇAMENTO!C154</f>
        <v>3</v>
      </c>
      <c r="B154">
        <f ca="1">ORÇAMENTO!D154</f>
        <v>2</v>
      </c>
      <c r="C154" s="116" t="str">
        <f t="shared" ca="1" si="8"/>
        <v>F</v>
      </c>
      <c r="D154" s="119" t="str">
        <f ca="1">ORÇAMENTO!O154</f>
        <v>1.6.15.</v>
      </c>
      <c r="E154" s="172" t="str">
        <f t="shared" si="9"/>
        <v>COMUNICAÇÃO VISUAL</v>
      </c>
      <c r="F154" s="173" t="str">
        <f ca="1">IF(RegimeExecucao="Global","",ORÇAMENTO.Unidade)</f>
        <v/>
      </c>
      <c r="G154" s="124" t="str">
        <f ca="1">IF(RegimeExecucao="Global","",ORÇAMENTO!T154)</f>
        <v/>
      </c>
      <c r="H154" s="124" t="str">
        <f ca="1">IF(RegimeExecucao="Global","",ORÇAMENTO!W154)</f>
        <v/>
      </c>
      <c r="I154" s="127">
        <f ca="1">ORÇAMENTO!X154</f>
        <v>22.4</v>
      </c>
      <c r="J154" s="378">
        <f ca="1">IF($A154="S",IF(CAIXA.Modo,BM.AFAnterior,BM.MEDAnterior),IF(AND(RegimeExecucao="Global",$I154&gt;0,COUNTIF($AB$13:$AM$13,BM.medicao-1)&gt;0),M154/$I154*100,0))</f>
        <v>0</v>
      </c>
      <c r="K154" s="124">
        <f t="shared" ca="1" si="10"/>
        <v>0</v>
      </c>
      <c r="L154" s="379">
        <f ca="1">IF($A154="S",IF(CAIXA.Modo,BM.AFAcumulado,BM.MEDAcumulado),IF(AND(RegimeExecucao="Global",$I154&gt;0,COUNTIF($AB$13:$AM$13,BM.medicao)&gt;0),O154/$I154*100,0))</f>
        <v>0</v>
      </c>
      <c r="M154" s="380">
        <f ca="1">IF($A154="S",VTOTALBM,IF($A154=0,0,ROUND(SomaAgrupBM,15-13*ORÇAMENTO!$AF$11)))</f>
        <v>0</v>
      </c>
      <c r="N154" s="381">
        <f t="shared" ca="1" si="11"/>
        <v>0</v>
      </c>
      <c r="O154" s="127">
        <f ca="1">IF($A154="S",VTOTALBM,IF($A154=0,0,ROUND(SomaAgrupBM,15-13*ORÇAMENTO!$AF$11)))</f>
        <v>0</v>
      </c>
      <c r="Q154" s="382"/>
      <c r="R154" s="383"/>
      <c r="T154" s="119" t="str">
        <f t="shared" ca="1" si="12"/>
        <v/>
      </c>
      <c r="U154" s="172" t="str">
        <f t="shared" ca="1" si="13"/>
        <v/>
      </c>
      <c r="V154" s="173" t="str">
        <f ca="1">IF(AND($W154&gt;0,RegimeExecucao="Unitário"),$F154,"")</f>
        <v/>
      </c>
      <c r="W154" s="547">
        <f ca="1">IF($Y154&gt;0,CHOOSE(MATCH(RegimeExecucao,{"Unitário","Global"},0),IF($A154="S",$Y154/$X154,""),($Y154/$X154)*100),0)</f>
        <v>0</v>
      </c>
      <c r="X154" s="384" t="str">
        <f ca="1">IF($Y154&gt;0,CHOOSE(MATCH(RegimeExecucao,{"Unitário","Global"},0),IF($A154="S",ROUND($H154,ORÇAMENTO!$AF$10),""),ROUND($I154,ORÇAMENTO!$AF$11)),"")</f>
        <v/>
      </c>
      <c r="Y154" s="384">
        <f t="shared" ca="1" si="14"/>
        <v>0</v>
      </c>
      <c r="Z154" s="572"/>
      <c r="AB154" s="382"/>
      <c r="AC154" s="516"/>
      <c r="AD154" s="516"/>
      <c r="AE154" s="516"/>
      <c r="AF154" s="516"/>
      <c r="AG154" s="516"/>
      <c r="AH154" s="516"/>
      <c r="AI154" s="516"/>
      <c r="AJ154" s="516"/>
      <c r="AK154" s="516"/>
      <c r="AL154" s="516"/>
      <c r="AM154" s="383"/>
      <c r="AO154">
        <f ca="1">IF($A154="S",IF(BM!$I154=0,0,CHOOSE(MATCH(RegimeExecucao,{"Global","Unitário"},0),ROUND(ROUND(BM.MEDAcumulado,15-13*BM!$A$9)/100*BM!$I154,15-13*ORÇAMENTO!$AF$11),ROUND(ROUND(BM.MEDAcumulado,15-13*BM!$A$9)*ROUND(BM!$H154,15-13*ORÇAMENTO!$AF$10),15-13*ORÇAMENTO!$AF$11))),IF($A154=0,0,ROUND(SomaAgrupBM,15-13*ORÇAMENTO!$AF$11)))</f>
        <v>0</v>
      </c>
    </row>
    <row r="155" spans="1:41" ht="25.5" x14ac:dyDescent="0.2">
      <c r="A155" t="str">
        <f ca="1">ORÇAMENTO!C155</f>
        <v>S</v>
      </c>
      <c r="B155">
        <f ca="1">ORÇAMENTO!D155</f>
        <v>0</v>
      </c>
      <c r="C155" s="116" t="str">
        <f t="shared" ca="1" si="8"/>
        <v>F</v>
      </c>
      <c r="D155" s="119" t="str">
        <f ca="1">ORÇAMENTO!O155</f>
        <v>1.6.15.1.</v>
      </c>
      <c r="E155" s="172" t="str">
        <f t="shared" ca="1" si="9"/>
        <v>(abra o arquivo 'Referência 03-2024.xlsm)</v>
      </c>
      <c r="F155" s="173" t="str">
        <f ca="1">IF(RegimeExecucao="Global","",ORÇAMENTO.Unidade)</f>
        <v/>
      </c>
      <c r="G155" s="124" t="str">
        <f ca="1">IF(RegimeExecucao="Global","",ORÇAMENTO!T155)</f>
        <v/>
      </c>
      <c r="H155" s="124" t="str">
        <f ca="1">IF(RegimeExecucao="Global","",ORÇAMENTO!W155)</f>
        <v/>
      </c>
      <c r="I155" s="127">
        <f ca="1">ORÇAMENTO!X155</f>
        <v>22.4</v>
      </c>
      <c r="J155" s="378">
        <f ca="1">IF($A155="S",IF(CAIXA.Modo,BM.AFAnterior,BM.MEDAnterior),IF(AND(RegimeExecucao="Global",$I155&gt;0,COUNTIF($AB$13:$AM$13,BM.medicao-1)&gt;0),M155/$I155*100,0))</f>
        <v>0</v>
      </c>
      <c r="K155" s="124">
        <f t="shared" ca="1" si="10"/>
        <v>0</v>
      </c>
      <c r="L155" s="379">
        <f ca="1">IF($A155="S",IF(CAIXA.Modo,BM.AFAcumulado,BM.MEDAcumulado),IF(AND(RegimeExecucao="Global",$I155&gt;0,COUNTIF($AB$13:$AM$13,BM.medicao)&gt;0),O155/$I155*100,0))</f>
        <v>0</v>
      </c>
      <c r="M155" s="380">
        <f ca="1">IF($A155="S",VTOTALBM,IF($A155=0,0,ROUND(SomaAgrupBM,15-13*ORÇAMENTO!$AF$11)))</f>
        <v>0</v>
      </c>
      <c r="N155" s="381">
        <f t="shared" ca="1" si="11"/>
        <v>0</v>
      </c>
      <c r="O155" s="127">
        <f ca="1">IF($A155="S",VTOTALBM,IF($A155=0,0,ROUND(SomaAgrupBM,15-13*ORÇAMENTO!$AF$11)))</f>
        <v>0</v>
      </c>
      <c r="Q155" s="382"/>
      <c r="R155" s="383"/>
      <c r="T155" s="119" t="str">
        <f t="shared" ca="1" si="12"/>
        <v/>
      </c>
      <c r="U155" s="172" t="str">
        <f t="shared" ca="1" si="13"/>
        <v/>
      </c>
      <c r="V155" s="173" t="str">
        <f ca="1">IF(AND($W155&gt;0,RegimeExecucao="Unitário"),$F155,"")</f>
        <v/>
      </c>
      <c r="W155" s="547">
        <f ca="1">IF($Y155&gt;0,CHOOSE(MATCH(RegimeExecucao,{"Unitário","Global"},0),IF($A155="S",$Y155/$X155,""),($Y155/$X155)*100),0)</f>
        <v>0</v>
      </c>
      <c r="X155" s="384" t="str">
        <f ca="1">IF($Y155&gt;0,CHOOSE(MATCH(RegimeExecucao,{"Unitário","Global"},0),IF($A155="S",ROUND($H155,ORÇAMENTO!$AF$10),""),ROUND($I155,ORÇAMENTO!$AF$11)),"")</f>
        <v/>
      </c>
      <c r="Y155" s="384">
        <f t="shared" ca="1" si="14"/>
        <v>0</v>
      </c>
      <c r="Z155" s="572"/>
      <c r="AB155" s="382"/>
      <c r="AC155" s="516"/>
      <c r="AD155" s="516"/>
      <c r="AE155" s="516"/>
      <c r="AF155" s="516"/>
      <c r="AG155" s="516"/>
      <c r="AH155" s="516"/>
      <c r="AI155" s="516"/>
      <c r="AJ155" s="516"/>
      <c r="AK155" s="516"/>
      <c r="AL155" s="516"/>
      <c r="AM155" s="383"/>
      <c r="AO155">
        <f ca="1">IF($A155="S",IF(BM!$I155=0,0,CHOOSE(MATCH(RegimeExecucao,{"Global","Unitário"},0),ROUND(ROUND(BM.MEDAcumulado,15-13*BM!$A$9)/100*BM!$I155,15-13*ORÇAMENTO!$AF$11),ROUND(ROUND(BM.MEDAcumulado,15-13*BM!$A$9)*ROUND(BM!$H155,15-13*ORÇAMENTO!$AF$10),15-13*ORÇAMENTO!$AF$11))),IF($A155=0,0,ROUND(SomaAgrupBM,15-13*ORÇAMENTO!$AF$11)))</f>
        <v>0</v>
      </c>
    </row>
    <row r="156" spans="1:41" x14ac:dyDescent="0.2">
      <c r="A156">
        <f ca="1">ORÇAMENTO!C156</f>
        <v>3</v>
      </c>
      <c r="B156">
        <f ca="1">ORÇAMENTO!D156</f>
        <v>21</v>
      </c>
      <c r="C156" s="116" t="str">
        <f t="shared" ref="C156:C228" ca="1" si="15">IF(OR($I156&gt;0,$A156=1,$A156=2,$A156=3,$A156=4),"F","")</f>
        <v>F</v>
      </c>
      <c r="D156" s="119" t="str">
        <f ca="1">ORÇAMENTO!O156</f>
        <v>1.6.16.</v>
      </c>
      <c r="E156" s="172" t="str">
        <f t="shared" ref="E156:E228" si="16">ORÇAMENTO.Descricao</f>
        <v>INSTALAÇÕES HIDROSSANITÁRIAS</v>
      </c>
      <c r="F156" s="173" t="str">
        <f ca="1">IF(RegimeExecucao="Global","",ORÇAMENTO.Unidade)</f>
        <v/>
      </c>
      <c r="G156" s="124" t="str">
        <f ca="1">IF(RegimeExecucao="Global","",ORÇAMENTO!T156)</f>
        <v/>
      </c>
      <c r="H156" s="124" t="str">
        <f ca="1">IF(RegimeExecucao="Global","",ORÇAMENTO!W156)</f>
        <v/>
      </c>
      <c r="I156" s="127">
        <f ca="1">ORÇAMENTO!X156</f>
        <v>8582.39</v>
      </c>
      <c r="J156" s="378">
        <f ca="1">IF($A156="S",IF(CAIXA.Modo,BM.AFAnterior,BM.MEDAnterior),IF(AND(RegimeExecucao="Global",$I156&gt;0,COUNTIF($AB$13:$AM$13,BM.medicao-1)&gt;0),M156/$I156*100,0))</f>
        <v>0</v>
      </c>
      <c r="K156" s="124">
        <f t="shared" ref="K156:K228" ca="1" si="17">L156-J156</f>
        <v>0</v>
      </c>
      <c r="L156" s="379">
        <f ca="1">IF($A156="S",IF(CAIXA.Modo,BM.AFAcumulado,BM.MEDAcumulado),IF(AND(RegimeExecucao="Global",$I156&gt;0,COUNTIF($AB$13:$AM$13,BM.medicao)&gt;0),O156/$I156*100,0))</f>
        <v>0</v>
      </c>
      <c r="M156" s="380">
        <f ca="1">IF($A156="S",VTOTALBM,IF($A156=0,0,ROUND(SomaAgrupBM,15-13*ORÇAMENTO!$AF$11)))</f>
        <v>0</v>
      </c>
      <c r="N156" s="381">
        <f t="shared" ref="N156:N228" ca="1" si="18">O156-M156</f>
        <v>0</v>
      </c>
      <c r="O156" s="127">
        <f ca="1">IF($A156="S",VTOTALBM,IF($A156=0,0,ROUND(SomaAgrupBM,15-13*ORÇAMENTO!$AF$11)))</f>
        <v>0</v>
      </c>
      <c r="Q156" s="382"/>
      <c r="R156" s="383"/>
      <c r="T156" s="119" t="str">
        <f t="shared" ref="T156:T228" ca="1" si="19">IF($W156&gt;0,$D156,"")</f>
        <v/>
      </c>
      <c r="U156" s="172" t="str">
        <f t="shared" ref="U156:U228" ca="1" si="20">IF($W156&gt;0,$E156,"")</f>
        <v/>
      </c>
      <c r="V156" s="173" t="str">
        <f ca="1">IF(AND($W156&gt;0,RegimeExecucao="Unitário"),$F156,"")</f>
        <v/>
      </c>
      <c r="W156" s="547">
        <f ca="1">IF($Y156&gt;0,CHOOSE(MATCH(RegimeExecucao,{"Unitário","Global"},0),IF($A156="S",$Y156/$X156,""),($Y156/$X156)*100),0)</f>
        <v>0</v>
      </c>
      <c r="X156" s="384" t="str">
        <f ca="1">IF($Y156&gt;0,CHOOSE(MATCH(RegimeExecucao,{"Unitário","Global"},0),IF($A156="S",ROUND($H156,ORÇAMENTO!$AF$10),""),ROUND($I156,ORÇAMENTO!$AF$11)),"")</f>
        <v/>
      </c>
      <c r="Y156" s="384">
        <f t="shared" ref="Y156:Y228" ca="1" si="21">AO156-O156</f>
        <v>0</v>
      </c>
      <c r="Z156" s="572"/>
      <c r="AB156" s="382"/>
      <c r="AC156" s="516"/>
      <c r="AD156" s="516"/>
      <c r="AE156" s="516"/>
      <c r="AF156" s="516"/>
      <c r="AG156" s="516"/>
      <c r="AH156" s="516"/>
      <c r="AI156" s="516"/>
      <c r="AJ156" s="516"/>
      <c r="AK156" s="516"/>
      <c r="AL156" s="516"/>
      <c r="AM156" s="383"/>
      <c r="AO156">
        <f ca="1">IF($A156="S",IF(BM!$I156=0,0,CHOOSE(MATCH(RegimeExecucao,{"Global","Unitário"},0),ROUND(ROUND(BM.MEDAcumulado,15-13*BM!$A$9)/100*BM!$I156,15-13*ORÇAMENTO!$AF$11),ROUND(ROUND(BM.MEDAcumulado,15-13*BM!$A$9)*ROUND(BM!$H156,15-13*ORÇAMENTO!$AF$10),15-13*ORÇAMENTO!$AF$11))),IF($A156=0,0,ROUND(SomaAgrupBM,15-13*ORÇAMENTO!$AF$11)))</f>
        <v>0</v>
      </c>
    </row>
    <row r="157" spans="1:41" ht="38.25" x14ac:dyDescent="0.2">
      <c r="A157" t="str">
        <f ca="1">ORÇAMENTO!C157</f>
        <v>S</v>
      </c>
      <c r="B157">
        <f ca="1">ORÇAMENTO!D157</f>
        <v>0</v>
      </c>
      <c r="C157" s="116" t="str">
        <f t="shared" ca="1" si="15"/>
        <v>F</v>
      </c>
      <c r="D157" s="119" t="str">
        <f ca="1">ORÇAMENTO!O157</f>
        <v>1.6.16.1.</v>
      </c>
      <c r="E157" s="172" t="str">
        <f t="shared" ca="1" si="16"/>
        <v>(abra o arquivo 'Referência 03-2024.xlsm)</v>
      </c>
      <c r="F157" s="173" t="str">
        <f ca="1">IF(RegimeExecucao="Global","",ORÇAMENTO.Unidade)</f>
        <v/>
      </c>
      <c r="G157" s="124" t="str">
        <f ca="1">IF(RegimeExecucao="Global","",ORÇAMENTO!T157)</f>
        <v/>
      </c>
      <c r="H157" s="124" t="str">
        <f ca="1">IF(RegimeExecucao="Global","",ORÇAMENTO!W157)</f>
        <v/>
      </c>
      <c r="I157" s="127">
        <f ca="1">ORÇAMENTO!X157</f>
        <v>1206.18</v>
      </c>
      <c r="J157" s="378">
        <f ca="1">IF($A157="S",IF(CAIXA.Modo,BM.AFAnterior,BM.MEDAnterior),IF(AND(RegimeExecucao="Global",$I157&gt;0,COUNTIF($AB$13:$AM$13,BM.medicao-1)&gt;0),M157/$I157*100,0))</f>
        <v>0</v>
      </c>
      <c r="K157" s="124">
        <f t="shared" ca="1" si="17"/>
        <v>0</v>
      </c>
      <c r="L157" s="379">
        <f ca="1">IF($A157="S",IF(CAIXA.Modo,BM.AFAcumulado,BM.MEDAcumulado),IF(AND(RegimeExecucao="Global",$I157&gt;0,COUNTIF($AB$13:$AM$13,BM.medicao)&gt;0),O157/$I157*100,0))</f>
        <v>0</v>
      </c>
      <c r="M157" s="380">
        <f ca="1">IF($A157="S",VTOTALBM,IF($A157=0,0,ROUND(SomaAgrupBM,15-13*ORÇAMENTO!$AF$11)))</f>
        <v>0</v>
      </c>
      <c r="N157" s="381">
        <f t="shared" ca="1" si="18"/>
        <v>0</v>
      </c>
      <c r="O157" s="127">
        <f ca="1">IF($A157="S",VTOTALBM,IF($A157=0,0,ROUND(SomaAgrupBM,15-13*ORÇAMENTO!$AF$11)))</f>
        <v>0</v>
      </c>
      <c r="Q157" s="382"/>
      <c r="R157" s="383"/>
      <c r="T157" s="119" t="str">
        <f t="shared" ca="1" si="19"/>
        <v/>
      </c>
      <c r="U157" s="172" t="str">
        <f t="shared" ca="1" si="20"/>
        <v/>
      </c>
      <c r="V157" s="173" t="str">
        <f ca="1">IF(AND($W157&gt;0,RegimeExecucao="Unitário"),$F157,"")</f>
        <v/>
      </c>
      <c r="W157" s="547">
        <f ca="1">IF($Y157&gt;0,CHOOSE(MATCH(RegimeExecucao,{"Unitário","Global"},0),IF($A157="S",$Y157/$X157,""),($Y157/$X157)*100),0)</f>
        <v>0</v>
      </c>
      <c r="X157" s="384" t="str">
        <f ca="1">IF($Y157&gt;0,CHOOSE(MATCH(RegimeExecucao,{"Unitário","Global"},0),IF($A157="S",ROUND($H157,ORÇAMENTO!$AF$10),""),ROUND($I157,ORÇAMENTO!$AF$11)),"")</f>
        <v/>
      </c>
      <c r="Y157" s="384">
        <f t="shared" ca="1" si="21"/>
        <v>0</v>
      </c>
      <c r="Z157" s="572"/>
      <c r="AB157" s="382"/>
      <c r="AC157" s="516"/>
      <c r="AD157" s="516"/>
      <c r="AE157" s="516"/>
      <c r="AF157" s="516"/>
      <c r="AG157" s="516"/>
      <c r="AH157" s="516"/>
      <c r="AI157" s="516"/>
      <c r="AJ157" s="516"/>
      <c r="AK157" s="516"/>
      <c r="AL157" s="516"/>
      <c r="AM157" s="383"/>
      <c r="AO157">
        <f ca="1">IF($A157="S",IF(BM!$I157=0,0,CHOOSE(MATCH(RegimeExecucao,{"Global","Unitário"},0),ROUND(ROUND(BM.MEDAcumulado,15-13*BM!$A$9)/100*BM!$I157,15-13*ORÇAMENTO!$AF$11),ROUND(ROUND(BM.MEDAcumulado,15-13*BM!$A$9)*ROUND(BM!$H157,15-13*ORÇAMENTO!$AF$10),15-13*ORÇAMENTO!$AF$11))),IF($A157=0,0,ROUND(SomaAgrupBM,15-13*ORÇAMENTO!$AF$11)))</f>
        <v>0</v>
      </c>
    </row>
    <row r="158" spans="1:41" ht="25.5" x14ac:dyDescent="0.2">
      <c r="A158" t="str">
        <f ca="1">ORÇAMENTO!C158</f>
        <v>S</v>
      </c>
      <c r="B158">
        <f ca="1">ORÇAMENTO!D158</f>
        <v>0</v>
      </c>
      <c r="C158" s="116" t="str">
        <f ca="1">IF(OR($I158&gt;0,$A158=1,$A158=2,$A158=3,$A158=4),"F","")</f>
        <v>F</v>
      </c>
      <c r="D158" s="119" t="str">
        <f ca="1">ORÇAMENTO!O158</f>
        <v>1.6.16.2.</v>
      </c>
      <c r="E158" s="172" t="str">
        <f ca="1">ORÇAMENTO.Descricao</f>
        <v>(abra o arquivo 'Referência 03-2024.xlsm)</v>
      </c>
      <c r="F158" s="173" t="str">
        <f ca="1">IF(RegimeExecucao="Global","",ORÇAMENTO.Unidade)</f>
        <v/>
      </c>
      <c r="G158" s="124" t="str">
        <f ca="1">IF(RegimeExecucao="Global","",ORÇAMENTO!T158)</f>
        <v/>
      </c>
      <c r="H158" s="124" t="str">
        <f ca="1">IF(RegimeExecucao="Global","",ORÇAMENTO!W158)</f>
        <v/>
      </c>
      <c r="I158" s="127">
        <f ca="1">ORÇAMENTO!X158</f>
        <v>100.26</v>
      </c>
      <c r="J158" s="378">
        <f ca="1">IF($A158="S",IF(CAIXA.Modo,BM.AFAnterior,BM.MEDAnterior),IF(AND(RegimeExecucao="Global",$I158&gt;0,COUNTIF($AB$13:$AM$13,BM.medicao-1)&gt;0),M158/$I158*100,0))</f>
        <v>0</v>
      </c>
      <c r="K158" s="124">
        <f ca="1">L158-J158</f>
        <v>0</v>
      </c>
      <c r="L158" s="379">
        <f ca="1">IF($A158="S",IF(CAIXA.Modo,BM.AFAcumulado,BM.MEDAcumulado),IF(AND(RegimeExecucao="Global",$I158&gt;0,COUNTIF($AB$13:$AM$13,BM.medicao)&gt;0),O158/$I158*100,0))</f>
        <v>0</v>
      </c>
      <c r="M158" s="380">
        <f ca="1">IF($A158="S",VTOTALBM,IF($A158=0,0,ROUND(SomaAgrupBM,15-13*ORÇAMENTO!$AF$11)))</f>
        <v>0</v>
      </c>
      <c r="N158" s="381">
        <f ca="1">O158-M158</f>
        <v>0</v>
      </c>
      <c r="O158" s="127">
        <f ca="1">IF($A158="S",VTOTALBM,IF($A158=0,0,ROUND(SomaAgrupBM,15-13*ORÇAMENTO!$AF$11)))</f>
        <v>0</v>
      </c>
      <c r="Q158" s="382"/>
      <c r="R158" s="383"/>
      <c r="T158" s="119" t="str">
        <f ca="1">IF($W158&gt;0,$D158,"")</f>
        <v/>
      </c>
      <c r="U158" s="172" t="str">
        <f ca="1">IF($W158&gt;0,$E158,"")</f>
        <v/>
      </c>
      <c r="V158" s="173" t="str">
        <f ca="1">IF(AND($W158&gt;0,RegimeExecucao="Unitário"),$F158,"")</f>
        <v/>
      </c>
      <c r="W158" s="547">
        <f ca="1">IF($Y158&gt;0,CHOOSE(MATCH(RegimeExecucao,{"Unitário","Global"},0),IF($A158="S",$Y158/$X158,""),($Y158/$X158)*100),0)</f>
        <v>0</v>
      </c>
      <c r="X158" s="384" t="str">
        <f ca="1">IF($Y158&gt;0,CHOOSE(MATCH(RegimeExecucao,{"Unitário","Global"},0),IF($A158="S",ROUND($H158,ORÇAMENTO!$AF$10),""),ROUND($I158,ORÇAMENTO!$AF$11)),"")</f>
        <v/>
      </c>
      <c r="Y158" s="384">
        <f ca="1">AO158-O158</f>
        <v>0</v>
      </c>
      <c r="Z158" s="572"/>
      <c r="AB158" s="382"/>
      <c r="AC158" s="516"/>
      <c r="AD158" s="516"/>
      <c r="AE158" s="516"/>
      <c r="AF158" s="516"/>
      <c r="AG158" s="516"/>
      <c r="AH158" s="516"/>
      <c r="AI158" s="516"/>
      <c r="AJ158" s="516"/>
      <c r="AK158" s="516"/>
      <c r="AL158" s="516"/>
      <c r="AM158" s="383"/>
      <c r="AO158">
        <f ca="1">IF($A158="S",IF(BM!$I158=0,0,CHOOSE(MATCH(RegimeExecucao,{"Global","Unitário"},0),ROUND(ROUND(BM.MEDAcumulado,15-13*BM!$A$9)/100*BM!$I158,15-13*ORÇAMENTO!$AF$11),ROUND(ROUND(BM.MEDAcumulado,15-13*BM!$A$9)*ROUND(BM!$H158,15-13*ORÇAMENTO!$AF$10),15-13*ORÇAMENTO!$AF$11))),IF($A158=0,0,ROUND(SomaAgrupBM,15-13*ORÇAMENTO!$AF$11)))</f>
        <v>0</v>
      </c>
    </row>
    <row r="159" spans="1:41" ht="51" x14ac:dyDescent="0.2">
      <c r="A159" t="str">
        <f ca="1">ORÇAMENTO!C159</f>
        <v>S</v>
      </c>
      <c r="B159">
        <f ca="1">ORÇAMENTO!D159</f>
        <v>0</v>
      </c>
      <c r="C159" s="116" t="str">
        <f t="shared" ca="1" si="15"/>
        <v>F</v>
      </c>
      <c r="D159" s="119" t="str">
        <f ca="1">ORÇAMENTO!O159</f>
        <v>1.6.16.3.</v>
      </c>
      <c r="E159" s="172" t="str">
        <f t="shared" ca="1" si="16"/>
        <v>(abra o arquivo 'Referência 03-2024.xlsm)</v>
      </c>
      <c r="F159" s="173" t="str">
        <f ca="1">IF(RegimeExecucao="Global","",ORÇAMENTO.Unidade)</f>
        <v/>
      </c>
      <c r="G159" s="124" t="str">
        <f ca="1">IF(RegimeExecucao="Global","",ORÇAMENTO!T159)</f>
        <v/>
      </c>
      <c r="H159" s="124" t="str">
        <f ca="1">IF(RegimeExecucao="Global","",ORÇAMENTO!W159)</f>
        <v/>
      </c>
      <c r="I159" s="127">
        <f ca="1">ORÇAMENTO!X159</f>
        <v>1173.5</v>
      </c>
      <c r="J159" s="378">
        <f ca="1">IF($A159="S",IF(CAIXA.Modo,BM.AFAnterior,BM.MEDAnterior),IF(AND(RegimeExecucao="Global",$I159&gt;0,COUNTIF($AB$13:$AM$13,BM.medicao-1)&gt;0),M159/$I159*100,0))</f>
        <v>0</v>
      </c>
      <c r="K159" s="124">
        <f t="shared" ca="1" si="17"/>
        <v>0</v>
      </c>
      <c r="L159" s="379">
        <f ca="1">IF($A159="S",IF(CAIXA.Modo,BM.AFAcumulado,BM.MEDAcumulado),IF(AND(RegimeExecucao="Global",$I159&gt;0,COUNTIF($AB$13:$AM$13,BM.medicao)&gt;0),O159/$I159*100,0))</f>
        <v>0</v>
      </c>
      <c r="M159" s="380">
        <f ca="1">IF($A159="S",VTOTALBM,IF($A159=0,0,ROUND(SomaAgrupBM,15-13*ORÇAMENTO!$AF$11)))</f>
        <v>0</v>
      </c>
      <c r="N159" s="381">
        <f t="shared" ca="1" si="18"/>
        <v>0</v>
      </c>
      <c r="O159" s="127">
        <f ca="1">IF($A159="S",VTOTALBM,IF($A159=0,0,ROUND(SomaAgrupBM,15-13*ORÇAMENTO!$AF$11)))</f>
        <v>0</v>
      </c>
      <c r="Q159" s="382"/>
      <c r="R159" s="383"/>
      <c r="T159" s="119" t="str">
        <f t="shared" ca="1" si="19"/>
        <v/>
      </c>
      <c r="U159" s="172" t="str">
        <f t="shared" ca="1" si="20"/>
        <v/>
      </c>
      <c r="V159" s="173" t="str">
        <f ca="1">IF(AND($W159&gt;0,RegimeExecucao="Unitário"),$F159,"")</f>
        <v/>
      </c>
      <c r="W159" s="547">
        <f ca="1">IF($Y159&gt;0,CHOOSE(MATCH(RegimeExecucao,{"Unitário","Global"},0),IF($A159="S",$Y159/$X159,""),($Y159/$X159)*100),0)</f>
        <v>0</v>
      </c>
      <c r="X159" s="384" t="str">
        <f ca="1">IF($Y159&gt;0,CHOOSE(MATCH(RegimeExecucao,{"Unitário","Global"},0),IF($A159="S",ROUND($H159,ORÇAMENTO!$AF$10),""),ROUND($I159,ORÇAMENTO!$AF$11)),"")</f>
        <v/>
      </c>
      <c r="Y159" s="384">
        <f t="shared" ca="1" si="21"/>
        <v>0</v>
      </c>
      <c r="Z159" s="572"/>
      <c r="AB159" s="382"/>
      <c r="AC159" s="516"/>
      <c r="AD159" s="516"/>
      <c r="AE159" s="516"/>
      <c r="AF159" s="516"/>
      <c r="AG159" s="516"/>
      <c r="AH159" s="516"/>
      <c r="AI159" s="516"/>
      <c r="AJ159" s="516"/>
      <c r="AK159" s="516"/>
      <c r="AL159" s="516"/>
      <c r="AM159" s="383"/>
      <c r="AO159">
        <f ca="1">IF($A159="S",IF(BM!$I159=0,0,CHOOSE(MATCH(RegimeExecucao,{"Global","Unitário"},0),ROUND(ROUND(BM.MEDAcumulado,15-13*BM!$A$9)/100*BM!$I159,15-13*ORÇAMENTO!$AF$11),ROUND(ROUND(BM.MEDAcumulado,15-13*BM!$A$9)*ROUND(BM!$H159,15-13*ORÇAMENTO!$AF$10),15-13*ORÇAMENTO!$AF$11))),IF($A159=0,0,ROUND(SomaAgrupBM,15-13*ORÇAMENTO!$AF$11)))</f>
        <v>0</v>
      </c>
    </row>
    <row r="160" spans="1:41" ht="25.5" x14ac:dyDescent="0.2">
      <c r="A160" t="str">
        <f ca="1">ORÇAMENTO!C160</f>
        <v>S</v>
      </c>
      <c r="B160">
        <f ca="1">ORÇAMENTO!D160</f>
        <v>0</v>
      </c>
      <c r="C160" s="116" t="str">
        <f t="shared" ca="1" si="15"/>
        <v>F</v>
      </c>
      <c r="D160" s="119" t="str">
        <f ca="1">ORÇAMENTO!O160</f>
        <v>1.6.16.4.</v>
      </c>
      <c r="E160" s="172" t="str">
        <f t="shared" ca="1" si="16"/>
        <v>(abra o arquivo 'Referência 03-2024.xlsm)</v>
      </c>
      <c r="F160" s="173" t="str">
        <f ca="1">IF(RegimeExecucao="Global","",ORÇAMENTO.Unidade)</f>
        <v/>
      </c>
      <c r="G160" s="124" t="str">
        <f ca="1">IF(RegimeExecucao="Global","",ORÇAMENTO!T160)</f>
        <v/>
      </c>
      <c r="H160" s="124" t="str">
        <f ca="1">IF(RegimeExecucao="Global","",ORÇAMENTO!W160)</f>
        <v/>
      </c>
      <c r="I160" s="127">
        <f ca="1">ORÇAMENTO!X160</f>
        <v>107.02</v>
      </c>
      <c r="J160" s="378">
        <f ca="1">IF($A160="S",IF(CAIXA.Modo,BM.AFAnterior,BM.MEDAnterior),IF(AND(RegimeExecucao="Global",$I160&gt;0,COUNTIF($AB$13:$AM$13,BM.medicao-1)&gt;0),M160/$I160*100,0))</f>
        <v>0</v>
      </c>
      <c r="K160" s="124">
        <f t="shared" ca="1" si="17"/>
        <v>0</v>
      </c>
      <c r="L160" s="379">
        <f ca="1">IF($A160="S",IF(CAIXA.Modo,BM.AFAcumulado,BM.MEDAcumulado),IF(AND(RegimeExecucao="Global",$I160&gt;0,COUNTIF($AB$13:$AM$13,BM.medicao)&gt;0),O160/$I160*100,0))</f>
        <v>0</v>
      </c>
      <c r="M160" s="380">
        <f ca="1">IF($A160="S",VTOTALBM,IF($A160=0,0,ROUND(SomaAgrupBM,15-13*ORÇAMENTO!$AF$11)))</f>
        <v>0</v>
      </c>
      <c r="N160" s="381">
        <f t="shared" ca="1" si="18"/>
        <v>0</v>
      </c>
      <c r="O160" s="127">
        <f ca="1">IF($A160="S",VTOTALBM,IF($A160=0,0,ROUND(SomaAgrupBM,15-13*ORÇAMENTO!$AF$11)))</f>
        <v>0</v>
      </c>
      <c r="Q160" s="382"/>
      <c r="R160" s="383"/>
      <c r="T160" s="119" t="str">
        <f t="shared" ca="1" si="19"/>
        <v/>
      </c>
      <c r="U160" s="172" t="str">
        <f t="shared" ca="1" si="20"/>
        <v/>
      </c>
      <c r="V160" s="173" t="str">
        <f ca="1">IF(AND($W160&gt;0,RegimeExecucao="Unitário"),$F160,"")</f>
        <v/>
      </c>
      <c r="W160" s="547">
        <f ca="1">IF($Y160&gt;0,CHOOSE(MATCH(RegimeExecucao,{"Unitário","Global"},0),IF($A160="S",$Y160/$X160,""),($Y160/$X160)*100),0)</f>
        <v>0</v>
      </c>
      <c r="X160" s="384" t="str">
        <f ca="1">IF($Y160&gt;0,CHOOSE(MATCH(RegimeExecucao,{"Unitário","Global"},0),IF($A160="S",ROUND($H160,ORÇAMENTO!$AF$10),""),ROUND($I160,ORÇAMENTO!$AF$11)),"")</f>
        <v/>
      </c>
      <c r="Y160" s="384">
        <f t="shared" ca="1" si="21"/>
        <v>0</v>
      </c>
      <c r="Z160" s="572"/>
      <c r="AB160" s="382"/>
      <c r="AC160" s="516"/>
      <c r="AD160" s="516"/>
      <c r="AE160" s="516"/>
      <c r="AF160" s="516"/>
      <c r="AG160" s="516"/>
      <c r="AH160" s="516"/>
      <c r="AI160" s="516"/>
      <c r="AJ160" s="516"/>
      <c r="AK160" s="516"/>
      <c r="AL160" s="516"/>
      <c r="AM160" s="383"/>
      <c r="AO160">
        <f ca="1">IF($A160="S",IF(BM!$I160=0,0,CHOOSE(MATCH(RegimeExecucao,{"Global","Unitário"},0),ROUND(ROUND(BM.MEDAcumulado,15-13*BM!$A$9)/100*BM!$I160,15-13*ORÇAMENTO!$AF$11),ROUND(ROUND(BM.MEDAcumulado,15-13*BM!$A$9)*ROUND(BM!$H160,15-13*ORÇAMENTO!$AF$10),15-13*ORÇAMENTO!$AF$11))),IF($A160=0,0,ROUND(SomaAgrupBM,15-13*ORÇAMENTO!$AF$11)))</f>
        <v>0</v>
      </c>
    </row>
    <row r="161" spans="1:41" ht="25.5" x14ac:dyDescent="0.2">
      <c r="A161" t="str">
        <f ca="1">ORÇAMENTO!C161</f>
        <v>S</v>
      </c>
      <c r="B161">
        <f ca="1">ORÇAMENTO!D161</f>
        <v>0</v>
      </c>
      <c r="C161" s="116" t="str">
        <f t="shared" ca="1" si="15"/>
        <v>F</v>
      </c>
      <c r="D161" s="119" t="str">
        <f ca="1">ORÇAMENTO!O161</f>
        <v>1.6.16.5.</v>
      </c>
      <c r="E161" s="172" t="str">
        <f t="shared" ca="1" si="16"/>
        <v>(abra o arquivo 'Referência 03-2024.xlsm)</v>
      </c>
      <c r="F161" s="173" t="str">
        <f ca="1">IF(RegimeExecucao="Global","",ORÇAMENTO.Unidade)</f>
        <v/>
      </c>
      <c r="G161" s="124" t="str">
        <f ca="1">IF(RegimeExecucao="Global","",ORÇAMENTO!T161)</f>
        <v/>
      </c>
      <c r="H161" s="124" t="str">
        <f ca="1">IF(RegimeExecucao="Global","",ORÇAMENTO!W161)</f>
        <v/>
      </c>
      <c r="I161" s="127">
        <f ca="1">ORÇAMENTO!X161</f>
        <v>351</v>
      </c>
      <c r="J161" s="378">
        <f ca="1">IF($A161="S",IF(CAIXA.Modo,BM.AFAnterior,BM.MEDAnterior),IF(AND(RegimeExecucao="Global",$I161&gt;0,COUNTIF($AB$13:$AM$13,BM.medicao-1)&gt;0),M161/$I161*100,0))</f>
        <v>0</v>
      </c>
      <c r="K161" s="124">
        <f t="shared" ca="1" si="17"/>
        <v>0</v>
      </c>
      <c r="L161" s="379">
        <f ca="1">IF($A161="S",IF(CAIXA.Modo,BM.AFAcumulado,BM.MEDAcumulado),IF(AND(RegimeExecucao="Global",$I161&gt;0,COUNTIF($AB$13:$AM$13,BM.medicao)&gt;0),O161/$I161*100,0))</f>
        <v>0</v>
      </c>
      <c r="M161" s="380">
        <f ca="1">IF($A161="S",VTOTALBM,IF($A161=0,0,ROUND(SomaAgrupBM,15-13*ORÇAMENTO!$AF$11)))</f>
        <v>0</v>
      </c>
      <c r="N161" s="381">
        <f t="shared" ca="1" si="18"/>
        <v>0</v>
      </c>
      <c r="O161" s="127">
        <f ca="1">IF($A161="S",VTOTALBM,IF($A161=0,0,ROUND(SomaAgrupBM,15-13*ORÇAMENTO!$AF$11)))</f>
        <v>0</v>
      </c>
      <c r="Q161" s="382"/>
      <c r="R161" s="383"/>
      <c r="T161" s="119" t="str">
        <f t="shared" ca="1" si="19"/>
        <v/>
      </c>
      <c r="U161" s="172" t="str">
        <f t="shared" ca="1" si="20"/>
        <v/>
      </c>
      <c r="V161" s="173" t="str">
        <f ca="1">IF(AND($W161&gt;0,RegimeExecucao="Unitário"),$F161,"")</f>
        <v/>
      </c>
      <c r="W161" s="547">
        <f ca="1">IF($Y161&gt;0,CHOOSE(MATCH(RegimeExecucao,{"Unitário","Global"},0),IF($A161="S",$Y161/$X161,""),($Y161/$X161)*100),0)</f>
        <v>0</v>
      </c>
      <c r="X161" s="384" t="str">
        <f ca="1">IF($Y161&gt;0,CHOOSE(MATCH(RegimeExecucao,{"Unitário","Global"},0),IF($A161="S",ROUND($H161,ORÇAMENTO!$AF$10),""),ROUND($I161,ORÇAMENTO!$AF$11)),"")</f>
        <v/>
      </c>
      <c r="Y161" s="384">
        <f t="shared" ca="1" si="21"/>
        <v>0</v>
      </c>
      <c r="Z161" s="572"/>
      <c r="AB161" s="382"/>
      <c r="AC161" s="516"/>
      <c r="AD161" s="516"/>
      <c r="AE161" s="516"/>
      <c r="AF161" s="516"/>
      <c r="AG161" s="516"/>
      <c r="AH161" s="516"/>
      <c r="AI161" s="516"/>
      <c r="AJ161" s="516"/>
      <c r="AK161" s="516"/>
      <c r="AL161" s="516"/>
      <c r="AM161" s="383"/>
      <c r="AO161">
        <f ca="1">IF($A161="S",IF(BM!$I161=0,0,CHOOSE(MATCH(RegimeExecucao,{"Global","Unitário"},0),ROUND(ROUND(BM.MEDAcumulado,15-13*BM!$A$9)/100*BM!$I161,15-13*ORÇAMENTO!$AF$11),ROUND(ROUND(BM.MEDAcumulado,15-13*BM!$A$9)*ROUND(BM!$H161,15-13*ORÇAMENTO!$AF$10),15-13*ORÇAMENTO!$AF$11))),IF($A161=0,0,ROUND(SomaAgrupBM,15-13*ORÇAMENTO!$AF$11)))</f>
        <v>0</v>
      </c>
    </row>
    <row r="162" spans="1:41" ht="38.25" x14ac:dyDescent="0.2">
      <c r="A162" t="str">
        <f ca="1">ORÇAMENTO!C162</f>
        <v>S</v>
      </c>
      <c r="B162">
        <f ca="1">ORÇAMENTO!D162</f>
        <v>0</v>
      </c>
      <c r="C162" s="116" t="str">
        <f t="shared" ca="1" si="15"/>
        <v>F</v>
      </c>
      <c r="D162" s="119" t="str">
        <f ca="1">ORÇAMENTO!O162</f>
        <v>1.6.16.6.</v>
      </c>
      <c r="E162" s="172" t="str">
        <f t="shared" ca="1" si="16"/>
        <v>(abra o arquivo 'Referência 03-2024.xlsm)</v>
      </c>
      <c r="F162" s="173" t="str">
        <f ca="1">IF(RegimeExecucao="Global","",ORÇAMENTO.Unidade)</f>
        <v/>
      </c>
      <c r="G162" s="124" t="str">
        <f ca="1">IF(RegimeExecucao="Global","",ORÇAMENTO!T162)</f>
        <v/>
      </c>
      <c r="H162" s="124" t="str">
        <f ca="1">IF(RegimeExecucao="Global","",ORÇAMENTO!W162)</f>
        <v/>
      </c>
      <c r="I162" s="127">
        <f ca="1">ORÇAMENTO!X162</f>
        <v>93.3</v>
      </c>
      <c r="J162" s="378">
        <f ca="1">IF($A162="S",IF(CAIXA.Modo,BM.AFAnterior,BM.MEDAnterior),IF(AND(RegimeExecucao="Global",$I162&gt;0,COUNTIF($AB$13:$AM$13,BM.medicao-1)&gt;0),M162/$I162*100,0))</f>
        <v>0</v>
      </c>
      <c r="K162" s="124">
        <f t="shared" ca="1" si="17"/>
        <v>0</v>
      </c>
      <c r="L162" s="379">
        <f ca="1">IF($A162="S",IF(CAIXA.Modo,BM.AFAcumulado,BM.MEDAcumulado),IF(AND(RegimeExecucao="Global",$I162&gt;0,COUNTIF($AB$13:$AM$13,BM.medicao)&gt;0),O162/$I162*100,0))</f>
        <v>0</v>
      </c>
      <c r="M162" s="380">
        <f ca="1">IF($A162="S",VTOTALBM,IF($A162=0,0,ROUND(SomaAgrupBM,15-13*ORÇAMENTO!$AF$11)))</f>
        <v>0</v>
      </c>
      <c r="N162" s="381">
        <f t="shared" ca="1" si="18"/>
        <v>0</v>
      </c>
      <c r="O162" s="127">
        <f ca="1">IF($A162="S",VTOTALBM,IF($A162=0,0,ROUND(SomaAgrupBM,15-13*ORÇAMENTO!$AF$11)))</f>
        <v>0</v>
      </c>
      <c r="Q162" s="382"/>
      <c r="R162" s="383"/>
      <c r="T162" s="119" t="str">
        <f t="shared" ca="1" si="19"/>
        <v/>
      </c>
      <c r="U162" s="172" t="str">
        <f t="shared" ca="1" si="20"/>
        <v/>
      </c>
      <c r="V162" s="173" t="str">
        <f ca="1">IF(AND($W162&gt;0,RegimeExecucao="Unitário"),$F162,"")</f>
        <v/>
      </c>
      <c r="W162" s="547">
        <f ca="1">IF($Y162&gt;0,CHOOSE(MATCH(RegimeExecucao,{"Unitário","Global"},0),IF($A162="S",$Y162/$X162,""),($Y162/$X162)*100),0)</f>
        <v>0</v>
      </c>
      <c r="X162" s="384" t="str">
        <f ca="1">IF($Y162&gt;0,CHOOSE(MATCH(RegimeExecucao,{"Unitário","Global"},0),IF($A162="S",ROUND($H162,ORÇAMENTO!$AF$10),""),ROUND($I162,ORÇAMENTO!$AF$11)),"")</f>
        <v/>
      </c>
      <c r="Y162" s="384">
        <f t="shared" ca="1" si="21"/>
        <v>0</v>
      </c>
      <c r="Z162" s="572"/>
      <c r="AB162" s="382"/>
      <c r="AC162" s="516"/>
      <c r="AD162" s="516"/>
      <c r="AE162" s="516"/>
      <c r="AF162" s="516"/>
      <c r="AG162" s="516"/>
      <c r="AH162" s="516"/>
      <c r="AI162" s="516"/>
      <c r="AJ162" s="516"/>
      <c r="AK162" s="516"/>
      <c r="AL162" s="516"/>
      <c r="AM162" s="383"/>
      <c r="AO162">
        <f ca="1">IF($A162="S",IF(BM!$I162=0,0,CHOOSE(MATCH(RegimeExecucao,{"Global","Unitário"},0),ROUND(ROUND(BM.MEDAcumulado,15-13*BM!$A$9)/100*BM!$I162,15-13*ORÇAMENTO!$AF$11),ROUND(ROUND(BM.MEDAcumulado,15-13*BM!$A$9)*ROUND(BM!$H162,15-13*ORÇAMENTO!$AF$10),15-13*ORÇAMENTO!$AF$11))),IF($A162=0,0,ROUND(SomaAgrupBM,15-13*ORÇAMENTO!$AF$11)))</f>
        <v>0</v>
      </c>
    </row>
    <row r="163" spans="1:41" ht="25.5" x14ac:dyDescent="0.2">
      <c r="A163" t="str">
        <f ca="1">ORÇAMENTO!C163</f>
        <v>S</v>
      </c>
      <c r="B163">
        <f ca="1">ORÇAMENTO!D163</f>
        <v>0</v>
      </c>
      <c r="C163" s="116" t="str">
        <f ca="1">IF(OR($I163&gt;0,$A163=1,$A163=2,$A163=3,$A163=4),"F","")</f>
        <v>F</v>
      </c>
      <c r="D163" s="119" t="str">
        <f ca="1">ORÇAMENTO!O163</f>
        <v>1.6.16.7.</v>
      </c>
      <c r="E163" s="172" t="str">
        <f ca="1">ORÇAMENTO.Descricao</f>
        <v>(abra o arquivo 'Referência 03-2024.xlsm)</v>
      </c>
      <c r="F163" s="173" t="str">
        <f ca="1">IF(RegimeExecucao="Global","",ORÇAMENTO.Unidade)</f>
        <v/>
      </c>
      <c r="G163" s="124" t="str">
        <f ca="1">IF(RegimeExecucao="Global","",ORÇAMENTO!T163)</f>
        <v/>
      </c>
      <c r="H163" s="124" t="str">
        <f ca="1">IF(RegimeExecucao="Global","",ORÇAMENTO!W163)</f>
        <v/>
      </c>
      <c r="I163" s="127">
        <f ca="1">ORÇAMENTO!X163</f>
        <v>47.5</v>
      </c>
      <c r="J163" s="378">
        <f ca="1">IF($A163="S",IF(CAIXA.Modo,BM.AFAnterior,BM.MEDAnterior),IF(AND(RegimeExecucao="Global",$I163&gt;0,COUNTIF($AB$13:$AM$13,BM.medicao-1)&gt;0),M163/$I163*100,0))</f>
        <v>0</v>
      </c>
      <c r="K163" s="124">
        <f ca="1">L163-J163</f>
        <v>0</v>
      </c>
      <c r="L163" s="379">
        <f ca="1">IF($A163="S",IF(CAIXA.Modo,BM.AFAcumulado,BM.MEDAcumulado),IF(AND(RegimeExecucao="Global",$I163&gt;0,COUNTIF($AB$13:$AM$13,BM.medicao)&gt;0),O163/$I163*100,0))</f>
        <v>0</v>
      </c>
      <c r="M163" s="380">
        <f ca="1">IF($A163="S",VTOTALBM,IF($A163=0,0,ROUND(SomaAgrupBM,15-13*ORÇAMENTO!$AF$11)))</f>
        <v>0</v>
      </c>
      <c r="N163" s="381">
        <f ca="1">O163-M163</f>
        <v>0</v>
      </c>
      <c r="O163" s="127">
        <f ca="1">IF($A163="S",VTOTALBM,IF($A163=0,0,ROUND(SomaAgrupBM,15-13*ORÇAMENTO!$AF$11)))</f>
        <v>0</v>
      </c>
      <c r="Q163" s="382"/>
      <c r="R163" s="383"/>
      <c r="T163" s="119" t="str">
        <f ca="1">IF($W163&gt;0,$D163,"")</f>
        <v/>
      </c>
      <c r="U163" s="172" t="str">
        <f ca="1">IF($W163&gt;0,$E163,"")</f>
        <v/>
      </c>
      <c r="V163" s="173" t="str">
        <f ca="1">IF(AND($W163&gt;0,RegimeExecucao="Unitário"),$F163,"")</f>
        <v/>
      </c>
      <c r="W163" s="547">
        <f ca="1">IF($Y163&gt;0,CHOOSE(MATCH(RegimeExecucao,{"Unitário","Global"},0),IF($A163="S",$Y163/$X163,""),($Y163/$X163)*100),0)</f>
        <v>0</v>
      </c>
      <c r="X163" s="384" t="str">
        <f ca="1">IF($Y163&gt;0,CHOOSE(MATCH(RegimeExecucao,{"Unitário","Global"},0),IF($A163="S",ROUND($H163,ORÇAMENTO!$AF$10),""),ROUND($I163,ORÇAMENTO!$AF$11)),"")</f>
        <v/>
      </c>
      <c r="Y163" s="384">
        <f ca="1">AO163-O163</f>
        <v>0</v>
      </c>
      <c r="Z163" s="572"/>
      <c r="AB163" s="382"/>
      <c r="AC163" s="516"/>
      <c r="AD163" s="516"/>
      <c r="AE163" s="516"/>
      <c r="AF163" s="516"/>
      <c r="AG163" s="516"/>
      <c r="AH163" s="516"/>
      <c r="AI163" s="516"/>
      <c r="AJ163" s="516"/>
      <c r="AK163" s="516"/>
      <c r="AL163" s="516"/>
      <c r="AM163" s="383"/>
      <c r="AO163">
        <f ca="1">IF($A163="S",IF(BM!$I163=0,0,CHOOSE(MATCH(RegimeExecucao,{"Global","Unitário"},0),ROUND(ROUND(BM.MEDAcumulado,15-13*BM!$A$9)/100*BM!$I163,15-13*ORÇAMENTO!$AF$11),ROUND(ROUND(BM.MEDAcumulado,15-13*BM!$A$9)*ROUND(BM!$H163,15-13*ORÇAMENTO!$AF$10),15-13*ORÇAMENTO!$AF$11))),IF($A163=0,0,ROUND(SomaAgrupBM,15-13*ORÇAMENTO!$AF$11)))</f>
        <v>0</v>
      </c>
    </row>
    <row r="164" spans="1:41" ht="25.5" x14ac:dyDescent="0.2">
      <c r="A164" t="str">
        <f ca="1">ORÇAMENTO!C164</f>
        <v>S</v>
      </c>
      <c r="B164">
        <f ca="1">ORÇAMENTO!D164</f>
        <v>0</v>
      </c>
      <c r="C164" s="116" t="str">
        <f t="shared" ca="1" si="15"/>
        <v>F</v>
      </c>
      <c r="D164" s="119" t="str">
        <f ca="1">ORÇAMENTO!O164</f>
        <v>1.6.16.8.</v>
      </c>
      <c r="E164" s="172" t="str">
        <f t="shared" ca="1" si="16"/>
        <v>(abra o arquivo 'Referência 03-2024.xlsm)</v>
      </c>
      <c r="F164" s="173" t="str">
        <f ca="1">IF(RegimeExecucao="Global","",ORÇAMENTO.Unidade)</f>
        <v/>
      </c>
      <c r="G164" s="124" t="str">
        <f ca="1">IF(RegimeExecucao="Global","",ORÇAMENTO!T164)</f>
        <v/>
      </c>
      <c r="H164" s="124" t="str">
        <f ca="1">IF(RegimeExecucao="Global","",ORÇAMENTO!W164)</f>
        <v/>
      </c>
      <c r="I164" s="127">
        <f ca="1">ORÇAMENTO!X164</f>
        <v>33.799999999999997</v>
      </c>
      <c r="J164" s="378">
        <f ca="1">IF($A164="S",IF(CAIXA.Modo,BM.AFAnterior,BM.MEDAnterior),IF(AND(RegimeExecucao="Global",$I164&gt;0,COUNTIF($AB$13:$AM$13,BM.medicao-1)&gt;0),M164/$I164*100,0))</f>
        <v>0</v>
      </c>
      <c r="K164" s="124">
        <f t="shared" ca="1" si="17"/>
        <v>0</v>
      </c>
      <c r="L164" s="379">
        <f ca="1">IF($A164="S",IF(CAIXA.Modo,BM.AFAcumulado,BM.MEDAcumulado),IF(AND(RegimeExecucao="Global",$I164&gt;0,COUNTIF($AB$13:$AM$13,BM.medicao)&gt;0),O164/$I164*100,0))</f>
        <v>0</v>
      </c>
      <c r="M164" s="380">
        <f ca="1">IF($A164="S",VTOTALBM,IF($A164=0,0,ROUND(SomaAgrupBM,15-13*ORÇAMENTO!$AF$11)))</f>
        <v>0</v>
      </c>
      <c r="N164" s="381">
        <f t="shared" ca="1" si="18"/>
        <v>0</v>
      </c>
      <c r="O164" s="127">
        <f ca="1">IF($A164="S",VTOTALBM,IF($A164=0,0,ROUND(SomaAgrupBM,15-13*ORÇAMENTO!$AF$11)))</f>
        <v>0</v>
      </c>
      <c r="Q164" s="382"/>
      <c r="R164" s="383"/>
      <c r="T164" s="119" t="str">
        <f t="shared" ca="1" si="19"/>
        <v/>
      </c>
      <c r="U164" s="172" t="str">
        <f t="shared" ca="1" si="20"/>
        <v/>
      </c>
      <c r="V164" s="173" t="str">
        <f ca="1">IF(AND($W164&gt;0,RegimeExecucao="Unitário"),$F164,"")</f>
        <v/>
      </c>
      <c r="W164" s="547">
        <f ca="1">IF($Y164&gt;0,CHOOSE(MATCH(RegimeExecucao,{"Unitário","Global"},0),IF($A164="S",$Y164/$X164,""),($Y164/$X164)*100),0)</f>
        <v>0</v>
      </c>
      <c r="X164" s="384" t="str">
        <f ca="1">IF($Y164&gt;0,CHOOSE(MATCH(RegimeExecucao,{"Unitário","Global"},0),IF($A164="S",ROUND($H164,ORÇAMENTO!$AF$10),""),ROUND($I164,ORÇAMENTO!$AF$11)),"")</f>
        <v/>
      </c>
      <c r="Y164" s="384">
        <f t="shared" ca="1" si="21"/>
        <v>0</v>
      </c>
      <c r="Z164" s="572"/>
      <c r="AB164" s="382"/>
      <c r="AC164" s="516"/>
      <c r="AD164" s="516"/>
      <c r="AE164" s="516"/>
      <c r="AF164" s="516"/>
      <c r="AG164" s="516"/>
      <c r="AH164" s="516"/>
      <c r="AI164" s="516"/>
      <c r="AJ164" s="516"/>
      <c r="AK164" s="516"/>
      <c r="AL164" s="516"/>
      <c r="AM164" s="383"/>
      <c r="AO164">
        <f ca="1">IF($A164="S",IF(BM!$I164=0,0,CHOOSE(MATCH(RegimeExecucao,{"Global","Unitário"},0),ROUND(ROUND(BM.MEDAcumulado,15-13*BM!$A$9)/100*BM!$I164,15-13*ORÇAMENTO!$AF$11),ROUND(ROUND(BM.MEDAcumulado,15-13*BM!$A$9)*ROUND(BM!$H164,15-13*ORÇAMENTO!$AF$10),15-13*ORÇAMENTO!$AF$11))),IF($A164=0,0,ROUND(SomaAgrupBM,15-13*ORÇAMENTO!$AF$11)))</f>
        <v>0</v>
      </c>
    </row>
    <row r="165" spans="1:41" ht="38.25" x14ac:dyDescent="0.2">
      <c r="A165" t="str">
        <f ca="1">ORÇAMENTO!C165</f>
        <v>S</v>
      </c>
      <c r="B165">
        <f ca="1">ORÇAMENTO!D165</f>
        <v>0</v>
      </c>
      <c r="C165" s="116" t="str">
        <f t="shared" ca="1" si="15"/>
        <v>F</v>
      </c>
      <c r="D165" s="119" t="str">
        <f ca="1">ORÇAMENTO!O165</f>
        <v>1.6.16.9.</v>
      </c>
      <c r="E165" s="172" t="str">
        <f t="shared" ca="1" si="16"/>
        <v>(abra o arquivo 'Referência 03-2024.xlsm)</v>
      </c>
      <c r="F165" s="173" t="str">
        <f ca="1">IF(RegimeExecucao="Global","",ORÇAMENTO.Unidade)</f>
        <v/>
      </c>
      <c r="G165" s="124" t="str">
        <f ca="1">IF(RegimeExecucao="Global","",ORÇAMENTO!T165)</f>
        <v/>
      </c>
      <c r="H165" s="124" t="str">
        <f ca="1">IF(RegimeExecucao="Global","",ORÇAMENTO!W165)</f>
        <v/>
      </c>
      <c r="I165" s="127">
        <f ca="1">ORÇAMENTO!X165</f>
        <v>46.76</v>
      </c>
      <c r="J165" s="378">
        <f ca="1">IF($A165="S",IF(CAIXA.Modo,BM.AFAnterior,BM.MEDAnterior),IF(AND(RegimeExecucao="Global",$I165&gt;0,COUNTIF($AB$13:$AM$13,BM.medicao-1)&gt;0),M165/$I165*100,0))</f>
        <v>0</v>
      </c>
      <c r="K165" s="124">
        <f t="shared" ca="1" si="17"/>
        <v>0</v>
      </c>
      <c r="L165" s="379">
        <f ca="1">IF($A165="S",IF(CAIXA.Modo,BM.AFAcumulado,BM.MEDAcumulado),IF(AND(RegimeExecucao="Global",$I165&gt;0,COUNTIF($AB$13:$AM$13,BM.medicao)&gt;0),O165/$I165*100,0))</f>
        <v>0</v>
      </c>
      <c r="M165" s="380">
        <f ca="1">IF($A165="S",VTOTALBM,IF($A165=0,0,ROUND(SomaAgrupBM,15-13*ORÇAMENTO!$AF$11)))</f>
        <v>0</v>
      </c>
      <c r="N165" s="381">
        <f t="shared" ca="1" si="18"/>
        <v>0</v>
      </c>
      <c r="O165" s="127">
        <f ca="1">IF($A165="S",VTOTALBM,IF($A165=0,0,ROUND(SomaAgrupBM,15-13*ORÇAMENTO!$AF$11)))</f>
        <v>0</v>
      </c>
      <c r="Q165" s="382"/>
      <c r="R165" s="383"/>
      <c r="T165" s="119" t="str">
        <f t="shared" ca="1" si="19"/>
        <v/>
      </c>
      <c r="U165" s="172" t="str">
        <f t="shared" ca="1" si="20"/>
        <v/>
      </c>
      <c r="V165" s="173" t="str">
        <f ca="1">IF(AND($W165&gt;0,RegimeExecucao="Unitário"),$F165,"")</f>
        <v/>
      </c>
      <c r="W165" s="547">
        <f ca="1">IF($Y165&gt;0,CHOOSE(MATCH(RegimeExecucao,{"Unitário","Global"},0),IF($A165="S",$Y165/$X165,""),($Y165/$X165)*100),0)</f>
        <v>0</v>
      </c>
      <c r="X165" s="384" t="str">
        <f ca="1">IF($Y165&gt;0,CHOOSE(MATCH(RegimeExecucao,{"Unitário","Global"},0),IF($A165="S",ROUND($H165,ORÇAMENTO!$AF$10),""),ROUND($I165,ORÇAMENTO!$AF$11)),"")</f>
        <v/>
      </c>
      <c r="Y165" s="384">
        <f t="shared" ca="1" si="21"/>
        <v>0</v>
      </c>
      <c r="Z165" s="572"/>
      <c r="AB165" s="382"/>
      <c r="AC165" s="516"/>
      <c r="AD165" s="516"/>
      <c r="AE165" s="516"/>
      <c r="AF165" s="516"/>
      <c r="AG165" s="516"/>
      <c r="AH165" s="516"/>
      <c r="AI165" s="516"/>
      <c r="AJ165" s="516"/>
      <c r="AK165" s="516"/>
      <c r="AL165" s="516"/>
      <c r="AM165" s="383"/>
      <c r="AO165">
        <f ca="1">IF($A165="S",IF(BM!$I165=0,0,CHOOSE(MATCH(RegimeExecucao,{"Global","Unitário"},0),ROUND(ROUND(BM.MEDAcumulado,15-13*BM!$A$9)/100*BM!$I165,15-13*ORÇAMENTO!$AF$11),ROUND(ROUND(BM.MEDAcumulado,15-13*BM!$A$9)*ROUND(BM!$H165,15-13*ORÇAMENTO!$AF$10),15-13*ORÇAMENTO!$AF$11))),IF($A165=0,0,ROUND(SomaAgrupBM,15-13*ORÇAMENTO!$AF$11)))</f>
        <v>0</v>
      </c>
    </row>
    <row r="166" spans="1:41" ht="38.25" x14ac:dyDescent="0.2">
      <c r="A166" t="str">
        <f ca="1">ORÇAMENTO!C166</f>
        <v>S</v>
      </c>
      <c r="B166">
        <f ca="1">ORÇAMENTO!D166</f>
        <v>0</v>
      </c>
      <c r="C166" s="116" t="str">
        <f t="shared" ca="1" si="15"/>
        <v>F</v>
      </c>
      <c r="D166" s="119" t="str">
        <f ca="1">ORÇAMENTO!O166</f>
        <v>1.6.16.10.</v>
      </c>
      <c r="E166" s="172" t="str">
        <f t="shared" ca="1" si="16"/>
        <v>(abra o arquivo 'Referência 03-2024.xlsm)</v>
      </c>
      <c r="F166" s="173" t="str">
        <f ca="1">IF(RegimeExecucao="Global","",ORÇAMENTO.Unidade)</f>
        <v/>
      </c>
      <c r="G166" s="124" t="str">
        <f ca="1">IF(RegimeExecucao="Global","",ORÇAMENTO!T166)</f>
        <v/>
      </c>
      <c r="H166" s="124" t="str">
        <f ca="1">IF(RegimeExecucao="Global","",ORÇAMENTO!W166)</f>
        <v/>
      </c>
      <c r="I166" s="127">
        <f ca="1">ORÇAMENTO!X166</f>
        <v>111.12</v>
      </c>
      <c r="J166" s="378">
        <f ca="1">IF($A166="S",IF(CAIXA.Modo,BM.AFAnterior,BM.MEDAnterior),IF(AND(RegimeExecucao="Global",$I166&gt;0,COUNTIF($AB$13:$AM$13,BM.medicao-1)&gt;0),M166/$I166*100,0))</f>
        <v>0</v>
      </c>
      <c r="K166" s="124">
        <f t="shared" ca="1" si="17"/>
        <v>0</v>
      </c>
      <c r="L166" s="379">
        <f ca="1">IF($A166="S",IF(CAIXA.Modo,BM.AFAcumulado,BM.MEDAcumulado),IF(AND(RegimeExecucao="Global",$I166&gt;0,COUNTIF($AB$13:$AM$13,BM.medicao)&gt;0),O166/$I166*100,0))</f>
        <v>0</v>
      </c>
      <c r="M166" s="380">
        <f ca="1">IF($A166="S",VTOTALBM,IF($A166=0,0,ROUND(SomaAgrupBM,15-13*ORÇAMENTO!$AF$11)))</f>
        <v>0</v>
      </c>
      <c r="N166" s="381">
        <f t="shared" ca="1" si="18"/>
        <v>0</v>
      </c>
      <c r="O166" s="127">
        <f ca="1">IF($A166="S",VTOTALBM,IF($A166=0,0,ROUND(SomaAgrupBM,15-13*ORÇAMENTO!$AF$11)))</f>
        <v>0</v>
      </c>
      <c r="Q166" s="382"/>
      <c r="R166" s="383"/>
      <c r="T166" s="119" t="str">
        <f t="shared" ca="1" si="19"/>
        <v/>
      </c>
      <c r="U166" s="172" t="str">
        <f t="shared" ca="1" si="20"/>
        <v/>
      </c>
      <c r="V166" s="173" t="str">
        <f ca="1">IF(AND($W166&gt;0,RegimeExecucao="Unitário"),$F166,"")</f>
        <v/>
      </c>
      <c r="W166" s="547">
        <f ca="1">IF($Y166&gt;0,CHOOSE(MATCH(RegimeExecucao,{"Unitário","Global"},0),IF($A166="S",$Y166/$X166,""),($Y166/$X166)*100),0)</f>
        <v>0</v>
      </c>
      <c r="X166" s="384" t="str">
        <f ca="1">IF($Y166&gt;0,CHOOSE(MATCH(RegimeExecucao,{"Unitário","Global"},0),IF($A166="S",ROUND($H166,ORÇAMENTO!$AF$10),""),ROUND($I166,ORÇAMENTO!$AF$11)),"")</f>
        <v/>
      </c>
      <c r="Y166" s="384">
        <f t="shared" ca="1" si="21"/>
        <v>0</v>
      </c>
      <c r="Z166" s="572"/>
      <c r="AB166" s="382"/>
      <c r="AC166" s="516"/>
      <c r="AD166" s="516"/>
      <c r="AE166" s="516"/>
      <c r="AF166" s="516"/>
      <c r="AG166" s="516"/>
      <c r="AH166" s="516"/>
      <c r="AI166" s="516"/>
      <c r="AJ166" s="516"/>
      <c r="AK166" s="516"/>
      <c r="AL166" s="516"/>
      <c r="AM166" s="383"/>
      <c r="AO166">
        <f ca="1">IF($A166="S",IF(BM!$I166=0,0,CHOOSE(MATCH(RegimeExecucao,{"Global","Unitário"},0),ROUND(ROUND(BM.MEDAcumulado,15-13*BM!$A$9)/100*BM!$I166,15-13*ORÇAMENTO!$AF$11),ROUND(ROUND(BM.MEDAcumulado,15-13*BM!$A$9)*ROUND(BM!$H166,15-13*ORÇAMENTO!$AF$10),15-13*ORÇAMENTO!$AF$11))),IF($A166=0,0,ROUND(SomaAgrupBM,15-13*ORÇAMENTO!$AF$11)))</f>
        <v>0</v>
      </c>
    </row>
    <row r="167" spans="1:41" ht="38.25" x14ac:dyDescent="0.2">
      <c r="A167" t="str">
        <f ca="1">ORÇAMENTO!C167</f>
        <v>S</v>
      </c>
      <c r="B167">
        <f ca="1">ORÇAMENTO!D167</f>
        <v>0</v>
      </c>
      <c r="C167" s="116" t="str">
        <f ca="1">IF(OR($I167&gt;0,$A167=1,$A167=2,$A167=3,$A167=4),"F","")</f>
        <v>F</v>
      </c>
      <c r="D167" s="119" t="str">
        <f ca="1">ORÇAMENTO!O167</f>
        <v>1.6.16.11.</v>
      </c>
      <c r="E167" s="172" t="str">
        <f ca="1">ORÇAMENTO.Descricao</f>
        <v>(abra o arquivo 'Referência 03-2024.xlsm)</v>
      </c>
      <c r="F167" s="173" t="str">
        <f ca="1">IF(RegimeExecucao="Global","",ORÇAMENTO.Unidade)</f>
        <v/>
      </c>
      <c r="G167" s="124" t="str">
        <f ca="1">IF(RegimeExecucao="Global","",ORÇAMENTO!T167)</f>
        <v/>
      </c>
      <c r="H167" s="124" t="str">
        <f ca="1">IF(RegimeExecucao="Global","",ORÇAMENTO!W167)</f>
        <v/>
      </c>
      <c r="I167" s="127">
        <f ca="1">ORÇAMENTO!X167</f>
        <v>34.46</v>
      </c>
      <c r="J167" s="378">
        <f ca="1">IF($A167="S",IF(CAIXA.Modo,BM.AFAnterior,BM.MEDAnterior),IF(AND(RegimeExecucao="Global",$I167&gt;0,COUNTIF($AB$13:$AM$13,BM.medicao-1)&gt;0),M167/$I167*100,0))</f>
        <v>0</v>
      </c>
      <c r="K167" s="124">
        <f ca="1">L167-J167</f>
        <v>0</v>
      </c>
      <c r="L167" s="379">
        <f ca="1">IF($A167="S",IF(CAIXA.Modo,BM.AFAcumulado,BM.MEDAcumulado),IF(AND(RegimeExecucao="Global",$I167&gt;0,COUNTIF($AB$13:$AM$13,BM.medicao)&gt;0),O167/$I167*100,0))</f>
        <v>0</v>
      </c>
      <c r="M167" s="380">
        <f ca="1">IF($A167="S",VTOTALBM,IF($A167=0,0,ROUND(SomaAgrupBM,15-13*ORÇAMENTO!$AF$11)))</f>
        <v>0</v>
      </c>
      <c r="N167" s="381">
        <f ca="1">O167-M167</f>
        <v>0</v>
      </c>
      <c r="O167" s="127">
        <f ca="1">IF($A167="S",VTOTALBM,IF($A167=0,0,ROUND(SomaAgrupBM,15-13*ORÇAMENTO!$AF$11)))</f>
        <v>0</v>
      </c>
      <c r="Q167" s="382"/>
      <c r="R167" s="383"/>
      <c r="T167" s="119" t="str">
        <f ca="1">IF($W167&gt;0,$D167,"")</f>
        <v/>
      </c>
      <c r="U167" s="172" t="str">
        <f ca="1">IF($W167&gt;0,$E167,"")</f>
        <v/>
      </c>
      <c r="V167" s="173" t="str">
        <f ca="1">IF(AND($W167&gt;0,RegimeExecucao="Unitário"),$F167,"")</f>
        <v/>
      </c>
      <c r="W167" s="547">
        <f ca="1">IF($Y167&gt;0,CHOOSE(MATCH(RegimeExecucao,{"Unitário","Global"},0),IF($A167="S",$Y167/$X167,""),($Y167/$X167)*100),0)</f>
        <v>0</v>
      </c>
      <c r="X167" s="384" t="str">
        <f ca="1">IF($Y167&gt;0,CHOOSE(MATCH(RegimeExecucao,{"Unitário","Global"},0),IF($A167="S",ROUND($H167,ORÇAMENTO!$AF$10),""),ROUND($I167,ORÇAMENTO!$AF$11)),"")</f>
        <v/>
      </c>
      <c r="Y167" s="384">
        <f ca="1">AO167-O167</f>
        <v>0</v>
      </c>
      <c r="Z167" s="572"/>
      <c r="AB167" s="382"/>
      <c r="AC167" s="516"/>
      <c r="AD167" s="516"/>
      <c r="AE167" s="516"/>
      <c r="AF167" s="516"/>
      <c r="AG167" s="516"/>
      <c r="AH167" s="516"/>
      <c r="AI167" s="516"/>
      <c r="AJ167" s="516"/>
      <c r="AK167" s="516"/>
      <c r="AL167" s="516"/>
      <c r="AM167" s="383"/>
      <c r="AO167">
        <f ca="1">IF($A167="S",IF(BM!$I167=0,0,CHOOSE(MATCH(RegimeExecucao,{"Global","Unitário"},0),ROUND(ROUND(BM.MEDAcumulado,15-13*BM!$A$9)/100*BM!$I167,15-13*ORÇAMENTO!$AF$11),ROUND(ROUND(BM.MEDAcumulado,15-13*BM!$A$9)*ROUND(BM!$H167,15-13*ORÇAMENTO!$AF$10),15-13*ORÇAMENTO!$AF$11))),IF($A167=0,0,ROUND(SomaAgrupBM,15-13*ORÇAMENTO!$AF$11)))</f>
        <v>0</v>
      </c>
    </row>
    <row r="168" spans="1:41" ht="38.25" x14ac:dyDescent="0.2">
      <c r="A168" t="str">
        <f ca="1">ORÇAMENTO!C168</f>
        <v>S</v>
      </c>
      <c r="B168">
        <f ca="1">ORÇAMENTO!D168</f>
        <v>0</v>
      </c>
      <c r="C168" s="116" t="str">
        <f t="shared" ca="1" si="15"/>
        <v>F</v>
      </c>
      <c r="D168" s="119" t="str">
        <f ca="1">ORÇAMENTO!O168</f>
        <v>1.6.16.12.</v>
      </c>
      <c r="E168" s="172" t="str">
        <f t="shared" ca="1" si="16"/>
        <v>(abra o arquivo 'Referência 03-2024.xlsm)</v>
      </c>
      <c r="F168" s="173" t="str">
        <f ca="1">IF(RegimeExecucao="Global","",ORÇAMENTO.Unidade)</f>
        <v/>
      </c>
      <c r="G168" s="124" t="str">
        <f ca="1">IF(RegimeExecucao="Global","",ORÇAMENTO!T168)</f>
        <v/>
      </c>
      <c r="H168" s="124" t="str">
        <f ca="1">IF(RegimeExecucao="Global","",ORÇAMENTO!W168)</f>
        <v/>
      </c>
      <c r="I168" s="127">
        <f ca="1">ORÇAMENTO!X168</f>
        <v>419.52</v>
      </c>
      <c r="J168" s="378">
        <f ca="1">IF($A168="S",IF(CAIXA.Modo,BM.AFAnterior,BM.MEDAnterior),IF(AND(RegimeExecucao="Global",$I168&gt;0,COUNTIF($AB$13:$AM$13,BM.medicao-1)&gt;0),M168/$I168*100,0))</f>
        <v>0</v>
      </c>
      <c r="K168" s="124">
        <f t="shared" ca="1" si="17"/>
        <v>0</v>
      </c>
      <c r="L168" s="379">
        <f ca="1">IF($A168="S",IF(CAIXA.Modo,BM.AFAcumulado,BM.MEDAcumulado),IF(AND(RegimeExecucao="Global",$I168&gt;0,COUNTIF($AB$13:$AM$13,BM.medicao)&gt;0),O168/$I168*100,0))</f>
        <v>0</v>
      </c>
      <c r="M168" s="380">
        <f ca="1">IF($A168="S",VTOTALBM,IF($A168=0,0,ROUND(SomaAgrupBM,15-13*ORÇAMENTO!$AF$11)))</f>
        <v>0</v>
      </c>
      <c r="N168" s="381">
        <f t="shared" ca="1" si="18"/>
        <v>0</v>
      </c>
      <c r="O168" s="127">
        <f ca="1">IF($A168="S",VTOTALBM,IF($A168=0,0,ROUND(SomaAgrupBM,15-13*ORÇAMENTO!$AF$11)))</f>
        <v>0</v>
      </c>
      <c r="Q168" s="382"/>
      <c r="R168" s="383"/>
      <c r="T168" s="119" t="str">
        <f t="shared" ca="1" si="19"/>
        <v/>
      </c>
      <c r="U168" s="172" t="str">
        <f t="shared" ca="1" si="20"/>
        <v/>
      </c>
      <c r="V168" s="173" t="str">
        <f ca="1">IF(AND($W168&gt;0,RegimeExecucao="Unitário"),$F168,"")</f>
        <v/>
      </c>
      <c r="W168" s="547">
        <f ca="1">IF($Y168&gt;0,CHOOSE(MATCH(RegimeExecucao,{"Unitário","Global"},0),IF($A168="S",$Y168/$X168,""),($Y168/$X168)*100),0)</f>
        <v>0</v>
      </c>
      <c r="X168" s="384" t="str">
        <f ca="1">IF($Y168&gt;0,CHOOSE(MATCH(RegimeExecucao,{"Unitário","Global"},0),IF($A168="S",ROUND($H168,ORÇAMENTO!$AF$10),""),ROUND($I168,ORÇAMENTO!$AF$11)),"")</f>
        <v/>
      </c>
      <c r="Y168" s="384">
        <f t="shared" ca="1" si="21"/>
        <v>0</v>
      </c>
      <c r="Z168" s="572"/>
      <c r="AB168" s="382"/>
      <c r="AC168" s="516"/>
      <c r="AD168" s="516"/>
      <c r="AE168" s="516"/>
      <c r="AF168" s="516"/>
      <c r="AG168" s="516"/>
      <c r="AH168" s="516"/>
      <c r="AI168" s="516"/>
      <c r="AJ168" s="516"/>
      <c r="AK168" s="516"/>
      <c r="AL168" s="516"/>
      <c r="AM168" s="383"/>
      <c r="AO168">
        <f ca="1">IF($A168="S",IF(BM!$I168=0,0,CHOOSE(MATCH(RegimeExecucao,{"Global","Unitário"},0),ROUND(ROUND(BM.MEDAcumulado,15-13*BM!$A$9)/100*BM!$I168,15-13*ORÇAMENTO!$AF$11),ROUND(ROUND(BM.MEDAcumulado,15-13*BM!$A$9)*ROUND(BM!$H168,15-13*ORÇAMENTO!$AF$10),15-13*ORÇAMENTO!$AF$11))),IF($A168=0,0,ROUND(SomaAgrupBM,15-13*ORÇAMENTO!$AF$11)))</f>
        <v>0</v>
      </c>
    </row>
    <row r="169" spans="1:41" ht="38.25" x14ac:dyDescent="0.2">
      <c r="A169" t="str">
        <f ca="1">ORÇAMENTO!C169</f>
        <v>S</v>
      </c>
      <c r="B169">
        <f ca="1">ORÇAMENTO!D169</f>
        <v>0</v>
      </c>
      <c r="C169" s="116" t="str">
        <f t="shared" ca="1" si="15"/>
        <v>F</v>
      </c>
      <c r="D169" s="119" t="str">
        <f ca="1">ORÇAMENTO!O169</f>
        <v>1.6.16.13.</v>
      </c>
      <c r="E169" s="172" t="str">
        <f t="shared" ca="1" si="16"/>
        <v>(abra o arquivo 'Referência 03-2024.xlsm)</v>
      </c>
      <c r="F169" s="173" t="str">
        <f ca="1">IF(RegimeExecucao="Global","",ORÇAMENTO.Unidade)</f>
        <v/>
      </c>
      <c r="G169" s="124" t="str">
        <f ca="1">IF(RegimeExecucao="Global","",ORÇAMENTO!T169)</f>
        <v/>
      </c>
      <c r="H169" s="124" t="str">
        <f ca="1">IF(RegimeExecucao="Global","",ORÇAMENTO!W169)</f>
        <v/>
      </c>
      <c r="I169" s="127">
        <f ca="1">ORÇAMENTO!X169</f>
        <v>210.96</v>
      </c>
      <c r="J169" s="378">
        <f ca="1">IF($A169="S",IF(CAIXA.Modo,BM.AFAnterior,BM.MEDAnterior),IF(AND(RegimeExecucao="Global",$I169&gt;0,COUNTIF($AB$13:$AM$13,BM.medicao-1)&gt;0),M169/$I169*100,0))</f>
        <v>0</v>
      </c>
      <c r="K169" s="124">
        <f t="shared" ca="1" si="17"/>
        <v>0</v>
      </c>
      <c r="L169" s="379">
        <f ca="1">IF($A169="S",IF(CAIXA.Modo,BM.AFAcumulado,BM.MEDAcumulado),IF(AND(RegimeExecucao="Global",$I169&gt;0,COUNTIF($AB$13:$AM$13,BM.medicao)&gt;0),O169/$I169*100,0))</f>
        <v>0</v>
      </c>
      <c r="M169" s="380">
        <f ca="1">IF($A169="S",VTOTALBM,IF($A169=0,0,ROUND(SomaAgrupBM,15-13*ORÇAMENTO!$AF$11)))</f>
        <v>0</v>
      </c>
      <c r="N169" s="381">
        <f t="shared" ca="1" si="18"/>
        <v>0</v>
      </c>
      <c r="O169" s="127">
        <f ca="1">IF($A169="S",VTOTALBM,IF($A169=0,0,ROUND(SomaAgrupBM,15-13*ORÇAMENTO!$AF$11)))</f>
        <v>0</v>
      </c>
      <c r="Q169" s="382"/>
      <c r="R169" s="383"/>
      <c r="T169" s="119" t="str">
        <f t="shared" ca="1" si="19"/>
        <v/>
      </c>
      <c r="U169" s="172" t="str">
        <f t="shared" ca="1" si="20"/>
        <v/>
      </c>
      <c r="V169" s="173" t="str">
        <f ca="1">IF(AND($W169&gt;0,RegimeExecucao="Unitário"),$F169,"")</f>
        <v/>
      </c>
      <c r="W169" s="547">
        <f ca="1">IF($Y169&gt;0,CHOOSE(MATCH(RegimeExecucao,{"Unitário","Global"},0),IF($A169="S",$Y169/$X169,""),($Y169/$X169)*100),0)</f>
        <v>0</v>
      </c>
      <c r="X169" s="384" t="str">
        <f ca="1">IF($Y169&gt;0,CHOOSE(MATCH(RegimeExecucao,{"Unitário","Global"},0),IF($A169="S",ROUND($H169,ORÇAMENTO!$AF$10),""),ROUND($I169,ORÇAMENTO!$AF$11)),"")</f>
        <v/>
      </c>
      <c r="Y169" s="384">
        <f t="shared" ca="1" si="21"/>
        <v>0</v>
      </c>
      <c r="Z169" s="572"/>
      <c r="AB169" s="382"/>
      <c r="AC169" s="516"/>
      <c r="AD169" s="516"/>
      <c r="AE169" s="516"/>
      <c r="AF169" s="516"/>
      <c r="AG169" s="516"/>
      <c r="AH169" s="516"/>
      <c r="AI169" s="516"/>
      <c r="AJ169" s="516"/>
      <c r="AK169" s="516"/>
      <c r="AL169" s="516"/>
      <c r="AM169" s="383"/>
      <c r="AO169">
        <f ca="1">IF($A169="S",IF(BM!$I169=0,0,CHOOSE(MATCH(RegimeExecucao,{"Global","Unitário"},0),ROUND(ROUND(BM.MEDAcumulado,15-13*BM!$A$9)/100*BM!$I169,15-13*ORÇAMENTO!$AF$11),ROUND(ROUND(BM.MEDAcumulado,15-13*BM!$A$9)*ROUND(BM!$H169,15-13*ORÇAMENTO!$AF$10),15-13*ORÇAMENTO!$AF$11))),IF($A169=0,0,ROUND(SomaAgrupBM,15-13*ORÇAMENTO!$AF$11)))</f>
        <v>0</v>
      </c>
    </row>
    <row r="170" spans="1:41" ht="38.25" x14ac:dyDescent="0.2">
      <c r="A170" t="str">
        <f ca="1">ORÇAMENTO!C170</f>
        <v>S</v>
      </c>
      <c r="B170">
        <f ca="1">ORÇAMENTO!D170</f>
        <v>0</v>
      </c>
      <c r="C170" s="116" t="str">
        <f t="shared" ca="1" si="15"/>
        <v>F</v>
      </c>
      <c r="D170" s="119" t="str">
        <f ca="1">ORÇAMENTO!O170</f>
        <v>1.6.16.14.</v>
      </c>
      <c r="E170" s="172" t="str">
        <f t="shared" ca="1" si="16"/>
        <v>(abra o arquivo 'Referência 03-2024.xlsm)</v>
      </c>
      <c r="F170" s="173" t="str">
        <f ca="1">IF(RegimeExecucao="Global","",ORÇAMENTO.Unidade)</f>
        <v/>
      </c>
      <c r="G170" s="124" t="str">
        <f ca="1">IF(RegimeExecucao="Global","",ORÇAMENTO!T170)</f>
        <v/>
      </c>
      <c r="H170" s="124" t="str">
        <f ca="1">IF(RegimeExecucao="Global","",ORÇAMENTO!W170)</f>
        <v/>
      </c>
      <c r="I170" s="127">
        <f ca="1">ORÇAMENTO!X170</f>
        <v>51.56</v>
      </c>
      <c r="J170" s="378">
        <f ca="1">IF($A170="S",IF(CAIXA.Modo,BM.AFAnterior,BM.MEDAnterior),IF(AND(RegimeExecucao="Global",$I170&gt;0,COUNTIF($AB$13:$AM$13,BM.medicao-1)&gt;0),M170/$I170*100,0))</f>
        <v>0</v>
      </c>
      <c r="K170" s="124">
        <f t="shared" ca="1" si="17"/>
        <v>0</v>
      </c>
      <c r="L170" s="379">
        <f ca="1">IF($A170="S",IF(CAIXA.Modo,BM.AFAcumulado,BM.MEDAcumulado),IF(AND(RegimeExecucao="Global",$I170&gt;0,COUNTIF($AB$13:$AM$13,BM.medicao)&gt;0),O170/$I170*100,0))</f>
        <v>0</v>
      </c>
      <c r="M170" s="380">
        <f ca="1">IF($A170="S",VTOTALBM,IF($A170=0,0,ROUND(SomaAgrupBM,15-13*ORÇAMENTO!$AF$11)))</f>
        <v>0</v>
      </c>
      <c r="N170" s="381">
        <f t="shared" ca="1" si="18"/>
        <v>0</v>
      </c>
      <c r="O170" s="127">
        <f ca="1">IF($A170="S",VTOTALBM,IF($A170=0,0,ROUND(SomaAgrupBM,15-13*ORÇAMENTO!$AF$11)))</f>
        <v>0</v>
      </c>
      <c r="Q170" s="382"/>
      <c r="R170" s="383"/>
      <c r="T170" s="119" t="str">
        <f t="shared" ca="1" si="19"/>
        <v/>
      </c>
      <c r="U170" s="172" t="str">
        <f t="shared" ca="1" si="20"/>
        <v/>
      </c>
      <c r="V170" s="173" t="str">
        <f ca="1">IF(AND($W170&gt;0,RegimeExecucao="Unitário"),$F170,"")</f>
        <v/>
      </c>
      <c r="W170" s="547">
        <f ca="1">IF($Y170&gt;0,CHOOSE(MATCH(RegimeExecucao,{"Unitário","Global"},0),IF($A170="S",$Y170/$X170,""),($Y170/$X170)*100),0)</f>
        <v>0</v>
      </c>
      <c r="X170" s="384" t="str">
        <f ca="1">IF($Y170&gt;0,CHOOSE(MATCH(RegimeExecucao,{"Unitário","Global"},0),IF($A170="S",ROUND($H170,ORÇAMENTO!$AF$10),""),ROUND($I170,ORÇAMENTO!$AF$11)),"")</f>
        <v/>
      </c>
      <c r="Y170" s="384">
        <f t="shared" ca="1" si="21"/>
        <v>0</v>
      </c>
      <c r="Z170" s="572"/>
      <c r="AB170" s="382"/>
      <c r="AC170" s="516"/>
      <c r="AD170" s="516"/>
      <c r="AE170" s="516"/>
      <c r="AF170" s="516"/>
      <c r="AG170" s="516"/>
      <c r="AH170" s="516"/>
      <c r="AI170" s="516"/>
      <c r="AJ170" s="516"/>
      <c r="AK170" s="516"/>
      <c r="AL170" s="516"/>
      <c r="AM170" s="383"/>
      <c r="AO170">
        <f ca="1">IF($A170="S",IF(BM!$I170=0,0,CHOOSE(MATCH(RegimeExecucao,{"Global","Unitário"},0),ROUND(ROUND(BM.MEDAcumulado,15-13*BM!$A$9)/100*BM!$I170,15-13*ORÇAMENTO!$AF$11),ROUND(ROUND(BM.MEDAcumulado,15-13*BM!$A$9)*ROUND(BM!$H170,15-13*ORÇAMENTO!$AF$10),15-13*ORÇAMENTO!$AF$11))),IF($A170=0,0,ROUND(SomaAgrupBM,15-13*ORÇAMENTO!$AF$11)))</f>
        <v>0</v>
      </c>
    </row>
    <row r="171" spans="1:41" ht="38.25" x14ac:dyDescent="0.2">
      <c r="A171" t="str">
        <f ca="1">ORÇAMENTO!C171</f>
        <v>S</v>
      </c>
      <c r="B171">
        <f ca="1">ORÇAMENTO!D171</f>
        <v>0</v>
      </c>
      <c r="C171" s="116" t="str">
        <f t="shared" ca="1" si="15"/>
        <v>F</v>
      </c>
      <c r="D171" s="119" t="str">
        <f ca="1">ORÇAMENTO!O171</f>
        <v>1.6.16.15.</v>
      </c>
      <c r="E171" s="172" t="str">
        <f t="shared" ca="1" si="16"/>
        <v>(abra o arquivo 'Referência 03-2024.xlsm)</v>
      </c>
      <c r="F171" s="173" t="str">
        <f ca="1">IF(RegimeExecucao="Global","",ORÇAMENTO.Unidade)</f>
        <v/>
      </c>
      <c r="G171" s="124" t="str">
        <f ca="1">IF(RegimeExecucao="Global","",ORÇAMENTO!T171)</f>
        <v/>
      </c>
      <c r="H171" s="124" t="str">
        <f ca="1">IF(RegimeExecucao="Global","",ORÇAMENTO!W171)</f>
        <v/>
      </c>
      <c r="I171" s="127">
        <f ca="1">ORÇAMENTO!X171</f>
        <v>48.64</v>
      </c>
      <c r="J171" s="378">
        <f ca="1">IF($A171="S",IF(CAIXA.Modo,BM.AFAnterior,BM.MEDAnterior),IF(AND(RegimeExecucao="Global",$I171&gt;0,COUNTIF($AB$13:$AM$13,BM.medicao-1)&gt;0),M171/$I171*100,0))</f>
        <v>0</v>
      </c>
      <c r="K171" s="124">
        <f t="shared" ca="1" si="17"/>
        <v>0</v>
      </c>
      <c r="L171" s="379">
        <f ca="1">IF($A171="S",IF(CAIXA.Modo,BM.AFAcumulado,BM.MEDAcumulado),IF(AND(RegimeExecucao="Global",$I171&gt;0,COUNTIF($AB$13:$AM$13,BM.medicao)&gt;0),O171/$I171*100,0))</f>
        <v>0</v>
      </c>
      <c r="M171" s="380">
        <f ca="1">IF($A171="S",VTOTALBM,IF($A171=0,0,ROUND(SomaAgrupBM,15-13*ORÇAMENTO!$AF$11)))</f>
        <v>0</v>
      </c>
      <c r="N171" s="381">
        <f t="shared" ca="1" si="18"/>
        <v>0</v>
      </c>
      <c r="O171" s="127">
        <f ca="1">IF($A171="S",VTOTALBM,IF($A171=0,0,ROUND(SomaAgrupBM,15-13*ORÇAMENTO!$AF$11)))</f>
        <v>0</v>
      </c>
      <c r="Q171" s="382"/>
      <c r="R171" s="383"/>
      <c r="T171" s="119" t="str">
        <f t="shared" ca="1" si="19"/>
        <v/>
      </c>
      <c r="U171" s="172" t="str">
        <f t="shared" ca="1" si="20"/>
        <v/>
      </c>
      <c r="V171" s="173" t="str">
        <f ca="1">IF(AND($W171&gt;0,RegimeExecucao="Unitário"),$F171,"")</f>
        <v/>
      </c>
      <c r="W171" s="547">
        <f ca="1">IF($Y171&gt;0,CHOOSE(MATCH(RegimeExecucao,{"Unitário","Global"},0),IF($A171="S",$Y171/$X171,""),($Y171/$X171)*100),0)</f>
        <v>0</v>
      </c>
      <c r="X171" s="384" t="str">
        <f ca="1">IF($Y171&gt;0,CHOOSE(MATCH(RegimeExecucao,{"Unitário","Global"},0),IF($A171="S",ROUND($H171,ORÇAMENTO!$AF$10),""),ROUND($I171,ORÇAMENTO!$AF$11)),"")</f>
        <v/>
      </c>
      <c r="Y171" s="384">
        <f t="shared" ca="1" si="21"/>
        <v>0</v>
      </c>
      <c r="Z171" s="572"/>
      <c r="AB171" s="382"/>
      <c r="AC171" s="516"/>
      <c r="AD171" s="516"/>
      <c r="AE171" s="516"/>
      <c r="AF171" s="516"/>
      <c r="AG171" s="516"/>
      <c r="AH171" s="516"/>
      <c r="AI171" s="516"/>
      <c r="AJ171" s="516"/>
      <c r="AK171" s="516"/>
      <c r="AL171" s="516"/>
      <c r="AM171" s="383"/>
      <c r="AO171">
        <f ca="1">IF($A171="S",IF(BM!$I171=0,0,CHOOSE(MATCH(RegimeExecucao,{"Global","Unitário"},0),ROUND(ROUND(BM.MEDAcumulado,15-13*BM!$A$9)/100*BM!$I171,15-13*ORÇAMENTO!$AF$11),ROUND(ROUND(BM.MEDAcumulado,15-13*BM!$A$9)*ROUND(BM!$H171,15-13*ORÇAMENTO!$AF$10),15-13*ORÇAMENTO!$AF$11))),IF($A171=0,0,ROUND(SomaAgrupBM,15-13*ORÇAMENTO!$AF$11)))</f>
        <v>0</v>
      </c>
    </row>
    <row r="172" spans="1:41" ht="25.5" x14ac:dyDescent="0.2">
      <c r="A172" t="str">
        <f ca="1">ORÇAMENTO!C172</f>
        <v>S</v>
      </c>
      <c r="B172">
        <f ca="1">ORÇAMENTO!D172</f>
        <v>0</v>
      </c>
      <c r="C172" s="116" t="str">
        <f t="shared" ca="1" si="15"/>
        <v>F</v>
      </c>
      <c r="D172" s="119" t="str">
        <f ca="1">ORÇAMENTO!O172</f>
        <v>1.6.16.16.</v>
      </c>
      <c r="E172" s="172" t="str">
        <f t="shared" ca="1" si="16"/>
        <v>(abra o arquivo 'Referência 03-2024.xlsm)</v>
      </c>
      <c r="F172" s="173" t="str">
        <f ca="1">IF(RegimeExecucao="Global","",ORÇAMENTO.Unidade)</f>
        <v/>
      </c>
      <c r="G172" s="124" t="str">
        <f ca="1">IF(RegimeExecucao="Global","",ORÇAMENTO!T172)</f>
        <v/>
      </c>
      <c r="H172" s="124" t="str">
        <f ca="1">IF(RegimeExecucao="Global","",ORÇAMENTO!W172)</f>
        <v/>
      </c>
      <c r="I172" s="127">
        <f ca="1">ORÇAMENTO!X172</f>
        <v>61.64</v>
      </c>
      <c r="J172" s="378">
        <f ca="1">IF($A172="S",IF(CAIXA.Modo,BM.AFAnterior,BM.MEDAnterior),IF(AND(RegimeExecucao="Global",$I172&gt;0,COUNTIF($AB$13:$AM$13,BM.medicao-1)&gt;0),M172/$I172*100,0))</f>
        <v>0</v>
      </c>
      <c r="K172" s="124">
        <f t="shared" ca="1" si="17"/>
        <v>0</v>
      </c>
      <c r="L172" s="379">
        <f ca="1">IF($A172="S",IF(CAIXA.Modo,BM.AFAcumulado,BM.MEDAcumulado),IF(AND(RegimeExecucao="Global",$I172&gt;0,COUNTIF($AB$13:$AM$13,BM.medicao)&gt;0),O172/$I172*100,0))</f>
        <v>0</v>
      </c>
      <c r="M172" s="380">
        <f ca="1">IF($A172="S",VTOTALBM,IF($A172=0,0,ROUND(SomaAgrupBM,15-13*ORÇAMENTO!$AF$11)))</f>
        <v>0</v>
      </c>
      <c r="N172" s="381">
        <f t="shared" ca="1" si="18"/>
        <v>0</v>
      </c>
      <c r="O172" s="127">
        <f ca="1">IF($A172="S",VTOTALBM,IF($A172=0,0,ROUND(SomaAgrupBM,15-13*ORÇAMENTO!$AF$11)))</f>
        <v>0</v>
      </c>
      <c r="Q172" s="382"/>
      <c r="R172" s="383"/>
      <c r="T172" s="119" t="str">
        <f t="shared" ca="1" si="19"/>
        <v/>
      </c>
      <c r="U172" s="172" t="str">
        <f t="shared" ca="1" si="20"/>
        <v/>
      </c>
      <c r="V172" s="173" t="str">
        <f ca="1">IF(AND($W172&gt;0,RegimeExecucao="Unitário"),$F172,"")</f>
        <v/>
      </c>
      <c r="W172" s="547">
        <f ca="1">IF($Y172&gt;0,CHOOSE(MATCH(RegimeExecucao,{"Unitário","Global"},0),IF($A172="S",$Y172/$X172,""),($Y172/$X172)*100),0)</f>
        <v>0</v>
      </c>
      <c r="X172" s="384" t="str">
        <f ca="1">IF($Y172&gt;0,CHOOSE(MATCH(RegimeExecucao,{"Unitário","Global"},0),IF($A172="S",ROUND($H172,ORÇAMENTO!$AF$10),""),ROUND($I172,ORÇAMENTO!$AF$11)),"")</f>
        <v/>
      </c>
      <c r="Y172" s="384">
        <f t="shared" ca="1" si="21"/>
        <v>0</v>
      </c>
      <c r="Z172" s="572"/>
      <c r="AB172" s="382"/>
      <c r="AC172" s="516"/>
      <c r="AD172" s="516"/>
      <c r="AE172" s="516"/>
      <c r="AF172" s="516"/>
      <c r="AG172" s="516"/>
      <c r="AH172" s="516"/>
      <c r="AI172" s="516"/>
      <c r="AJ172" s="516"/>
      <c r="AK172" s="516"/>
      <c r="AL172" s="516"/>
      <c r="AM172" s="383"/>
      <c r="AO172">
        <f ca="1">IF($A172="S",IF(BM!$I172=0,0,CHOOSE(MATCH(RegimeExecucao,{"Global","Unitário"},0),ROUND(ROUND(BM.MEDAcumulado,15-13*BM!$A$9)/100*BM!$I172,15-13*ORÇAMENTO!$AF$11),ROUND(ROUND(BM.MEDAcumulado,15-13*BM!$A$9)*ROUND(BM!$H172,15-13*ORÇAMENTO!$AF$10),15-13*ORÇAMENTO!$AF$11))),IF($A172=0,0,ROUND(SomaAgrupBM,15-13*ORÇAMENTO!$AF$11)))</f>
        <v>0</v>
      </c>
    </row>
    <row r="173" spans="1:41" ht="25.5" x14ac:dyDescent="0.2">
      <c r="A173" t="str">
        <f ca="1">ORÇAMENTO!C173</f>
        <v>S</v>
      </c>
      <c r="B173">
        <f ca="1">ORÇAMENTO!D173</f>
        <v>0</v>
      </c>
      <c r="C173" s="116" t="str">
        <f t="shared" ca="1" si="15"/>
        <v>F</v>
      </c>
      <c r="D173" s="119" t="str">
        <f ca="1">ORÇAMENTO!O173</f>
        <v>1.6.16.17.</v>
      </c>
      <c r="E173" s="172" t="str">
        <f t="shared" ca="1" si="16"/>
        <v>(abra o arquivo 'Referência 03-2024.xlsm)</v>
      </c>
      <c r="F173" s="173" t="str">
        <f ca="1">IF(RegimeExecucao="Global","",ORÇAMENTO.Unidade)</f>
        <v/>
      </c>
      <c r="G173" s="124" t="str">
        <f ca="1">IF(RegimeExecucao="Global","",ORÇAMENTO!T173)</f>
        <v/>
      </c>
      <c r="H173" s="124" t="str">
        <f ca="1">IF(RegimeExecucao="Global","",ORÇAMENTO!W173)</f>
        <v/>
      </c>
      <c r="I173" s="127">
        <f ca="1">ORÇAMENTO!X173</f>
        <v>357.8</v>
      </c>
      <c r="J173" s="378">
        <f ca="1">IF($A173="S",IF(CAIXA.Modo,BM.AFAnterior,BM.MEDAnterior),IF(AND(RegimeExecucao="Global",$I173&gt;0,COUNTIF($AB$13:$AM$13,BM.medicao-1)&gt;0),M173/$I173*100,0))</f>
        <v>0</v>
      </c>
      <c r="K173" s="124">
        <f t="shared" ca="1" si="17"/>
        <v>0</v>
      </c>
      <c r="L173" s="379">
        <f ca="1">IF($A173="S",IF(CAIXA.Modo,BM.AFAcumulado,BM.MEDAcumulado),IF(AND(RegimeExecucao="Global",$I173&gt;0,COUNTIF($AB$13:$AM$13,BM.medicao)&gt;0),O173/$I173*100,0))</f>
        <v>0</v>
      </c>
      <c r="M173" s="380">
        <f ca="1">IF($A173="S",VTOTALBM,IF($A173=0,0,ROUND(SomaAgrupBM,15-13*ORÇAMENTO!$AF$11)))</f>
        <v>0</v>
      </c>
      <c r="N173" s="381">
        <f t="shared" ca="1" si="18"/>
        <v>0</v>
      </c>
      <c r="O173" s="127">
        <f ca="1">IF($A173="S",VTOTALBM,IF($A173=0,0,ROUND(SomaAgrupBM,15-13*ORÇAMENTO!$AF$11)))</f>
        <v>0</v>
      </c>
      <c r="Q173" s="382"/>
      <c r="R173" s="383"/>
      <c r="T173" s="119" t="str">
        <f t="shared" ca="1" si="19"/>
        <v/>
      </c>
      <c r="U173" s="172" t="str">
        <f t="shared" ca="1" si="20"/>
        <v/>
      </c>
      <c r="V173" s="173" t="str">
        <f ca="1">IF(AND($W173&gt;0,RegimeExecucao="Unitário"),$F173,"")</f>
        <v/>
      </c>
      <c r="W173" s="547">
        <f ca="1">IF($Y173&gt;0,CHOOSE(MATCH(RegimeExecucao,{"Unitário","Global"},0),IF($A173="S",$Y173/$X173,""),($Y173/$X173)*100),0)</f>
        <v>0</v>
      </c>
      <c r="X173" s="384" t="str">
        <f ca="1">IF($Y173&gt;0,CHOOSE(MATCH(RegimeExecucao,{"Unitário","Global"},0),IF($A173="S",ROUND($H173,ORÇAMENTO!$AF$10),""),ROUND($I173,ORÇAMENTO!$AF$11)),"")</f>
        <v/>
      </c>
      <c r="Y173" s="384">
        <f t="shared" ca="1" si="21"/>
        <v>0</v>
      </c>
      <c r="Z173" s="572"/>
      <c r="AB173" s="382"/>
      <c r="AC173" s="516"/>
      <c r="AD173" s="516"/>
      <c r="AE173" s="516"/>
      <c r="AF173" s="516"/>
      <c r="AG173" s="516"/>
      <c r="AH173" s="516"/>
      <c r="AI173" s="516"/>
      <c r="AJ173" s="516"/>
      <c r="AK173" s="516"/>
      <c r="AL173" s="516"/>
      <c r="AM173" s="383"/>
      <c r="AO173">
        <f ca="1">IF($A173="S",IF(BM!$I173=0,0,CHOOSE(MATCH(RegimeExecucao,{"Global","Unitário"},0),ROUND(ROUND(BM.MEDAcumulado,15-13*BM!$A$9)/100*BM!$I173,15-13*ORÇAMENTO!$AF$11),ROUND(ROUND(BM.MEDAcumulado,15-13*BM!$A$9)*ROUND(BM!$H173,15-13*ORÇAMENTO!$AF$10),15-13*ORÇAMENTO!$AF$11))),IF($A173=0,0,ROUND(SomaAgrupBM,15-13*ORÇAMENTO!$AF$11)))</f>
        <v>0</v>
      </c>
    </row>
    <row r="174" spans="1:41" ht="51" x14ac:dyDescent="0.2">
      <c r="A174" t="str">
        <f ca="1">ORÇAMENTO!C174</f>
        <v>S</v>
      </c>
      <c r="B174">
        <f ca="1">ORÇAMENTO!D174</f>
        <v>0</v>
      </c>
      <c r="C174" s="116" t="str">
        <f t="shared" ca="1" si="15"/>
        <v>F</v>
      </c>
      <c r="D174" s="119" t="str">
        <f ca="1">ORÇAMENTO!O174</f>
        <v>1.6.16.18.</v>
      </c>
      <c r="E174" s="172" t="str">
        <f t="shared" ca="1" si="16"/>
        <v>(abra o arquivo 'Referência 03-2024.xlsm)</v>
      </c>
      <c r="F174" s="173" t="str">
        <f ca="1">IF(RegimeExecucao="Global","",ORÇAMENTO.Unidade)</f>
        <v/>
      </c>
      <c r="G174" s="124" t="str">
        <f ca="1">IF(RegimeExecucao="Global","",ORÇAMENTO!T174)</f>
        <v/>
      </c>
      <c r="H174" s="124" t="str">
        <f ca="1">IF(RegimeExecucao="Global","",ORÇAMENTO!W174)</f>
        <v/>
      </c>
      <c r="I174" s="127">
        <f ca="1">ORÇAMENTO!X174</f>
        <v>510.31</v>
      </c>
      <c r="J174" s="378">
        <f ca="1">IF($A174="S",IF(CAIXA.Modo,BM.AFAnterior,BM.MEDAnterior),IF(AND(RegimeExecucao="Global",$I174&gt;0,COUNTIF($AB$13:$AM$13,BM.medicao-1)&gt;0),M174/$I174*100,0))</f>
        <v>0</v>
      </c>
      <c r="K174" s="124">
        <f t="shared" ca="1" si="17"/>
        <v>0</v>
      </c>
      <c r="L174" s="379">
        <f ca="1">IF($A174="S",IF(CAIXA.Modo,BM.AFAcumulado,BM.MEDAcumulado),IF(AND(RegimeExecucao="Global",$I174&gt;0,COUNTIF($AB$13:$AM$13,BM.medicao)&gt;0),O174/$I174*100,0))</f>
        <v>0</v>
      </c>
      <c r="M174" s="380">
        <f ca="1">IF($A174="S",VTOTALBM,IF($A174=0,0,ROUND(SomaAgrupBM,15-13*ORÇAMENTO!$AF$11)))</f>
        <v>0</v>
      </c>
      <c r="N174" s="381">
        <f t="shared" ca="1" si="18"/>
        <v>0</v>
      </c>
      <c r="O174" s="127">
        <f ca="1">IF($A174="S",VTOTALBM,IF($A174=0,0,ROUND(SomaAgrupBM,15-13*ORÇAMENTO!$AF$11)))</f>
        <v>0</v>
      </c>
      <c r="Q174" s="382"/>
      <c r="R174" s="383"/>
      <c r="T174" s="119" t="str">
        <f t="shared" ca="1" si="19"/>
        <v/>
      </c>
      <c r="U174" s="172" t="str">
        <f t="shared" ca="1" si="20"/>
        <v/>
      </c>
      <c r="V174" s="173" t="str">
        <f ca="1">IF(AND($W174&gt;0,RegimeExecucao="Unitário"),$F174,"")</f>
        <v/>
      </c>
      <c r="W174" s="547">
        <f ca="1">IF($Y174&gt;0,CHOOSE(MATCH(RegimeExecucao,{"Unitário","Global"},0),IF($A174="S",$Y174/$X174,""),($Y174/$X174)*100),0)</f>
        <v>0</v>
      </c>
      <c r="X174" s="384" t="str">
        <f ca="1">IF($Y174&gt;0,CHOOSE(MATCH(RegimeExecucao,{"Unitário","Global"},0),IF($A174="S",ROUND($H174,ORÇAMENTO!$AF$10),""),ROUND($I174,ORÇAMENTO!$AF$11)),"")</f>
        <v/>
      </c>
      <c r="Y174" s="384">
        <f t="shared" ca="1" si="21"/>
        <v>0</v>
      </c>
      <c r="Z174" s="572"/>
      <c r="AB174" s="382"/>
      <c r="AC174" s="516"/>
      <c r="AD174" s="516"/>
      <c r="AE174" s="516"/>
      <c r="AF174" s="516"/>
      <c r="AG174" s="516"/>
      <c r="AH174" s="516"/>
      <c r="AI174" s="516"/>
      <c r="AJ174" s="516"/>
      <c r="AK174" s="516"/>
      <c r="AL174" s="516"/>
      <c r="AM174" s="383"/>
      <c r="AO174">
        <f ca="1">IF($A174="S",IF(BM!$I174=0,0,CHOOSE(MATCH(RegimeExecucao,{"Global","Unitário"},0),ROUND(ROUND(BM.MEDAcumulado,15-13*BM!$A$9)/100*BM!$I174,15-13*ORÇAMENTO!$AF$11),ROUND(ROUND(BM.MEDAcumulado,15-13*BM!$A$9)*ROUND(BM!$H174,15-13*ORÇAMENTO!$AF$10),15-13*ORÇAMENTO!$AF$11))),IF($A174=0,0,ROUND(SomaAgrupBM,15-13*ORÇAMENTO!$AF$11)))</f>
        <v>0</v>
      </c>
    </row>
    <row r="175" spans="1:41" ht="38.25" x14ac:dyDescent="0.2">
      <c r="A175" t="str">
        <f ca="1">ORÇAMENTO!C175</f>
        <v>S</v>
      </c>
      <c r="B175">
        <f ca="1">ORÇAMENTO!D175</f>
        <v>0</v>
      </c>
      <c r="C175" s="116" t="str">
        <f t="shared" ca="1" si="15"/>
        <v>F</v>
      </c>
      <c r="D175" s="119" t="str">
        <f ca="1">ORÇAMENTO!O175</f>
        <v>1.6.16.19.</v>
      </c>
      <c r="E175" s="172" t="str">
        <f t="shared" ca="1" si="16"/>
        <v>(abra o arquivo 'Referência 03-2024.xlsm)</v>
      </c>
      <c r="F175" s="173" t="str">
        <f ca="1">IF(RegimeExecucao="Global","",ORÇAMENTO.Unidade)</f>
        <v/>
      </c>
      <c r="G175" s="124" t="str">
        <f ca="1">IF(RegimeExecucao="Global","",ORÇAMENTO!T175)</f>
        <v/>
      </c>
      <c r="H175" s="124" t="str">
        <f ca="1">IF(RegimeExecucao="Global","",ORÇAMENTO!W175)</f>
        <v/>
      </c>
      <c r="I175" s="127">
        <f ca="1">ORÇAMENTO!X175</f>
        <v>3190.46</v>
      </c>
      <c r="J175" s="378">
        <f ca="1">IF($A175="S",IF(CAIXA.Modo,BM.AFAnterior,BM.MEDAnterior),IF(AND(RegimeExecucao="Global",$I175&gt;0,COUNTIF($AB$13:$AM$13,BM.medicao-1)&gt;0),M175/$I175*100,0))</f>
        <v>0</v>
      </c>
      <c r="K175" s="124">
        <f t="shared" ca="1" si="17"/>
        <v>0</v>
      </c>
      <c r="L175" s="379">
        <f ca="1">IF($A175="S",IF(CAIXA.Modo,BM.AFAcumulado,BM.MEDAcumulado),IF(AND(RegimeExecucao="Global",$I175&gt;0,COUNTIF($AB$13:$AM$13,BM.medicao)&gt;0),O175/$I175*100,0))</f>
        <v>0</v>
      </c>
      <c r="M175" s="380">
        <f ca="1">IF($A175="S",VTOTALBM,IF($A175=0,0,ROUND(SomaAgrupBM,15-13*ORÇAMENTO!$AF$11)))</f>
        <v>0</v>
      </c>
      <c r="N175" s="381">
        <f t="shared" ca="1" si="18"/>
        <v>0</v>
      </c>
      <c r="O175" s="127">
        <f ca="1">IF($A175="S",VTOTALBM,IF($A175=0,0,ROUND(SomaAgrupBM,15-13*ORÇAMENTO!$AF$11)))</f>
        <v>0</v>
      </c>
      <c r="Q175" s="382"/>
      <c r="R175" s="383"/>
      <c r="T175" s="119" t="str">
        <f t="shared" ca="1" si="19"/>
        <v/>
      </c>
      <c r="U175" s="172" t="str">
        <f t="shared" ca="1" si="20"/>
        <v/>
      </c>
      <c r="V175" s="173" t="str">
        <f ca="1">IF(AND($W175&gt;0,RegimeExecucao="Unitário"),$F175,"")</f>
        <v/>
      </c>
      <c r="W175" s="547">
        <f ca="1">IF($Y175&gt;0,CHOOSE(MATCH(RegimeExecucao,{"Unitário","Global"},0),IF($A175="S",$Y175/$X175,""),($Y175/$X175)*100),0)</f>
        <v>0</v>
      </c>
      <c r="X175" s="384" t="str">
        <f ca="1">IF($Y175&gt;0,CHOOSE(MATCH(RegimeExecucao,{"Unitário","Global"},0),IF($A175="S",ROUND($H175,ORÇAMENTO!$AF$10),""),ROUND($I175,ORÇAMENTO!$AF$11)),"")</f>
        <v/>
      </c>
      <c r="Y175" s="384">
        <f t="shared" ca="1" si="21"/>
        <v>0</v>
      </c>
      <c r="Z175" s="572"/>
      <c r="AB175" s="382"/>
      <c r="AC175" s="516"/>
      <c r="AD175" s="516"/>
      <c r="AE175" s="516"/>
      <c r="AF175" s="516"/>
      <c r="AG175" s="516"/>
      <c r="AH175" s="516"/>
      <c r="AI175" s="516"/>
      <c r="AJ175" s="516"/>
      <c r="AK175" s="516"/>
      <c r="AL175" s="516"/>
      <c r="AM175" s="383"/>
      <c r="AO175">
        <f ca="1">IF($A175="S",IF(BM!$I175=0,0,CHOOSE(MATCH(RegimeExecucao,{"Global","Unitário"},0),ROUND(ROUND(BM.MEDAcumulado,15-13*BM!$A$9)/100*BM!$I175,15-13*ORÇAMENTO!$AF$11),ROUND(ROUND(BM.MEDAcumulado,15-13*BM!$A$9)*ROUND(BM!$H175,15-13*ORÇAMENTO!$AF$10),15-13*ORÇAMENTO!$AF$11))),IF($A175=0,0,ROUND(SomaAgrupBM,15-13*ORÇAMENTO!$AF$11)))</f>
        <v>0</v>
      </c>
    </row>
    <row r="176" spans="1:41" ht="25.5" x14ac:dyDescent="0.2">
      <c r="A176" t="str">
        <f ca="1">ORÇAMENTO!C176</f>
        <v>S</v>
      </c>
      <c r="B176">
        <f ca="1">ORÇAMENTO!D176</f>
        <v>0</v>
      </c>
      <c r="C176" s="116" t="str">
        <f ca="1">IF(OR($I176&gt;0,$A176=1,$A176=2,$A176=3,$A176=4),"F","")</f>
        <v>F</v>
      </c>
      <c r="D176" s="119" t="str">
        <f ca="1">ORÇAMENTO!O176</f>
        <v>1.6.16.20.</v>
      </c>
      <c r="E176" s="172" t="str">
        <f ca="1">ORÇAMENTO.Descricao</f>
        <v>(abra o arquivo 'Referência 03-2024.xlsm)</v>
      </c>
      <c r="F176" s="173" t="str">
        <f ca="1">IF(RegimeExecucao="Global","",ORÇAMENTO.Unidade)</f>
        <v/>
      </c>
      <c r="G176" s="124" t="str">
        <f ca="1">IF(RegimeExecucao="Global","",ORÇAMENTO!T176)</f>
        <v/>
      </c>
      <c r="H176" s="124" t="str">
        <f ca="1">IF(RegimeExecucao="Global","",ORÇAMENTO!W176)</f>
        <v/>
      </c>
      <c r="I176" s="127">
        <f ca="1">ORÇAMENTO!X176</f>
        <v>426.6</v>
      </c>
      <c r="J176" s="378">
        <f ca="1">IF($A176="S",IF(CAIXA.Modo,BM.AFAnterior,BM.MEDAnterior),IF(AND(RegimeExecucao="Global",$I176&gt;0,COUNTIF($AB$13:$AM$13,BM.medicao-1)&gt;0),M176/$I176*100,0))</f>
        <v>0</v>
      </c>
      <c r="K176" s="124">
        <f ca="1">L176-J176</f>
        <v>0</v>
      </c>
      <c r="L176" s="379">
        <f ca="1">IF($A176="S",IF(CAIXA.Modo,BM.AFAcumulado,BM.MEDAcumulado),IF(AND(RegimeExecucao="Global",$I176&gt;0,COUNTIF($AB$13:$AM$13,BM.medicao)&gt;0),O176/$I176*100,0))</f>
        <v>0</v>
      </c>
      <c r="M176" s="380">
        <f ca="1">IF($A176="S",VTOTALBM,IF($A176=0,0,ROUND(SomaAgrupBM,15-13*ORÇAMENTO!$AF$11)))</f>
        <v>0</v>
      </c>
      <c r="N176" s="381">
        <f ca="1">O176-M176</f>
        <v>0</v>
      </c>
      <c r="O176" s="127">
        <f ca="1">IF($A176="S",VTOTALBM,IF($A176=0,0,ROUND(SomaAgrupBM,15-13*ORÇAMENTO!$AF$11)))</f>
        <v>0</v>
      </c>
      <c r="Q176" s="382"/>
      <c r="R176" s="383"/>
      <c r="T176" s="119" t="str">
        <f ca="1">IF($W176&gt;0,$D176,"")</f>
        <v/>
      </c>
      <c r="U176" s="172" t="str">
        <f ca="1">IF($W176&gt;0,$E176,"")</f>
        <v/>
      </c>
      <c r="V176" s="173" t="str">
        <f ca="1">IF(AND($W176&gt;0,RegimeExecucao="Unitário"),$F176,"")</f>
        <v/>
      </c>
      <c r="W176" s="547">
        <f ca="1">IF($Y176&gt;0,CHOOSE(MATCH(RegimeExecucao,{"Unitário","Global"},0),IF($A176="S",$Y176/$X176,""),($Y176/$X176)*100),0)</f>
        <v>0</v>
      </c>
      <c r="X176" s="384" t="str">
        <f ca="1">IF($Y176&gt;0,CHOOSE(MATCH(RegimeExecucao,{"Unitário","Global"},0),IF($A176="S",ROUND($H176,ORÇAMENTO!$AF$10),""),ROUND($I176,ORÇAMENTO!$AF$11)),"")</f>
        <v/>
      </c>
      <c r="Y176" s="384">
        <f ca="1">AO176-O176</f>
        <v>0</v>
      </c>
      <c r="Z176" s="572"/>
      <c r="AB176" s="382"/>
      <c r="AC176" s="516"/>
      <c r="AD176" s="516"/>
      <c r="AE176" s="516"/>
      <c r="AF176" s="516"/>
      <c r="AG176" s="516"/>
      <c r="AH176" s="516"/>
      <c r="AI176" s="516"/>
      <c r="AJ176" s="516"/>
      <c r="AK176" s="516"/>
      <c r="AL176" s="516"/>
      <c r="AM176" s="383"/>
      <c r="AO176">
        <f ca="1">IF($A176="S",IF(BM!$I176=0,0,CHOOSE(MATCH(RegimeExecucao,{"Global","Unitário"},0),ROUND(ROUND(BM.MEDAcumulado,15-13*BM!$A$9)/100*BM!$I176,15-13*ORÇAMENTO!$AF$11),ROUND(ROUND(BM.MEDAcumulado,15-13*BM!$A$9)*ROUND(BM!$H176,15-13*ORÇAMENTO!$AF$10),15-13*ORÇAMENTO!$AF$11))),IF($A176=0,0,ROUND(SomaAgrupBM,15-13*ORÇAMENTO!$AF$11)))</f>
        <v>0</v>
      </c>
    </row>
    <row r="177" spans="1:41" x14ac:dyDescent="0.2">
      <c r="A177">
        <f ca="1">ORÇAMENTO!C177</f>
        <v>3</v>
      </c>
      <c r="B177">
        <f ca="1">ORÇAMENTO!D177</f>
        <v>11</v>
      </c>
      <c r="C177" s="116" t="str">
        <f t="shared" ca="1" si="15"/>
        <v>F</v>
      </c>
      <c r="D177" s="119" t="str">
        <f ca="1">ORÇAMENTO!O177</f>
        <v>1.6.17.</v>
      </c>
      <c r="E177" s="172" t="str">
        <f t="shared" si="16"/>
        <v>INSTALAÇÕES ELÉTRICAS</v>
      </c>
      <c r="F177" s="173" t="str">
        <f ca="1">IF(RegimeExecucao="Global","",ORÇAMENTO.Unidade)</f>
        <v/>
      </c>
      <c r="G177" s="124" t="str">
        <f ca="1">IF(RegimeExecucao="Global","",ORÇAMENTO!T177)</f>
        <v/>
      </c>
      <c r="H177" s="124" t="str">
        <f ca="1">IF(RegimeExecucao="Global","",ORÇAMENTO!W177)</f>
        <v/>
      </c>
      <c r="I177" s="127">
        <f ca="1">ORÇAMENTO!X177</f>
        <v>2001.59</v>
      </c>
      <c r="J177" s="378">
        <f ca="1">IF($A177="S",IF(CAIXA.Modo,BM.AFAnterior,BM.MEDAnterior),IF(AND(RegimeExecucao="Global",$I177&gt;0,COUNTIF($AB$13:$AM$13,BM.medicao-1)&gt;0),M177/$I177*100,0))</f>
        <v>0</v>
      </c>
      <c r="K177" s="124">
        <f t="shared" ca="1" si="17"/>
        <v>0</v>
      </c>
      <c r="L177" s="379">
        <f ca="1">IF($A177="S",IF(CAIXA.Modo,BM.AFAcumulado,BM.MEDAcumulado),IF(AND(RegimeExecucao="Global",$I177&gt;0,COUNTIF($AB$13:$AM$13,BM.medicao)&gt;0),O177/$I177*100,0))</f>
        <v>0</v>
      </c>
      <c r="M177" s="380">
        <f ca="1">IF($A177="S",VTOTALBM,IF($A177=0,0,ROUND(SomaAgrupBM,15-13*ORÇAMENTO!$AF$11)))</f>
        <v>0</v>
      </c>
      <c r="N177" s="381">
        <f t="shared" ca="1" si="18"/>
        <v>0</v>
      </c>
      <c r="O177" s="127">
        <f ca="1">IF($A177="S",VTOTALBM,IF($A177=0,0,ROUND(SomaAgrupBM,15-13*ORÇAMENTO!$AF$11)))</f>
        <v>0</v>
      </c>
      <c r="Q177" s="382"/>
      <c r="R177" s="383"/>
      <c r="T177" s="119" t="str">
        <f t="shared" ca="1" si="19"/>
        <v/>
      </c>
      <c r="U177" s="172" t="str">
        <f t="shared" ca="1" si="20"/>
        <v/>
      </c>
      <c r="V177" s="173" t="str">
        <f ca="1">IF(AND($W177&gt;0,RegimeExecucao="Unitário"),$F177,"")</f>
        <v/>
      </c>
      <c r="W177" s="547">
        <f ca="1">IF($Y177&gt;0,CHOOSE(MATCH(RegimeExecucao,{"Unitário","Global"},0),IF($A177="S",$Y177/$X177,""),($Y177/$X177)*100),0)</f>
        <v>0</v>
      </c>
      <c r="X177" s="384" t="str">
        <f ca="1">IF($Y177&gt;0,CHOOSE(MATCH(RegimeExecucao,{"Unitário","Global"},0),IF($A177="S",ROUND($H177,ORÇAMENTO!$AF$10),""),ROUND($I177,ORÇAMENTO!$AF$11)),"")</f>
        <v/>
      </c>
      <c r="Y177" s="384">
        <f t="shared" ca="1" si="21"/>
        <v>0</v>
      </c>
      <c r="Z177" s="572"/>
      <c r="AB177" s="382"/>
      <c r="AC177" s="516"/>
      <c r="AD177" s="516"/>
      <c r="AE177" s="516"/>
      <c r="AF177" s="516"/>
      <c r="AG177" s="516"/>
      <c r="AH177" s="516"/>
      <c r="AI177" s="516"/>
      <c r="AJ177" s="516"/>
      <c r="AK177" s="516"/>
      <c r="AL177" s="516"/>
      <c r="AM177" s="383"/>
      <c r="AO177">
        <f ca="1">IF($A177="S",IF(BM!$I177=0,0,CHOOSE(MATCH(RegimeExecucao,{"Global","Unitário"},0),ROUND(ROUND(BM.MEDAcumulado,15-13*BM!$A$9)/100*BM!$I177,15-13*ORÇAMENTO!$AF$11),ROUND(ROUND(BM.MEDAcumulado,15-13*BM!$A$9)*ROUND(BM!$H177,15-13*ORÇAMENTO!$AF$10),15-13*ORÇAMENTO!$AF$11))),IF($A177=0,0,ROUND(SomaAgrupBM,15-13*ORÇAMENTO!$AF$11)))</f>
        <v>0</v>
      </c>
    </row>
    <row r="178" spans="1:41" ht="38.25" x14ac:dyDescent="0.2">
      <c r="A178" t="str">
        <f ca="1">ORÇAMENTO!C178</f>
        <v>S</v>
      </c>
      <c r="B178">
        <f ca="1">ORÇAMENTO!D178</f>
        <v>0</v>
      </c>
      <c r="C178" s="116" t="str">
        <f t="shared" ca="1" si="15"/>
        <v>F</v>
      </c>
      <c r="D178" s="119" t="str">
        <f ca="1">ORÇAMENTO!O178</f>
        <v>1.6.17.1.</v>
      </c>
      <c r="E178" s="172" t="str">
        <f t="shared" ca="1" si="16"/>
        <v>(abra o arquivo 'Referência 03-2024.xlsm)</v>
      </c>
      <c r="F178" s="173" t="str">
        <f ca="1">IF(RegimeExecucao="Global","",ORÇAMENTO.Unidade)</f>
        <v/>
      </c>
      <c r="G178" s="124" t="str">
        <f ca="1">IF(RegimeExecucao="Global","",ORÇAMENTO!T178)</f>
        <v/>
      </c>
      <c r="H178" s="124" t="str">
        <f ca="1">IF(RegimeExecucao="Global","",ORÇAMENTO!W178)</f>
        <v/>
      </c>
      <c r="I178" s="127">
        <f ca="1">ORÇAMENTO!X178</f>
        <v>137.63999999999999</v>
      </c>
      <c r="J178" s="378">
        <f ca="1">IF($A178="S",IF(CAIXA.Modo,BM.AFAnterior,BM.MEDAnterior),IF(AND(RegimeExecucao="Global",$I178&gt;0,COUNTIF($AB$13:$AM$13,BM.medicao-1)&gt;0),M178/$I178*100,0))</f>
        <v>0</v>
      </c>
      <c r="K178" s="124">
        <f t="shared" ca="1" si="17"/>
        <v>0</v>
      </c>
      <c r="L178" s="379">
        <f ca="1">IF($A178="S",IF(CAIXA.Modo,BM.AFAcumulado,BM.MEDAcumulado),IF(AND(RegimeExecucao="Global",$I178&gt;0,COUNTIF($AB$13:$AM$13,BM.medicao)&gt;0),O178/$I178*100,0))</f>
        <v>0</v>
      </c>
      <c r="M178" s="380">
        <f ca="1">IF($A178="S",VTOTALBM,IF($A178=0,0,ROUND(SomaAgrupBM,15-13*ORÇAMENTO!$AF$11)))</f>
        <v>0</v>
      </c>
      <c r="N178" s="381">
        <f t="shared" ca="1" si="18"/>
        <v>0</v>
      </c>
      <c r="O178" s="127">
        <f ca="1">IF($A178="S",VTOTALBM,IF($A178=0,0,ROUND(SomaAgrupBM,15-13*ORÇAMENTO!$AF$11)))</f>
        <v>0</v>
      </c>
      <c r="Q178" s="382"/>
      <c r="R178" s="383"/>
      <c r="T178" s="119" t="str">
        <f t="shared" ca="1" si="19"/>
        <v/>
      </c>
      <c r="U178" s="172" t="str">
        <f t="shared" ca="1" si="20"/>
        <v/>
      </c>
      <c r="V178" s="173" t="str">
        <f ca="1">IF(AND($W178&gt;0,RegimeExecucao="Unitário"),$F178,"")</f>
        <v/>
      </c>
      <c r="W178" s="547">
        <f ca="1">IF($Y178&gt;0,CHOOSE(MATCH(RegimeExecucao,{"Unitário","Global"},0),IF($A178="S",$Y178/$X178,""),($Y178/$X178)*100),0)</f>
        <v>0</v>
      </c>
      <c r="X178" s="384" t="str">
        <f ca="1">IF($Y178&gt;0,CHOOSE(MATCH(RegimeExecucao,{"Unitário","Global"},0),IF($A178="S",ROUND($H178,ORÇAMENTO!$AF$10),""),ROUND($I178,ORÇAMENTO!$AF$11)),"")</f>
        <v/>
      </c>
      <c r="Y178" s="384">
        <f t="shared" ca="1" si="21"/>
        <v>0</v>
      </c>
      <c r="Z178" s="572"/>
      <c r="AB178" s="382"/>
      <c r="AC178" s="516"/>
      <c r="AD178" s="516"/>
      <c r="AE178" s="516"/>
      <c r="AF178" s="516"/>
      <c r="AG178" s="516"/>
      <c r="AH178" s="516"/>
      <c r="AI178" s="516"/>
      <c r="AJ178" s="516"/>
      <c r="AK178" s="516"/>
      <c r="AL178" s="516"/>
      <c r="AM178" s="383"/>
      <c r="AO178">
        <f ca="1">IF($A178="S",IF(BM!$I178=0,0,CHOOSE(MATCH(RegimeExecucao,{"Global","Unitário"},0),ROUND(ROUND(BM.MEDAcumulado,15-13*BM!$A$9)/100*BM!$I178,15-13*ORÇAMENTO!$AF$11),ROUND(ROUND(BM.MEDAcumulado,15-13*BM!$A$9)*ROUND(BM!$H178,15-13*ORÇAMENTO!$AF$10),15-13*ORÇAMENTO!$AF$11))),IF($A178=0,0,ROUND(SomaAgrupBM,15-13*ORÇAMENTO!$AF$11)))</f>
        <v>0</v>
      </c>
    </row>
    <row r="179" spans="1:41" ht="25.5" x14ac:dyDescent="0.2">
      <c r="A179" t="str">
        <f ca="1">ORÇAMENTO!C179</f>
        <v>S</v>
      </c>
      <c r="B179">
        <f ca="1">ORÇAMENTO!D179</f>
        <v>0</v>
      </c>
      <c r="C179" s="116" t="str">
        <f t="shared" ca="1" si="15"/>
        <v>F</v>
      </c>
      <c r="D179" s="119" t="str">
        <f ca="1">ORÇAMENTO!O179</f>
        <v>1.6.17.2.</v>
      </c>
      <c r="E179" s="172" t="str">
        <f t="shared" ca="1" si="16"/>
        <v>(abra o arquivo 'Referência 03-2024.xlsm)</v>
      </c>
      <c r="F179" s="173" t="str">
        <f ca="1">IF(RegimeExecucao="Global","",ORÇAMENTO.Unidade)</f>
        <v/>
      </c>
      <c r="G179" s="124" t="str">
        <f ca="1">IF(RegimeExecucao="Global","",ORÇAMENTO!T179)</f>
        <v/>
      </c>
      <c r="H179" s="124" t="str">
        <f ca="1">IF(RegimeExecucao="Global","",ORÇAMENTO!W179)</f>
        <v/>
      </c>
      <c r="I179" s="127">
        <f ca="1">ORÇAMENTO!X179</f>
        <v>54.84</v>
      </c>
      <c r="J179" s="378">
        <f ca="1">IF($A179="S",IF(CAIXA.Modo,BM.AFAnterior,BM.MEDAnterior),IF(AND(RegimeExecucao="Global",$I179&gt;0,COUNTIF($AB$13:$AM$13,BM.medicao-1)&gt;0),M179/$I179*100,0))</f>
        <v>0</v>
      </c>
      <c r="K179" s="124">
        <f t="shared" ca="1" si="17"/>
        <v>0</v>
      </c>
      <c r="L179" s="379">
        <f ca="1">IF($A179="S",IF(CAIXA.Modo,BM.AFAcumulado,BM.MEDAcumulado),IF(AND(RegimeExecucao="Global",$I179&gt;0,COUNTIF($AB$13:$AM$13,BM.medicao)&gt;0),O179/$I179*100,0))</f>
        <v>0</v>
      </c>
      <c r="M179" s="380">
        <f ca="1">IF($A179="S",VTOTALBM,IF($A179=0,0,ROUND(SomaAgrupBM,15-13*ORÇAMENTO!$AF$11)))</f>
        <v>0</v>
      </c>
      <c r="N179" s="381">
        <f t="shared" ca="1" si="18"/>
        <v>0</v>
      </c>
      <c r="O179" s="127">
        <f ca="1">IF($A179="S",VTOTALBM,IF($A179=0,0,ROUND(SomaAgrupBM,15-13*ORÇAMENTO!$AF$11)))</f>
        <v>0</v>
      </c>
      <c r="Q179" s="382"/>
      <c r="R179" s="383"/>
      <c r="T179" s="119" t="str">
        <f t="shared" ca="1" si="19"/>
        <v/>
      </c>
      <c r="U179" s="172" t="str">
        <f t="shared" ca="1" si="20"/>
        <v/>
      </c>
      <c r="V179" s="173" t="str">
        <f ca="1">IF(AND($W179&gt;0,RegimeExecucao="Unitário"),$F179,"")</f>
        <v/>
      </c>
      <c r="W179" s="547">
        <f ca="1">IF($Y179&gt;0,CHOOSE(MATCH(RegimeExecucao,{"Unitário","Global"},0),IF($A179="S",$Y179/$X179,""),($Y179/$X179)*100),0)</f>
        <v>0</v>
      </c>
      <c r="X179" s="384" t="str">
        <f ca="1">IF($Y179&gt;0,CHOOSE(MATCH(RegimeExecucao,{"Unitário","Global"},0),IF($A179="S",ROUND($H179,ORÇAMENTO!$AF$10),""),ROUND($I179,ORÇAMENTO!$AF$11)),"")</f>
        <v/>
      </c>
      <c r="Y179" s="384">
        <f t="shared" ca="1" si="21"/>
        <v>0</v>
      </c>
      <c r="Z179" s="572"/>
      <c r="AB179" s="382"/>
      <c r="AC179" s="516"/>
      <c r="AD179" s="516"/>
      <c r="AE179" s="516"/>
      <c r="AF179" s="516"/>
      <c r="AG179" s="516"/>
      <c r="AH179" s="516"/>
      <c r="AI179" s="516"/>
      <c r="AJ179" s="516"/>
      <c r="AK179" s="516"/>
      <c r="AL179" s="516"/>
      <c r="AM179" s="383"/>
      <c r="AO179">
        <f ca="1">IF($A179="S",IF(BM!$I179=0,0,CHOOSE(MATCH(RegimeExecucao,{"Global","Unitário"},0),ROUND(ROUND(BM.MEDAcumulado,15-13*BM!$A$9)/100*BM!$I179,15-13*ORÇAMENTO!$AF$11),ROUND(ROUND(BM.MEDAcumulado,15-13*BM!$A$9)*ROUND(BM!$H179,15-13*ORÇAMENTO!$AF$10),15-13*ORÇAMENTO!$AF$11))),IF($A179=0,0,ROUND(SomaAgrupBM,15-13*ORÇAMENTO!$AF$11)))</f>
        <v>0</v>
      </c>
    </row>
    <row r="180" spans="1:41" ht="38.25" x14ac:dyDescent="0.2">
      <c r="A180" t="str">
        <f ca="1">ORÇAMENTO!C180</f>
        <v>S</v>
      </c>
      <c r="B180">
        <f ca="1">ORÇAMENTO!D180</f>
        <v>0</v>
      </c>
      <c r="C180" s="116" t="str">
        <f t="shared" ca="1" si="15"/>
        <v>F</v>
      </c>
      <c r="D180" s="119" t="str">
        <f ca="1">ORÇAMENTO!O180</f>
        <v>1.6.17.3.</v>
      </c>
      <c r="E180" s="172" t="str">
        <f t="shared" ca="1" si="16"/>
        <v>(abra o arquivo 'Referência 03-2024.xlsm)</v>
      </c>
      <c r="F180" s="173" t="str">
        <f ca="1">IF(RegimeExecucao="Global","",ORÇAMENTO.Unidade)</f>
        <v/>
      </c>
      <c r="G180" s="124" t="str">
        <f ca="1">IF(RegimeExecucao="Global","",ORÇAMENTO!T180)</f>
        <v/>
      </c>
      <c r="H180" s="124" t="str">
        <f ca="1">IF(RegimeExecucao="Global","",ORÇAMENTO!W180)</f>
        <v/>
      </c>
      <c r="I180" s="127">
        <f ca="1">ORÇAMENTO!X180</f>
        <v>255</v>
      </c>
      <c r="J180" s="378">
        <f ca="1">IF($A180="S",IF(CAIXA.Modo,BM.AFAnterior,BM.MEDAnterior),IF(AND(RegimeExecucao="Global",$I180&gt;0,COUNTIF($AB$13:$AM$13,BM.medicao-1)&gt;0),M180/$I180*100,0))</f>
        <v>0</v>
      </c>
      <c r="K180" s="124">
        <f t="shared" ca="1" si="17"/>
        <v>0</v>
      </c>
      <c r="L180" s="379">
        <f ca="1">IF($A180="S",IF(CAIXA.Modo,BM.AFAcumulado,BM.MEDAcumulado),IF(AND(RegimeExecucao="Global",$I180&gt;0,COUNTIF($AB$13:$AM$13,BM.medicao)&gt;0),O180/$I180*100,0))</f>
        <v>0</v>
      </c>
      <c r="M180" s="380">
        <f ca="1">IF($A180="S",VTOTALBM,IF($A180=0,0,ROUND(SomaAgrupBM,15-13*ORÇAMENTO!$AF$11)))</f>
        <v>0</v>
      </c>
      <c r="N180" s="381">
        <f t="shared" ca="1" si="18"/>
        <v>0</v>
      </c>
      <c r="O180" s="127">
        <f ca="1">IF($A180="S",VTOTALBM,IF($A180=0,0,ROUND(SomaAgrupBM,15-13*ORÇAMENTO!$AF$11)))</f>
        <v>0</v>
      </c>
      <c r="Q180" s="382"/>
      <c r="R180" s="383"/>
      <c r="T180" s="119" t="str">
        <f t="shared" ca="1" si="19"/>
        <v/>
      </c>
      <c r="U180" s="172" t="str">
        <f t="shared" ca="1" si="20"/>
        <v/>
      </c>
      <c r="V180" s="173" t="str">
        <f ca="1">IF(AND($W180&gt;0,RegimeExecucao="Unitário"),$F180,"")</f>
        <v/>
      </c>
      <c r="W180" s="547">
        <f ca="1">IF($Y180&gt;0,CHOOSE(MATCH(RegimeExecucao,{"Unitário","Global"},0),IF($A180="S",$Y180/$X180,""),($Y180/$X180)*100),0)</f>
        <v>0</v>
      </c>
      <c r="X180" s="384" t="str">
        <f ca="1">IF($Y180&gt;0,CHOOSE(MATCH(RegimeExecucao,{"Unitário","Global"},0),IF($A180="S",ROUND($H180,ORÇAMENTO!$AF$10),""),ROUND($I180,ORÇAMENTO!$AF$11)),"")</f>
        <v/>
      </c>
      <c r="Y180" s="384">
        <f t="shared" ca="1" si="21"/>
        <v>0</v>
      </c>
      <c r="Z180" s="572"/>
      <c r="AB180" s="382"/>
      <c r="AC180" s="516"/>
      <c r="AD180" s="516"/>
      <c r="AE180" s="516"/>
      <c r="AF180" s="516"/>
      <c r="AG180" s="516"/>
      <c r="AH180" s="516"/>
      <c r="AI180" s="516"/>
      <c r="AJ180" s="516"/>
      <c r="AK180" s="516"/>
      <c r="AL180" s="516"/>
      <c r="AM180" s="383"/>
      <c r="AO180">
        <f ca="1">IF($A180="S",IF(BM!$I180=0,0,CHOOSE(MATCH(RegimeExecucao,{"Global","Unitário"},0),ROUND(ROUND(BM.MEDAcumulado,15-13*BM!$A$9)/100*BM!$I180,15-13*ORÇAMENTO!$AF$11),ROUND(ROUND(BM.MEDAcumulado,15-13*BM!$A$9)*ROUND(BM!$H180,15-13*ORÇAMENTO!$AF$10),15-13*ORÇAMENTO!$AF$11))),IF($A180=0,0,ROUND(SomaAgrupBM,15-13*ORÇAMENTO!$AF$11)))</f>
        <v>0</v>
      </c>
    </row>
    <row r="181" spans="1:41" ht="25.5" x14ac:dyDescent="0.2">
      <c r="A181" t="str">
        <f ca="1">ORÇAMENTO!C181</f>
        <v>S</v>
      </c>
      <c r="B181">
        <f ca="1">ORÇAMENTO!D181</f>
        <v>0</v>
      </c>
      <c r="C181" s="116" t="str">
        <f t="shared" ca="1" si="15"/>
        <v>F</v>
      </c>
      <c r="D181" s="119" t="str">
        <f ca="1">ORÇAMENTO!O181</f>
        <v>1.6.17.4.</v>
      </c>
      <c r="E181" s="172" t="str">
        <f t="shared" ca="1" si="16"/>
        <v>(abra o arquivo 'Referência 03-2024.xlsm)</v>
      </c>
      <c r="F181" s="173" t="str">
        <f ca="1">IF(RegimeExecucao="Global","",ORÇAMENTO.Unidade)</f>
        <v/>
      </c>
      <c r="G181" s="124" t="str">
        <f ca="1">IF(RegimeExecucao="Global","",ORÇAMENTO!T181)</f>
        <v/>
      </c>
      <c r="H181" s="124" t="str">
        <f ca="1">IF(RegimeExecucao="Global","",ORÇAMENTO!W181)</f>
        <v/>
      </c>
      <c r="I181" s="127">
        <f ca="1">ORÇAMENTO!X181</f>
        <v>114.78</v>
      </c>
      <c r="J181" s="378">
        <f ca="1">IF($A181="S",IF(CAIXA.Modo,BM.AFAnterior,BM.MEDAnterior),IF(AND(RegimeExecucao="Global",$I181&gt;0,COUNTIF($AB$13:$AM$13,BM.medicao-1)&gt;0),M181/$I181*100,0))</f>
        <v>0</v>
      </c>
      <c r="K181" s="124">
        <f t="shared" ca="1" si="17"/>
        <v>0</v>
      </c>
      <c r="L181" s="379">
        <f ca="1">IF($A181="S",IF(CAIXA.Modo,BM.AFAcumulado,BM.MEDAcumulado),IF(AND(RegimeExecucao="Global",$I181&gt;0,COUNTIF($AB$13:$AM$13,BM.medicao)&gt;0),O181/$I181*100,0))</f>
        <v>0</v>
      </c>
      <c r="M181" s="380">
        <f ca="1">IF($A181="S",VTOTALBM,IF($A181=0,0,ROUND(SomaAgrupBM,15-13*ORÇAMENTO!$AF$11)))</f>
        <v>0</v>
      </c>
      <c r="N181" s="381">
        <f t="shared" ca="1" si="18"/>
        <v>0</v>
      </c>
      <c r="O181" s="127">
        <f ca="1">IF($A181="S",VTOTALBM,IF($A181=0,0,ROUND(SomaAgrupBM,15-13*ORÇAMENTO!$AF$11)))</f>
        <v>0</v>
      </c>
      <c r="Q181" s="382"/>
      <c r="R181" s="383"/>
      <c r="T181" s="119" t="str">
        <f t="shared" ca="1" si="19"/>
        <v/>
      </c>
      <c r="U181" s="172" t="str">
        <f t="shared" ca="1" si="20"/>
        <v/>
      </c>
      <c r="V181" s="173" t="str">
        <f ca="1">IF(AND($W181&gt;0,RegimeExecucao="Unitário"),$F181,"")</f>
        <v/>
      </c>
      <c r="W181" s="547">
        <f ca="1">IF($Y181&gt;0,CHOOSE(MATCH(RegimeExecucao,{"Unitário","Global"},0),IF($A181="S",$Y181/$X181,""),($Y181/$X181)*100),0)</f>
        <v>0</v>
      </c>
      <c r="X181" s="384" t="str">
        <f ca="1">IF($Y181&gt;0,CHOOSE(MATCH(RegimeExecucao,{"Unitário","Global"},0),IF($A181="S",ROUND($H181,ORÇAMENTO!$AF$10),""),ROUND($I181,ORÇAMENTO!$AF$11)),"")</f>
        <v/>
      </c>
      <c r="Y181" s="384">
        <f t="shared" ca="1" si="21"/>
        <v>0</v>
      </c>
      <c r="Z181" s="572"/>
      <c r="AB181" s="382"/>
      <c r="AC181" s="516"/>
      <c r="AD181" s="516"/>
      <c r="AE181" s="516"/>
      <c r="AF181" s="516"/>
      <c r="AG181" s="516"/>
      <c r="AH181" s="516"/>
      <c r="AI181" s="516"/>
      <c r="AJ181" s="516"/>
      <c r="AK181" s="516"/>
      <c r="AL181" s="516"/>
      <c r="AM181" s="383"/>
      <c r="AO181">
        <f ca="1">IF($A181="S",IF(BM!$I181=0,0,CHOOSE(MATCH(RegimeExecucao,{"Global","Unitário"},0),ROUND(ROUND(BM.MEDAcumulado,15-13*BM!$A$9)/100*BM!$I181,15-13*ORÇAMENTO!$AF$11),ROUND(ROUND(BM.MEDAcumulado,15-13*BM!$A$9)*ROUND(BM!$H181,15-13*ORÇAMENTO!$AF$10),15-13*ORÇAMENTO!$AF$11))),IF($A181=0,0,ROUND(SomaAgrupBM,15-13*ORÇAMENTO!$AF$11)))</f>
        <v>0</v>
      </c>
    </row>
    <row r="182" spans="1:41" ht="25.5" x14ac:dyDescent="0.2">
      <c r="A182" t="str">
        <f ca="1">ORÇAMENTO!C182</f>
        <v>S</v>
      </c>
      <c r="B182">
        <f ca="1">ORÇAMENTO!D182</f>
        <v>0</v>
      </c>
      <c r="C182" s="116" t="str">
        <f t="shared" ca="1" si="15"/>
        <v>F</v>
      </c>
      <c r="D182" s="119" t="str">
        <f ca="1">ORÇAMENTO!O182</f>
        <v>1.6.17.5.</v>
      </c>
      <c r="E182" s="172" t="str">
        <f t="shared" ca="1" si="16"/>
        <v>(abra o arquivo 'Referência 03-2024.xlsm)</v>
      </c>
      <c r="F182" s="173" t="str">
        <f ca="1">IF(RegimeExecucao="Global","",ORÇAMENTO.Unidade)</f>
        <v/>
      </c>
      <c r="G182" s="124" t="str">
        <f ca="1">IF(RegimeExecucao="Global","",ORÇAMENTO!T182)</f>
        <v/>
      </c>
      <c r="H182" s="124" t="str">
        <f ca="1">IF(RegimeExecucao="Global","",ORÇAMENTO!W182)</f>
        <v/>
      </c>
      <c r="I182" s="127">
        <f ca="1">ORÇAMENTO!X182</f>
        <v>91.28</v>
      </c>
      <c r="J182" s="378">
        <f ca="1">IF($A182="S",IF(CAIXA.Modo,BM.AFAnterior,BM.MEDAnterior),IF(AND(RegimeExecucao="Global",$I182&gt;0,COUNTIF($AB$13:$AM$13,BM.medicao-1)&gt;0),M182/$I182*100,0))</f>
        <v>0</v>
      </c>
      <c r="K182" s="124">
        <f t="shared" ca="1" si="17"/>
        <v>0</v>
      </c>
      <c r="L182" s="379">
        <f ca="1">IF($A182="S",IF(CAIXA.Modo,BM.AFAcumulado,BM.MEDAcumulado),IF(AND(RegimeExecucao="Global",$I182&gt;0,COUNTIF($AB$13:$AM$13,BM.medicao)&gt;0),O182/$I182*100,0))</f>
        <v>0</v>
      </c>
      <c r="M182" s="380">
        <f ca="1">IF($A182="S",VTOTALBM,IF($A182=0,0,ROUND(SomaAgrupBM,15-13*ORÇAMENTO!$AF$11)))</f>
        <v>0</v>
      </c>
      <c r="N182" s="381">
        <f t="shared" ca="1" si="18"/>
        <v>0</v>
      </c>
      <c r="O182" s="127">
        <f ca="1">IF($A182="S",VTOTALBM,IF($A182=0,0,ROUND(SomaAgrupBM,15-13*ORÇAMENTO!$AF$11)))</f>
        <v>0</v>
      </c>
      <c r="Q182" s="382"/>
      <c r="R182" s="383"/>
      <c r="T182" s="119" t="str">
        <f t="shared" ca="1" si="19"/>
        <v/>
      </c>
      <c r="U182" s="172" t="str">
        <f t="shared" ca="1" si="20"/>
        <v/>
      </c>
      <c r="V182" s="173" t="str">
        <f ca="1">IF(AND($W182&gt;0,RegimeExecucao="Unitário"),$F182,"")</f>
        <v/>
      </c>
      <c r="W182" s="547">
        <f ca="1">IF($Y182&gt;0,CHOOSE(MATCH(RegimeExecucao,{"Unitário","Global"},0),IF($A182="S",$Y182/$X182,""),($Y182/$X182)*100),0)</f>
        <v>0</v>
      </c>
      <c r="X182" s="384" t="str">
        <f ca="1">IF($Y182&gt;0,CHOOSE(MATCH(RegimeExecucao,{"Unitário","Global"},0),IF($A182="S",ROUND($H182,ORÇAMENTO!$AF$10),""),ROUND($I182,ORÇAMENTO!$AF$11)),"")</f>
        <v/>
      </c>
      <c r="Y182" s="384">
        <f t="shared" ca="1" si="21"/>
        <v>0</v>
      </c>
      <c r="Z182" s="572"/>
      <c r="AB182" s="382"/>
      <c r="AC182" s="516"/>
      <c r="AD182" s="516"/>
      <c r="AE182" s="516"/>
      <c r="AF182" s="516"/>
      <c r="AG182" s="516"/>
      <c r="AH182" s="516"/>
      <c r="AI182" s="516"/>
      <c r="AJ182" s="516"/>
      <c r="AK182" s="516"/>
      <c r="AL182" s="516"/>
      <c r="AM182" s="383"/>
      <c r="AO182">
        <f ca="1">IF($A182="S",IF(BM!$I182=0,0,CHOOSE(MATCH(RegimeExecucao,{"Global","Unitário"},0),ROUND(ROUND(BM.MEDAcumulado,15-13*BM!$A$9)/100*BM!$I182,15-13*ORÇAMENTO!$AF$11),ROUND(ROUND(BM.MEDAcumulado,15-13*BM!$A$9)*ROUND(BM!$H182,15-13*ORÇAMENTO!$AF$10),15-13*ORÇAMENTO!$AF$11))),IF($A182=0,0,ROUND(SomaAgrupBM,15-13*ORÇAMENTO!$AF$11)))</f>
        <v>0</v>
      </c>
    </row>
    <row r="183" spans="1:41" ht="25.5" x14ac:dyDescent="0.2">
      <c r="A183" t="str">
        <f ca="1">ORÇAMENTO!C183</f>
        <v>S</v>
      </c>
      <c r="B183">
        <f ca="1">ORÇAMENTO!D183</f>
        <v>0</v>
      </c>
      <c r="C183" s="116" t="str">
        <f t="shared" ca="1" si="15"/>
        <v>F</v>
      </c>
      <c r="D183" s="119" t="str">
        <f ca="1">ORÇAMENTO!O183</f>
        <v>1.6.17.6.</v>
      </c>
      <c r="E183" s="172" t="str">
        <f t="shared" ca="1" si="16"/>
        <v>(abra o arquivo 'Referência 03-2024.xlsm)</v>
      </c>
      <c r="F183" s="173" t="str">
        <f ca="1">IF(RegimeExecucao="Global","",ORÇAMENTO.Unidade)</f>
        <v/>
      </c>
      <c r="G183" s="124" t="str">
        <f ca="1">IF(RegimeExecucao="Global","",ORÇAMENTO!T183)</f>
        <v/>
      </c>
      <c r="H183" s="124" t="str">
        <f ca="1">IF(RegimeExecucao="Global","",ORÇAMENTO!W183)</f>
        <v/>
      </c>
      <c r="I183" s="127">
        <f ca="1">ORÇAMENTO!X183</f>
        <v>78.08</v>
      </c>
      <c r="J183" s="378">
        <f ca="1">IF($A183="S",IF(CAIXA.Modo,BM.AFAnterior,BM.MEDAnterior),IF(AND(RegimeExecucao="Global",$I183&gt;0,COUNTIF($AB$13:$AM$13,BM.medicao-1)&gt;0),M183/$I183*100,0))</f>
        <v>0</v>
      </c>
      <c r="K183" s="124">
        <f t="shared" ca="1" si="17"/>
        <v>0</v>
      </c>
      <c r="L183" s="379">
        <f ca="1">IF($A183="S",IF(CAIXA.Modo,BM.AFAcumulado,BM.MEDAcumulado),IF(AND(RegimeExecucao="Global",$I183&gt;0,COUNTIF($AB$13:$AM$13,BM.medicao)&gt;0),O183/$I183*100,0))</f>
        <v>0</v>
      </c>
      <c r="M183" s="380">
        <f ca="1">IF($A183="S",VTOTALBM,IF($A183=0,0,ROUND(SomaAgrupBM,15-13*ORÇAMENTO!$AF$11)))</f>
        <v>0</v>
      </c>
      <c r="N183" s="381">
        <f t="shared" ca="1" si="18"/>
        <v>0</v>
      </c>
      <c r="O183" s="127">
        <f ca="1">IF($A183="S",VTOTALBM,IF($A183=0,0,ROUND(SomaAgrupBM,15-13*ORÇAMENTO!$AF$11)))</f>
        <v>0</v>
      </c>
      <c r="Q183" s="382"/>
      <c r="R183" s="383"/>
      <c r="T183" s="119" t="str">
        <f t="shared" ca="1" si="19"/>
        <v/>
      </c>
      <c r="U183" s="172" t="str">
        <f t="shared" ca="1" si="20"/>
        <v/>
      </c>
      <c r="V183" s="173" t="str">
        <f ca="1">IF(AND($W183&gt;0,RegimeExecucao="Unitário"),$F183,"")</f>
        <v/>
      </c>
      <c r="W183" s="547">
        <f ca="1">IF($Y183&gt;0,CHOOSE(MATCH(RegimeExecucao,{"Unitário","Global"},0),IF($A183="S",$Y183/$X183,""),($Y183/$X183)*100),0)</f>
        <v>0</v>
      </c>
      <c r="X183" s="384" t="str">
        <f ca="1">IF($Y183&gt;0,CHOOSE(MATCH(RegimeExecucao,{"Unitário","Global"},0),IF($A183="S",ROUND($H183,ORÇAMENTO!$AF$10),""),ROUND($I183,ORÇAMENTO!$AF$11)),"")</f>
        <v/>
      </c>
      <c r="Y183" s="384">
        <f t="shared" ca="1" si="21"/>
        <v>0</v>
      </c>
      <c r="Z183" s="572"/>
      <c r="AB183" s="382"/>
      <c r="AC183" s="516"/>
      <c r="AD183" s="516"/>
      <c r="AE183" s="516"/>
      <c r="AF183" s="516"/>
      <c r="AG183" s="516"/>
      <c r="AH183" s="516"/>
      <c r="AI183" s="516"/>
      <c r="AJ183" s="516"/>
      <c r="AK183" s="516"/>
      <c r="AL183" s="516"/>
      <c r="AM183" s="383"/>
      <c r="AO183">
        <f ca="1">IF($A183="S",IF(BM!$I183=0,0,CHOOSE(MATCH(RegimeExecucao,{"Global","Unitário"},0),ROUND(ROUND(BM.MEDAcumulado,15-13*BM!$A$9)/100*BM!$I183,15-13*ORÇAMENTO!$AF$11),ROUND(ROUND(BM.MEDAcumulado,15-13*BM!$A$9)*ROUND(BM!$H183,15-13*ORÇAMENTO!$AF$10),15-13*ORÇAMENTO!$AF$11))),IF($A183=0,0,ROUND(SomaAgrupBM,15-13*ORÇAMENTO!$AF$11)))</f>
        <v>0</v>
      </c>
    </row>
    <row r="184" spans="1:41" ht="38.25" x14ac:dyDescent="0.2">
      <c r="A184" t="str">
        <f ca="1">ORÇAMENTO!C184</f>
        <v>S</v>
      </c>
      <c r="B184">
        <f ca="1">ORÇAMENTO!D184</f>
        <v>0</v>
      </c>
      <c r="C184" s="116" t="str">
        <f t="shared" ca="1" si="15"/>
        <v>F</v>
      </c>
      <c r="D184" s="119" t="str">
        <f ca="1">ORÇAMENTO!O184</f>
        <v>1.6.17.7.</v>
      </c>
      <c r="E184" s="172" t="str">
        <f t="shared" ca="1" si="16"/>
        <v>(abra o arquivo 'Referência 03-2024.xlsm)</v>
      </c>
      <c r="F184" s="173" t="str">
        <f ca="1">IF(RegimeExecucao="Global","",ORÇAMENTO.Unidade)</f>
        <v/>
      </c>
      <c r="G184" s="124" t="str">
        <f ca="1">IF(RegimeExecucao="Global","",ORÇAMENTO!T184)</f>
        <v/>
      </c>
      <c r="H184" s="124" t="str">
        <f ca="1">IF(RegimeExecucao="Global","",ORÇAMENTO!W184)</f>
        <v/>
      </c>
      <c r="I184" s="127">
        <f ca="1">ORÇAMENTO!X184</f>
        <v>445.5</v>
      </c>
      <c r="J184" s="378">
        <f ca="1">IF($A184="S",IF(CAIXA.Modo,BM.AFAnterior,BM.MEDAnterior),IF(AND(RegimeExecucao="Global",$I184&gt;0,COUNTIF($AB$13:$AM$13,BM.medicao-1)&gt;0),M184/$I184*100,0))</f>
        <v>0</v>
      </c>
      <c r="K184" s="124">
        <f t="shared" ca="1" si="17"/>
        <v>0</v>
      </c>
      <c r="L184" s="379">
        <f ca="1">IF($A184="S",IF(CAIXA.Modo,BM.AFAcumulado,BM.MEDAcumulado),IF(AND(RegimeExecucao="Global",$I184&gt;0,COUNTIF($AB$13:$AM$13,BM.medicao)&gt;0),O184/$I184*100,0))</f>
        <v>0</v>
      </c>
      <c r="M184" s="380">
        <f ca="1">IF($A184="S",VTOTALBM,IF($A184=0,0,ROUND(SomaAgrupBM,15-13*ORÇAMENTO!$AF$11)))</f>
        <v>0</v>
      </c>
      <c r="N184" s="381">
        <f t="shared" ca="1" si="18"/>
        <v>0</v>
      </c>
      <c r="O184" s="127">
        <f ca="1">IF($A184="S",VTOTALBM,IF($A184=0,0,ROUND(SomaAgrupBM,15-13*ORÇAMENTO!$AF$11)))</f>
        <v>0</v>
      </c>
      <c r="Q184" s="382"/>
      <c r="R184" s="383"/>
      <c r="T184" s="119" t="str">
        <f t="shared" ca="1" si="19"/>
        <v/>
      </c>
      <c r="U184" s="172" t="str">
        <f t="shared" ca="1" si="20"/>
        <v/>
      </c>
      <c r="V184" s="173" t="str">
        <f ca="1">IF(AND($W184&gt;0,RegimeExecucao="Unitário"),$F184,"")</f>
        <v/>
      </c>
      <c r="W184" s="547">
        <f ca="1">IF($Y184&gt;0,CHOOSE(MATCH(RegimeExecucao,{"Unitário","Global"},0),IF($A184="S",$Y184/$X184,""),($Y184/$X184)*100),0)</f>
        <v>0</v>
      </c>
      <c r="X184" s="384" t="str">
        <f ca="1">IF($Y184&gt;0,CHOOSE(MATCH(RegimeExecucao,{"Unitário","Global"},0),IF($A184="S",ROUND($H184,ORÇAMENTO!$AF$10),""),ROUND($I184,ORÇAMENTO!$AF$11)),"")</f>
        <v/>
      </c>
      <c r="Y184" s="384">
        <f t="shared" ca="1" si="21"/>
        <v>0</v>
      </c>
      <c r="Z184" s="572"/>
      <c r="AB184" s="382"/>
      <c r="AC184" s="516"/>
      <c r="AD184" s="516"/>
      <c r="AE184" s="516"/>
      <c r="AF184" s="516"/>
      <c r="AG184" s="516"/>
      <c r="AH184" s="516"/>
      <c r="AI184" s="516"/>
      <c r="AJ184" s="516"/>
      <c r="AK184" s="516"/>
      <c r="AL184" s="516"/>
      <c r="AM184" s="383"/>
      <c r="AO184">
        <f ca="1">IF($A184="S",IF(BM!$I184=0,0,CHOOSE(MATCH(RegimeExecucao,{"Global","Unitário"},0),ROUND(ROUND(BM.MEDAcumulado,15-13*BM!$A$9)/100*BM!$I184,15-13*ORÇAMENTO!$AF$11),ROUND(ROUND(BM.MEDAcumulado,15-13*BM!$A$9)*ROUND(BM!$H184,15-13*ORÇAMENTO!$AF$10),15-13*ORÇAMENTO!$AF$11))),IF($A184=0,0,ROUND(SomaAgrupBM,15-13*ORÇAMENTO!$AF$11)))</f>
        <v>0</v>
      </c>
    </row>
    <row r="185" spans="1:41" ht="38.25" x14ac:dyDescent="0.2">
      <c r="A185" t="str">
        <f ca="1">ORÇAMENTO!C185</f>
        <v>S</v>
      </c>
      <c r="B185">
        <f ca="1">ORÇAMENTO!D185</f>
        <v>0</v>
      </c>
      <c r="C185" s="116" t="str">
        <f t="shared" ca="1" si="15"/>
        <v>F</v>
      </c>
      <c r="D185" s="119" t="str">
        <f ca="1">ORÇAMENTO!O185</f>
        <v>1.6.17.8.</v>
      </c>
      <c r="E185" s="172" t="str">
        <f t="shared" ca="1" si="16"/>
        <v>(abra o arquivo 'Referência 03-2024.xlsm)</v>
      </c>
      <c r="F185" s="173" t="str">
        <f ca="1">IF(RegimeExecucao="Global","",ORÇAMENTO.Unidade)</f>
        <v/>
      </c>
      <c r="G185" s="124" t="str">
        <f ca="1">IF(RegimeExecucao="Global","",ORÇAMENTO!T185)</f>
        <v/>
      </c>
      <c r="H185" s="124" t="str">
        <f ca="1">IF(RegimeExecucao="Global","",ORÇAMENTO!W185)</f>
        <v/>
      </c>
      <c r="I185" s="127">
        <f ca="1">ORÇAMENTO!X185</f>
        <v>229.5</v>
      </c>
      <c r="J185" s="378">
        <f ca="1">IF($A185="S",IF(CAIXA.Modo,BM.AFAnterior,BM.MEDAnterior),IF(AND(RegimeExecucao="Global",$I185&gt;0,COUNTIF($AB$13:$AM$13,BM.medicao-1)&gt;0),M185/$I185*100,0))</f>
        <v>0</v>
      </c>
      <c r="K185" s="124">
        <f t="shared" ca="1" si="17"/>
        <v>0</v>
      </c>
      <c r="L185" s="379">
        <f ca="1">IF($A185="S",IF(CAIXA.Modo,BM.AFAcumulado,BM.MEDAcumulado),IF(AND(RegimeExecucao="Global",$I185&gt;0,COUNTIF($AB$13:$AM$13,BM.medicao)&gt;0),O185/$I185*100,0))</f>
        <v>0</v>
      </c>
      <c r="M185" s="380">
        <f ca="1">IF($A185="S",VTOTALBM,IF($A185=0,0,ROUND(SomaAgrupBM,15-13*ORÇAMENTO!$AF$11)))</f>
        <v>0</v>
      </c>
      <c r="N185" s="381">
        <f t="shared" ca="1" si="18"/>
        <v>0</v>
      </c>
      <c r="O185" s="127">
        <f ca="1">IF($A185="S",VTOTALBM,IF($A185=0,0,ROUND(SomaAgrupBM,15-13*ORÇAMENTO!$AF$11)))</f>
        <v>0</v>
      </c>
      <c r="Q185" s="382"/>
      <c r="R185" s="383"/>
      <c r="T185" s="119" t="str">
        <f t="shared" ca="1" si="19"/>
        <v/>
      </c>
      <c r="U185" s="172" t="str">
        <f t="shared" ca="1" si="20"/>
        <v/>
      </c>
      <c r="V185" s="173" t="str">
        <f ca="1">IF(AND($W185&gt;0,RegimeExecucao="Unitário"),$F185,"")</f>
        <v/>
      </c>
      <c r="W185" s="547">
        <f ca="1">IF($Y185&gt;0,CHOOSE(MATCH(RegimeExecucao,{"Unitário","Global"},0),IF($A185="S",$Y185/$X185,""),($Y185/$X185)*100),0)</f>
        <v>0</v>
      </c>
      <c r="X185" s="384" t="str">
        <f ca="1">IF($Y185&gt;0,CHOOSE(MATCH(RegimeExecucao,{"Unitário","Global"},0),IF($A185="S",ROUND($H185,ORÇAMENTO!$AF$10),""),ROUND($I185,ORÇAMENTO!$AF$11)),"")</f>
        <v/>
      </c>
      <c r="Y185" s="384">
        <f t="shared" ca="1" si="21"/>
        <v>0</v>
      </c>
      <c r="Z185" s="572"/>
      <c r="AB185" s="382"/>
      <c r="AC185" s="516"/>
      <c r="AD185" s="516"/>
      <c r="AE185" s="516"/>
      <c r="AF185" s="516"/>
      <c r="AG185" s="516"/>
      <c r="AH185" s="516"/>
      <c r="AI185" s="516"/>
      <c r="AJ185" s="516"/>
      <c r="AK185" s="516"/>
      <c r="AL185" s="516"/>
      <c r="AM185" s="383"/>
      <c r="AO185">
        <f ca="1">IF($A185="S",IF(BM!$I185=0,0,CHOOSE(MATCH(RegimeExecucao,{"Global","Unitário"},0),ROUND(ROUND(BM.MEDAcumulado,15-13*BM!$A$9)/100*BM!$I185,15-13*ORÇAMENTO!$AF$11),ROUND(ROUND(BM.MEDAcumulado,15-13*BM!$A$9)*ROUND(BM!$H185,15-13*ORÇAMENTO!$AF$10),15-13*ORÇAMENTO!$AF$11))),IF($A185=0,0,ROUND(SomaAgrupBM,15-13*ORÇAMENTO!$AF$11)))</f>
        <v>0</v>
      </c>
    </row>
    <row r="186" spans="1:41" ht="38.25" x14ac:dyDescent="0.2">
      <c r="A186" t="str">
        <f ca="1">ORÇAMENTO!C186</f>
        <v>S</v>
      </c>
      <c r="B186">
        <f ca="1">ORÇAMENTO!D186</f>
        <v>0</v>
      </c>
      <c r="C186" s="116" t="str">
        <f t="shared" ca="1" si="15"/>
        <v>F</v>
      </c>
      <c r="D186" s="119" t="str">
        <f ca="1">ORÇAMENTO!O186</f>
        <v>1.6.17.9.</v>
      </c>
      <c r="E186" s="172" t="str">
        <f t="shared" ca="1" si="16"/>
        <v>(abra o arquivo 'Referência 03-2024.xlsm)</v>
      </c>
      <c r="F186" s="173" t="str">
        <f ca="1">IF(RegimeExecucao="Global","",ORÇAMENTO.Unidade)</f>
        <v/>
      </c>
      <c r="G186" s="124" t="str">
        <f ca="1">IF(RegimeExecucao="Global","",ORÇAMENTO!T186)</f>
        <v/>
      </c>
      <c r="H186" s="124" t="str">
        <f ca="1">IF(RegimeExecucao="Global","",ORÇAMENTO!W186)</f>
        <v/>
      </c>
      <c r="I186" s="127">
        <f ca="1">ORÇAMENTO!X186</f>
        <v>505.56</v>
      </c>
      <c r="J186" s="378">
        <f ca="1">IF($A186="S",IF(CAIXA.Modo,BM.AFAnterior,BM.MEDAnterior),IF(AND(RegimeExecucao="Global",$I186&gt;0,COUNTIF($AB$13:$AM$13,BM.medicao-1)&gt;0),M186/$I186*100,0))</f>
        <v>0</v>
      </c>
      <c r="K186" s="124">
        <f t="shared" ca="1" si="17"/>
        <v>0</v>
      </c>
      <c r="L186" s="379">
        <f ca="1">IF($A186="S",IF(CAIXA.Modo,BM.AFAcumulado,BM.MEDAcumulado),IF(AND(RegimeExecucao="Global",$I186&gt;0,COUNTIF($AB$13:$AM$13,BM.medicao)&gt;0),O186/$I186*100,0))</f>
        <v>0</v>
      </c>
      <c r="M186" s="380">
        <f ca="1">IF($A186="S",VTOTALBM,IF($A186=0,0,ROUND(SomaAgrupBM,15-13*ORÇAMENTO!$AF$11)))</f>
        <v>0</v>
      </c>
      <c r="N186" s="381">
        <f t="shared" ca="1" si="18"/>
        <v>0</v>
      </c>
      <c r="O186" s="127">
        <f ca="1">IF($A186="S",VTOTALBM,IF($A186=0,0,ROUND(SomaAgrupBM,15-13*ORÇAMENTO!$AF$11)))</f>
        <v>0</v>
      </c>
      <c r="Q186" s="382"/>
      <c r="R186" s="383"/>
      <c r="T186" s="119" t="str">
        <f t="shared" ca="1" si="19"/>
        <v/>
      </c>
      <c r="U186" s="172" t="str">
        <f t="shared" ca="1" si="20"/>
        <v/>
      </c>
      <c r="V186" s="173" t="str">
        <f ca="1">IF(AND($W186&gt;0,RegimeExecucao="Unitário"),$F186,"")</f>
        <v/>
      </c>
      <c r="W186" s="547">
        <f ca="1">IF($Y186&gt;0,CHOOSE(MATCH(RegimeExecucao,{"Unitário","Global"},0),IF($A186="S",$Y186/$X186,""),($Y186/$X186)*100),0)</f>
        <v>0</v>
      </c>
      <c r="X186" s="384" t="str">
        <f ca="1">IF($Y186&gt;0,CHOOSE(MATCH(RegimeExecucao,{"Unitário","Global"},0),IF($A186="S",ROUND($H186,ORÇAMENTO!$AF$10),""),ROUND($I186,ORÇAMENTO!$AF$11)),"")</f>
        <v/>
      </c>
      <c r="Y186" s="384">
        <f t="shared" ca="1" si="21"/>
        <v>0</v>
      </c>
      <c r="Z186" s="572"/>
      <c r="AB186" s="382"/>
      <c r="AC186" s="516"/>
      <c r="AD186" s="516"/>
      <c r="AE186" s="516"/>
      <c r="AF186" s="516"/>
      <c r="AG186" s="516"/>
      <c r="AH186" s="516"/>
      <c r="AI186" s="516"/>
      <c r="AJ186" s="516"/>
      <c r="AK186" s="516"/>
      <c r="AL186" s="516"/>
      <c r="AM186" s="383"/>
      <c r="AO186">
        <f ca="1">IF($A186="S",IF(BM!$I186=0,0,CHOOSE(MATCH(RegimeExecucao,{"Global","Unitário"},0),ROUND(ROUND(BM.MEDAcumulado,15-13*BM!$A$9)/100*BM!$I186,15-13*ORÇAMENTO!$AF$11),ROUND(ROUND(BM.MEDAcumulado,15-13*BM!$A$9)*ROUND(BM!$H186,15-13*ORÇAMENTO!$AF$10),15-13*ORÇAMENTO!$AF$11))),IF($A186=0,0,ROUND(SomaAgrupBM,15-13*ORÇAMENTO!$AF$11)))</f>
        <v>0</v>
      </c>
    </row>
    <row r="187" spans="1:41" ht="25.5" x14ac:dyDescent="0.2">
      <c r="A187" t="str">
        <f ca="1">ORÇAMENTO!C187</f>
        <v>S</v>
      </c>
      <c r="B187">
        <f ca="1">ORÇAMENTO!D187</f>
        <v>0</v>
      </c>
      <c r="C187" s="116" t="str">
        <f t="shared" ca="1" si="15"/>
        <v>F</v>
      </c>
      <c r="D187" s="119" t="str">
        <f ca="1">ORÇAMENTO!O187</f>
        <v>1.6.17.10.</v>
      </c>
      <c r="E187" s="172" t="str">
        <f t="shared" ca="1" si="16"/>
        <v>(abra o arquivo 'Referência 03-2024.xlsm)</v>
      </c>
      <c r="F187" s="173" t="str">
        <f ca="1">IF(RegimeExecucao="Global","",ORÇAMENTO.Unidade)</f>
        <v/>
      </c>
      <c r="G187" s="124" t="str">
        <f ca="1">IF(RegimeExecucao="Global","",ORÇAMENTO!T187)</f>
        <v/>
      </c>
      <c r="H187" s="124" t="str">
        <f ca="1">IF(RegimeExecucao="Global","",ORÇAMENTO!W187)</f>
        <v/>
      </c>
      <c r="I187" s="127">
        <f ca="1">ORÇAMENTO!X187</f>
        <v>89.41</v>
      </c>
      <c r="J187" s="378">
        <f ca="1">IF($A187="S",IF(CAIXA.Modo,BM.AFAnterior,BM.MEDAnterior),IF(AND(RegimeExecucao="Global",$I187&gt;0,COUNTIF($AB$13:$AM$13,BM.medicao-1)&gt;0),M187/$I187*100,0))</f>
        <v>0</v>
      </c>
      <c r="K187" s="124">
        <f t="shared" ca="1" si="17"/>
        <v>0</v>
      </c>
      <c r="L187" s="379">
        <f ca="1">IF($A187="S",IF(CAIXA.Modo,BM.AFAcumulado,BM.MEDAcumulado),IF(AND(RegimeExecucao="Global",$I187&gt;0,COUNTIF($AB$13:$AM$13,BM.medicao)&gt;0),O187/$I187*100,0))</f>
        <v>0</v>
      </c>
      <c r="M187" s="380">
        <f ca="1">IF($A187="S",VTOTALBM,IF($A187=0,0,ROUND(SomaAgrupBM,15-13*ORÇAMENTO!$AF$11)))</f>
        <v>0</v>
      </c>
      <c r="N187" s="381">
        <f t="shared" ca="1" si="18"/>
        <v>0</v>
      </c>
      <c r="O187" s="127">
        <f ca="1">IF($A187="S",VTOTALBM,IF($A187=0,0,ROUND(SomaAgrupBM,15-13*ORÇAMENTO!$AF$11)))</f>
        <v>0</v>
      </c>
      <c r="Q187" s="382"/>
      <c r="R187" s="383"/>
      <c r="T187" s="119" t="str">
        <f t="shared" ca="1" si="19"/>
        <v/>
      </c>
      <c r="U187" s="172" t="str">
        <f t="shared" ca="1" si="20"/>
        <v/>
      </c>
      <c r="V187" s="173" t="str">
        <f ca="1">IF(AND($W187&gt;0,RegimeExecucao="Unitário"),$F187,"")</f>
        <v/>
      </c>
      <c r="W187" s="547">
        <f ca="1">IF($Y187&gt;0,CHOOSE(MATCH(RegimeExecucao,{"Unitário","Global"},0),IF($A187="S",$Y187/$X187,""),($Y187/$X187)*100),0)</f>
        <v>0</v>
      </c>
      <c r="X187" s="384" t="str">
        <f ca="1">IF($Y187&gt;0,CHOOSE(MATCH(RegimeExecucao,{"Unitário","Global"},0),IF($A187="S",ROUND($H187,ORÇAMENTO!$AF$10),""),ROUND($I187,ORÇAMENTO!$AF$11)),"")</f>
        <v/>
      </c>
      <c r="Y187" s="384">
        <f t="shared" ca="1" si="21"/>
        <v>0</v>
      </c>
      <c r="Z187" s="572"/>
      <c r="AB187" s="382"/>
      <c r="AC187" s="516"/>
      <c r="AD187" s="516"/>
      <c r="AE187" s="516"/>
      <c r="AF187" s="516"/>
      <c r="AG187" s="516"/>
      <c r="AH187" s="516"/>
      <c r="AI187" s="516"/>
      <c r="AJ187" s="516"/>
      <c r="AK187" s="516"/>
      <c r="AL187" s="516"/>
      <c r="AM187" s="383"/>
      <c r="AO187">
        <f ca="1">IF($A187="S",IF(BM!$I187=0,0,CHOOSE(MATCH(RegimeExecucao,{"Global","Unitário"},0),ROUND(ROUND(BM.MEDAcumulado,15-13*BM!$A$9)/100*BM!$I187,15-13*ORÇAMENTO!$AF$11),ROUND(ROUND(BM.MEDAcumulado,15-13*BM!$A$9)*ROUND(BM!$H187,15-13*ORÇAMENTO!$AF$10),15-13*ORÇAMENTO!$AF$11))),IF($A187=0,0,ROUND(SomaAgrupBM,15-13*ORÇAMENTO!$AF$11)))</f>
        <v>0</v>
      </c>
    </row>
    <row r="188" spans="1:41" x14ac:dyDescent="0.2">
      <c r="A188">
        <f ca="1">ORÇAMENTO!C188</f>
        <v>3</v>
      </c>
      <c r="B188">
        <f ca="1">ORÇAMENTO!D188</f>
        <v>4</v>
      </c>
      <c r="C188" s="116" t="str">
        <f t="shared" ca="1" si="15"/>
        <v>F</v>
      </c>
      <c r="D188" s="119" t="str">
        <f ca="1">ORÇAMENTO!O188</f>
        <v>1.6.18.</v>
      </c>
      <c r="E188" s="172" t="str">
        <f t="shared" si="16"/>
        <v>INSTALAÇÕES DE MONITORAMENTO</v>
      </c>
      <c r="F188" s="173" t="str">
        <f ca="1">IF(RegimeExecucao="Global","",ORÇAMENTO.Unidade)</f>
        <v/>
      </c>
      <c r="G188" s="124" t="str">
        <f ca="1">IF(RegimeExecucao="Global","",ORÇAMENTO!T188)</f>
        <v/>
      </c>
      <c r="H188" s="124" t="str">
        <f ca="1">IF(RegimeExecucao="Global","",ORÇAMENTO!W188)</f>
        <v/>
      </c>
      <c r="I188" s="127">
        <f ca="1">ORÇAMENTO!X188</f>
        <v>1274.93</v>
      </c>
      <c r="J188" s="378">
        <f ca="1">IF($A188="S",IF(CAIXA.Modo,BM.AFAnterior,BM.MEDAnterior),IF(AND(RegimeExecucao="Global",$I188&gt;0,COUNTIF($AB$13:$AM$13,BM.medicao-1)&gt;0),M188/$I188*100,0))</f>
        <v>0</v>
      </c>
      <c r="K188" s="124">
        <f t="shared" ca="1" si="17"/>
        <v>0</v>
      </c>
      <c r="L188" s="379">
        <f ca="1">IF($A188="S",IF(CAIXA.Modo,BM.AFAcumulado,BM.MEDAcumulado),IF(AND(RegimeExecucao="Global",$I188&gt;0,COUNTIF($AB$13:$AM$13,BM.medicao)&gt;0),O188/$I188*100,0))</f>
        <v>0</v>
      </c>
      <c r="M188" s="380">
        <f ca="1">IF($A188="S",VTOTALBM,IF($A188=0,0,ROUND(SomaAgrupBM,15-13*ORÇAMENTO!$AF$11)))</f>
        <v>0</v>
      </c>
      <c r="N188" s="381">
        <f t="shared" ca="1" si="18"/>
        <v>0</v>
      </c>
      <c r="O188" s="127">
        <f ca="1">IF($A188="S",VTOTALBM,IF($A188=0,0,ROUND(SomaAgrupBM,15-13*ORÇAMENTO!$AF$11)))</f>
        <v>0</v>
      </c>
      <c r="Q188" s="382"/>
      <c r="R188" s="383"/>
      <c r="T188" s="119" t="str">
        <f t="shared" ca="1" si="19"/>
        <v/>
      </c>
      <c r="U188" s="172" t="str">
        <f t="shared" ca="1" si="20"/>
        <v/>
      </c>
      <c r="V188" s="173" t="str">
        <f ca="1">IF(AND($W188&gt;0,RegimeExecucao="Unitário"),$F188,"")</f>
        <v/>
      </c>
      <c r="W188" s="547">
        <f ca="1">IF($Y188&gt;0,CHOOSE(MATCH(RegimeExecucao,{"Unitário","Global"},0),IF($A188="S",$Y188/$X188,""),($Y188/$X188)*100),0)</f>
        <v>0</v>
      </c>
      <c r="X188" s="384" t="str">
        <f ca="1">IF($Y188&gt;0,CHOOSE(MATCH(RegimeExecucao,{"Unitário","Global"},0),IF($A188="S",ROUND($H188,ORÇAMENTO!$AF$10),""),ROUND($I188,ORÇAMENTO!$AF$11)),"")</f>
        <v/>
      </c>
      <c r="Y188" s="384">
        <f t="shared" ca="1" si="21"/>
        <v>0</v>
      </c>
      <c r="Z188" s="572"/>
      <c r="AB188" s="382"/>
      <c r="AC188" s="516"/>
      <c r="AD188" s="516"/>
      <c r="AE188" s="516"/>
      <c r="AF188" s="516"/>
      <c r="AG188" s="516"/>
      <c r="AH188" s="516"/>
      <c r="AI188" s="516"/>
      <c r="AJ188" s="516"/>
      <c r="AK188" s="516"/>
      <c r="AL188" s="516"/>
      <c r="AM188" s="383"/>
      <c r="AO188">
        <f ca="1">IF($A188="S",IF(BM!$I188=0,0,CHOOSE(MATCH(RegimeExecucao,{"Global","Unitário"},0),ROUND(ROUND(BM.MEDAcumulado,15-13*BM!$A$9)/100*BM!$I188,15-13*ORÇAMENTO!$AF$11),ROUND(ROUND(BM.MEDAcumulado,15-13*BM!$A$9)*ROUND(BM!$H188,15-13*ORÇAMENTO!$AF$10),15-13*ORÇAMENTO!$AF$11))),IF($A188=0,0,ROUND(SomaAgrupBM,15-13*ORÇAMENTO!$AF$11)))</f>
        <v>0</v>
      </c>
    </row>
    <row r="189" spans="1:41" ht="25.5" x14ac:dyDescent="0.2">
      <c r="A189" t="str">
        <f ca="1">ORÇAMENTO!C189</f>
        <v>S</v>
      </c>
      <c r="B189">
        <f ca="1">ORÇAMENTO!D189</f>
        <v>0</v>
      </c>
      <c r="C189" s="116" t="str">
        <f t="shared" ca="1" si="15"/>
        <v>F</v>
      </c>
      <c r="D189" s="119" t="str">
        <f ca="1">ORÇAMENTO!O189</f>
        <v>1.6.18.1.</v>
      </c>
      <c r="E189" s="172" t="str">
        <f t="shared" ca="1" si="16"/>
        <v>(abra o arquivo 'Referência 03-2024.xlsm)</v>
      </c>
      <c r="F189" s="173" t="str">
        <f ca="1">IF(RegimeExecucao="Global","",ORÇAMENTO.Unidade)</f>
        <v/>
      </c>
      <c r="G189" s="124" t="str">
        <f ca="1">IF(RegimeExecucao="Global","",ORÇAMENTO!T189)</f>
        <v/>
      </c>
      <c r="H189" s="124" t="str">
        <f ca="1">IF(RegimeExecucao="Global","",ORÇAMENTO!W189)</f>
        <v/>
      </c>
      <c r="I189" s="127">
        <f ca="1">ORÇAMENTO!X189</f>
        <v>12.27</v>
      </c>
      <c r="J189" s="378">
        <f ca="1">IF($A189="S",IF(CAIXA.Modo,BM.AFAnterior,BM.MEDAnterior),IF(AND(RegimeExecucao="Global",$I189&gt;0,COUNTIF($AB$13:$AM$13,BM.medicao-1)&gt;0),M189/$I189*100,0))</f>
        <v>0</v>
      </c>
      <c r="K189" s="124">
        <f t="shared" ca="1" si="17"/>
        <v>0</v>
      </c>
      <c r="L189" s="379">
        <f ca="1">IF($A189="S",IF(CAIXA.Modo,BM.AFAcumulado,BM.MEDAcumulado),IF(AND(RegimeExecucao="Global",$I189&gt;0,COUNTIF($AB$13:$AM$13,BM.medicao)&gt;0),O189/$I189*100,0))</f>
        <v>0</v>
      </c>
      <c r="M189" s="380">
        <f ca="1">IF($A189="S",VTOTALBM,IF($A189=0,0,ROUND(SomaAgrupBM,15-13*ORÇAMENTO!$AF$11)))</f>
        <v>0</v>
      </c>
      <c r="N189" s="381">
        <f t="shared" ca="1" si="18"/>
        <v>0</v>
      </c>
      <c r="O189" s="127">
        <f ca="1">IF($A189="S",VTOTALBM,IF($A189=0,0,ROUND(SomaAgrupBM,15-13*ORÇAMENTO!$AF$11)))</f>
        <v>0</v>
      </c>
      <c r="Q189" s="382"/>
      <c r="R189" s="383"/>
      <c r="T189" s="119" t="str">
        <f t="shared" ca="1" si="19"/>
        <v/>
      </c>
      <c r="U189" s="172" t="str">
        <f t="shared" ca="1" si="20"/>
        <v/>
      </c>
      <c r="V189" s="173" t="str">
        <f ca="1">IF(AND($W189&gt;0,RegimeExecucao="Unitário"),$F189,"")</f>
        <v/>
      </c>
      <c r="W189" s="547">
        <f ca="1">IF($Y189&gt;0,CHOOSE(MATCH(RegimeExecucao,{"Unitário","Global"},0),IF($A189="S",$Y189/$X189,""),($Y189/$X189)*100),0)</f>
        <v>0</v>
      </c>
      <c r="X189" s="384" t="str">
        <f ca="1">IF($Y189&gt;0,CHOOSE(MATCH(RegimeExecucao,{"Unitário","Global"},0),IF($A189="S",ROUND($H189,ORÇAMENTO!$AF$10),""),ROUND($I189,ORÇAMENTO!$AF$11)),"")</f>
        <v/>
      </c>
      <c r="Y189" s="384">
        <f t="shared" ca="1" si="21"/>
        <v>0</v>
      </c>
      <c r="Z189" s="572"/>
      <c r="AB189" s="382"/>
      <c r="AC189" s="516"/>
      <c r="AD189" s="516"/>
      <c r="AE189" s="516"/>
      <c r="AF189" s="516"/>
      <c r="AG189" s="516"/>
      <c r="AH189" s="516"/>
      <c r="AI189" s="516"/>
      <c r="AJ189" s="516"/>
      <c r="AK189" s="516"/>
      <c r="AL189" s="516"/>
      <c r="AM189" s="383"/>
      <c r="AO189">
        <f ca="1">IF($A189="S",IF(BM!$I189=0,0,CHOOSE(MATCH(RegimeExecucao,{"Global","Unitário"},0),ROUND(ROUND(BM.MEDAcumulado,15-13*BM!$A$9)/100*BM!$I189,15-13*ORÇAMENTO!$AF$11),ROUND(ROUND(BM.MEDAcumulado,15-13*BM!$A$9)*ROUND(BM!$H189,15-13*ORÇAMENTO!$AF$10),15-13*ORÇAMENTO!$AF$11))),IF($A189=0,0,ROUND(SomaAgrupBM,15-13*ORÇAMENTO!$AF$11)))</f>
        <v>0</v>
      </c>
    </row>
    <row r="190" spans="1:41" ht="38.25" x14ac:dyDescent="0.2">
      <c r="A190" t="str">
        <f ca="1">ORÇAMENTO!C190</f>
        <v>S</v>
      </c>
      <c r="B190">
        <f ca="1">ORÇAMENTO!D190</f>
        <v>0</v>
      </c>
      <c r="C190" s="116" t="str">
        <f t="shared" ca="1" si="15"/>
        <v>F</v>
      </c>
      <c r="D190" s="119" t="str">
        <f ca="1">ORÇAMENTO!O190</f>
        <v>1.6.18.2.</v>
      </c>
      <c r="E190" s="172" t="str">
        <f t="shared" ca="1" si="16"/>
        <v>(abra o arquivo 'Referência 03-2024.xlsm)</v>
      </c>
      <c r="F190" s="173" t="str">
        <f ca="1">IF(RegimeExecucao="Global","",ORÇAMENTO.Unidade)</f>
        <v/>
      </c>
      <c r="G190" s="124" t="str">
        <f ca="1">IF(RegimeExecucao="Global","",ORÇAMENTO!T190)</f>
        <v/>
      </c>
      <c r="H190" s="124" t="str">
        <f ca="1">IF(RegimeExecucao="Global","",ORÇAMENTO!W190)</f>
        <v/>
      </c>
      <c r="I190" s="127">
        <f ca="1">ORÇAMENTO!X190</f>
        <v>127.5</v>
      </c>
      <c r="J190" s="378">
        <f ca="1">IF($A190="S",IF(CAIXA.Modo,BM.AFAnterior,BM.MEDAnterior),IF(AND(RegimeExecucao="Global",$I190&gt;0,COUNTIF($AB$13:$AM$13,BM.medicao-1)&gt;0),M190/$I190*100,0))</f>
        <v>0</v>
      </c>
      <c r="K190" s="124">
        <f t="shared" ca="1" si="17"/>
        <v>0</v>
      </c>
      <c r="L190" s="379">
        <f ca="1">IF($A190="S",IF(CAIXA.Modo,BM.AFAcumulado,BM.MEDAcumulado),IF(AND(RegimeExecucao="Global",$I190&gt;0,COUNTIF($AB$13:$AM$13,BM.medicao)&gt;0),O190/$I190*100,0))</f>
        <v>0</v>
      </c>
      <c r="M190" s="380">
        <f ca="1">IF($A190="S",VTOTALBM,IF($A190=0,0,ROUND(SomaAgrupBM,15-13*ORÇAMENTO!$AF$11)))</f>
        <v>0</v>
      </c>
      <c r="N190" s="381">
        <f t="shared" ca="1" si="18"/>
        <v>0</v>
      </c>
      <c r="O190" s="127">
        <f ca="1">IF($A190="S",VTOTALBM,IF($A190=0,0,ROUND(SomaAgrupBM,15-13*ORÇAMENTO!$AF$11)))</f>
        <v>0</v>
      </c>
      <c r="Q190" s="382"/>
      <c r="R190" s="383"/>
      <c r="T190" s="119" t="str">
        <f t="shared" ca="1" si="19"/>
        <v/>
      </c>
      <c r="U190" s="172" t="str">
        <f t="shared" ca="1" si="20"/>
        <v/>
      </c>
      <c r="V190" s="173" t="str">
        <f ca="1">IF(AND($W190&gt;0,RegimeExecucao="Unitário"),$F190,"")</f>
        <v/>
      </c>
      <c r="W190" s="547">
        <f ca="1">IF($Y190&gt;0,CHOOSE(MATCH(RegimeExecucao,{"Unitário","Global"},0),IF($A190="S",$Y190/$X190,""),($Y190/$X190)*100),0)</f>
        <v>0</v>
      </c>
      <c r="X190" s="384" t="str">
        <f ca="1">IF($Y190&gt;0,CHOOSE(MATCH(RegimeExecucao,{"Unitário","Global"},0),IF($A190="S",ROUND($H190,ORÇAMENTO!$AF$10),""),ROUND($I190,ORÇAMENTO!$AF$11)),"")</f>
        <v/>
      </c>
      <c r="Y190" s="384">
        <f t="shared" ca="1" si="21"/>
        <v>0</v>
      </c>
      <c r="Z190" s="572"/>
      <c r="AB190" s="382"/>
      <c r="AC190" s="516"/>
      <c r="AD190" s="516"/>
      <c r="AE190" s="516"/>
      <c r="AF190" s="516"/>
      <c r="AG190" s="516"/>
      <c r="AH190" s="516"/>
      <c r="AI190" s="516"/>
      <c r="AJ190" s="516"/>
      <c r="AK190" s="516"/>
      <c r="AL190" s="516"/>
      <c r="AM190" s="383"/>
      <c r="AO190">
        <f ca="1">IF($A190="S",IF(BM!$I190=0,0,CHOOSE(MATCH(RegimeExecucao,{"Global","Unitário"},0),ROUND(ROUND(BM.MEDAcumulado,15-13*BM!$A$9)/100*BM!$I190,15-13*ORÇAMENTO!$AF$11),ROUND(ROUND(BM.MEDAcumulado,15-13*BM!$A$9)*ROUND(BM!$H190,15-13*ORÇAMENTO!$AF$10),15-13*ORÇAMENTO!$AF$11))),IF($A190=0,0,ROUND(SomaAgrupBM,15-13*ORÇAMENTO!$AF$11)))</f>
        <v>0</v>
      </c>
    </row>
    <row r="191" spans="1:41" ht="38.25" x14ac:dyDescent="0.2">
      <c r="A191" t="str">
        <f ca="1">ORÇAMENTO!C191</f>
        <v>S</v>
      </c>
      <c r="B191">
        <f ca="1">ORÇAMENTO!D191</f>
        <v>0</v>
      </c>
      <c r="C191" s="116" t="str">
        <f t="shared" ca="1" si="15"/>
        <v>F</v>
      </c>
      <c r="D191" s="119" t="str">
        <f ca="1">ORÇAMENTO!O191</f>
        <v>1.6.18.3.</v>
      </c>
      <c r="E191" s="172" t="str">
        <f t="shared" ca="1" si="16"/>
        <v>(abra o arquivo 'Referência 03-2024.xlsm)</v>
      </c>
      <c r="F191" s="173" t="str">
        <f ca="1">IF(RegimeExecucao="Global","",ORÇAMENTO.Unidade)</f>
        <v/>
      </c>
      <c r="G191" s="124" t="str">
        <f ca="1">IF(RegimeExecucao="Global","",ORÇAMENTO!T191)</f>
        <v/>
      </c>
      <c r="H191" s="124" t="str">
        <f ca="1">IF(RegimeExecucao="Global","",ORÇAMENTO!W191)</f>
        <v/>
      </c>
      <c r="I191" s="127">
        <f ca="1">ORÇAMENTO!X191</f>
        <v>1135.1600000000001</v>
      </c>
      <c r="J191" s="378">
        <f ca="1">IF($A191="S",IF(CAIXA.Modo,BM.AFAnterior,BM.MEDAnterior),IF(AND(RegimeExecucao="Global",$I191&gt;0,COUNTIF($AB$13:$AM$13,BM.medicao-1)&gt;0),M191/$I191*100,0))</f>
        <v>0</v>
      </c>
      <c r="K191" s="124">
        <f t="shared" ca="1" si="17"/>
        <v>0</v>
      </c>
      <c r="L191" s="379">
        <f ca="1">IF($A191="S",IF(CAIXA.Modo,BM.AFAcumulado,BM.MEDAcumulado),IF(AND(RegimeExecucao="Global",$I191&gt;0,COUNTIF($AB$13:$AM$13,BM.medicao)&gt;0),O191/$I191*100,0))</f>
        <v>0</v>
      </c>
      <c r="M191" s="380">
        <f ca="1">IF($A191="S",VTOTALBM,IF($A191=0,0,ROUND(SomaAgrupBM,15-13*ORÇAMENTO!$AF$11)))</f>
        <v>0</v>
      </c>
      <c r="N191" s="381">
        <f t="shared" ca="1" si="18"/>
        <v>0</v>
      </c>
      <c r="O191" s="127">
        <f ca="1">IF($A191="S",VTOTALBM,IF($A191=0,0,ROUND(SomaAgrupBM,15-13*ORÇAMENTO!$AF$11)))</f>
        <v>0</v>
      </c>
      <c r="Q191" s="382"/>
      <c r="R191" s="383"/>
      <c r="T191" s="119" t="str">
        <f t="shared" ca="1" si="19"/>
        <v/>
      </c>
      <c r="U191" s="172" t="str">
        <f t="shared" ca="1" si="20"/>
        <v/>
      </c>
      <c r="V191" s="173" t="str">
        <f ca="1">IF(AND($W191&gt;0,RegimeExecucao="Unitário"),$F191,"")</f>
        <v/>
      </c>
      <c r="W191" s="547">
        <f ca="1">IF($Y191&gt;0,CHOOSE(MATCH(RegimeExecucao,{"Unitário","Global"},0),IF($A191="S",$Y191/$X191,""),($Y191/$X191)*100),0)</f>
        <v>0</v>
      </c>
      <c r="X191" s="384" t="str">
        <f ca="1">IF($Y191&gt;0,CHOOSE(MATCH(RegimeExecucao,{"Unitário","Global"},0),IF($A191="S",ROUND($H191,ORÇAMENTO!$AF$10),""),ROUND($I191,ORÇAMENTO!$AF$11)),"")</f>
        <v/>
      </c>
      <c r="Y191" s="384">
        <f t="shared" ca="1" si="21"/>
        <v>0</v>
      </c>
      <c r="Z191" s="572"/>
      <c r="AB191" s="382"/>
      <c r="AC191" s="516"/>
      <c r="AD191" s="516"/>
      <c r="AE191" s="516"/>
      <c r="AF191" s="516"/>
      <c r="AG191" s="516"/>
      <c r="AH191" s="516"/>
      <c r="AI191" s="516"/>
      <c r="AJ191" s="516"/>
      <c r="AK191" s="516"/>
      <c r="AL191" s="516"/>
      <c r="AM191" s="383"/>
      <c r="AO191">
        <f ca="1">IF($A191="S",IF(BM!$I191=0,0,CHOOSE(MATCH(RegimeExecucao,{"Global","Unitário"},0),ROUND(ROUND(BM.MEDAcumulado,15-13*BM!$A$9)/100*BM!$I191,15-13*ORÇAMENTO!$AF$11),ROUND(ROUND(BM.MEDAcumulado,15-13*BM!$A$9)*ROUND(BM!$H191,15-13*ORÇAMENTO!$AF$10),15-13*ORÇAMENTO!$AF$11))),IF($A191=0,0,ROUND(SomaAgrupBM,15-13*ORÇAMENTO!$AF$11)))</f>
        <v>0</v>
      </c>
    </row>
    <row r="192" spans="1:41" x14ac:dyDescent="0.2">
      <c r="A192">
        <f ca="1">ORÇAMENTO!C192</f>
        <v>2</v>
      </c>
      <c r="B192">
        <f ca="1">ORÇAMENTO!D192</f>
        <v>6</v>
      </c>
      <c r="C192" s="116" t="str">
        <f t="shared" ca="1" si="15"/>
        <v>F</v>
      </c>
      <c r="D192" s="119" t="str">
        <f ca="1">ORÇAMENTO!O192</f>
        <v>1.7.</v>
      </c>
      <c r="E192" s="172" t="str">
        <f t="shared" si="16"/>
        <v>PASSEIO PÚBLICO E PAVIMENTAÇÃO INTERNA</v>
      </c>
      <c r="F192" s="173" t="str">
        <f ca="1">IF(RegimeExecucao="Global","",ORÇAMENTO.Unidade)</f>
        <v/>
      </c>
      <c r="G192" s="124" t="str">
        <f ca="1">IF(RegimeExecucao="Global","",ORÇAMENTO!T192)</f>
        <v/>
      </c>
      <c r="H192" s="124" t="str">
        <f ca="1">IF(RegimeExecucao="Global","",ORÇAMENTO!W192)</f>
        <v/>
      </c>
      <c r="I192" s="127">
        <f ca="1">ORÇAMENTO!X192</f>
        <v>44788.6</v>
      </c>
      <c r="J192" s="378">
        <f ca="1">IF($A192="S",IF(CAIXA.Modo,BM.AFAnterior,BM.MEDAnterior),IF(AND(RegimeExecucao="Global",$I192&gt;0,COUNTIF($AB$13:$AM$13,BM.medicao-1)&gt;0),M192/$I192*100,0))</f>
        <v>0</v>
      </c>
      <c r="K192" s="124">
        <f t="shared" ca="1" si="17"/>
        <v>0</v>
      </c>
      <c r="L192" s="379">
        <f ca="1">IF($A192="S",IF(CAIXA.Modo,BM.AFAcumulado,BM.MEDAcumulado),IF(AND(RegimeExecucao="Global",$I192&gt;0,COUNTIF($AB$13:$AM$13,BM.medicao)&gt;0),O192/$I192*100,0))</f>
        <v>0</v>
      </c>
      <c r="M192" s="380">
        <f ca="1">IF($A192="S",VTOTALBM,IF($A192=0,0,ROUND(SomaAgrupBM,15-13*ORÇAMENTO!$AF$11)))</f>
        <v>0</v>
      </c>
      <c r="N192" s="381">
        <f t="shared" ca="1" si="18"/>
        <v>0</v>
      </c>
      <c r="O192" s="127">
        <f ca="1">IF($A192="S",VTOTALBM,IF($A192=0,0,ROUND(SomaAgrupBM,15-13*ORÇAMENTO!$AF$11)))</f>
        <v>0</v>
      </c>
      <c r="Q192" s="382"/>
      <c r="R192" s="383"/>
      <c r="T192" s="119" t="str">
        <f t="shared" ca="1" si="19"/>
        <v/>
      </c>
      <c r="U192" s="172" t="str">
        <f t="shared" ca="1" si="20"/>
        <v/>
      </c>
      <c r="V192" s="173" t="str">
        <f ca="1">IF(AND($W192&gt;0,RegimeExecucao="Unitário"),$F192,"")</f>
        <v/>
      </c>
      <c r="W192" s="547">
        <f ca="1">IF($Y192&gt;0,CHOOSE(MATCH(RegimeExecucao,{"Unitário","Global"},0),IF($A192="S",$Y192/$X192,""),($Y192/$X192)*100),0)</f>
        <v>0</v>
      </c>
      <c r="X192" s="384" t="str">
        <f ca="1">IF($Y192&gt;0,CHOOSE(MATCH(RegimeExecucao,{"Unitário","Global"},0),IF($A192="S",ROUND($H192,ORÇAMENTO!$AF$10),""),ROUND($I192,ORÇAMENTO!$AF$11)),"")</f>
        <v/>
      </c>
      <c r="Y192" s="384">
        <f t="shared" ca="1" si="21"/>
        <v>0</v>
      </c>
      <c r="Z192" s="572"/>
      <c r="AB192" s="382"/>
      <c r="AC192" s="516"/>
      <c r="AD192" s="516"/>
      <c r="AE192" s="516"/>
      <c r="AF192" s="516"/>
      <c r="AG192" s="516"/>
      <c r="AH192" s="516"/>
      <c r="AI192" s="516"/>
      <c r="AJ192" s="516"/>
      <c r="AK192" s="516"/>
      <c r="AL192" s="516"/>
      <c r="AM192" s="383"/>
      <c r="AO192">
        <f ca="1">IF($A192="S",IF(BM!$I192=0,0,CHOOSE(MATCH(RegimeExecucao,{"Global","Unitário"},0),ROUND(ROUND(BM.MEDAcumulado,15-13*BM!$A$9)/100*BM!$I192,15-13*ORÇAMENTO!$AF$11),ROUND(ROUND(BM.MEDAcumulado,15-13*BM!$A$9)*ROUND(BM!$H192,15-13*ORÇAMENTO!$AF$10),15-13*ORÇAMENTO!$AF$11))),IF($A192=0,0,ROUND(SomaAgrupBM,15-13*ORÇAMENTO!$AF$11)))</f>
        <v>0</v>
      </c>
    </row>
    <row r="193" spans="1:41" ht="38.25" x14ac:dyDescent="0.2">
      <c r="A193" t="str">
        <f ca="1">ORÇAMENTO!C193</f>
        <v>S</v>
      </c>
      <c r="B193">
        <f ca="1">ORÇAMENTO!D193</f>
        <v>0</v>
      </c>
      <c r="C193" s="116" t="str">
        <f t="shared" ca="1" si="15"/>
        <v>F</v>
      </c>
      <c r="D193" s="119" t="str">
        <f ca="1">ORÇAMENTO!O193</f>
        <v>1.7.0.1.</v>
      </c>
      <c r="E193" s="172" t="str">
        <f t="shared" ca="1" si="16"/>
        <v>(abra o arquivo 'Referência 03-2024.xlsm)</v>
      </c>
      <c r="F193" s="173" t="str">
        <f ca="1">IF(RegimeExecucao="Global","",ORÇAMENTO.Unidade)</f>
        <v/>
      </c>
      <c r="G193" s="124" t="str">
        <f ca="1">IF(RegimeExecucao="Global","",ORÇAMENTO!T193)</f>
        <v/>
      </c>
      <c r="H193" s="124" t="str">
        <f ca="1">IF(RegimeExecucao="Global","",ORÇAMENTO!W193)</f>
        <v/>
      </c>
      <c r="I193" s="127">
        <f ca="1">ORÇAMENTO!X193</f>
        <v>1076.29</v>
      </c>
      <c r="J193" s="378">
        <f ca="1">IF($A193="S",IF(CAIXA.Modo,BM.AFAnterior,BM.MEDAnterior),IF(AND(RegimeExecucao="Global",$I193&gt;0,COUNTIF($AB$13:$AM$13,BM.medicao-1)&gt;0),M193/$I193*100,0))</f>
        <v>0</v>
      </c>
      <c r="K193" s="124">
        <f t="shared" ca="1" si="17"/>
        <v>0</v>
      </c>
      <c r="L193" s="379">
        <f ca="1">IF($A193="S",IF(CAIXA.Modo,BM.AFAcumulado,BM.MEDAcumulado),IF(AND(RegimeExecucao="Global",$I193&gt;0,COUNTIF($AB$13:$AM$13,BM.medicao)&gt;0),O193/$I193*100,0))</f>
        <v>0</v>
      </c>
      <c r="M193" s="380">
        <f ca="1">IF($A193="S",VTOTALBM,IF($A193=0,0,ROUND(SomaAgrupBM,15-13*ORÇAMENTO!$AF$11)))</f>
        <v>0</v>
      </c>
      <c r="N193" s="381">
        <f t="shared" ca="1" si="18"/>
        <v>0</v>
      </c>
      <c r="O193" s="127">
        <f ca="1">IF($A193="S",VTOTALBM,IF($A193=0,0,ROUND(SomaAgrupBM,15-13*ORÇAMENTO!$AF$11)))</f>
        <v>0</v>
      </c>
      <c r="Q193" s="382"/>
      <c r="R193" s="383"/>
      <c r="T193" s="119" t="str">
        <f t="shared" ca="1" si="19"/>
        <v/>
      </c>
      <c r="U193" s="172" t="str">
        <f t="shared" ca="1" si="20"/>
        <v/>
      </c>
      <c r="V193" s="173" t="str">
        <f ca="1">IF(AND($W193&gt;0,RegimeExecucao="Unitário"),$F193,"")</f>
        <v/>
      </c>
      <c r="W193" s="547">
        <f ca="1">IF($Y193&gt;0,CHOOSE(MATCH(RegimeExecucao,{"Unitário","Global"},0),IF($A193="S",$Y193/$X193,""),($Y193/$X193)*100),0)</f>
        <v>0</v>
      </c>
      <c r="X193" s="384" t="str">
        <f ca="1">IF($Y193&gt;0,CHOOSE(MATCH(RegimeExecucao,{"Unitário","Global"},0),IF($A193="S",ROUND($H193,ORÇAMENTO!$AF$10),""),ROUND($I193,ORÇAMENTO!$AF$11)),"")</f>
        <v/>
      </c>
      <c r="Y193" s="384">
        <f t="shared" ca="1" si="21"/>
        <v>0</v>
      </c>
      <c r="Z193" s="572"/>
      <c r="AB193" s="382"/>
      <c r="AC193" s="516"/>
      <c r="AD193" s="516"/>
      <c r="AE193" s="516"/>
      <c r="AF193" s="516"/>
      <c r="AG193" s="516"/>
      <c r="AH193" s="516"/>
      <c r="AI193" s="516"/>
      <c r="AJ193" s="516"/>
      <c r="AK193" s="516"/>
      <c r="AL193" s="516"/>
      <c r="AM193" s="383"/>
      <c r="AO193">
        <f ca="1">IF($A193="S",IF(BM!$I193=0,0,CHOOSE(MATCH(RegimeExecucao,{"Global","Unitário"},0),ROUND(ROUND(BM.MEDAcumulado,15-13*BM!$A$9)/100*BM!$I193,15-13*ORÇAMENTO!$AF$11),ROUND(ROUND(BM.MEDAcumulado,15-13*BM!$A$9)*ROUND(BM!$H193,15-13*ORÇAMENTO!$AF$10),15-13*ORÇAMENTO!$AF$11))),IF($A193=0,0,ROUND(SomaAgrupBM,15-13*ORÇAMENTO!$AF$11)))</f>
        <v>0</v>
      </c>
    </row>
    <row r="194" spans="1:41" ht="38.25" x14ac:dyDescent="0.2">
      <c r="A194" t="str">
        <f ca="1">ORÇAMENTO!C194</f>
        <v>S</v>
      </c>
      <c r="B194">
        <f ca="1">ORÇAMENTO!D194</f>
        <v>0</v>
      </c>
      <c r="C194" s="116" t="str">
        <f t="shared" ca="1" si="15"/>
        <v>F</v>
      </c>
      <c r="D194" s="119" t="str">
        <f ca="1">ORÇAMENTO!O194</f>
        <v>1.7.0.2.</v>
      </c>
      <c r="E194" s="172" t="str">
        <f t="shared" ca="1" si="16"/>
        <v>(abra o arquivo 'Referência 03-2024.xlsm)</v>
      </c>
      <c r="F194" s="173" t="str">
        <f ca="1">IF(RegimeExecucao="Global","",ORÇAMENTO.Unidade)</f>
        <v/>
      </c>
      <c r="G194" s="124" t="str">
        <f ca="1">IF(RegimeExecucao="Global","",ORÇAMENTO!T194)</f>
        <v/>
      </c>
      <c r="H194" s="124" t="str">
        <f ca="1">IF(RegimeExecucao="Global","",ORÇAMENTO!W194)</f>
        <v/>
      </c>
      <c r="I194" s="127">
        <f ca="1">ORÇAMENTO!X194</f>
        <v>39329.54</v>
      </c>
      <c r="J194" s="378">
        <f ca="1">IF($A194="S",IF(CAIXA.Modo,BM.AFAnterior,BM.MEDAnterior),IF(AND(RegimeExecucao="Global",$I194&gt;0,COUNTIF($AB$13:$AM$13,BM.medicao-1)&gt;0),M194/$I194*100,0))</f>
        <v>0</v>
      </c>
      <c r="K194" s="124">
        <f t="shared" ca="1" si="17"/>
        <v>0</v>
      </c>
      <c r="L194" s="379">
        <f ca="1">IF($A194="S",IF(CAIXA.Modo,BM.AFAcumulado,BM.MEDAcumulado),IF(AND(RegimeExecucao="Global",$I194&gt;0,COUNTIF($AB$13:$AM$13,BM.medicao)&gt;0),O194/$I194*100,0))</f>
        <v>0</v>
      </c>
      <c r="M194" s="380">
        <f ca="1">IF($A194="S",VTOTALBM,IF($A194=0,0,ROUND(SomaAgrupBM,15-13*ORÇAMENTO!$AF$11)))</f>
        <v>0</v>
      </c>
      <c r="N194" s="381">
        <f t="shared" ca="1" si="18"/>
        <v>0</v>
      </c>
      <c r="O194" s="127">
        <f ca="1">IF($A194="S",VTOTALBM,IF($A194=0,0,ROUND(SomaAgrupBM,15-13*ORÇAMENTO!$AF$11)))</f>
        <v>0</v>
      </c>
      <c r="Q194" s="382"/>
      <c r="R194" s="383"/>
      <c r="T194" s="119" t="str">
        <f t="shared" ca="1" si="19"/>
        <v/>
      </c>
      <c r="U194" s="172" t="str">
        <f t="shared" ca="1" si="20"/>
        <v/>
      </c>
      <c r="V194" s="173" t="str">
        <f ca="1">IF(AND($W194&gt;0,RegimeExecucao="Unitário"),$F194,"")</f>
        <v/>
      </c>
      <c r="W194" s="547">
        <f ca="1">IF($Y194&gt;0,CHOOSE(MATCH(RegimeExecucao,{"Unitário","Global"},0),IF($A194="S",$Y194/$X194,""),($Y194/$X194)*100),0)</f>
        <v>0</v>
      </c>
      <c r="X194" s="384" t="str">
        <f ca="1">IF($Y194&gt;0,CHOOSE(MATCH(RegimeExecucao,{"Unitário","Global"},0),IF($A194="S",ROUND($H194,ORÇAMENTO!$AF$10),""),ROUND($I194,ORÇAMENTO!$AF$11)),"")</f>
        <v/>
      </c>
      <c r="Y194" s="384">
        <f t="shared" ca="1" si="21"/>
        <v>0</v>
      </c>
      <c r="Z194" s="572"/>
      <c r="AB194" s="382"/>
      <c r="AC194" s="516"/>
      <c r="AD194" s="516"/>
      <c r="AE194" s="516"/>
      <c r="AF194" s="516"/>
      <c r="AG194" s="516"/>
      <c r="AH194" s="516"/>
      <c r="AI194" s="516"/>
      <c r="AJ194" s="516"/>
      <c r="AK194" s="516"/>
      <c r="AL194" s="516"/>
      <c r="AM194" s="383"/>
      <c r="AO194">
        <f ca="1">IF($A194="S",IF(BM!$I194=0,0,CHOOSE(MATCH(RegimeExecucao,{"Global","Unitário"},0),ROUND(ROUND(BM.MEDAcumulado,15-13*BM!$A$9)/100*BM!$I194,15-13*ORÇAMENTO!$AF$11),ROUND(ROUND(BM.MEDAcumulado,15-13*BM!$A$9)*ROUND(BM!$H194,15-13*ORÇAMENTO!$AF$10),15-13*ORÇAMENTO!$AF$11))),IF($A194=0,0,ROUND(SomaAgrupBM,15-13*ORÇAMENTO!$AF$11)))</f>
        <v>0</v>
      </c>
    </row>
    <row r="195" spans="1:41" ht="25.5" x14ac:dyDescent="0.2">
      <c r="A195" t="str">
        <f ca="1">ORÇAMENTO!C195</f>
        <v>S</v>
      </c>
      <c r="B195">
        <f ca="1">ORÇAMENTO!D195</f>
        <v>0</v>
      </c>
      <c r="C195" s="116" t="str">
        <f t="shared" ca="1" si="15"/>
        <v>F</v>
      </c>
      <c r="D195" s="119" t="str">
        <f ca="1">ORÇAMENTO!O195</f>
        <v>1.7.0.3.</v>
      </c>
      <c r="E195" s="172" t="str">
        <f t="shared" ca="1" si="16"/>
        <v>(abra o arquivo 'Referência 03-2024.xlsm)</v>
      </c>
      <c r="F195" s="173" t="str">
        <f ca="1">IF(RegimeExecucao="Global","",ORÇAMENTO.Unidade)</f>
        <v/>
      </c>
      <c r="G195" s="124" t="str">
        <f ca="1">IF(RegimeExecucao="Global","",ORÇAMENTO!T195)</f>
        <v/>
      </c>
      <c r="H195" s="124" t="str">
        <f ca="1">IF(RegimeExecucao="Global","",ORÇAMENTO!W195)</f>
        <v/>
      </c>
      <c r="I195" s="127">
        <f ca="1">ORÇAMENTO!X195</f>
        <v>1906.78</v>
      </c>
      <c r="J195" s="378">
        <f ca="1">IF($A195="S",IF(CAIXA.Modo,BM.AFAnterior,BM.MEDAnterior),IF(AND(RegimeExecucao="Global",$I195&gt;0,COUNTIF($AB$13:$AM$13,BM.medicao-1)&gt;0),M195/$I195*100,0))</f>
        <v>0</v>
      </c>
      <c r="K195" s="124">
        <f t="shared" ca="1" si="17"/>
        <v>0</v>
      </c>
      <c r="L195" s="379">
        <f ca="1">IF($A195="S",IF(CAIXA.Modo,BM.AFAcumulado,BM.MEDAcumulado),IF(AND(RegimeExecucao="Global",$I195&gt;0,COUNTIF($AB$13:$AM$13,BM.medicao)&gt;0),O195/$I195*100,0))</f>
        <v>0</v>
      </c>
      <c r="M195" s="380">
        <f ca="1">IF($A195="S",VTOTALBM,IF($A195=0,0,ROUND(SomaAgrupBM,15-13*ORÇAMENTO!$AF$11)))</f>
        <v>0</v>
      </c>
      <c r="N195" s="381">
        <f t="shared" ca="1" si="18"/>
        <v>0</v>
      </c>
      <c r="O195" s="127">
        <f ca="1">IF($A195="S",VTOTALBM,IF($A195=0,0,ROUND(SomaAgrupBM,15-13*ORÇAMENTO!$AF$11)))</f>
        <v>0</v>
      </c>
      <c r="Q195" s="382"/>
      <c r="R195" s="383"/>
      <c r="T195" s="119" t="str">
        <f t="shared" ca="1" si="19"/>
        <v/>
      </c>
      <c r="U195" s="172" t="str">
        <f t="shared" ca="1" si="20"/>
        <v/>
      </c>
      <c r="V195" s="173" t="str">
        <f ca="1">IF(AND($W195&gt;0,RegimeExecucao="Unitário"),$F195,"")</f>
        <v/>
      </c>
      <c r="W195" s="547">
        <f ca="1">IF($Y195&gt;0,CHOOSE(MATCH(RegimeExecucao,{"Unitário","Global"},0),IF($A195="S",$Y195/$X195,""),($Y195/$X195)*100),0)</f>
        <v>0</v>
      </c>
      <c r="X195" s="384" t="str">
        <f ca="1">IF($Y195&gt;0,CHOOSE(MATCH(RegimeExecucao,{"Unitário","Global"},0),IF($A195="S",ROUND($H195,ORÇAMENTO!$AF$10),""),ROUND($I195,ORÇAMENTO!$AF$11)),"")</f>
        <v/>
      </c>
      <c r="Y195" s="384">
        <f t="shared" ca="1" si="21"/>
        <v>0</v>
      </c>
      <c r="Z195" s="572"/>
      <c r="AB195" s="382"/>
      <c r="AC195" s="516"/>
      <c r="AD195" s="516"/>
      <c r="AE195" s="516"/>
      <c r="AF195" s="516"/>
      <c r="AG195" s="516"/>
      <c r="AH195" s="516"/>
      <c r="AI195" s="516"/>
      <c r="AJ195" s="516"/>
      <c r="AK195" s="516"/>
      <c r="AL195" s="516"/>
      <c r="AM195" s="383"/>
      <c r="AO195">
        <f ca="1">IF($A195="S",IF(BM!$I195=0,0,CHOOSE(MATCH(RegimeExecucao,{"Global","Unitário"},0),ROUND(ROUND(BM.MEDAcumulado,15-13*BM!$A$9)/100*BM!$I195,15-13*ORÇAMENTO!$AF$11),ROUND(ROUND(BM.MEDAcumulado,15-13*BM!$A$9)*ROUND(BM!$H195,15-13*ORÇAMENTO!$AF$10),15-13*ORÇAMENTO!$AF$11))),IF($A195=0,0,ROUND(SomaAgrupBM,15-13*ORÇAMENTO!$AF$11)))</f>
        <v>0</v>
      </c>
    </row>
    <row r="196" spans="1:41" ht="25.5" x14ac:dyDescent="0.2">
      <c r="A196" t="str">
        <f ca="1">ORÇAMENTO!C196</f>
        <v>S</v>
      </c>
      <c r="B196">
        <f ca="1">ORÇAMENTO!D196</f>
        <v>0</v>
      </c>
      <c r="C196" s="116" t="str">
        <f t="shared" ca="1" si="15"/>
        <v>F</v>
      </c>
      <c r="D196" s="119" t="str">
        <f ca="1">ORÇAMENTO!O196</f>
        <v>1.7.0.4.</v>
      </c>
      <c r="E196" s="172" t="str">
        <f t="shared" ca="1" si="16"/>
        <v>(abra o arquivo 'Referência 03-2024.xlsm)</v>
      </c>
      <c r="F196" s="173" t="str">
        <f ca="1">IF(RegimeExecucao="Global","",ORÇAMENTO.Unidade)</f>
        <v/>
      </c>
      <c r="G196" s="124" t="str">
        <f ca="1">IF(RegimeExecucao="Global","",ORÇAMENTO!T196)</f>
        <v/>
      </c>
      <c r="H196" s="124" t="str">
        <f ca="1">IF(RegimeExecucao="Global","",ORÇAMENTO!W196)</f>
        <v/>
      </c>
      <c r="I196" s="127">
        <f ca="1">ORÇAMENTO!X196</f>
        <v>429.75</v>
      </c>
      <c r="J196" s="378">
        <f ca="1">IF($A196="S",IF(CAIXA.Modo,BM.AFAnterior,BM.MEDAnterior),IF(AND(RegimeExecucao="Global",$I196&gt;0,COUNTIF($AB$13:$AM$13,BM.medicao-1)&gt;0),M196/$I196*100,0))</f>
        <v>0</v>
      </c>
      <c r="K196" s="124">
        <f t="shared" ca="1" si="17"/>
        <v>0</v>
      </c>
      <c r="L196" s="379">
        <f ca="1">IF($A196="S",IF(CAIXA.Modo,BM.AFAcumulado,BM.MEDAcumulado),IF(AND(RegimeExecucao="Global",$I196&gt;0,COUNTIF($AB$13:$AM$13,BM.medicao)&gt;0),O196/$I196*100,0))</f>
        <v>0</v>
      </c>
      <c r="M196" s="380">
        <f ca="1">IF($A196="S",VTOTALBM,IF($A196=0,0,ROUND(SomaAgrupBM,15-13*ORÇAMENTO!$AF$11)))</f>
        <v>0</v>
      </c>
      <c r="N196" s="381">
        <f t="shared" ca="1" si="18"/>
        <v>0</v>
      </c>
      <c r="O196" s="127">
        <f ca="1">IF($A196="S",VTOTALBM,IF($A196=0,0,ROUND(SomaAgrupBM,15-13*ORÇAMENTO!$AF$11)))</f>
        <v>0</v>
      </c>
      <c r="Q196" s="382"/>
      <c r="R196" s="383"/>
      <c r="T196" s="119" t="str">
        <f t="shared" ca="1" si="19"/>
        <v/>
      </c>
      <c r="U196" s="172" t="str">
        <f t="shared" ca="1" si="20"/>
        <v/>
      </c>
      <c r="V196" s="173" t="str">
        <f ca="1">IF(AND($W196&gt;0,RegimeExecucao="Unitário"),$F196,"")</f>
        <v/>
      </c>
      <c r="W196" s="547">
        <f ca="1">IF($Y196&gt;0,CHOOSE(MATCH(RegimeExecucao,{"Unitário","Global"},0),IF($A196="S",$Y196/$X196,""),($Y196/$X196)*100),0)</f>
        <v>0</v>
      </c>
      <c r="X196" s="384" t="str">
        <f ca="1">IF($Y196&gt;0,CHOOSE(MATCH(RegimeExecucao,{"Unitário","Global"},0),IF($A196="S",ROUND($H196,ORÇAMENTO!$AF$10),""),ROUND($I196,ORÇAMENTO!$AF$11)),"")</f>
        <v/>
      </c>
      <c r="Y196" s="384">
        <f t="shared" ca="1" si="21"/>
        <v>0</v>
      </c>
      <c r="Z196" s="572"/>
      <c r="AB196" s="382"/>
      <c r="AC196" s="516"/>
      <c r="AD196" s="516"/>
      <c r="AE196" s="516"/>
      <c r="AF196" s="516"/>
      <c r="AG196" s="516"/>
      <c r="AH196" s="516"/>
      <c r="AI196" s="516"/>
      <c r="AJ196" s="516"/>
      <c r="AK196" s="516"/>
      <c r="AL196" s="516"/>
      <c r="AM196" s="383"/>
      <c r="AO196">
        <f ca="1">IF($A196="S",IF(BM!$I196=0,0,CHOOSE(MATCH(RegimeExecucao,{"Global","Unitário"},0),ROUND(ROUND(BM.MEDAcumulado,15-13*BM!$A$9)/100*BM!$I196,15-13*ORÇAMENTO!$AF$11),ROUND(ROUND(BM.MEDAcumulado,15-13*BM!$A$9)*ROUND(BM!$H196,15-13*ORÇAMENTO!$AF$10),15-13*ORÇAMENTO!$AF$11))),IF($A196=0,0,ROUND(SomaAgrupBM,15-13*ORÇAMENTO!$AF$11)))</f>
        <v>0</v>
      </c>
    </row>
    <row r="197" spans="1:41" ht="25.5" x14ac:dyDescent="0.2">
      <c r="A197" t="str">
        <f ca="1">ORÇAMENTO!C197</f>
        <v>S</v>
      </c>
      <c r="B197">
        <f ca="1">ORÇAMENTO!D197</f>
        <v>0</v>
      </c>
      <c r="C197" s="116" t="str">
        <f t="shared" ca="1" si="15"/>
        <v>F</v>
      </c>
      <c r="D197" s="119" t="str">
        <f ca="1">ORÇAMENTO!O197</f>
        <v>1.7.0.5.</v>
      </c>
      <c r="E197" s="172" t="str">
        <f t="shared" ca="1" si="16"/>
        <v>(abra o arquivo 'Referência 03-2024.xlsm)</v>
      </c>
      <c r="F197" s="173" t="str">
        <f ca="1">IF(RegimeExecucao="Global","",ORÇAMENTO.Unidade)</f>
        <v/>
      </c>
      <c r="G197" s="124" t="str">
        <f ca="1">IF(RegimeExecucao="Global","",ORÇAMENTO!T197)</f>
        <v/>
      </c>
      <c r="H197" s="124" t="str">
        <f ca="1">IF(RegimeExecucao="Global","",ORÇAMENTO!W197)</f>
        <v/>
      </c>
      <c r="I197" s="127">
        <f ca="1">ORÇAMENTO!X197</f>
        <v>2046.24</v>
      </c>
      <c r="J197" s="378">
        <f ca="1">IF($A197="S",IF(CAIXA.Modo,BM.AFAnterior,BM.MEDAnterior),IF(AND(RegimeExecucao="Global",$I197&gt;0,COUNTIF($AB$13:$AM$13,BM.medicao-1)&gt;0),M197/$I197*100,0))</f>
        <v>0</v>
      </c>
      <c r="K197" s="124">
        <f t="shared" ca="1" si="17"/>
        <v>0</v>
      </c>
      <c r="L197" s="379">
        <f ca="1">IF($A197="S",IF(CAIXA.Modo,BM.AFAcumulado,BM.MEDAcumulado),IF(AND(RegimeExecucao="Global",$I197&gt;0,COUNTIF($AB$13:$AM$13,BM.medicao)&gt;0),O197/$I197*100,0))</f>
        <v>0</v>
      </c>
      <c r="M197" s="380">
        <f ca="1">IF($A197="S",VTOTALBM,IF($A197=0,0,ROUND(SomaAgrupBM,15-13*ORÇAMENTO!$AF$11)))</f>
        <v>0</v>
      </c>
      <c r="N197" s="381">
        <f t="shared" ca="1" si="18"/>
        <v>0</v>
      </c>
      <c r="O197" s="127">
        <f ca="1">IF($A197="S",VTOTALBM,IF($A197=0,0,ROUND(SomaAgrupBM,15-13*ORÇAMENTO!$AF$11)))</f>
        <v>0</v>
      </c>
      <c r="Q197" s="382"/>
      <c r="R197" s="383"/>
      <c r="T197" s="119" t="str">
        <f t="shared" ca="1" si="19"/>
        <v/>
      </c>
      <c r="U197" s="172" t="str">
        <f t="shared" ca="1" si="20"/>
        <v/>
      </c>
      <c r="V197" s="173" t="str">
        <f ca="1">IF(AND($W197&gt;0,RegimeExecucao="Unitário"),$F197,"")</f>
        <v/>
      </c>
      <c r="W197" s="547">
        <f ca="1">IF($Y197&gt;0,CHOOSE(MATCH(RegimeExecucao,{"Unitário","Global"},0),IF($A197="S",$Y197/$X197,""),($Y197/$X197)*100),0)</f>
        <v>0</v>
      </c>
      <c r="X197" s="384" t="str">
        <f ca="1">IF($Y197&gt;0,CHOOSE(MATCH(RegimeExecucao,{"Unitário","Global"},0),IF($A197="S",ROUND($H197,ORÇAMENTO!$AF$10),""),ROUND($I197,ORÇAMENTO!$AF$11)),"")</f>
        <v/>
      </c>
      <c r="Y197" s="384">
        <f t="shared" ca="1" si="21"/>
        <v>0</v>
      </c>
      <c r="Z197" s="572"/>
      <c r="AB197" s="382"/>
      <c r="AC197" s="516"/>
      <c r="AD197" s="516"/>
      <c r="AE197" s="516"/>
      <c r="AF197" s="516"/>
      <c r="AG197" s="516"/>
      <c r="AH197" s="516"/>
      <c r="AI197" s="516"/>
      <c r="AJ197" s="516"/>
      <c r="AK197" s="516"/>
      <c r="AL197" s="516"/>
      <c r="AM197" s="383"/>
      <c r="AO197">
        <f ca="1">IF($A197="S",IF(BM!$I197=0,0,CHOOSE(MATCH(RegimeExecucao,{"Global","Unitário"},0),ROUND(ROUND(BM.MEDAcumulado,15-13*BM!$A$9)/100*BM!$I197,15-13*ORÇAMENTO!$AF$11),ROUND(ROUND(BM.MEDAcumulado,15-13*BM!$A$9)*ROUND(BM!$H197,15-13*ORÇAMENTO!$AF$10),15-13*ORÇAMENTO!$AF$11))),IF($A197=0,0,ROUND(SomaAgrupBM,15-13*ORÇAMENTO!$AF$11)))</f>
        <v>0</v>
      </c>
    </row>
    <row r="198" spans="1:41" x14ac:dyDescent="0.2">
      <c r="A198">
        <f ca="1">ORÇAMENTO!C198</f>
        <v>2</v>
      </c>
      <c r="B198">
        <f ca="1">ORÇAMENTO!D198</f>
        <v>14</v>
      </c>
      <c r="C198" s="116" t="str">
        <f t="shared" ca="1" si="15"/>
        <v>F</v>
      </c>
      <c r="D198" s="119" t="str">
        <f ca="1">ORÇAMENTO!O198</f>
        <v>1.8.</v>
      </c>
      <c r="E198" s="172" t="str">
        <f t="shared" si="16"/>
        <v>CAMPO DE FUTEBOL</v>
      </c>
      <c r="F198" s="173" t="str">
        <f ca="1">IF(RegimeExecucao="Global","",ORÇAMENTO.Unidade)</f>
        <v/>
      </c>
      <c r="G198" s="124" t="str">
        <f ca="1">IF(RegimeExecucao="Global","",ORÇAMENTO!T198)</f>
        <v/>
      </c>
      <c r="H198" s="124" t="str">
        <f ca="1">IF(RegimeExecucao="Global","",ORÇAMENTO!W198)</f>
        <v/>
      </c>
      <c r="I198" s="127">
        <f ca="1">ORÇAMENTO!X198</f>
        <v>50680.86</v>
      </c>
      <c r="J198" s="378">
        <f ca="1">IF($A198="S",IF(CAIXA.Modo,BM.AFAnterior,BM.MEDAnterior),IF(AND(RegimeExecucao="Global",$I198&gt;0,COUNTIF($AB$13:$AM$13,BM.medicao-1)&gt;0),M198/$I198*100,0))</f>
        <v>0</v>
      </c>
      <c r="K198" s="124">
        <f t="shared" ca="1" si="17"/>
        <v>0</v>
      </c>
      <c r="L198" s="379">
        <f ca="1">IF($A198="S",IF(CAIXA.Modo,BM.AFAcumulado,BM.MEDAcumulado),IF(AND(RegimeExecucao="Global",$I198&gt;0,COUNTIF($AB$13:$AM$13,BM.medicao)&gt;0),O198/$I198*100,0))</f>
        <v>0</v>
      </c>
      <c r="M198" s="380">
        <f ca="1">IF($A198="S",VTOTALBM,IF($A198=0,0,ROUND(SomaAgrupBM,15-13*ORÇAMENTO!$AF$11)))</f>
        <v>0</v>
      </c>
      <c r="N198" s="381">
        <f t="shared" ca="1" si="18"/>
        <v>0</v>
      </c>
      <c r="O198" s="127">
        <f ca="1">IF($A198="S",VTOTALBM,IF($A198=0,0,ROUND(SomaAgrupBM,15-13*ORÇAMENTO!$AF$11)))</f>
        <v>0</v>
      </c>
      <c r="Q198" s="382"/>
      <c r="R198" s="383"/>
      <c r="T198" s="119" t="str">
        <f t="shared" ca="1" si="19"/>
        <v/>
      </c>
      <c r="U198" s="172" t="str">
        <f t="shared" ca="1" si="20"/>
        <v/>
      </c>
      <c r="V198" s="173" t="str">
        <f ca="1">IF(AND($W198&gt;0,RegimeExecucao="Unitário"),$F198,"")</f>
        <v/>
      </c>
      <c r="W198" s="547">
        <f ca="1">IF($Y198&gt;0,CHOOSE(MATCH(RegimeExecucao,{"Unitário","Global"},0),IF($A198="S",$Y198/$X198,""),($Y198/$X198)*100),0)</f>
        <v>0</v>
      </c>
      <c r="X198" s="384" t="str">
        <f ca="1">IF($Y198&gt;0,CHOOSE(MATCH(RegimeExecucao,{"Unitário","Global"},0),IF($A198="S",ROUND($H198,ORÇAMENTO!$AF$10),""),ROUND($I198,ORÇAMENTO!$AF$11)),"")</f>
        <v/>
      </c>
      <c r="Y198" s="384">
        <f t="shared" ca="1" si="21"/>
        <v>0</v>
      </c>
      <c r="Z198" s="572"/>
      <c r="AB198" s="382"/>
      <c r="AC198" s="516"/>
      <c r="AD198" s="516"/>
      <c r="AE198" s="516"/>
      <c r="AF198" s="516"/>
      <c r="AG198" s="516"/>
      <c r="AH198" s="516"/>
      <c r="AI198" s="516"/>
      <c r="AJ198" s="516"/>
      <c r="AK198" s="516"/>
      <c r="AL198" s="516"/>
      <c r="AM198" s="383"/>
      <c r="AO198">
        <f ca="1">IF($A198="S",IF(BM!$I198=0,0,CHOOSE(MATCH(RegimeExecucao,{"Global","Unitário"},0),ROUND(ROUND(BM.MEDAcumulado,15-13*BM!$A$9)/100*BM!$I198,15-13*ORÇAMENTO!$AF$11),ROUND(ROUND(BM.MEDAcumulado,15-13*BM!$A$9)*ROUND(BM!$H198,15-13*ORÇAMENTO!$AF$10),15-13*ORÇAMENTO!$AF$11))),IF($A198=0,0,ROUND(SomaAgrupBM,15-13*ORÇAMENTO!$AF$11)))</f>
        <v>0</v>
      </c>
    </row>
    <row r="199" spans="1:41" ht="63.75" x14ac:dyDescent="0.2">
      <c r="A199" t="str">
        <f ca="1">ORÇAMENTO!C199</f>
        <v>S</v>
      </c>
      <c r="B199">
        <f ca="1">ORÇAMENTO!D199</f>
        <v>0</v>
      </c>
      <c r="C199" s="116" t="str">
        <f t="shared" ca="1" si="15"/>
        <v>F</v>
      </c>
      <c r="D199" s="119" t="str">
        <f ca="1">ORÇAMENTO!O199</f>
        <v>1.8.0.1.</v>
      </c>
      <c r="E199" s="172" t="str">
        <f t="shared" ca="1" si="16"/>
        <v>(abra o arquivo 'Referência 03-2024.xlsm)</v>
      </c>
      <c r="F199" s="173" t="str">
        <f ca="1">IF(RegimeExecucao="Global","",ORÇAMENTO.Unidade)</f>
        <v/>
      </c>
      <c r="G199" s="124" t="str">
        <f ca="1">IF(RegimeExecucao="Global","",ORÇAMENTO!T199)</f>
        <v/>
      </c>
      <c r="H199" s="124" t="str">
        <f ca="1">IF(RegimeExecucao="Global","",ORÇAMENTO!W199)</f>
        <v/>
      </c>
      <c r="I199" s="127">
        <f ca="1">ORÇAMENTO!X199</f>
        <v>41.68</v>
      </c>
      <c r="J199" s="378">
        <f ca="1">IF($A199="S",IF(CAIXA.Modo,BM.AFAnterior,BM.MEDAnterior),IF(AND(RegimeExecucao="Global",$I199&gt;0,COUNTIF($AB$13:$AM$13,BM.medicao-1)&gt;0),M199/$I199*100,0))</f>
        <v>0</v>
      </c>
      <c r="K199" s="124">
        <f t="shared" ca="1" si="17"/>
        <v>0</v>
      </c>
      <c r="L199" s="379">
        <f ca="1">IF($A199="S",IF(CAIXA.Modo,BM.AFAcumulado,BM.MEDAcumulado),IF(AND(RegimeExecucao="Global",$I199&gt;0,COUNTIF($AB$13:$AM$13,BM.medicao)&gt;0),O199/$I199*100,0))</f>
        <v>0</v>
      </c>
      <c r="M199" s="380">
        <f ca="1">IF($A199="S",VTOTALBM,IF($A199=0,0,ROUND(SomaAgrupBM,15-13*ORÇAMENTO!$AF$11)))</f>
        <v>0</v>
      </c>
      <c r="N199" s="381">
        <f t="shared" ca="1" si="18"/>
        <v>0</v>
      </c>
      <c r="O199" s="127">
        <f ca="1">IF($A199="S",VTOTALBM,IF($A199=0,0,ROUND(SomaAgrupBM,15-13*ORÇAMENTO!$AF$11)))</f>
        <v>0</v>
      </c>
      <c r="Q199" s="382"/>
      <c r="R199" s="383"/>
      <c r="T199" s="119" t="str">
        <f t="shared" ca="1" si="19"/>
        <v/>
      </c>
      <c r="U199" s="172" t="str">
        <f t="shared" ca="1" si="20"/>
        <v/>
      </c>
      <c r="V199" s="173" t="str">
        <f ca="1">IF(AND($W199&gt;0,RegimeExecucao="Unitário"),$F199,"")</f>
        <v/>
      </c>
      <c r="W199" s="547">
        <f ca="1">IF($Y199&gt;0,CHOOSE(MATCH(RegimeExecucao,{"Unitário","Global"},0),IF($A199="S",$Y199/$X199,""),($Y199/$X199)*100),0)</f>
        <v>0</v>
      </c>
      <c r="X199" s="384" t="str">
        <f ca="1">IF($Y199&gt;0,CHOOSE(MATCH(RegimeExecucao,{"Unitário","Global"},0),IF($A199="S",ROUND($H199,ORÇAMENTO!$AF$10),""),ROUND($I199,ORÇAMENTO!$AF$11)),"")</f>
        <v/>
      </c>
      <c r="Y199" s="384">
        <f t="shared" ca="1" si="21"/>
        <v>0</v>
      </c>
      <c r="Z199" s="572"/>
      <c r="AB199" s="382"/>
      <c r="AC199" s="516"/>
      <c r="AD199" s="516"/>
      <c r="AE199" s="516"/>
      <c r="AF199" s="516"/>
      <c r="AG199" s="516"/>
      <c r="AH199" s="516"/>
      <c r="AI199" s="516"/>
      <c r="AJ199" s="516"/>
      <c r="AK199" s="516"/>
      <c r="AL199" s="516"/>
      <c r="AM199" s="383"/>
      <c r="AO199">
        <f ca="1">IF($A199="S",IF(BM!$I199=0,0,CHOOSE(MATCH(RegimeExecucao,{"Global","Unitário"},0),ROUND(ROUND(BM.MEDAcumulado,15-13*BM!$A$9)/100*BM!$I199,15-13*ORÇAMENTO!$AF$11),ROUND(ROUND(BM.MEDAcumulado,15-13*BM!$A$9)*ROUND(BM!$H199,15-13*ORÇAMENTO!$AF$10),15-13*ORÇAMENTO!$AF$11))),IF($A199=0,0,ROUND(SomaAgrupBM,15-13*ORÇAMENTO!$AF$11)))</f>
        <v>0</v>
      </c>
    </row>
    <row r="200" spans="1:41" ht="51" x14ac:dyDescent="0.2">
      <c r="A200" t="str">
        <f ca="1">ORÇAMENTO!C200</f>
        <v>S</v>
      </c>
      <c r="B200">
        <f ca="1">ORÇAMENTO!D200</f>
        <v>0</v>
      </c>
      <c r="C200" s="116" t="str">
        <f t="shared" ca="1" si="15"/>
        <v>F</v>
      </c>
      <c r="D200" s="119" t="str">
        <f ca="1">ORÇAMENTO!O200</f>
        <v>1.8.0.2.</v>
      </c>
      <c r="E200" s="172" t="str">
        <f t="shared" ca="1" si="16"/>
        <v>(abra o arquivo 'Referência 03-2024.xlsm)</v>
      </c>
      <c r="F200" s="173" t="str">
        <f ca="1">IF(RegimeExecucao="Global","",ORÇAMENTO.Unidade)</f>
        <v/>
      </c>
      <c r="G200" s="124" t="str">
        <f ca="1">IF(RegimeExecucao="Global","",ORÇAMENTO!T200)</f>
        <v/>
      </c>
      <c r="H200" s="124" t="str">
        <f ca="1">IF(RegimeExecucao="Global","",ORÇAMENTO!W200)</f>
        <v/>
      </c>
      <c r="I200" s="127">
        <f ca="1">ORÇAMENTO!X200</f>
        <v>14.79</v>
      </c>
      <c r="J200" s="378">
        <f ca="1">IF($A200="S",IF(CAIXA.Modo,BM.AFAnterior,BM.MEDAnterior),IF(AND(RegimeExecucao="Global",$I200&gt;0,COUNTIF($AB$13:$AM$13,BM.medicao-1)&gt;0),M200/$I200*100,0))</f>
        <v>0</v>
      </c>
      <c r="K200" s="124">
        <f t="shared" ca="1" si="17"/>
        <v>0</v>
      </c>
      <c r="L200" s="379">
        <f ca="1">IF($A200="S",IF(CAIXA.Modo,BM.AFAcumulado,BM.MEDAcumulado),IF(AND(RegimeExecucao="Global",$I200&gt;0,COUNTIF($AB$13:$AM$13,BM.medicao)&gt;0),O200/$I200*100,0))</f>
        <v>0</v>
      </c>
      <c r="M200" s="380">
        <f ca="1">IF($A200="S",VTOTALBM,IF($A200=0,0,ROUND(SomaAgrupBM,15-13*ORÇAMENTO!$AF$11)))</f>
        <v>0</v>
      </c>
      <c r="N200" s="381">
        <f t="shared" ca="1" si="18"/>
        <v>0</v>
      </c>
      <c r="O200" s="127">
        <f ca="1">IF($A200="S",VTOTALBM,IF($A200=0,0,ROUND(SomaAgrupBM,15-13*ORÇAMENTO!$AF$11)))</f>
        <v>0</v>
      </c>
      <c r="Q200" s="382"/>
      <c r="R200" s="383"/>
      <c r="T200" s="119" t="str">
        <f t="shared" ca="1" si="19"/>
        <v/>
      </c>
      <c r="U200" s="172" t="str">
        <f t="shared" ca="1" si="20"/>
        <v/>
      </c>
      <c r="V200" s="173" t="str">
        <f ca="1">IF(AND($W200&gt;0,RegimeExecucao="Unitário"),$F200,"")</f>
        <v/>
      </c>
      <c r="W200" s="547">
        <f ca="1">IF($Y200&gt;0,CHOOSE(MATCH(RegimeExecucao,{"Unitário","Global"},0),IF($A200="S",$Y200/$X200,""),($Y200/$X200)*100),0)</f>
        <v>0</v>
      </c>
      <c r="X200" s="384" t="str">
        <f ca="1">IF($Y200&gt;0,CHOOSE(MATCH(RegimeExecucao,{"Unitário","Global"},0),IF($A200="S",ROUND($H200,ORÇAMENTO!$AF$10),""),ROUND($I200,ORÇAMENTO!$AF$11)),"")</f>
        <v/>
      </c>
      <c r="Y200" s="384">
        <f t="shared" ca="1" si="21"/>
        <v>0</v>
      </c>
      <c r="Z200" s="572"/>
      <c r="AB200" s="382"/>
      <c r="AC200" s="516"/>
      <c r="AD200" s="516"/>
      <c r="AE200" s="516"/>
      <c r="AF200" s="516"/>
      <c r="AG200" s="516"/>
      <c r="AH200" s="516"/>
      <c r="AI200" s="516"/>
      <c r="AJ200" s="516"/>
      <c r="AK200" s="516"/>
      <c r="AL200" s="516"/>
      <c r="AM200" s="383"/>
      <c r="AO200">
        <f ca="1">IF($A200="S",IF(BM!$I200=0,0,CHOOSE(MATCH(RegimeExecucao,{"Global","Unitário"},0),ROUND(ROUND(BM.MEDAcumulado,15-13*BM!$A$9)/100*BM!$I200,15-13*ORÇAMENTO!$AF$11),ROUND(ROUND(BM.MEDAcumulado,15-13*BM!$A$9)*ROUND(BM!$H200,15-13*ORÇAMENTO!$AF$10),15-13*ORÇAMENTO!$AF$11))),IF($A200=0,0,ROUND(SomaAgrupBM,15-13*ORÇAMENTO!$AF$11)))</f>
        <v>0</v>
      </c>
    </row>
    <row r="201" spans="1:41" ht="38.25" x14ac:dyDescent="0.2">
      <c r="A201" t="str">
        <f ca="1">ORÇAMENTO!C201</f>
        <v>S</v>
      </c>
      <c r="B201">
        <f ca="1">ORÇAMENTO!D201</f>
        <v>0</v>
      </c>
      <c r="C201" s="116" t="str">
        <f t="shared" ca="1" si="15"/>
        <v>F</v>
      </c>
      <c r="D201" s="119" t="str">
        <f ca="1">ORÇAMENTO!O201</f>
        <v>1.8.0.3.</v>
      </c>
      <c r="E201" s="172" t="str">
        <f t="shared" ca="1" si="16"/>
        <v>(abra o arquivo 'Referência 03-2024.xlsm)</v>
      </c>
      <c r="F201" s="173" t="str">
        <f ca="1">IF(RegimeExecucao="Global","",ORÇAMENTO.Unidade)</f>
        <v/>
      </c>
      <c r="G201" s="124" t="str">
        <f ca="1">IF(RegimeExecucao="Global","",ORÇAMENTO!T201)</f>
        <v/>
      </c>
      <c r="H201" s="124" t="str">
        <f ca="1">IF(RegimeExecucao="Global","",ORÇAMENTO!W201)</f>
        <v/>
      </c>
      <c r="I201" s="127">
        <f ca="1">ORÇAMENTO!X201</f>
        <v>1635.73</v>
      </c>
      <c r="J201" s="378">
        <f ca="1">IF($A201="S",IF(CAIXA.Modo,BM.AFAnterior,BM.MEDAnterior),IF(AND(RegimeExecucao="Global",$I201&gt;0,COUNTIF($AB$13:$AM$13,BM.medicao-1)&gt;0),M201/$I201*100,0))</f>
        <v>0</v>
      </c>
      <c r="K201" s="124">
        <f t="shared" ca="1" si="17"/>
        <v>0</v>
      </c>
      <c r="L201" s="379">
        <f ca="1">IF($A201="S",IF(CAIXA.Modo,BM.AFAcumulado,BM.MEDAcumulado),IF(AND(RegimeExecucao="Global",$I201&gt;0,COUNTIF($AB$13:$AM$13,BM.medicao)&gt;0),O201/$I201*100,0))</f>
        <v>0</v>
      </c>
      <c r="M201" s="380">
        <f ca="1">IF($A201="S",VTOTALBM,IF($A201=0,0,ROUND(SomaAgrupBM,15-13*ORÇAMENTO!$AF$11)))</f>
        <v>0</v>
      </c>
      <c r="N201" s="381">
        <f t="shared" ca="1" si="18"/>
        <v>0</v>
      </c>
      <c r="O201" s="127">
        <f ca="1">IF($A201="S",VTOTALBM,IF($A201=0,0,ROUND(SomaAgrupBM,15-13*ORÇAMENTO!$AF$11)))</f>
        <v>0</v>
      </c>
      <c r="Q201" s="382"/>
      <c r="R201" s="383"/>
      <c r="T201" s="119" t="str">
        <f t="shared" ca="1" si="19"/>
        <v/>
      </c>
      <c r="U201" s="172" t="str">
        <f t="shared" ca="1" si="20"/>
        <v/>
      </c>
      <c r="V201" s="173" t="str">
        <f ca="1">IF(AND($W201&gt;0,RegimeExecucao="Unitário"),$F201,"")</f>
        <v/>
      </c>
      <c r="W201" s="547">
        <f ca="1">IF($Y201&gt;0,CHOOSE(MATCH(RegimeExecucao,{"Unitário","Global"},0),IF($A201="S",$Y201/$X201,""),($Y201/$X201)*100),0)</f>
        <v>0</v>
      </c>
      <c r="X201" s="384" t="str">
        <f ca="1">IF($Y201&gt;0,CHOOSE(MATCH(RegimeExecucao,{"Unitário","Global"},0),IF($A201="S",ROUND($H201,ORÇAMENTO!$AF$10),""),ROUND($I201,ORÇAMENTO!$AF$11)),"")</f>
        <v/>
      </c>
      <c r="Y201" s="384">
        <f t="shared" ca="1" si="21"/>
        <v>0</v>
      </c>
      <c r="Z201" s="572"/>
      <c r="AB201" s="382"/>
      <c r="AC201" s="516"/>
      <c r="AD201" s="516"/>
      <c r="AE201" s="516"/>
      <c r="AF201" s="516"/>
      <c r="AG201" s="516"/>
      <c r="AH201" s="516"/>
      <c r="AI201" s="516"/>
      <c r="AJ201" s="516"/>
      <c r="AK201" s="516"/>
      <c r="AL201" s="516"/>
      <c r="AM201" s="383"/>
      <c r="AO201">
        <f ca="1">IF($A201="S",IF(BM!$I201=0,0,CHOOSE(MATCH(RegimeExecucao,{"Global","Unitário"},0),ROUND(ROUND(BM.MEDAcumulado,15-13*BM!$A$9)/100*BM!$I201,15-13*ORÇAMENTO!$AF$11),ROUND(ROUND(BM.MEDAcumulado,15-13*BM!$A$9)*ROUND(BM!$H201,15-13*ORÇAMENTO!$AF$10),15-13*ORÇAMENTO!$AF$11))),IF($A201=0,0,ROUND(SomaAgrupBM,15-13*ORÇAMENTO!$AF$11)))</f>
        <v>0</v>
      </c>
    </row>
    <row r="202" spans="1:41" ht="51" x14ac:dyDescent="0.2">
      <c r="A202" t="str">
        <f ca="1">ORÇAMENTO!C202</f>
        <v>S</v>
      </c>
      <c r="B202">
        <f ca="1">ORÇAMENTO!D202</f>
        <v>0</v>
      </c>
      <c r="C202" s="116" t="str">
        <f t="shared" ca="1" si="15"/>
        <v>F</v>
      </c>
      <c r="D202" s="119" t="str">
        <f ca="1">ORÇAMENTO!O202</f>
        <v>1.8.0.4.</v>
      </c>
      <c r="E202" s="172" t="str">
        <f t="shared" ca="1" si="16"/>
        <v>(abra o arquivo 'Referência 03-2024.xlsm)</v>
      </c>
      <c r="F202" s="173" t="str">
        <f ca="1">IF(RegimeExecucao="Global","",ORÇAMENTO.Unidade)</f>
        <v/>
      </c>
      <c r="G202" s="124" t="str">
        <f ca="1">IF(RegimeExecucao="Global","",ORÇAMENTO!T202)</f>
        <v/>
      </c>
      <c r="H202" s="124" t="str">
        <f ca="1">IF(RegimeExecucao="Global","",ORÇAMENTO!W202)</f>
        <v/>
      </c>
      <c r="I202" s="127">
        <f ca="1">ORÇAMENTO!X202</f>
        <v>1622.35</v>
      </c>
      <c r="J202" s="378">
        <f ca="1">IF($A202="S",IF(CAIXA.Modo,BM.AFAnterior,BM.MEDAnterior),IF(AND(RegimeExecucao="Global",$I202&gt;0,COUNTIF($AB$13:$AM$13,BM.medicao-1)&gt;0),M202/$I202*100,0))</f>
        <v>0</v>
      </c>
      <c r="K202" s="124">
        <f t="shared" ca="1" si="17"/>
        <v>0</v>
      </c>
      <c r="L202" s="379">
        <f ca="1">IF($A202="S",IF(CAIXA.Modo,BM.AFAcumulado,BM.MEDAcumulado),IF(AND(RegimeExecucao="Global",$I202&gt;0,COUNTIF($AB$13:$AM$13,BM.medicao)&gt;0),O202/$I202*100,0))</f>
        <v>0</v>
      </c>
      <c r="M202" s="380">
        <f ca="1">IF($A202="S",VTOTALBM,IF($A202=0,0,ROUND(SomaAgrupBM,15-13*ORÇAMENTO!$AF$11)))</f>
        <v>0</v>
      </c>
      <c r="N202" s="381">
        <f t="shared" ca="1" si="18"/>
        <v>0</v>
      </c>
      <c r="O202" s="127">
        <f ca="1">IF($A202="S",VTOTALBM,IF($A202=0,0,ROUND(SomaAgrupBM,15-13*ORÇAMENTO!$AF$11)))</f>
        <v>0</v>
      </c>
      <c r="Q202" s="382"/>
      <c r="R202" s="383"/>
      <c r="T202" s="119" t="str">
        <f t="shared" ca="1" si="19"/>
        <v/>
      </c>
      <c r="U202" s="172" t="str">
        <f t="shared" ca="1" si="20"/>
        <v/>
      </c>
      <c r="V202" s="173" t="str">
        <f ca="1">IF(AND($W202&gt;0,RegimeExecucao="Unitário"),$F202,"")</f>
        <v/>
      </c>
      <c r="W202" s="547">
        <f ca="1">IF($Y202&gt;0,CHOOSE(MATCH(RegimeExecucao,{"Unitário","Global"},0),IF($A202="S",$Y202/$X202,""),($Y202/$X202)*100),0)</f>
        <v>0</v>
      </c>
      <c r="X202" s="384" t="str">
        <f ca="1">IF($Y202&gt;0,CHOOSE(MATCH(RegimeExecucao,{"Unitário","Global"},0),IF($A202="S",ROUND($H202,ORÇAMENTO!$AF$10),""),ROUND($I202,ORÇAMENTO!$AF$11)),"")</f>
        <v/>
      </c>
      <c r="Y202" s="384">
        <f t="shared" ca="1" si="21"/>
        <v>0</v>
      </c>
      <c r="Z202" s="572"/>
      <c r="AB202" s="382"/>
      <c r="AC202" s="516"/>
      <c r="AD202" s="516"/>
      <c r="AE202" s="516"/>
      <c r="AF202" s="516"/>
      <c r="AG202" s="516"/>
      <c r="AH202" s="516"/>
      <c r="AI202" s="516"/>
      <c r="AJ202" s="516"/>
      <c r="AK202" s="516"/>
      <c r="AL202" s="516"/>
      <c r="AM202" s="383"/>
      <c r="AO202">
        <f ca="1">IF($A202="S",IF(BM!$I202=0,0,CHOOSE(MATCH(RegimeExecucao,{"Global","Unitário"},0),ROUND(ROUND(BM.MEDAcumulado,15-13*BM!$A$9)/100*BM!$I202,15-13*ORÇAMENTO!$AF$11),ROUND(ROUND(BM.MEDAcumulado,15-13*BM!$A$9)*ROUND(BM!$H202,15-13*ORÇAMENTO!$AF$10),15-13*ORÇAMENTO!$AF$11))),IF($A202=0,0,ROUND(SomaAgrupBM,15-13*ORÇAMENTO!$AF$11)))</f>
        <v>0</v>
      </c>
    </row>
    <row r="203" spans="1:41" ht="38.25" x14ac:dyDescent="0.2">
      <c r="A203" t="str">
        <f ca="1">ORÇAMENTO!C203</f>
        <v>S</v>
      </c>
      <c r="B203">
        <f ca="1">ORÇAMENTO!D203</f>
        <v>0</v>
      </c>
      <c r="C203" s="116" t="str">
        <f t="shared" ca="1" si="15"/>
        <v>F</v>
      </c>
      <c r="D203" s="119" t="str">
        <f ca="1">ORÇAMENTO!O203</f>
        <v>1.8.0.5.</v>
      </c>
      <c r="E203" s="172" t="str">
        <f t="shared" ca="1" si="16"/>
        <v>(abra o arquivo 'Referência 03-2024.xlsm)</v>
      </c>
      <c r="F203" s="173" t="str">
        <f ca="1">IF(RegimeExecucao="Global","",ORÇAMENTO.Unidade)</f>
        <v/>
      </c>
      <c r="G203" s="124" t="str">
        <f ca="1">IF(RegimeExecucao="Global","",ORÇAMENTO!T203)</f>
        <v/>
      </c>
      <c r="H203" s="124" t="str">
        <f ca="1">IF(RegimeExecucao="Global","",ORÇAMENTO!W203)</f>
        <v/>
      </c>
      <c r="I203" s="127">
        <f ca="1">ORÇAMENTO!X203</f>
        <v>630.96</v>
      </c>
      <c r="J203" s="378">
        <f ca="1">IF($A203="S",IF(CAIXA.Modo,BM.AFAnterior,BM.MEDAnterior),IF(AND(RegimeExecucao="Global",$I203&gt;0,COUNTIF($AB$13:$AM$13,BM.medicao-1)&gt;0),M203/$I203*100,0))</f>
        <v>0</v>
      </c>
      <c r="K203" s="124">
        <f t="shared" ca="1" si="17"/>
        <v>0</v>
      </c>
      <c r="L203" s="379">
        <f ca="1">IF($A203="S",IF(CAIXA.Modo,BM.AFAcumulado,BM.MEDAcumulado),IF(AND(RegimeExecucao="Global",$I203&gt;0,COUNTIF($AB$13:$AM$13,BM.medicao)&gt;0),O203/$I203*100,0))</f>
        <v>0</v>
      </c>
      <c r="M203" s="380">
        <f ca="1">IF($A203="S",VTOTALBM,IF($A203=0,0,ROUND(SomaAgrupBM,15-13*ORÇAMENTO!$AF$11)))</f>
        <v>0</v>
      </c>
      <c r="N203" s="381">
        <f t="shared" ca="1" si="18"/>
        <v>0</v>
      </c>
      <c r="O203" s="127">
        <f ca="1">IF($A203="S",VTOTALBM,IF($A203=0,0,ROUND(SomaAgrupBM,15-13*ORÇAMENTO!$AF$11)))</f>
        <v>0</v>
      </c>
      <c r="Q203" s="382"/>
      <c r="R203" s="383"/>
      <c r="T203" s="119" t="str">
        <f t="shared" ca="1" si="19"/>
        <v/>
      </c>
      <c r="U203" s="172" t="str">
        <f t="shared" ca="1" si="20"/>
        <v/>
      </c>
      <c r="V203" s="173" t="str">
        <f ca="1">IF(AND($W203&gt;0,RegimeExecucao="Unitário"),$F203,"")</f>
        <v/>
      </c>
      <c r="W203" s="547">
        <f ca="1">IF($Y203&gt;0,CHOOSE(MATCH(RegimeExecucao,{"Unitário","Global"},0),IF($A203="S",$Y203/$X203,""),($Y203/$X203)*100),0)</f>
        <v>0</v>
      </c>
      <c r="X203" s="384" t="str">
        <f ca="1">IF($Y203&gt;0,CHOOSE(MATCH(RegimeExecucao,{"Unitário","Global"},0),IF($A203="S",ROUND($H203,ORÇAMENTO!$AF$10),""),ROUND($I203,ORÇAMENTO!$AF$11)),"")</f>
        <v/>
      </c>
      <c r="Y203" s="384">
        <f t="shared" ca="1" si="21"/>
        <v>0</v>
      </c>
      <c r="Z203" s="572"/>
      <c r="AB203" s="382"/>
      <c r="AC203" s="516"/>
      <c r="AD203" s="516"/>
      <c r="AE203" s="516"/>
      <c r="AF203" s="516"/>
      <c r="AG203" s="516"/>
      <c r="AH203" s="516"/>
      <c r="AI203" s="516"/>
      <c r="AJ203" s="516"/>
      <c r="AK203" s="516"/>
      <c r="AL203" s="516"/>
      <c r="AM203" s="383"/>
      <c r="AO203">
        <f ca="1">IF($A203="S",IF(BM!$I203=0,0,CHOOSE(MATCH(RegimeExecucao,{"Global","Unitário"},0),ROUND(ROUND(BM.MEDAcumulado,15-13*BM!$A$9)/100*BM!$I203,15-13*ORÇAMENTO!$AF$11),ROUND(ROUND(BM.MEDAcumulado,15-13*BM!$A$9)*ROUND(BM!$H203,15-13*ORÇAMENTO!$AF$10),15-13*ORÇAMENTO!$AF$11))),IF($A203=0,0,ROUND(SomaAgrupBM,15-13*ORÇAMENTO!$AF$11)))</f>
        <v>0</v>
      </c>
    </row>
    <row r="204" spans="1:41" ht="38.25" x14ac:dyDescent="0.2">
      <c r="A204" t="str">
        <f ca="1">ORÇAMENTO!C204</f>
        <v>S</v>
      </c>
      <c r="B204">
        <f ca="1">ORÇAMENTO!D204</f>
        <v>0</v>
      </c>
      <c r="C204" s="116" t="str">
        <f t="shared" ca="1" si="15"/>
        <v>F</v>
      </c>
      <c r="D204" s="119" t="str">
        <f ca="1">ORÇAMENTO!O204</f>
        <v>1.8.0.6.</v>
      </c>
      <c r="E204" s="172" t="str">
        <f t="shared" ca="1" si="16"/>
        <v>(abra o arquivo 'Referência 03-2024.xlsm)</v>
      </c>
      <c r="F204" s="173" t="str">
        <f ca="1">IF(RegimeExecucao="Global","",ORÇAMENTO.Unidade)</f>
        <v/>
      </c>
      <c r="G204" s="124" t="str">
        <f ca="1">IF(RegimeExecucao="Global","",ORÇAMENTO!T204)</f>
        <v/>
      </c>
      <c r="H204" s="124" t="str">
        <f ca="1">IF(RegimeExecucao="Global","",ORÇAMENTO!W204)</f>
        <v/>
      </c>
      <c r="I204" s="127">
        <f ca="1">ORÇAMENTO!X204</f>
        <v>1399.53</v>
      </c>
      <c r="J204" s="378">
        <f ca="1">IF($A204="S",IF(CAIXA.Modo,BM.AFAnterior,BM.MEDAnterior),IF(AND(RegimeExecucao="Global",$I204&gt;0,COUNTIF($AB$13:$AM$13,BM.medicao-1)&gt;0),M204/$I204*100,0))</f>
        <v>0</v>
      </c>
      <c r="K204" s="124">
        <f t="shared" ca="1" si="17"/>
        <v>0</v>
      </c>
      <c r="L204" s="379">
        <f ca="1">IF($A204="S",IF(CAIXA.Modo,BM.AFAcumulado,BM.MEDAcumulado),IF(AND(RegimeExecucao="Global",$I204&gt;0,COUNTIF($AB$13:$AM$13,BM.medicao)&gt;0),O204/$I204*100,0))</f>
        <v>0</v>
      </c>
      <c r="M204" s="380">
        <f ca="1">IF($A204="S",VTOTALBM,IF($A204=0,0,ROUND(SomaAgrupBM,15-13*ORÇAMENTO!$AF$11)))</f>
        <v>0</v>
      </c>
      <c r="N204" s="381">
        <f t="shared" ca="1" si="18"/>
        <v>0</v>
      </c>
      <c r="O204" s="127">
        <f ca="1">IF($A204="S",VTOTALBM,IF($A204=0,0,ROUND(SomaAgrupBM,15-13*ORÇAMENTO!$AF$11)))</f>
        <v>0</v>
      </c>
      <c r="Q204" s="382"/>
      <c r="R204" s="383"/>
      <c r="T204" s="119" t="str">
        <f t="shared" ca="1" si="19"/>
        <v/>
      </c>
      <c r="U204" s="172" t="str">
        <f t="shared" ca="1" si="20"/>
        <v/>
      </c>
      <c r="V204" s="173" t="str">
        <f ca="1">IF(AND($W204&gt;0,RegimeExecucao="Unitário"),$F204,"")</f>
        <v/>
      </c>
      <c r="W204" s="547">
        <f ca="1">IF($Y204&gt;0,CHOOSE(MATCH(RegimeExecucao,{"Unitário","Global"},0),IF($A204="S",$Y204/$X204,""),($Y204/$X204)*100),0)</f>
        <v>0</v>
      </c>
      <c r="X204" s="384" t="str">
        <f ca="1">IF($Y204&gt;0,CHOOSE(MATCH(RegimeExecucao,{"Unitário","Global"},0),IF($A204="S",ROUND($H204,ORÇAMENTO!$AF$10),""),ROUND($I204,ORÇAMENTO!$AF$11)),"")</f>
        <v/>
      </c>
      <c r="Y204" s="384">
        <f t="shared" ca="1" si="21"/>
        <v>0</v>
      </c>
      <c r="Z204" s="572"/>
      <c r="AB204" s="382"/>
      <c r="AC204" s="516"/>
      <c r="AD204" s="516"/>
      <c r="AE204" s="516"/>
      <c r="AF204" s="516"/>
      <c r="AG204" s="516"/>
      <c r="AH204" s="516"/>
      <c r="AI204" s="516"/>
      <c r="AJ204" s="516"/>
      <c r="AK204" s="516"/>
      <c r="AL204" s="516"/>
      <c r="AM204" s="383"/>
      <c r="AO204">
        <f ca="1">IF($A204="S",IF(BM!$I204=0,0,CHOOSE(MATCH(RegimeExecucao,{"Global","Unitário"},0),ROUND(ROUND(BM.MEDAcumulado,15-13*BM!$A$9)/100*BM!$I204,15-13*ORÇAMENTO!$AF$11),ROUND(ROUND(BM.MEDAcumulado,15-13*BM!$A$9)*ROUND(BM!$H204,15-13*ORÇAMENTO!$AF$10),15-13*ORÇAMENTO!$AF$11))),IF($A204=0,0,ROUND(SomaAgrupBM,15-13*ORÇAMENTO!$AF$11)))</f>
        <v>0</v>
      </c>
    </row>
    <row r="205" spans="1:41" ht="51" x14ac:dyDescent="0.2">
      <c r="A205" t="str">
        <f ca="1">ORÇAMENTO!C205</f>
        <v>S</v>
      </c>
      <c r="B205">
        <f ca="1">ORÇAMENTO!D205</f>
        <v>0</v>
      </c>
      <c r="C205" s="116" t="str">
        <f t="shared" ca="1" si="15"/>
        <v>F</v>
      </c>
      <c r="D205" s="119" t="str">
        <f ca="1">ORÇAMENTO!O205</f>
        <v>1.8.0.7.</v>
      </c>
      <c r="E205" s="172" t="str">
        <f t="shared" ca="1" si="16"/>
        <v>(abra o arquivo 'Referência 03-2024.xlsm)</v>
      </c>
      <c r="F205" s="173" t="str">
        <f ca="1">IF(RegimeExecucao="Global","",ORÇAMENTO.Unidade)</f>
        <v/>
      </c>
      <c r="G205" s="124" t="str">
        <f ca="1">IF(RegimeExecucao="Global","",ORÇAMENTO!T205)</f>
        <v/>
      </c>
      <c r="H205" s="124" t="str">
        <f ca="1">IF(RegimeExecucao="Global","",ORÇAMENTO!W205)</f>
        <v/>
      </c>
      <c r="I205" s="127">
        <f ca="1">ORÇAMENTO!X205</f>
        <v>2182.3200000000002</v>
      </c>
      <c r="J205" s="378">
        <f ca="1">IF($A205="S",IF(CAIXA.Modo,BM.AFAnterior,BM.MEDAnterior),IF(AND(RegimeExecucao="Global",$I205&gt;0,COUNTIF($AB$13:$AM$13,BM.medicao-1)&gt;0),M205/$I205*100,0))</f>
        <v>0</v>
      </c>
      <c r="K205" s="124">
        <f t="shared" ca="1" si="17"/>
        <v>0</v>
      </c>
      <c r="L205" s="379">
        <f ca="1">IF($A205="S",IF(CAIXA.Modo,BM.AFAcumulado,BM.MEDAcumulado),IF(AND(RegimeExecucao="Global",$I205&gt;0,COUNTIF($AB$13:$AM$13,BM.medicao)&gt;0),O205/$I205*100,0))</f>
        <v>0</v>
      </c>
      <c r="M205" s="380">
        <f ca="1">IF($A205="S",VTOTALBM,IF($A205=0,0,ROUND(SomaAgrupBM,15-13*ORÇAMENTO!$AF$11)))</f>
        <v>0</v>
      </c>
      <c r="N205" s="381">
        <f t="shared" ca="1" si="18"/>
        <v>0</v>
      </c>
      <c r="O205" s="127">
        <f ca="1">IF($A205="S",VTOTALBM,IF($A205=0,0,ROUND(SomaAgrupBM,15-13*ORÇAMENTO!$AF$11)))</f>
        <v>0</v>
      </c>
      <c r="Q205" s="382"/>
      <c r="R205" s="383"/>
      <c r="T205" s="119" t="str">
        <f t="shared" ca="1" si="19"/>
        <v/>
      </c>
      <c r="U205" s="172" t="str">
        <f t="shared" ca="1" si="20"/>
        <v/>
      </c>
      <c r="V205" s="173" t="str">
        <f ca="1">IF(AND($W205&gt;0,RegimeExecucao="Unitário"),$F205,"")</f>
        <v/>
      </c>
      <c r="W205" s="547">
        <f ca="1">IF($Y205&gt;0,CHOOSE(MATCH(RegimeExecucao,{"Unitário","Global"},0),IF($A205="S",$Y205/$X205,""),($Y205/$X205)*100),0)</f>
        <v>0</v>
      </c>
      <c r="X205" s="384" t="str">
        <f ca="1">IF($Y205&gt;0,CHOOSE(MATCH(RegimeExecucao,{"Unitário","Global"},0),IF($A205="S",ROUND($H205,ORÇAMENTO!$AF$10),""),ROUND($I205,ORÇAMENTO!$AF$11)),"")</f>
        <v/>
      </c>
      <c r="Y205" s="384">
        <f t="shared" ca="1" si="21"/>
        <v>0</v>
      </c>
      <c r="Z205" s="572"/>
      <c r="AB205" s="382"/>
      <c r="AC205" s="516"/>
      <c r="AD205" s="516"/>
      <c r="AE205" s="516"/>
      <c r="AF205" s="516"/>
      <c r="AG205" s="516"/>
      <c r="AH205" s="516"/>
      <c r="AI205" s="516"/>
      <c r="AJ205" s="516"/>
      <c r="AK205" s="516"/>
      <c r="AL205" s="516"/>
      <c r="AM205" s="383"/>
      <c r="AO205">
        <f ca="1">IF($A205="S",IF(BM!$I205=0,0,CHOOSE(MATCH(RegimeExecucao,{"Global","Unitário"},0),ROUND(ROUND(BM.MEDAcumulado,15-13*BM!$A$9)/100*BM!$I205,15-13*ORÇAMENTO!$AF$11),ROUND(ROUND(BM.MEDAcumulado,15-13*BM!$A$9)*ROUND(BM!$H205,15-13*ORÇAMENTO!$AF$10),15-13*ORÇAMENTO!$AF$11))),IF($A205=0,0,ROUND(SomaAgrupBM,15-13*ORÇAMENTO!$AF$11)))</f>
        <v>0</v>
      </c>
    </row>
    <row r="206" spans="1:41" ht="51" x14ac:dyDescent="0.2">
      <c r="A206" t="str">
        <f ca="1">ORÇAMENTO!C206</f>
        <v>S</v>
      </c>
      <c r="B206">
        <f ca="1">ORÇAMENTO!D206</f>
        <v>0</v>
      </c>
      <c r="C206" s="116" t="str">
        <f ca="1">IF(OR($I206&gt;0,$A206=1,$A206=2,$A206=3,$A206=4),"F","")</f>
        <v>F</v>
      </c>
      <c r="D206" s="119" t="str">
        <f ca="1">ORÇAMENTO!O206</f>
        <v>1.8.0.8.</v>
      </c>
      <c r="E206" s="172" t="str">
        <f ca="1">ORÇAMENTO.Descricao</f>
        <v>(abra o arquivo 'Referência 03-2024.xlsm)</v>
      </c>
      <c r="F206" s="173" t="str">
        <f ca="1">IF(RegimeExecucao="Global","",ORÇAMENTO.Unidade)</f>
        <v/>
      </c>
      <c r="G206" s="124" t="str">
        <f ca="1">IF(RegimeExecucao="Global","",ORÇAMENTO!T206)</f>
        <v/>
      </c>
      <c r="H206" s="124" t="str">
        <f ca="1">IF(RegimeExecucao="Global","",ORÇAMENTO!W206)</f>
        <v/>
      </c>
      <c r="I206" s="127">
        <f ca="1">ORÇAMENTO!X206</f>
        <v>972.75</v>
      </c>
      <c r="J206" s="378">
        <f ca="1">IF($A206="S",IF(CAIXA.Modo,BM.AFAnterior,BM.MEDAnterior),IF(AND(RegimeExecucao="Global",$I206&gt;0,COUNTIF($AB$13:$AM$13,BM.medicao-1)&gt;0),M206/$I206*100,0))</f>
        <v>0</v>
      </c>
      <c r="K206" s="124">
        <f ca="1">L206-J206</f>
        <v>0</v>
      </c>
      <c r="L206" s="379">
        <f ca="1">IF($A206="S",IF(CAIXA.Modo,BM.AFAcumulado,BM.MEDAcumulado),IF(AND(RegimeExecucao="Global",$I206&gt;0,COUNTIF($AB$13:$AM$13,BM.medicao)&gt;0),O206/$I206*100,0))</f>
        <v>0</v>
      </c>
      <c r="M206" s="380">
        <f ca="1">IF($A206="S",VTOTALBM,IF($A206=0,0,ROUND(SomaAgrupBM,15-13*ORÇAMENTO!$AF$11)))</f>
        <v>0</v>
      </c>
      <c r="N206" s="381">
        <f ca="1">O206-M206</f>
        <v>0</v>
      </c>
      <c r="O206" s="127">
        <f ca="1">IF($A206="S",VTOTALBM,IF($A206=0,0,ROUND(SomaAgrupBM,15-13*ORÇAMENTO!$AF$11)))</f>
        <v>0</v>
      </c>
      <c r="Q206" s="382"/>
      <c r="R206" s="383"/>
      <c r="T206" s="119" t="str">
        <f ca="1">IF($W206&gt;0,$D206,"")</f>
        <v/>
      </c>
      <c r="U206" s="172" t="str">
        <f ca="1">IF($W206&gt;0,$E206,"")</f>
        <v/>
      </c>
      <c r="V206" s="173" t="str">
        <f ca="1">IF(AND($W206&gt;0,RegimeExecucao="Unitário"),$F206,"")</f>
        <v/>
      </c>
      <c r="W206" s="547">
        <f ca="1">IF($Y206&gt;0,CHOOSE(MATCH(RegimeExecucao,{"Unitário","Global"},0),IF($A206="S",$Y206/$X206,""),($Y206/$X206)*100),0)</f>
        <v>0</v>
      </c>
      <c r="X206" s="384" t="str">
        <f ca="1">IF($Y206&gt;0,CHOOSE(MATCH(RegimeExecucao,{"Unitário","Global"},0),IF($A206="S",ROUND($H206,ORÇAMENTO!$AF$10),""),ROUND($I206,ORÇAMENTO!$AF$11)),"")</f>
        <v/>
      </c>
      <c r="Y206" s="384">
        <f ca="1">AO206-O206</f>
        <v>0</v>
      </c>
      <c r="Z206" s="572"/>
      <c r="AB206" s="382"/>
      <c r="AC206" s="516"/>
      <c r="AD206" s="516"/>
      <c r="AE206" s="516"/>
      <c r="AF206" s="516"/>
      <c r="AG206" s="516"/>
      <c r="AH206" s="516"/>
      <c r="AI206" s="516"/>
      <c r="AJ206" s="516"/>
      <c r="AK206" s="516"/>
      <c r="AL206" s="516"/>
      <c r="AM206" s="383"/>
      <c r="AO206">
        <f ca="1">IF($A206="S",IF(BM!$I206=0,0,CHOOSE(MATCH(RegimeExecucao,{"Global","Unitário"},0),ROUND(ROUND(BM.MEDAcumulado,15-13*BM!$A$9)/100*BM!$I206,15-13*ORÇAMENTO!$AF$11),ROUND(ROUND(BM.MEDAcumulado,15-13*BM!$A$9)*ROUND(BM!$H206,15-13*ORÇAMENTO!$AF$10),15-13*ORÇAMENTO!$AF$11))),IF($A206=0,0,ROUND(SomaAgrupBM,15-13*ORÇAMENTO!$AF$11)))</f>
        <v>0</v>
      </c>
    </row>
    <row r="207" spans="1:41" ht="25.5" x14ac:dyDescent="0.2">
      <c r="A207" t="str">
        <f ca="1">ORÇAMENTO!C207</f>
        <v>S</v>
      </c>
      <c r="B207">
        <f ca="1">ORÇAMENTO!D207</f>
        <v>0</v>
      </c>
      <c r="C207" s="116" t="str">
        <f ca="1">IF(OR($I207&gt;0,$A207=1,$A207=2,$A207=3,$A207=4),"F","")</f>
        <v>F</v>
      </c>
      <c r="D207" s="119" t="str">
        <f ca="1">ORÇAMENTO!O207</f>
        <v>1.8.0.9.</v>
      </c>
      <c r="E207" s="172" t="str">
        <f ca="1">ORÇAMENTO.Descricao</f>
        <v>(abra o arquivo 'Referência 03-2024.xlsm)</v>
      </c>
      <c r="F207" s="173" t="str">
        <f ca="1">IF(RegimeExecucao="Global","",ORÇAMENTO.Unidade)</f>
        <v/>
      </c>
      <c r="G207" s="124" t="str">
        <f ca="1">IF(RegimeExecucao="Global","",ORÇAMENTO!T207)</f>
        <v/>
      </c>
      <c r="H207" s="124" t="str">
        <f ca="1">IF(RegimeExecucao="Global","",ORÇAMENTO!W207)</f>
        <v/>
      </c>
      <c r="I207" s="127">
        <f ca="1">ORÇAMENTO!X207</f>
        <v>8271.7800000000007</v>
      </c>
      <c r="J207" s="378">
        <f ca="1">IF($A207="S",IF(CAIXA.Modo,BM.AFAnterior,BM.MEDAnterior),IF(AND(RegimeExecucao="Global",$I207&gt;0,COUNTIF($AB$13:$AM$13,BM.medicao-1)&gt;0),M207/$I207*100,0))</f>
        <v>0</v>
      </c>
      <c r="K207" s="124">
        <f ca="1">L207-J207</f>
        <v>0</v>
      </c>
      <c r="L207" s="379">
        <f ca="1">IF($A207="S",IF(CAIXA.Modo,BM.AFAcumulado,BM.MEDAcumulado),IF(AND(RegimeExecucao="Global",$I207&gt;0,COUNTIF($AB$13:$AM$13,BM.medicao)&gt;0),O207/$I207*100,0))</f>
        <v>0</v>
      </c>
      <c r="M207" s="380">
        <f ca="1">IF($A207="S",VTOTALBM,IF($A207=0,0,ROUND(SomaAgrupBM,15-13*ORÇAMENTO!$AF$11)))</f>
        <v>0</v>
      </c>
      <c r="N207" s="381">
        <f ca="1">O207-M207</f>
        <v>0</v>
      </c>
      <c r="O207" s="127">
        <f ca="1">IF($A207="S",VTOTALBM,IF($A207=0,0,ROUND(SomaAgrupBM,15-13*ORÇAMENTO!$AF$11)))</f>
        <v>0</v>
      </c>
      <c r="Q207" s="382"/>
      <c r="R207" s="383"/>
      <c r="T207" s="119" t="str">
        <f ca="1">IF($W207&gt;0,$D207,"")</f>
        <v/>
      </c>
      <c r="U207" s="172" t="str">
        <f ca="1">IF($W207&gt;0,$E207,"")</f>
        <v/>
      </c>
      <c r="V207" s="173" t="str">
        <f ca="1">IF(AND($W207&gt;0,RegimeExecucao="Unitário"),$F207,"")</f>
        <v/>
      </c>
      <c r="W207" s="547">
        <f ca="1">IF($Y207&gt;0,CHOOSE(MATCH(RegimeExecucao,{"Unitário","Global"},0),IF($A207="S",$Y207/$X207,""),($Y207/$X207)*100),0)</f>
        <v>0</v>
      </c>
      <c r="X207" s="384" t="str">
        <f ca="1">IF($Y207&gt;0,CHOOSE(MATCH(RegimeExecucao,{"Unitário","Global"},0),IF($A207="S",ROUND($H207,ORÇAMENTO!$AF$10),""),ROUND($I207,ORÇAMENTO!$AF$11)),"")</f>
        <v/>
      </c>
      <c r="Y207" s="384">
        <f ca="1">AO207-O207</f>
        <v>0</v>
      </c>
      <c r="Z207" s="572"/>
      <c r="AB207" s="382"/>
      <c r="AC207" s="516"/>
      <c r="AD207" s="516"/>
      <c r="AE207" s="516"/>
      <c r="AF207" s="516"/>
      <c r="AG207" s="516"/>
      <c r="AH207" s="516"/>
      <c r="AI207" s="516"/>
      <c r="AJ207" s="516"/>
      <c r="AK207" s="516"/>
      <c r="AL207" s="516"/>
      <c r="AM207" s="383"/>
      <c r="AO207">
        <f ca="1">IF($A207="S",IF(BM!$I207=0,0,CHOOSE(MATCH(RegimeExecucao,{"Global","Unitário"},0),ROUND(ROUND(BM.MEDAcumulado,15-13*BM!$A$9)/100*BM!$I207,15-13*ORÇAMENTO!$AF$11),ROUND(ROUND(BM.MEDAcumulado,15-13*BM!$A$9)*ROUND(BM!$H207,15-13*ORÇAMENTO!$AF$10),15-13*ORÇAMENTO!$AF$11))),IF($A207=0,0,ROUND(SomaAgrupBM,15-13*ORÇAMENTO!$AF$11)))</f>
        <v>0</v>
      </c>
    </row>
    <row r="208" spans="1:41" ht="25.5" x14ac:dyDescent="0.2">
      <c r="A208" t="str">
        <f ca="1">ORÇAMENTO!C208</f>
        <v>S</v>
      </c>
      <c r="B208">
        <f ca="1">ORÇAMENTO!D208</f>
        <v>0</v>
      </c>
      <c r="C208" s="116" t="str">
        <f t="shared" ref="C208:C209" ca="1" si="22">IF(OR($I208&gt;0,$A208=1,$A208=2,$A208=3,$A208=4),"F","")</f>
        <v>F</v>
      </c>
      <c r="D208" s="119" t="str">
        <f ca="1">ORÇAMENTO!O208</f>
        <v>1.8.0.10.</v>
      </c>
      <c r="E208" s="172" t="str">
        <f ca="1">ORÇAMENTO.Descricao</f>
        <v>(abra o arquivo 'Referência 03-2024.xlsm)</v>
      </c>
      <c r="F208" s="173" t="str">
        <f ca="1">IF(RegimeExecucao="Global","",ORÇAMENTO.Unidade)</f>
        <v/>
      </c>
      <c r="G208" s="124" t="str">
        <f ca="1">IF(RegimeExecucao="Global","",ORÇAMENTO!T208)</f>
        <v/>
      </c>
      <c r="H208" s="124" t="str">
        <f ca="1">IF(RegimeExecucao="Global","",ORÇAMENTO!W208)</f>
        <v/>
      </c>
      <c r="I208" s="127">
        <f ca="1">ORÇAMENTO!X208</f>
        <v>63</v>
      </c>
      <c r="J208" s="378">
        <f ca="1">IF($A208="S",IF(CAIXA.Modo,BM.AFAnterior,BM.MEDAnterior),IF(AND(RegimeExecucao="Global",$I208&gt;0,COUNTIF($AB$13:$AM$13,BM.medicao-1)&gt;0),M208/$I208*100,0))</f>
        <v>0</v>
      </c>
      <c r="K208" s="124">
        <f t="shared" ref="K208:K209" ca="1" si="23">L208-J208</f>
        <v>0</v>
      </c>
      <c r="L208" s="379">
        <f ca="1">IF($A208="S",IF(CAIXA.Modo,BM.AFAcumulado,BM.MEDAcumulado),IF(AND(RegimeExecucao="Global",$I208&gt;0,COUNTIF($AB$13:$AM$13,BM.medicao)&gt;0),O208/$I208*100,0))</f>
        <v>0</v>
      </c>
      <c r="M208" s="380">
        <f ca="1">IF($A208="S",VTOTALBM,IF($A208=0,0,ROUND(SomaAgrupBM,15-13*ORÇAMENTO!$AF$11)))</f>
        <v>0</v>
      </c>
      <c r="N208" s="381">
        <f t="shared" ref="N208:N209" ca="1" si="24">O208-M208</f>
        <v>0</v>
      </c>
      <c r="O208" s="127">
        <f ca="1">IF($A208="S",VTOTALBM,IF($A208=0,0,ROUND(SomaAgrupBM,15-13*ORÇAMENTO!$AF$11)))</f>
        <v>0</v>
      </c>
      <c r="Q208" s="382"/>
      <c r="R208" s="383"/>
      <c r="T208" s="119" t="str">
        <f t="shared" ref="T208:T209" ca="1" si="25">IF($W208&gt;0,$D208,"")</f>
        <v/>
      </c>
      <c r="U208" s="172" t="str">
        <f t="shared" ref="U208:U209" ca="1" si="26">IF($W208&gt;0,$E208,"")</f>
        <v/>
      </c>
      <c r="V208" s="173" t="str">
        <f ca="1">IF(AND($W208&gt;0,RegimeExecucao="Unitário"),$F208,"")</f>
        <v/>
      </c>
      <c r="W208" s="547">
        <f ca="1">IF($Y208&gt;0,CHOOSE(MATCH(RegimeExecucao,{"Unitário","Global"},0),IF($A208="S",$Y208/$X208,""),($Y208/$X208)*100),0)</f>
        <v>0</v>
      </c>
      <c r="X208" s="384" t="str">
        <f ca="1">IF($Y208&gt;0,CHOOSE(MATCH(RegimeExecucao,{"Unitário","Global"},0),IF($A208="S",ROUND($H208,ORÇAMENTO!$AF$10),""),ROUND($I208,ORÇAMENTO!$AF$11)),"")</f>
        <v/>
      </c>
      <c r="Y208" s="384">
        <f t="shared" ref="Y208:Y209" ca="1" si="27">AO208-O208</f>
        <v>0</v>
      </c>
      <c r="Z208" s="572"/>
      <c r="AB208" s="382"/>
      <c r="AC208" s="516"/>
      <c r="AD208" s="516"/>
      <c r="AE208" s="516"/>
      <c r="AF208" s="516"/>
      <c r="AG208" s="516"/>
      <c r="AH208" s="516"/>
      <c r="AI208" s="516"/>
      <c r="AJ208" s="516"/>
      <c r="AK208" s="516"/>
      <c r="AL208" s="516"/>
      <c r="AM208" s="383"/>
      <c r="AO208">
        <f ca="1">IF($A208="S",IF(BM!$I208=0,0,CHOOSE(MATCH(RegimeExecucao,{"Global","Unitário"},0),ROUND(ROUND(BM.MEDAcumulado,15-13*BM!$A$9)/100*BM!$I208,15-13*ORÇAMENTO!$AF$11),ROUND(ROUND(BM.MEDAcumulado,15-13*BM!$A$9)*ROUND(BM!$H208,15-13*ORÇAMENTO!$AF$10),15-13*ORÇAMENTO!$AF$11))),IF($A208=0,0,ROUND(SomaAgrupBM,15-13*ORÇAMENTO!$AF$11)))</f>
        <v>0</v>
      </c>
    </row>
    <row r="209" spans="1:41" ht="63.75" x14ac:dyDescent="0.2">
      <c r="A209" t="str">
        <f ca="1">ORÇAMENTO!C209</f>
        <v>S</v>
      </c>
      <c r="B209">
        <f ca="1">ORÇAMENTO!D209</f>
        <v>0</v>
      </c>
      <c r="C209" s="116" t="str">
        <f t="shared" ca="1" si="22"/>
        <v>F</v>
      </c>
      <c r="D209" s="119" t="str">
        <f ca="1">ORÇAMENTO!O209</f>
        <v>1.8.0.11.</v>
      </c>
      <c r="E209" s="172" t="str">
        <f ca="1">ORÇAMENTO.Descricao</f>
        <v>(abra o arquivo 'Referência 03-2024.xlsm)</v>
      </c>
      <c r="F209" s="173" t="str">
        <f ca="1">IF(RegimeExecucao="Global","",ORÇAMENTO.Unidade)</f>
        <v/>
      </c>
      <c r="G209" s="124" t="str">
        <f ca="1">IF(RegimeExecucao="Global","",ORÇAMENTO!T209)</f>
        <v/>
      </c>
      <c r="H209" s="124" t="str">
        <f ca="1">IF(RegimeExecucao="Global","",ORÇAMENTO!W209)</f>
        <v/>
      </c>
      <c r="I209" s="127">
        <f ca="1">ORÇAMENTO!X209</f>
        <v>6811.36</v>
      </c>
      <c r="J209" s="378">
        <f ca="1">IF($A209="S",IF(CAIXA.Modo,BM.AFAnterior,BM.MEDAnterior),IF(AND(RegimeExecucao="Global",$I209&gt;0,COUNTIF($AB$13:$AM$13,BM.medicao-1)&gt;0),M209/$I209*100,0))</f>
        <v>0</v>
      </c>
      <c r="K209" s="124">
        <f t="shared" ca="1" si="23"/>
        <v>0</v>
      </c>
      <c r="L209" s="379">
        <f ca="1">IF($A209="S",IF(CAIXA.Modo,BM.AFAcumulado,BM.MEDAcumulado),IF(AND(RegimeExecucao="Global",$I209&gt;0,COUNTIF($AB$13:$AM$13,BM.medicao)&gt;0),O209/$I209*100,0))</f>
        <v>0</v>
      </c>
      <c r="M209" s="380">
        <f ca="1">IF($A209="S",VTOTALBM,IF($A209=0,0,ROUND(SomaAgrupBM,15-13*ORÇAMENTO!$AF$11)))</f>
        <v>0</v>
      </c>
      <c r="N209" s="381">
        <f t="shared" ca="1" si="24"/>
        <v>0</v>
      </c>
      <c r="O209" s="127">
        <f ca="1">IF($A209="S",VTOTALBM,IF($A209=0,0,ROUND(SomaAgrupBM,15-13*ORÇAMENTO!$AF$11)))</f>
        <v>0</v>
      </c>
      <c r="Q209" s="382"/>
      <c r="R209" s="383"/>
      <c r="T209" s="119" t="str">
        <f t="shared" ca="1" si="25"/>
        <v/>
      </c>
      <c r="U209" s="172" t="str">
        <f t="shared" ca="1" si="26"/>
        <v/>
      </c>
      <c r="V209" s="173" t="str">
        <f ca="1">IF(AND($W209&gt;0,RegimeExecucao="Unitário"),$F209,"")</f>
        <v/>
      </c>
      <c r="W209" s="547">
        <f ca="1">IF($Y209&gt;0,CHOOSE(MATCH(RegimeExecucao,{"Unitário","Global"},0),IF($A209="S",$Y209/$X209,""),($Y209/$X209)*100),0)</f>
        <v>0</v>
      </c>
      <c r="X209" s="384" t="str">
        <f ca="1">IF($Y209&gt;0,CHOOSE(MATCH(RegimeExecucao,{"Unitário","Global"},0),IF($A209="S",ROUND($H209,ORÇAMENTO!$AF$10),""),ROUND($I209,ORÇAMENTO!$AF$11)),"")</f>
        <v/>
      </c>
      <c r="Y209" s="384">
        <f t="shared" ca="1" si="27"/>
        <v>0</v>
      </c>
      <c r="Z209" s="572"/>
      <c r="AB209" s="382"/>
      <c r="AC209" s="516"/>
      <c r="AD209" s="516"/>
      <c r="AE209" s="516"/>
      <c r="AF209" s="516"/>
      <c r="AG209" s="516"/>
      <c r="AH209" s="516"/>
      <c r="AI209" s="516"/>
      <c r="AJ209" s="516"/>
      <c r="AK209" s="516"/>
      <c r="AL209" s="516"/>
      <c r="AM209" s="383"/>
      <c r="AO209">
        <f ca="1">IF($A209="S",IF(BM!$I209=0,0,CHOOSE(MATCH(RegimeExecucao,{"Global","Unitário"},0),ROUND(ROUND(BM.MEDAcumulado,15-13*BM!$A$9)/100*BM!$I209,15-13*ORÇAMENTO!$AF$11),ROUND(ROUND(BM.MEDAcumulado,15-13*BM!$A$9)*ROUND(BM!$H209,15-13*ORÇAMENTO!$AF$10),15-13*ORÇAMENTO!$AF$11))),IF($A209=0,0,ROUND(SomaAgrupBM,15-13*ORÇAMENTO!$AF$11)))</f>
        <v>0</v>
      </c>
    </row>
    <row r="210" spans="1:41" ht="63.75" x14ac:dyDescent="0.2">
      <c r="A210" t="str">
        <f ca="1">ORÇAMENTO!C210</f>
        <v>S</v>
      </c>
      <c r="B210">
        <f ca="1">ORÇAMENTO!D210</f>
        <v>0</v>
      </c>
      <c r="C210" s="116" t="str">
        <f t="shared" ca="1" si="15"/>
        <v>F</v>
      </c>
      <c r="D210" s="119" t="str">
        <f ca="1">ORÇAMENTO!O210</f>
        <v>1.8.0.12.</v>
      </c>
      <c r="E210" s="172" t="str">
        <f t="shared" ca="1" si="16"/>
        <v>(abra o arquivo 'Referência 03-2024.xlsm)</v>
      </c>
      <c r="F210" s="173" t="str">
        <f ca="1">IF(RegimeExecucao="Global","",ORÇAMENTO.Unidade)</f>
        <v/>
      </c>
      <c r="G210" s="124" t="str">
        <f ca="1">IF(RegimeExecucao="Global","",ORÇAMENTO!T210)</f>
        <v/>
      </c>
      <c r="H210" s="124" t="str">
        <f ca="1">IF(RegimeExecucao="Global","",ORÇAMENTO!W210)</f>
        <v/>
      </c>
      <c r="I210" s="127">
        <f ca="1">ORÇAMENTO!X210</f>
        <v>26266.22</v>
      </c>
      <c r="J210" s="378">
        <f ca="1">IF($A210="S",IF(CAIXA.Modo,BM.AFAnterior,BM.MEDAnterior),IF(AND(RegimeExecucao="Global",$I210&gt;0,COUNTIF($AB$13:$AM$13,BM.medicao-1)&gt;0),M210/$I210*100,0))</f>
        <v>0</v>
      </c>
      <c r="K210" s="124">
        <f t="shared" ca="1" si="17"/>
        <v>0</v>
      </c>
      <c r="L210" s="379">
        <f ca="1">IF($A210="S",IF(CAIXA.Modo,BM.AFAcumulado,BM.MEDAcumulado),IF(AND(RegimeExecucao="Global",$I210&gt;0,COUNTIF($AB$13:$AM$13,BM.medicao)&gt;0),O210/$I210*100,0))</f>
        <v>0</v>
      </c>
      <c r="M210" s="380">
        <f ca="1">IF($A210="S",VTOTALBM,IF($A210=0,0,ROUND(SomaAgrupBM,15-13*ORÇAMENTO!$AF$11)))</f>
        <v>0</v>
      </c>
      <c r="N210" s="381">
        <f t="shared" ca="1" si="18"/>
        <v>0</v>
      </c>
      <c r="O210" s="127">
        <f ca="1">IF($A210="S",VTOTALBM,IF($A210=0,0,ROUND(SomaAgrupBM,15-13*ORÇAMENTO!$AF$11)))</f>
        <v>0</v>
      </c>
      <c r="Q210" s="382"/>
      <c r="R210" s="383"/>
      <c r="T210" s="119" t="str">
        <f t="shared" ca="1" si="19"/>
        <v/>
      </c>
      <c r="U210" s="172" t="str">
        <f t="shared" ca="1" si="20"/>
        <v/>
      </c>
      <c r="V210" s="173" t="str">
        <f ca="1">IF(AND($W210&gt;0,RegimeExecucao="Unitário"),$F210,"")</f>
        <v/>
      </c>
      <c r="W210" s="547">
        <f ca="1">IF($Y210&gt;0,CHOOSE(MATCH(RegimeExecucao,{"Unitário","Global"},0),IF($A210="S",$Y210/$X210,""),($Y210/$X210)*100),0)</f>
        <v>0</v>
      </c>
      <c r="X210" s="384" t="str">
        <f ca="1">IF($Y210&gt;0,CHOOSE(MATCH(RegimeExecucao,{"Unitário","Global"},0),IF($A210="S",ROUND($H210,ORÇAMENTO!$AF$10),""),ROUND($I210,ORÇAMENTO!$AF$11)),"")</f>
        <v/>
      </c>
      <c r="Y210" s="384">
        <f t="shared" ca="1" si="21"/>
        <v>0</v>
      </c>
      <c r="Z210" s="572"/>
      <c r="AB210" s="382"/>
      <c r="AC210" s="516"/>
      <c r="AD210" s="516"/>
      <c r="AE210" s="516"/>
      <c r="AF210" s="516"/>
      <c r="AG210" s="516"/>
      <c r="AH210" s="516"/>
      <c r="AI210" s="516"/>
      <c r="AJ210" s="516"/>
      <c r="AK210" s="516"/>
      <c r="AL210" s="516"/>
      <c r="AM210" s="383"/>
      <c r="AO210">
        <f ca="1">IF($A210="S",IF(BM!$I210=0,0,CHOOSE(MATCH(RegimeExecucao,{"Global","Unitário"},0),ROUND(ROUND(BM.MEDAcumulado,15-13*BM!$A$9)/100*BM!$I210,15-13*ORÇAMENTO!$AF$11),ROUND(ROUND(BM.MEDAcumulado,15-13*BM!$A$9)*ROUND(BM!$H210,15-13*ORÇAMENTO!$AF$10),15-13*ORÇAMENTO!$AF$11))),IF($A210=0,0,ROUND(SomaAgrupBM,15-13*ORÇAMENTO!$AF$11)))</f>
        <v>0</v>
      </c>
    </row>
    <row r="211" spans="1:41" ht="63.75" x14ac:dyDescent="0.2">
      <c r="A211" t="str">
        <f ca="1">ORÇAMENTO!C211</f>
        <v>S</v>
      </c>
      <c r="B211">
        <f ca="1">ORÇAMENTO!D211</f>
        <v>0</v>
      </c>
      <c r="C211" s="116" t="str">
        <f t="shared" ca="1" si="15"/>
        <v>F</v>
      </c>
      <c r="D211" s="119" t="str">
        <f ca="1">ORÇAMENTO!O211</f>
        <v>1.8.0.13.</v>
      </c>
      <c r="E211" s="172" t="str">
        <f t="shared" ca="1" si="16"/>
        <v>(abra o arquivo 'Referência 03-2024.xlsm)</v>
      </c>
      <c r="F211" s="173" t="str">
        <f ca="1">IF(RegimeExecucao="Global","",ORÇAMENTO.Unidade)</f>
        <v/>
      </c>
      <c r="G211" s="124" t="str">
        <f ca="1">IF(RegimeExecucao="Global","",ORÇAMENTO!T211)</f>
        <v/>
      </c>
      <c r="H211" s="124" t="str">
        <f ca="1">IF(RegimeExecucao="Global","",ORÇAMENTO!W211)</f>
        <v/>
      </c>
      <c r="I211" s="127">
        <f ca="1">ORÇAMENTO!X211</f>
        <v>768.39</v>
      </c>
      <c r="J211" s="378">
        <f ca="1">IF($A211="S",IF(CAIXA.Modo,BM.AFAnterior,BM.MEDAnterior),IF(AND(RegimeExecucao="Global",$I211&gt;0,COUNTIF($AB$13:$AM$13,BM.medicao-1)&gt;0),M211/$I211*100,0))</f>
        <v>0</v>
      </c>
      <c r="K211" s="124">
        <f t="shared" ca="1" si="17"/>
        <v>0</v>
      </c>
      <c r="L211" s="379">
        <f ca="1">IF($A211="S",IF(CAIXA.Modo,BM.AFAcumulado,BM.MEDAcumulado),IF(AND(RegimeExecucao="Global",$I211&gt;0,COUNTIF($AB$13:$AM$13,BM.medicao)&gt;0),O211/$I211*100,0))</f>
        <v>0</v>
      </c>
      <c r="M211" s="380">
        <f ca="1">IF($A211="S",VTOTALBM,IF($A211=0,0,ROUND(SomaAgrupBM,15-13*ORÇAMENTO!$AF$11)))</f>
        <v>0</v>
      </c>
      <c r="N211" s="381">
        <f t="shared" ca="1" si="18"/>
        <v>0</v>
      </c>
      <c r="O211" s="127">
        <f ca="1">IF($A211="S",VTOTALBM,IF($A211=0,0,ROUND(SomaAgrupBM,15-13*ORÇAMENTO!$AF$11)))</f>
        <v>0</v>
      </c>
      <c r="Q211" s="382"/>
      <c r="R211" s="383"/>
      <c r="T211" s="119" t="str">
        <f t="shared" ca="1" si="19"/>
        <v/>
      </c>
      <c r="U211" s="172" t="str">
        <f t="shared" ca="1" si="20"/>
        <v/>
      </c>
      <c r="V211" s="173" t="str">
        <f ca="1">IF(AND($W211&gt;0,RegimeExecucao="Unitário"),$F211,"")</f>
        <v/>
      </c>
      <c r="W211" s="547">
        <f ca="1">IF($Y211&gt;0,CHOOSE(MATCH(RegimeExecucao,{"Unitário","Global"},0),IF($A211="S",$Y211/$X211,""),($Y211/$X211)*100),0)</f>
        <v>0</v>
      </c>
      <c r="X211" s="384" t="str">
        <f ca="1">IF($Y211&gt;0,CHOOSE(MATCH(RegimeExecucao,{"Unitário","Global"},0),IF($A211="S",ROUND($H211,ORÇAMENTO!$AF$10),""),ROUND($I211,ORÇAMENTO!$AF$11)),"")</f>
        <v/>
      </c>
      <c r="Y211" s="384">
        <f t="shared" ca="1" si="21"/>
        <v>0</v>
      </c>
      <c r="Z211" s="572"/>
      <c r="AB211" s="382"/>
      <c r="AC211" s="516"/>
      <c r="AD211" s="516"/>
      <c r="AE211" s="516"/>
      <c r="AF211" s="516"/>
      <c r="AG211" s="516"/>
      <c r="AH211" s="516"/>
      <c r="AI211" s="516"/>
      <c r="AJ211" s="516"/>
      <c r="AK211" s="516"/>
      <c r="AL211" s="516"/>
      <c r="AM211" s="383"/>
      <c r="AO211">
        <f ca="1">IF($A211="S",IF(BM!$I211=0,0,CHOOSE(MATCH(RegimeExecucao,{"Global","Unitário"},0),ROUND(ROUND(BM.MEDAcumulado,15-13*BM!$A$9)/100*BM!$I211,15-13*ORÇAMENTO!$AF$11),ROUND(ROUND(BM.MEDAcumulado,15-13*BM!$A$9)*ROUND(BM!$H211,15-13*ORÇAMENTO!$AF$10),15-13*ORÇAMENTO!$AF$11))),IF($A211=0,0,ROUND(SomaAgrupBM,15-13*ORÇAMENTO!$AF$11)))</f>
        <v>0</v>
      </c>
    </row>
    <row r="212" spans="1:41" x14ac:dyDescent="0.2">
      <c r="A212">
        <f ca="1">ORÇAMENTO!C212</f>
        <v>2</v>
      </c>
      <c r="B212">
        <f ca="1">ORÇAMENTO!D212</f>
        <v>13</v>
      </c>
      <c r="C212" s="116" t="str">
        <f t="shared" ca="1" si="15"/>
        <v>F</v>
      </c>
      <c r="D212" s="119" t="str">
        <f ca="1">ORÇAMENTO!O212</f>
        <v>1.9.</v>
      </c>
      <c r="E212" s="172" t="str">
        <f t="shared" si="16"/>
        <v>QUADRA DE AREIA</v>
      </c>
      <c r="F212" s="173" t="str">
        <f ca="1">IF(RegimeExecucao="Global","",ORÇAMENTO.Unidade)</f>
        <v/>
      </c>
      <c r="G212" s="124" t="str">
        <f ca="1">IF(RegimeExecucao="Global","",ORÇAMENTO!T212)</f>
        <v/>
      </c>
      <c r="H212" s="124" t="str">
        <f ca="1">IF(RegimeExecucao="Global","",ORÇAMENTO!W212)</f>
        <v/>
      </c>
      <c r="I212" s="127">
        <f ca="1">ORÇAMENTO!X212</f>
        <v>23098.07</v>
      </c>
      <c r="J212" s="378">
        <f ca="1">IF($A212="S",IF(CAIXA.Modo,BM.AFAnterior,BM.MEDAnterior),IF(AND(RegimeExecucao="Global",$I212&gt;0,COUNTIF($AB$13:$AM$13,BM.medicao-1)&gt;0),M212/$I212*100,0))</f>
        <v>0</v>
      </c>
      <c r="K212" s="124">
        <f t="shared" ca="1" si="17"/>
        <v>0</v>
      </c>
      <c r="L212" s="379">
        <f ca="1">IF($A212="S",IF(CAIXA.Modo,BM.AFAcumulado,BM.MEDAcumulado),IF(AND(RegimeExecucao="Global",$I212&gt;0,COUNTIF($AB$13:$AM$13,BM.medicao)&gt;0),O212/$I212*100,0))</f>
        <v>0</v>
      </c>
      <c r="M212" s="380">
        <f ca="1">IF($A212="S",VTOTALBM,IF($A212=0,0,ROUND(SomaAgrupBM,15-13*ORÇAMENTO!$AF$11)))</f>
        <v>0</v>
      </c>
      <c r="N212" s="381">
        <f t="shared" ca="1" si="18"/>
        <v>0</v>
      </c>
      <c r="O212" s="127">
        <f ca="1">IF($A212="S",VTOTALBM,IF($A212=0,0,ROUND(SomaAgrupBM,15-13*ORÇAMENTO!$AF$11)))</f>
        <v>0</v>
      </c>
      <c r="Q212" s="382"/>
      <c r="R212" s="383"/>
      <c r="T212" s="119" t="str">
        <f t="shared" ca="1" si="19"/>
        <v/>
      </c>
      <c r="U212" s="172" t="str">
        <f t="shared" ca="1" si="20"/>
        <v/>
      </c>
      <c r="V212" s="173" t="str">
        <f ca="1">IF(AND($W212&gt;0,RegimeExecucao="Unitário"),$F212,"")</f>
        <v/>
      </c>
      <c r="W212" s="547">
        <f ca="1">IF($Y212&gt;0,CHOOSE(MATCH(RegimeExecucao,{"Unitário","Global"},0),IF($A212="S",$Y212/$X212,""),($Y212/$X212)*100),0)</f>
        <v>0</v>
      </c>
      <c r="X212" s="384" t="str">
        <f ca="1">IF($Y212&gt;0,CHOOSE(MATCH(RegimeExecucao,{"Unitário","Global"},0),IF($A212="S",ROUND($H212,ORÇAMENTO!$AF$10),""),ROUND($I212,ORÇAMENTO!$AF$11)),"")</f>
        <v/>
      </c>
      <c r="Y212" s="384">
        <f t="shared" ca="1" si="21"/>
        <v>0</v>
      </c>
      <c r="Z212" s="572"/>
      <c r="AB212" s="382"/>
      <c r="AC212" s="516"/>
      <c r="AD212" s="516"/>
      <c r="AE212" s="516"/>
      <c r="AF212" s="516"/>
      <c r="AG212" s="516"/>
      <c r="AH212" s="516"/>
      <c r="AI212" s="516"/>
      <c r="AJ212" s="516"/>
      <c r="AK212" s="516"/>
      <c r="AL212" s="516"/>
      <c r="AM212" s="383"/>
      <c r="AO212">
        <f ca="1">IF($A212="S",IF(BM!$I212=0,0,CHOOSE(MATCH(RegimeExecucao,{"Global","Unitário"},0),ROUND(ROUND(BM.MEDAcumulado,15-13*BM!$A$9)/100*BM!$I212,15-13*ORÇAMENTO!$AF$11),ROUND(ROUND(BM.MEDAcumulado,15-13*BM!$A$9)*ROUND(BM!$H212,15-13*ORÇAMENTO!$AF$10),15-13*ORÇAMENTO!$AF$11))),IF($A212=0,0,ROUND(SomaAgrupBM,15-13*ORÇAMENTO!$AF$11)))</f>
        <v>0</v>
      </c>
    </row>
    <row r="213" spans="1:41" ht="63.75" x14ac:dyDescent="0.2">
      <c r="A213" t="str">
        <f ca="1">ORÇAMENTO!C213</f>
        <v>S</v>
      </c>
      <c r="B213">
        <f ca="1">ORÇAMENTO!D213</f>
        <v>0</v>
      </c>
      <c r="C213" s="116" t="str">
        <f t="shared" ca="1" si="15"/>
        <v>F</v>
      </c>
      <c r="D213" s="119" t="str">
        <f ca="1">ORÇAMENTO!O213</f>
        <v>1.9.0.1.</v>
      </c>
      <c r="E213" s="172" t="str">
        <f t="shared" ca="1" si="16"/>
        <v>(abra o arquivo 'Referência 03-2024.xlsm)</v>
      </c>
      <c r="F213" s="173" t="str">
        <f ca="1">IF(RegimeExecucao="Global","",ORÇAMENTO.Unidade)</f>
        <v/>
      </c>
      <c r="G213" s="124" t="str">
        <f ca="1">IF(RegimeExecucao="Global","",ORÇAMENTO!T213)</f>
        <v/>
      </c>
      <c r="H213" s="124" t="str">
        <f ca="1">IF(RegimeExecucao="Global","",ORÇAMENTO!W213)</f>
        <v/>
      </c>
      <c r="I213" s="127">
        <f ca="1">ORÇAMENTO!X213</f>
        <v>22.74</v>
      </c>
      <c r="J213" s="378">
        <f ca="1">IF($A213="S",IF(CAIXA.Modo,BM.AFAnterior,BM.MEDAnterior),IF(AND(RegimeExecucao="Global",$I213&gt;0,COUNTIF($AB$13:$AM$13,BM.medicao-1)&gt;0),M213/$I213*100,0))</f>
        <v>0</v>
      </c>
      <c r="K213" s="124">
        <f t="shared" ca="1" si="17"/>
        <v>0</v>
      </c>
      <c r="L213" s="379">
        <f ca="1">IF($A213="S",IF(CAIXA.Modo,BM.AFAcumulado,BM.MEDAcumulado),IF(AND(RegimeExecucao="Global",$I213&gt;0,COUNTIF($AB$13:$AM$13,BM.medicao)&gt;0),O213/$I213*100,0))</f>
        <v>0</v>
      </c>
      <c r="M213" s="380">
        <f ca="1">IF($A213="S",VTOTALBM,IF($A213=0,0,ROUND(SomaAgrupBM,15-13*ORÇAMENTO!$AF$11)))</f>
        <v>0</v>
      </c>
      <c r="N213" s="381">
        <f t="shared" ca="1" si="18"/>
        <v>0</v>
      </c>
      <c r="O213" s="127">
        <f ca="1">IF($A213="S",VTOTALBM,IF($A213=0,0,ROUND(SomaAgrupBM,15-13*ORÇAMENTO!$AF$11)))</f>
        <v>0</v>
      </c>
      <c r="Q213" s="382"/>
      <c r="R213" s="383"/>
      <c r="T213" s="119" t="str">
        <f t="shared" ca="1" si="19"/>
        <v/>
      </c>
      <c r="U213" s="172" t="str">
        <f t="shared" ca="1" si="20"/>
        <v/>
      </c>
      <c r="V213" s="173" t="str">
        <f ca="1">IF(AND($W213&gt;0,RegimeExecucao="Unitário"),$F213,"")</f>
        <v/>
      </c>
      <c r="W213" s="547">
        <f ca="1">IF($Y213&gt;0,CHOOSE(MATCH(RegimeExecucao,{"Unitário","Global"},0),IF($A213="S",$Y213/$X213,""),($Y213/$X213)*100),0)</f>
        <v>0</v>
      </c>
      <c r="X213" s="384" t="str">
        <f ca="1">IF($Y213&gt;0,CHOOSE(MATCH(RegimeExecucao,{"Unitário","Global"},0),IF($A213="S",ROUND($H213,ORÇAMENTO!$AF$10),""),ROUND($I213,ORÇAMENTO!$AF$11)),"")</f>
        <v/>
      </c>
      <c r="Y213" s="384">
        <f t="shared" ca="1" si="21"/>
        <v>0</v>
      </c>
      <c r="Z213" s="572"/>
      <c r="AB213" s="382"/>
      <c r="AC213" s="516"/>
      <c r="AD213" s="516"/>
      <c r="AE213" s="516"/>
      <c r="AF213" s="516"/>
      <c r="AG213" s="516"/>
      <c r="AH213" s="516"/>
      <c r="AI213" s="516"/>
      <c r="AJ213" s="516"/>
      <c r="AK213" s="516"/>
      <c r="AL213" s="516"/>
      <c r="AM213" s="383"/>
      <c r="AO213">
        <f ca="1">IF($A213="S",IF(BM!$I213=0,0,CHOOSE(MATCH(RegimeExecucao,{"Global","Unitário"},0),ROUND(ROUND(BM.MEDAcumulado,15-13*BM!$A$9)/100*BM!$I213,15-13*ORÇAMENTO!$AF$11),ROUND(ROUND(BM.MEDAcumulado,15-13*BM!$A$9)*ROUND(BM!$H213,15-13*ORÇAMENTO!$AF$10),15-13*ORÇAMENTO!$AF$11))),IF($A213=0,0,ROUND(SomaAgrupBM,15-13*ORÇAMENTO!$AF$11)))</f>
        <v>0</v>
      </c>
    </row>
    <row r="214" spans="1:41" ht="51" x14ac:dyDescent="0.2">
      <c r="A214" t="str">
        <f ca="1">ORÇAMENTO!C214</f>
        <v>S</v>
      </c>
      <c r="B214">
        <f ca="1">ORÇAMENTO!D214</f>
        <v>0</v>
      </c>
      <c r="C214" s="116" t="str">
        <f t="shared" ca="1" si="15"/>
        <v>F</v>
      </c>
      <c r="D214" s="119" t="str">
        <f ca="1">ORÇAMENTO!O214</f>
        <v>1.9.0.2.</v>
      </c>
      <c r="E214" s="172" t="str">
        <f t="shared" ca="1" si="16"/>
        <v>(abra o arquivo 'Referência 03-2024.xlsm)</v>
      </c>
      <c r="F214" s="173" t="str">
        <f ca="1">IF(RegimeExecucao="Global","",ORÇAMENTO.Unidade)</f>
        <v/>
      </c>
      <c r="G214" s="124" t="str">
        <f ca="1">IF(RegimeExecucao="Global","",ORÇAMENTO!T214)</f>
        <v/>
      </c>
      <c r="H214" s="124" t="str">
        <f ca="1">IF(RegimeExecucao="Global","",ORÇAMENTO!W214)</f>
        <v/>
      </c>
      <c r="I214" s="127">
        <f ca="1">ORÇAMENTO!X214</f>
        <v>8.1</v>
      </c>
      <c r="J214" s="378">
        <f ca="1">IF($A214="S",IF(CAIXA.Modo,BM.AFAnterior,BM.MEDAnterior),IF(AND(RegimeExecucao="Global",$I214&gt;0,COUNTIF($AB$13:$AM$13,BM.medicao-1)&gt;0),M214/$I214*100,0))</f>
        <v>0</v>
      </c>
      <c r="K214" s="124">
        <f t="shared" ca="1" si="17"/>
        <v>0</v>
      </c>
      <c r="L214" s="379">
        <f ca="1">IF($A214="S",IF(CAIXA.Modo,BM.AFAcumulado,BM.MEDAcumulado),IF(AND(RegimeExecucao="Global",$I214&gt;0,COUNTIF($AB$13:$AM$13,BM.medicao)&gt;0),O214/$I214*100,0))</f>
        <v>0</v>
      </c>
      <c r="M214" s="380">
        <f ca="1">IF($A214="S",VTOTALBM,IF($A214=0,0,ROUND(SomaAgrupBM,15-13*ORÇAMENTO!$AF$11)))</f>
        <v>0</v>
      </c>
      <c r="N214" s="381">
        <f t="shared" ca="1" si="18"/>
        <v>0</v>
      </c>
      <c r="O214" s="127">
        <f ca="1">IF($A214="S",VTOTALBM,IF($A214=0,0,ROUND(SomaAgrupBM,15-13*ORÇAMENTO!$AF$11)))</f>
        <v>0</v>
      </c>
      <c r="Q214" s="382"/>
      <c r="R214" s="383"/>
      <c r="T214" s="119" t="str">
        <f t="shared" ca="1" si="19"/>
        <v/>
      </c>
      <c r="U214" s="172" t="str">
        <f t="shared" ca="1" si="20"/>
        <v/>
      </c>
      <c r="V214" s="173" t="str">
        <f ca="1">IF(AND($W214&gt;0,RegimeExecucao="Unitário"),$F214,"")</f>
        <v/>
      </c>
      <c r="W214" s="547">
        <f ca="1">IF($Y214&gt;0,CHOOSE(MATCH(RegimeExecucao,{"Unitário","Global"},0),IF($A214="S",$Y214/$X214,""),($Y214/$X214)*100),0)</f>
        <v>0</v>
      </c>
      <c r="X214" s="384" t="str">
        <f ca="1">IF($Y214&gt;0,CHOOSE(MATCH(RegimeExecucao,{"Unitário","Global"},0),IF($A214="S",ROUND($H214,ORÇAMENTO!$AF$10),""),ROUND($I214,ORÇAMENTO!$AF$11)),"")</f>
        <v/>
      </c>
      <c r="Y214" s="384">
        <f t="shared" ca="1" si="21"/>
        <v>0</v>
      </c>
      <c r="Z214" s="572"/>
      <c r="AB214" s="382"/>
      <c r="AC214" s="516"/>
      <c r="AD214" s="516"/>
      <c r="AE214" s="516"/>
      <c r="AF214" s="516"/>
      <c r="AG214" s="516"/>
      <c r="AH214" s="516"/>
      <c r="AI214" s="516"/>
      <c r="AJ214" s="516"/>
      <c r="AK214" s="516"/>
      <c r="AL214" s="516"/>
      <c r="AM214" s="383"/>
      <c r="AO214">
        <f ca="1">IF($A214="S",IF(BM!$I214=0,0,CHOOSE(MATCH(RegimeExecucao,{"Global","Unitário"},0),ROUND(ROUND(BM.MEDAcumulado,15-13*BM!$A$9)/100*BM!$I214,15-13*ORÇAMENTO!$AF$11),ROUND(ROUND(BM.MEDAcumulado,15-13*BM!$A$9)*ROUND(BM!$H214,15-13*ORÇAMENTO!$AF$10),15-13*ORÇAMENTO!$AF$11))),IF($A214=0,0,ROUND(SomaAgrupBM,15-13*ORÇAMENTO!$AF$11)))</f>
        <v>0</v>
      </c>
    </row>
    <row r="215" spans="1:41" ht="38.25" x14ac:dyDescent="0.2">
      <c r="A215" t="str">
        <f ca="1">ORÇAMENTO!C215</f>
        <v>S</v>
      </c>
      <c r="B215">
        <f ca="1">ORÇAMENTO!D215</f>
        <v>0</v>
      </c>
      <c r="C215" s="116" t="str">
        <f t="shared" ca="1" si="15"/>
        <v>F</v>
      </c>
      <c r="D215" s="119" t="str">
        <f ca="1">ORÇAMENTO!O215</f>
        <v>1.9.0.3.</v>
      </c>
      <c r="E215" s="172" t="str">
        <f t="shared" ca="1" si="16"/>
        <v>(abra o arquivo 'Referência 03-2024.xlsm)</v>
      </c>
      <c r="F215" s="173" t="str">
        <f ca="1">IF(RegimeExecucao="Global","",ORÇAMENTO.Unidade)</f>
        <v/>
      </c>
      <c r="G215" s="124" t="str">
        <f ca="1">IF(RegimeExecucao="Global","",ORÇAMENTO!T215)</f>
        <v/>
      </c>
      <c r="H215" s="124" t="str">
        <f ca="1">IF(RegimeExecucao="Global","",ORÇAMENTO!W215)</f>
        <v/>
      </c>
      <c r="I215" s="127">
        <f ca="1">ORÇAMENTO!X215</f>
        <v>893.16</v>
      </c>
      <c r="J215" s="378">
        <f ca="1">IF($A215="S",IF(CAIXA.Modo,BM.AFAnterior,BM.MEDAnterior),IF(AND(RegimeExecucao="Global",$I215&gt;0,COUNTIF($AB$13:$AM$13,BM.medicao-1)&gt;0),M215/$I215*100,0))</f>
        <v>0</v>
      </c>
      <c r="K215" s="124">
        <f t="shared" ca="1" si="17"/>
        <v>0</v>
      </c>
      <c r="L215" s="379">
        <f ca="1">IF($A215="S",IF(CAIXA.Modo,BM.AFAcumulado,BM.MEDAcumulado),IF(AND(RegimeExecucao="Global",$I215&gt;0,COUNTIF($AB$13:$AM$13,BM.medicao)&gt;0),O215/$I215*100,0))</f>
        <v>0</v>
      </c>
      <c r="M215" s="380">
        <f ca="1">IF($A215="S",VTOTALBM,IF($A215=0,0,ROUND(SomaAgrupBM,15-13*ORÇAMENTO!$AF$11)))</f>
        <v>0</v>
      </c>
      <c r="N215" s="381">
        <f t="shared" ca="1" si="18"/>
        <v>0</v>
      </c>
      <c r="O215" s="127">
        <f ca="1">IF($A215="S",VTOTALBM,IF($A215=0,0,ROUND(SomaAgrupBM,15-13*ORÇAMENTO!$AF$11)))</f>
        <v>0</v>
      </c>
      <c r="Q215" s="382"/>
      <c r="R215" s="383"/>
      <c r="T215" s="119" t="str">
        <f t="shared" ca="1" si="19"/>
        <v/>
      </c>
      <c r="U215" s="172" t="str">
        <f t="shared" ca="1" si="20"/>
        <v/>
      </c>
      <c r="V215" s="173" t="str">
        <f ca="1">IF(AND($W215&gt;0,RegimeExecucao="Unitário"),$F215,"")</f>
        <v/>
      </c>
      <c r="W215" s="547">
        <f ca="1">IF($Y215&gt;0,CHOOSE(MATCH(RegimeExecucao,{"Unitário","Global"},0),IF($A215="S",$Y215/$X215,""),($Y215/$X215)*100),0)</f>
        <v>0</v>
      </c>
      <c r="X215" s="384" t="str">
        <f ca="1">IF($Y215&gt;0,CHOOSE(MATCH(RegimeExecucao,{"Unitário","Global"},0),IF($A215="S",ROUND($H215,ORÇAMENTO!$AF$10),""),ROUND($I215,ORÇAMENTO!$AF$11)),"")</f>
        <v/>
      </c>
      <c r="Y215" s="384">
        <f t="shared" ca="1" si="21"/>
        <v>0</v>
      </c>
      <c r="Z215" s="572"/>
      <c r="AB215" s="382"/>
      <c r="AC215" s="516"/>
      <c r="AD215" s="516"/>
      <c r="AE215" s="516"/>
      <c r="AF215" s="516"/>
      <c r="AG215" s="516"/>
      <c r="AH215" s="516"/>
      <c r="AI215" s="516"/>
      <c r="AJ215" s="516"/>
      <c r="AK215" s="516"/>
      <c r="AL215" s="516"/>
      <c r="AM215" s="383"/>
      <c r="AO215">
        <f ca="1">IF($A215="S",IF(BM!$I215=0,0,CHOOSE(MATCH(RegimeExecucao,{"Global","Unitário"},0),ROUND(ROUND(BM.MEDAcumulado,15-13*BM!$A$9)/100*BM!$I215,15-13*ORÇAMENTO!$AF$11),ROUND(ROUND(BM.MEDAcumulado,15-13*BM!$A$9)*ROUND(BM!$H215,15-13*ORÇAMENTO!$AF$10),15-13*ORÇAMENTO!$AF$11))),IF($A215=0,0,ROUND(SomaAgrupBM,15-13*ORÇAMENTO!$AF$11)))</f>
        <v>0</v>
      </c>
    </row>
    <row r="216" spans="1:41" ht="51" x14ac:dyDescent="0.2">
      <c r="A216" t="str">
        <f ca="1">ORÇAMENTO!C216</f>
        <v>S</v>
      </c>
      <c r="B216">
        <f ca="1">ORÇAMENTO!D216</f>
        <v>0</v>
      </c>
      <c r="C216" s="116" t="str">
        <f t="shared" ca="1" si="15"/>
        <v>F</v>
      </c>
      <c r="D216" s="119" t="str">
        <f ca="1">ORÇAMENTO!O216</f>
        <v>1.9.0.4.</v>
      </c>
      <c r="E216" s="172" t="str">
        <f t="shared" ca="1" si="16"/>
        <v>(abra o arquivo 'Referência 03-2024.xlsm)</v>
      </c>
      <c r="F216" s="173" t="str">
        <f ca="1">IF(RegimeExecucao="Global","",ORÇAMENTO.Unidade)</f>
        <v/>
      </c>
      <c r="G216" s="124" t="str">
        <f ca="1">IF(RegimeExecucao="Global","",ORÇAMENTO!T216)</f>
        <v/>
      </c>
      <c r="H216" s="124" t="str">
        <f ca="1">IF(RegimeExecucao="Global","",ORÇAMENTO!W216)</f>
        <v/>
      </c>
      <c r="I216" s="127">
        <f ca="1">ORÇAMENTO!X216</f>
        <v>888.43</v>
      </c>
      <c r="J216" s="378">
        <f ca="1">IF($A216="S",IF(CAIXA.Modo,BM.AFAnterior,BM.MEDAnterior),IF(AND(RegimeExecucao="Global",$I216&gt;0,COUNTIF($AB$13:$AM$13,BM.medicao-1)&gt;0),M216/$I216*100,0))</f>
        <v>0</v>
      </c>
      <c r="K216" s="124">
        <f t="shared" ca="1" si="17"/>
        <v>0</v>
      </c>
      <c r="L216" s="379">
        <f ca="1">IF($A216="S",IF(CAIXA.Modo,BM.AFAcumulado,BM.MEDAcumulado),IF(AND(RegimeExecucao="Global",$I216&gt;0,COUNTIF($AB$13:$AM$13,BM.medicao)&gt;0),O216/$I216*100,0))</f>
        <v>0</v>
      </c>
      <c r="M216" s="380">
        <f ca="1">IF($A216="S",VTOTALBM,IF($A216=0,0,ROUND(SomaAgrupBM,15-13*ORÇAMENTO!$AF$11)))</f>
        <v>0</v>
      </c>
      <c r="N216" s="381">
        <f t="shared" ca="1" si="18"/>
        <v>0</v>
      </c>
      <c r="O216" s="127">
        <f ca="1">IF($A216="S",VTOTALBM,IF($A216=0,0,ROUND(SomaAgrupBM,15-13*ORÇAMENTO!$AF$11)))</f>
        <v>0</v>
      </c>
      <c r="Q216" s="382"/>
      <c r="R216" s="383"/>
      <c r="T216" s="119" t="str">
        <f t="shared" ca="1" si="19"/>
        <v/>
      </c>
      <c r="U216" s="172" t="str">
        <f t="shared" ca="1" si="20"/>
        <v/>
      </c>
      <c r="V216" s="173" t="str">
        <f ca="1">IF(AND($W216&gt;0,RegimeExecucao="Unitário"),$F216,"")</f>
        <v/>
      </c>
      <c r="W216" s="547">
        <f ca="1">IF($Y216&gt;0,CHOOSE(MATCH(RegimeExecucao,{"Unitário","Global"},0),IF($A216="S",$Y216/$X216,""),($Y216/$X216)*100),0)</f>
        <v>0</v>
      </c>
      <c r="X216" s="384" t="str">
        <f ca="1">IF($Y216&gt;0,CHOOSE(MATCH(RegimeExecucao,{"Unitário","Global"},0),IF($A216="S",ROUND($H216,ORÇAMENTO!$AF$10),""),ROUND($I216,ORÇAMENTO!$AF$11)),"")</f>
        <v/>
      </c>
      <c r="Y216" s="384">
        <f t="shared" ca="1" si="21"/>
        <v>0</v>
      </c>
      <c r="Z216" s="572"/>
      <c r="AB216" s="382"/>
      <c r="AC216" s="516"/>
      <c r="AD216" s="516"/>
      <c r="AE216" s="516"/>
      <c r="AF216" s="516"/>
      <c r="AG216" s="516"/>
      <c r="AH216" s="516"/>
      <c r="AI216" s="516"/>
      <c r="AJ216" s="516"/>
      <c r="AK216" s="516"/>
      <c r="AL216" s="516"/>
      <c r="AM216" s="383"/>
      <c r="AO216">
        <f ca="1">IF($A216="S",IF(BM!$I216=0,0,CHOOSE(MATCH(RegimeExecucao,{"Global","Unitário"},0),ROUND(ROUND(BM.MEDAcumulado,15-13*BM!$A$9)/100*BM!$I216,15-13*ORÇAMENTO!$AF$11),ROUND(ROUND(BM.MEDAcumulado,15-13*BM!$A$9)*ROUND(BM!$H216,15-13*ORÇAMENTO!$AF$10),15-13*ORÇAMENTO!$AF$11))),IF($A216=0,0,ROUND(SomaAgrupBM,15-13*ORÇAMENTO!$AF$11)))</f>
        <v>0</v>
      </c>
    </row>
    <row r="217" spans="1:41" ht="38.25" x14ac:dyDescent="0.2">
      <c r="A217" t="str">
        <f ca="1">ORÇAMENTO!C217</f>
        <v>S</v>
      </c>
      <c r="B217">
        <f ca="1">ORÇAMENTO!D217</f>
        <v>0</v>
      </c>
      <c r="C217" s="116" t="str">
        <f t="shared" ca="1" si="15"/>
        <v>F</v>
      </c>
      <c r="D217" s="119" t="str">
        <f ca="1">ORÇAMENTO!O217</f>
        <v>1.9.0.5.</v>
      </c>
      <c r="E217" s="172" t="str">
        <f t="shared" ca="1" si="16"/>
        <v>(abra o arquivo 'Referência 03-2024.xlsm)</v>
      </c>
      <c r="F217" s="173" t="str">
        <f ca="1">IF(RegimeExecucao="Global","",ORÇAMENTO.Unidade)</f>
        <v/>
      </c>
      <c r="G217" s="124" t="str">
        <f ca="1">IF(RegimeExecucao="Global","",ORÇAMENTO!T217)</f>
        <v/>
      </c>
      <c r="H217" s="124" t="str">
        <f ca="1">IF(RegimeExecucao="Global","",ORÇAMENTO!W217)</f>
        <v/>
      </c>
      <c r="I217" s="127">
        <f ca="1">ORÇAMENTO!X217</f>
        <v>345.56</v>
      </c>
      <c r="J217" s="378">
        <f ca="1">IF($A217="S",IF(CAIXA.Modo,BM.AFAnterior,BM.MEDAnterior),IF(AND(RegimeExecucao="Global",$I217&gt;0,COUNTIF($AB$13:$AM$13,BM.medicao-1)&gt;0),M217/$I217*100,0))</f>
        <v>0</v>
      </c>
      <c r="K217" s="124">
        <f t="shared" ca="1" si="17"/>
        <v>0</v>
      </c>
      <c r="L217" s="379">
        <f ca="1">IF($A217="S",IF(CAIXA.Modo,BM.AFAcumulado,BM.MEDAcumulado),IF(AND(RegimeExecucao="Global",$I217&gt;0,COUNTIF($AB$13:$AM$13,BM.medicao)&gt;0),O217/$I217*100,0))</f>
        <v>0</v>
      </c>
      <c r="M217" s="380">
        <f ca="1">IF($A217="S",VTOTALBM,IF($A217=0,0,ROUND(SomaAgrupBM,15-13*ORÇAMENTO!$AF$11)))</f>
        <v>0</v>
      </c>
      <c r="N217" s="381">
        <f t="shared" ca="1" si="18"/>
        <v>0</v>
      </c>
      <c r="O217" s="127">
        <f ca="1">IF($A217="S",VTOTALBM,IF($A217=0,0,ROUND(SomaAgrupBM,15-13*ORÇAMENTO!$AF$11)))</f>
        <v>0</v>
      </c>
      <c r="Q217" s="382"/>
      <c r="R217" s="383"/>
      <c r="T217" s="119" t="str">
        <f t="shared" ca="1" si="19"/>
        <v/>
      </c>
      <c r="U217" s="172" t="str">
        <f t="shared" ca="1" si="20"/>
        <v/>
      </c>
      <c r="V217" s="173" t="str">
        <f ca="1">IF(AND($W217&gt;0,RegimeExecucao="Unitário"),$F217,"")</f>
        <v/>
      </c>
      <c r="W217" s="547">
        <f ca="1">IF($Y217&gt;0,CHOOSE(MATCH(RegimeExecucao,{"Unitário","Global"},0),IF($A217="S",$Y217/$X217,""),($Y217/$X217)*100),0)</f>
        <v>0</v>
      </c>
      <c r="X217" s="384" t="str">
        <f ca="1">IF($Y217&gt;0,CHOOSE(MATCH(RegimeExecucao,{"Unitário","Global"},0),IF($A217="S",ROUND($H217,ORÇAMENTO!$AF$10),""),ROUND($I217,ORÇAMENTO!$AF$11)),"")</f>
        <v/>
      </c>
      <c r="Y217" s="384">
        <f t="shared" ca="1" si="21"/>
        <v>0</v>
      </c>
      <c r="Z217" s="572"/>
      <c r="AB217" s="382"/>
      <c r="AC217" s="516"/>
      <c r="AD217" s="516"/>
      <c r="AE217" s="516"/>
      <c r="AF217" s="516"/>
      <c r="AG217" s="516"/>
      <c r="AH217" s="516"/>
      <c r="AI217" s="516"/>
      <c r="AJ217" s="516"/>
      <c r="AK217" s="516"/>
      <c r="AL217" s="516"/>
      <c r="AM217" s="383"/>
      <c r="AO217">
        <f ca="1">IF($A217="S",IF(BM!$I217=0,0,CHOOSE(MATCH(RegimeExecucao,{"Global","Unitário"},0),ROUND(ROUND(BM.MEDAcumulado,15-13*BM!$A$9)/100*BM!$I217,15-13*ORÇAMENTO!$AF$11),ROUND(ROUND(BM.MEDAcumulado,15-13*BM!$A$9)*ROUND(BM!$H217,15-13*ORÇAMENTO!$AF$10),15-13*ORÇAMENTO!$AF$11))),IF($A217=0,0,ROUND(SomaAgrupBM,15-13*ORÇAMENTO!$AF$11)))</f>
        <v>0</v>
      </c>
    </row>
    <row r="218" spans="1:41" ht="38.25" x14ac:dyDescent="0.2">
      <c r="A218" t="str">
        <f ca="1">ORÇAMENTO!C218</f>
        <v>S</v>
      </c>
      <c r="B218">
        <f ca="1">ORÇAMENTO!D218</f>
        <v>0</v>
      </c>
      <c r="C218" s="116" t="str">
        <f t="shared" ca="1" si="15"/>
        <v>F</v>
      </c>
      <c r="D218" s="119" t="str">
        <f ca="1">ORÇAMENTO!O218</f>
        <v>1.9.0.6.</v>
      </c>
      <c r="E218" s="172" t="str">
        <f t="shared" ca="1" si="16"/>
        <v>(abra o arquivo 'Referência 03-2024.xlsm)</v>
      </c>
      <c r="F218" s="173" t="str">
        <f ca="1">IF(RegimeExecucao="Global","",ORÇAMENTO.Unidade)</f>
        <v/>
      </c>
      <c r="G218" s="124" t="str">
        <f ca="1">IF(RegimeExecucao="Global","",ORÇAMENTO!T218)</f>
        <v/>
      </c>
      <c r="H218" s="124" t="str">
        <f ca="1">IF(RegimeExecucao="Global","",ORÇAMENTO!W218)</f>
        <v/>
      </c>
      <c r="I218" s="127">
        <f ca="1">ORÇAMENTO!X218</f>
        <v>764.16</v>
      </c>
      <c r="J218" s="378">
        <f ca="1">IF($A218="S",IF(CAIXA.Modo,BM.AFAnterior,BM.MEDAnterior),IF(AND(RegimeExecucao="Global",$I218&gt;0,COUNTIF($AB$13:$AM$13,BM.medicao-1)&gt;0),M218/$I218*100,0))</f>
        <v>0</v>
      </c>
      <c r="K218" s="124">
        <f t="shared" ca="1" si="17"/>
        <v>0</v>
      </c>
      <c r="L218" s="379">
        <f ca="1">IF($A218="S",IF(CAIXA.Modo,BM.AFAcumulado,BM.MEDAcumulado),IF(AND(RegimeExecucao="Global",$I218&gt;0,COUNTIF($AB$13:$AM$13,BM.medicao)&gt;0),O218/$I218*100,0))</f>
        <v>0</v>
      </c>
      <c r="M218" s="380">
        <f ca="1">IF($A218="S",VTOTALBM,IF($A218=0,0,ROUND(SomaAgrupBM,15-13*ORÇAMENTO!$AF$11)))</f>
        <v>0</v>
      </c>
      <c r="N218" s="381">
        <f t="shared" ca="1" si="18"/>
        <v>0</v>
      </c>
      <c r="O218" s="127">
        <f ca="1">IF($A218="S",VTOTALBM,IF($A218=0,0,ROUND(SomaAgrupBM,15-13*ORÇAMENTO!$AF$11)))</f>
        <v>0</v>
      </c>
      <c r="Q218" s="382"/>
      <c r="R218" s="383"/>
      <c r="T218" s="119" t="str">
        <f t="shared" ca="1" si="19"/>
        <v/>
      </c>
      <c r="U218" s="172" t="str">
        <f t="shared" ca="1" si="20"/>
        <v/>
      </c>
      <c r="V218" s="173" t="str">
        <f ca="1">IF(AND($W218&gt;0,RegimeExecucao="Unitário"),$F218,"")</f>
        <v/>
      </c>
      <c r="W218" s="547">
        <f ca="1">IF($Y218&gt;0,CHOOSE(MATCH(RegimeExecucao,{"Unitário","Global"},0),IF($A218="S",$Y218/$X218,""),($Y218/$X218)*100),0)</f>
        <v>0</v>
      </c>
      <c r="X218" s="384" t="str">
        <f ca="1">IF($Y218&gt;0,CHOOSE(MATCH(RegimeExecucao,{"Unitário","Global"},0),IF($A218="S",ROUND($H218,ORÇAMENTO!$AF$10),""),ROUND($I218,ORÇAMENTO!$AF$11)),"")</f>
        <v/>
      </c>
      <c r="Y218" s="384">
        <f t="shared" ca="1" si="21"/>
        <v>0</v>
      </c>
      <c r="Z218" s="572"/>
      <c r="AB218" s="382"/>
      <c r="AC218" s="516"/>
      <c r="AD218" s="516"/>
      <c r="AE218" s="516"/>
      <c r="AF218" s="516"/>
      <c r="AG218" s="516"/>
      <c r="AH218" s="516"/>
      <c r="AI218" s="516"/>
      <c r="AJ218" s="516"/>
      <c r="AK218" s="516"/>
      <c r="AL218" s="516"/>
      <c r="AM218" s="383"/>
      <c r="AO218">
        <f ca="1">IF($A218="S",IF(BM!$I218=0,0,CHOOSE(MATCH(RegimeExecucao,{"Global","Unitário"},0),ROUND(ROUND(BM.MEDAcumulado,15-13*BM!$A$9)/100*BM!$I218,15-13*ORÇAMENTO!$AF$11),ROUND(ROUND(BM.MEDAcumulado,15-13*BM!$A$9)*ROUND(BM!$H218,15-13*ORÇAMENTO!$AF$10),15-13*ORÇAMENTO!$AF$11))),IF($A218=0,0,ROUND(SomaAgrupBM,15-13*ORÇAMENTO!$AF$11)))</f>
        <v>0</v>
      </c>
    </row>
    <row r="219" spans="1:41" ht="51" x14ac:dyDescent="0.2">
      <c r="A219" t="str">
        <f ca="1">ORÇAMENTO!C219</f>
        <v>S</v>
      </c>
      <c r="B219">
        <f ca="1">ORÇAMENTO!D219</f>
        <v>0</v>
      </c>
      <c r="C219" s="116" t="str">
        <f t="shared" ca="1" si="15"/>
        <v>F</v>
      </c>
      <c r="D219" s="119" t="str">
        <f ca="1">ORÇAMENTO!O219</f>
        <v>1.9.0.7.</v>
      </c>
      <c r="E219" s="172" t="str">
        <f t="shared" ca="1" si="16"/>
        <v>(abra o arquivo 'Referência 03-2024.xlsm)</v>
      </c>
      <c r="F219" s="173" t="str">
        <f ca="1">IF(RegimeExecucao="Global","",ORÇAMENTO.Unidade)</f>
        <v/>
      </c>
      <c r="G219" s="124" t="str">
        <f ca="1">IF(RegimeExecucao="Global","",ORÇAMENTO!T219)</f>
        <v/>
      </c>
      <c r="H219" s="124" t="str">
        <f ca="1">IF(RegimeExecucao="Global","",ORÇAMENTO!W219)</f>
        <v/>
      </c>
      <c r="I219" s="127">
        <f ca="1">ORÇAMENTO!X219</f>
        <v>1191.6199999999999</v>
      </c>
      <c r="J219" s="378">
        <f ca="1">IF($A219="S",IF(CAIXA.Modo,BM.AFAnterior,BM.MEDAnterior),IF(AND(RegimeExecucao="Global",$I219&gt;0,COUNTIF($AB$13:$AM$13,BM.medicao-1)&gt;0),M219/$I219*100,0))</f>
        <v>0</v>
      </c>
      <c r="K219" s="124">
        <f t="shared" ca="1" si="17"/>
        <v>0</v>
      </c>
      <c r="L219" s="379">
        <f ca="1">IF($A219="S",IF(CAIXA.Modo,BM.AFAcumulado,BM.MEDAcumulado),IF(AND(RegimeExecucao="Global",$I219&gt;0,COUNTIF($AB$13:$AM$13,BM.medicao)&gt;0),O219/$I219*100,0))</f>
        <v>0</v>
      </c>
      <c r="M219" s="380">
        <f ca="1">IF($A219="S",VTOTALBM,IF($A219=0,0,ROUND(SomaAgrupBM,15-13*ORÇAMENTO!$AF$11)))</f>
        <v>0</v>
      </c>
      <c r="N219" s="381">
        <f t="shared" ca="1" si="18"/>
        <v>0</v>
      </c>
      <c r="O219" s="127">
        <f ca="1">IF($A219="S",VTOTALBM,IF($A219=0,0,ROUND(SomaAgrupBM,15-13*ORÇAMENTO!$AF$11)))</f>
        <v>0</v>
      </c>
      <c r="Q219" s="382"/>
      <c r="R219" s="383"/>
      <c r="T219" s="119" t="str">
        <f t="shared" ca="1" si="19"/>
        <v/>
      </c>
      <c r="U219" s="172" t="str">
        <f t="shared" ca="1" si="20"/>
        <v/>
      </c>
      <c r="V219" s="173" t="str">
        <f ca="1">IF(AND($W219&gt;0,RegimeExecucao="Unitário"),$F219,"")</f>
        <v/>
      </c>
      <c r="W219" s="547">
        <f ca="1">IF($Y219&gt;0,CHOOSE(MATCH(RegimeExecucao,{"Unitário","Global"},0),IF($A219="S",$Y219/$X219,""),($Y219/$X219)*100),0)</f>
        <v>0</v>
      </c>
      <c r="X219" s="384" t="str">
        <f ca="1">IF($Y219&gt;0,CHOOSE(MATCH(RegimeExecucao,{"Unitário","Global"},0),IF($A219="S",ROUND($H219,ORÇAMENTO!$AF$10),""),ROUND($I219,ORÇAMENTO!$AF$11)),"")</f>
        <v/>
      </c>
      <c r="Y219" s="384">
        <f t="shared" ca="1" si="21"/>
        <v>0</v>
      </c>
      <c r="Z219" s="572"/>
      <c r="AB219" s="382"/>
      <c r="AC219" s="516"/>
      <c r="AD219" s="516"/>
      <c r="AE219" s="516"/>
      <c r="AF219" s="516"/>
      <c r="AG219" s="516"/>
      <c r="AH219" s="516"/>
      <c r="AI219" s="516"/>
      <c r="AJ219" s="516"/>
      <c r="AK219" s="516"/>
      <c r="AL219" s="516"/>
      <c r="AM219" s="383"/>
      <c r="AO219">
        <f ca="1">IF($A219="S",IF(BM!$I219=0,0,CHOOSE(MATCH(RegimeExecucao,{"Global","Unitário"},0),ROUND(ROUND(BM.MEDAcumulado,15-13*BM!$A$9)/100*BM!$I219,15-13*ORÇAMENTO!$AF$11),ROUND(ROUND(BM.MEDAcumulado,15-13*BM!$A$9)*ROUND(BM!$H219,15-13*ORÇAMENTO!$AF$10),15-13*ORÇAMENTO!$AF$11))),IF($A219=0,0,ROUND(SomaAgrupBM,15-13*ORÇAMENTO!$AF$11)))</f>
        <v>0</v>
      </c>
    </row>
    <row r="220" spans="1:41" ht="51" x14ac:dyDescent="0.2">
      <c r="A220" t="str">
        <f ca="1">ORÇAMENTO!C220</f>
        <v>S</v>
      </c>
      <c r="B220">
        <f ca="1">ORÇAMENTO!D220</f>
        <v>0</v>
      </c>
      <c r="C220" s="116" t="str">
        <f t="shared" ca="1" si="15"/>
        <v>F</v>
      </c>
      <c r="D220" s="119" t="str">
        <f ca="1">ORÇAMENTO!O220</f>
        <v>1.9.0.8.</v>
      </c>
      <c r="E220" s="172" t="str">
        <f t="shared" ca="1" si="16"/>
        <v>(abra o arquivo 'Referência 03-2024.xlsm)</v>
      </c>
      <c r="F220" s="173" t="str">
        <f ca="1">IF(RegimeExecucao="Global","",ORÇAMENTO.Unidade)</f>
        <v/>
      </c>
      <c r="G220" s="124" t="str">
        <f ca="1">IF(RegimeExecucao="Global","",ORÇAMENTO!T220)</f>
        <v/>
      </c>
      <c r="H220" s="124" t="str">
        <f ca="1">IF(RegimeExecucao="Global","",ORÇAMENTO!W220)</f>
        <v/>
      </c>
      <c r="I220" s="127">
        <f ca="1">ORÇAMENTO!X220</f>
        <v>631.28</v>
      </c>
      <c r="J220" s="378">
        <f ca="1">IF($A220="S",IF(CAIXA.Modo,BM.AFAnterior,BM.MEDAnterior),IF(AND(RegimeExecucao="Global",$I220&gt;0,COUNTIF($AB$13:$AM$13,BM.medicao-1)&gt;0),M220/$I220*100,0))</f>
        <v>0</v>
      </c>
      <c r="K220" s="124">
        <f t="shared" ca="1" si="17"/>
        <v>0</v>
      </c>
      <c r="L220" s="379">
        <f ca="1">IF($A220="S",IF(CAIXA.Modo,BM.AFAcumulado,BM.MEDAcumulado),IF(AND(RegimeExecucao="Global",$I220&gt;0,COUNTIF($AB$13:$AM$13,BM.medicao)&gt;0),O220/$I220*100,0))</f>
        <v>0</v>
      </c>
      <c r="M220" s="380">
        <f ca="1">IF($A220="S",VTOTALBM,IF($A220=0,0,ROUND(SomaAgrupBM,15-13*ORÇAMENTO!$AF$11)))</f>
        <v>0</v>
      </c>
      <c r="N220" s="381">
        <f t="shared" ca="1" si="18"/>
        <v>0</v>
      </c>
      <c r="O220" s="127">
        <f ca="1">IF($A220="S",VTOTALBM,IF($A220=0,0,ROUND(SomaAgrupBM,15-13*ORÇAMENTO!$AF$11)))</f>
        <v>0</v>
      </c>
      <c r="Q220" s="382"/>
      <c r="R220" s="383"/>
      <c r="T220" s="119" t="str">
        <f t="shared" ca="1" si="19"/>
        <v/>
      </c>
      <c r="U220" s="172" t="str">
        <f t="shared" ca="1" si="20"/>
        <v/>
      </c>
      <c r="V220" s="173" t="str">
        <f ca="1">IF(AND($W220&gt;0,RegimeExecucao="Unitário"),$F220,"")</f>
        <v/>
      </c>
      <c r="W220" s="547">
        <f ca="1">IF($Y220&gt;0,CHOOSE(MATCH(RegimeExecucao,{"Unitário","Global"},0),IF($A220="S",$Y220/$X220,""),($Y220/$X220)*100),0)</f>
        <v>0</v>
      </c>
      <c r="X220" s="384" t="str">
        <f ca="1">IF($Y220&gt;0,CHOOSE(MATCH(RegimeExecucao,{"Unitário","Global"},0),IF($A220="S",ROUND($H220,ORÇAMENTO!$AF$10),""),ROUND($I220,ORÇAMENTO!$AF$11)),"")</f>
        <v/>
      </c>
      <c r="Y220" s="384">
        <f t="shared" ca="1" si="21"/>
        <v>0</v>
      </c>
      <c r="Z220" s="572"/>
      <c r="AB220" s="382"/>
      <c r="AC220" s="516"/>
      <c r="AD220" s="516"/>
      <c r="AE220" s="516"/>
      <c r="AF220" s="516"/>
      <c r="AG220" s="516"/>
      <c r="AH220" s="516"/>
      <c r="AI220" s="516"/>
      <c r="AJ220" s="516"/>
      <c r="AK220" s="516"/>
      <c r="AL220" s="516"/>
      <c r="AM220" s="383"/>
      <c r="AO220">
        <f ca="1">IF($A220="S",IF(BM!$I220=0,0,CHOOSE(MATCH(RegimeExecucao,{"Global","Unitário"},0),ROUND(ROUND(BM.MEDAcumulado,15-13*BM!$A$9)/100*BM!$I220,15-13*ORÇAMENTO!$AF$11),ROUND(ROUND(BM.MEDAcumulado,15-13*BM!$A$9)*ROUND(BM!$H220,15-13*ORÇAMENTO!$AF$10),15-13*ORÇAMENTO!$AF$11))),IF($A220=0,0,ROUND(SomaAgrupBM,15-13*ORÇAMENTO!$AF$11)))</f>
        <v>0</v>
      </c>
    </row>
    <row r="221" spans="1:41" ht="38.25" x14ac:dyDescent="0.2">
      <c r="A221" t="str">
        <f ca="1">ORÇAMENTO!C221</f>
        <v>S</v>
      </c>
      <c r="B221">
        <f ca="1">ORÇAMENTO!D221</f>
        <v>0</v>
      </c>
      <c r="C221" s="116" t="str">
        <f t="shared" ca="1" si="15"/>
        <v>F</v>
      </c>
      <c r="D221" s="119" t="str">
        <f ca="1">ORÇAMENTO!O221</f>
        <v>1.9.0.9.</v>
      </c>
      <c r="E221" s="172" t="str">
        <f t="shared" ca="1" si="16"/>
        <v>(abra o arquivo 'Referência 03-2024.xlsm)</v>
      </c>
      <c r="F221" s="173" t="str">
        <f ca="1">IF(RegimeExecucao="Global","",ORÇAMENTO.Unidade)</f>
        <v/>
      </c>
      <c r="G221" s="124" t="str">
        <f ca="1">IF(RegimeExecucao="Global","",ORÇAMENTO!T221)</f>
        <v/>
      </c>
      <c r="H221" s="124" t="str">
        <f ca="1">IF(RegimeExecucao="Global","",ORÇAMENTO!W221)</f>
        <v/>
      </c>
      <c r="I221" s="127">
        <f ca="1">ORÇAMENTO!X221</f>
        <v>2784.85</v>
      </c>
      <c r="J221" s="378">
        <f ca="1">IF($A221="S",IF(CAIXA.Modo,BM.AFAnterior,BM.MEDAnterior),IF(AND(RegimeExecucao="Global",$I221&gt;0,COUNTIF($AB$13:$AM$13,BM.medicao-1)&gt;0),M221/$I221*100,0))</f>
        <v>0</v>
      </c>
      <c r="K221" s="124">
        <f t="shared" ca="1" si="17"/>
        <v>0</v>
      </c>
      <c r="L221" s="379">
        <f ca="1">IF($A221="S",IF(CAIXA.Modo,BM.AFAcumulado,BM.MEDAcumulado),IF(AND(RegimeExecucao="Global",$I221&gt;0,COUNTIF($AB$13:$AM$13,BM.medicao)&gt;0),O221/$I221*100,0))</f>
        <v>0</v>
      </c>
      <c r="M221" s="380">
        <f ca="1">IF($A221="S",VTOTALBM,IF($A221=0,0,ROUND(SomaAgrupBM,15-13*ORÇAMENTO!$AF$11)))</f>
        <v>0</v>
      </c>
      <c r="N221" s="381">
        <f t="shared" ca="1" si="18"/>
        <v>0</v>
      </c>
      <c r="O221" s="127">
        <f ca="1">IF($A221="S",VTOTALBM,IF($A221=0,0,ROUND(SomaAgrupBM,15-13*ORÇAMENTO!$AF$11)))</f>
        <v>0</v>
      </c>
      <c r="Q221" s="382"/>
      <c r="R221" s="383"/>
      <c r="T221" s="119" t="str">
        <f t="shared" ca="1" si="19"/>
        <v/>
      </c>
      <c r="U221" s="172" t="str">
        <f t="shared" ca="1" si="20"/>
        <v/>
      </c>
      <c r="V221" s="173" t="str">
        <f ca="1">IF(AND($W221&gt;0,RegimeExecucao="Unitário"),$F221,"")</f>
        <v/>
      </c>
      <c r="W221" s="547">
        <f ca="1">IF($Y221&gt;0,CHOOSE(MATCH(RegimeExecucao,{"Unitário","Global"},0),IF($A221="S",$Y221/$X221,""),($Y221/$X221)*100),0)</f>
        <v>0</v>
      </c>
      <c r="X221" s="384" t="str">
        <f ca="1">IF($Y221&gt;0,CHOOSE(MATCH(RegimeExecucao,{"Unitário","Global"},0),IF($A221="S",ROUND($H221,ORÇAMENTO!$AF$10),""),ROUND($I221,ORÇAMENTO!$AF$11)),"")</f>
        <v/>
      </c>
      <c r="Y221" s="384">
        <f t="shared" ca="1" si="21"/>
        <v>0</v>
      </c>
      <c r="Z221" s="572"/>
      <c r="AB221" s="382"/>
      <c r="AC221" s="516"/>
      <c r="AD221" s="516"/>
      <c r="AE221" s="516"/>
      <c r="AF221" s="516"/>
      <c r="AG221" s="516"/>
      <c r="AH221" s="516"/>
      <c r="AI221" s="516"/>
      <c r="AJ221" s="516"/>
      <c r="AK221" s="516"/>
      <c r="AL221" s="516"/>
      <c r="AM221" s="383"/>
      <c r="AO221">
        <f ca="1">IF($A221="S",IF(BM!$I221=0,0,CHOOSE(MATCH(RegimeExecucao,{"Global","Unitário"},0),ROUND(ROUND(BM.MEDAcumulado,15-13*BM!$A$9)/100*BM!$I221,15-13*ORÇAMENTO!$AF$11),ROUND(ROUND(BM.MEDAcumulado,15-13*BM!$A$9)*ROUND(BM!$H221,15-13*ORÇAMENTO!$AF$10),15-13*ORÇAMENTO!$AF$11))),IF($A221=0,0,ROUND(SomaAgrupBM,15-13*ORÇAMENTO!$AF$11)))</f>
        <v>0</v>
      </c>
    </row>
    <row r="222" spans="1:41" ht="63.75" x14ac:dyDescent="0.2">
      <c r="A222" t="str">
        <f ca="1">ORÇAMENTO!C222</f>
        <v>S</v>
      </c>
      <c r="B222">
        <f ca="1">ORÇAMENTO!D222</f>
        <v>0</v>
      </c>
      <c r="C222" s="116" t="str">
        <f t="shared" ca="1" si="15"/>
        <v>F</v>
      </c>
      <c r="D222" s="119" t="str">
        <f ca="1">ORÇAMENTO!O222</f>
        <v>1.9.0.10.</v>
      </c>
      <c r="E222" s="172" t="str">
        <f t="shared" ca="1" si="16"/>
        <v>(abra o arquivo 'Referência 03-2024.xlsm)</v>
      </c>
      <c r="F222" s="173" t="str">
        <f ca="1">IF(RegimeExecucao="Global","",ORÇAMENTO.Unidade)</f>
        <v/>
      </c>
      <c r="G222" s="124" t="str">
        <f ca="1">IF(RegimeExecucao="Global","",ORÇAMENTO!T222)</f>
        <v/>
      </c>
      <c r="H222" s="124" t="str">
        <f ca="1">IF(RegimeExecucao="Global","",ORÇAMENTO!W222)</f>
        <v/>
      </c>
      <c r="I222" s="127">
        <f ca="1">ORÇAMENTO!X222</f>
        <v>4180.32</v>
      </c>
      <c r="J222" s="378">
        <f ca="1">IF($A222="S",IF(CAIXA.Modo,BM.AFAnterior,BM.MEDAnterior),IF(AND(RegimeExecucao="Global",$I222&gt;0,COUNTIF($AB$13:$AM$13,BM.medicao-1)&gt;0),M222/$I222*100,0))</f>
        <v>0</v>
      </c>
      <c r="K222" s="124">
        <f t="shared" ca="1" si="17"/>
        <v>0</v>
      </c>
      <c r="L222" s="379">
        <f ca="1">IF($A222="S",IF(CAIXA.Modo,BM.AFAcumulado,BM.MEDAcumulado),IF(AND(RegimeExecucao="Global",$I222&gt;0,COUNTIF($AB$13:$AM$13,BM.medicao)&gt;0),O222/$I222*100,0))</f>
        <v>0</v>
      </c>
      <c r="M222" s="380">
        <f ca="1">IF($A222="S",VTOTALBM,IF($A222=0,0,ROUND(SomaAgrupBM,15-13*ORÇAMENTO!$AF$11)))</f>
        <v>0</v>
      </c>
      <c r="N222" s="381">
        <f t="shared" ca="1" si="18"/>
        <v>0</v>
      </c>
      <c r="O222" s="127">
        <f ca="1">IF($A222="S",VTOTALBM,IF($A222=0,0,ROUND(SomaAgrupBM,15-13*ORÇAMENTO!$AF$11)))</f>
        <v>0</v>
      </c>
      <c r="Q222" s="382"/>
      <c r="R222" s="383"/>
      <c r="T222" s="119" t="str">
        <f t="shared" ca="1" si="19"/>
        <v/>
      </c>
      <c r="U222" s="172" t="str">
        <f t="shared" ca="1" si="20"/>
        <v/>
      </c>
      <c r="V222" s="173" t="str">
        <f ca="1">IF(AND($W222&gt;0,RegimeExecucao="Unitário"),$F222,"")</f>
        <v/>
      </c>
      <c r="W222" s="547">
        <f ca="1">IF($Y222&gt;0,CHOOSE(MATCH(RegimeExecucao,{"Unitário","Global"},0),IF($A222="S",$Y222/$X222,""),($Y222/$X222)*100),0)</f>
        <v>0</v>
      </c>
      <c r="X222" s="384" t="str">
        <f ca="1">IF($Y222&gt;0,CHOOSE(MATCH(RegimeExecucao,{"Unitário","Global"},0),IF($A222="S",ROUND($H222,ORÇAMENTO!$AF$10),""),ROUND($I222,ORÇAMENTO!$AF$11)),"")</f>
        <v/>
      </c>
      <c r="Y222" s="384">
        <f t="shared" ca="1" si="21"/>
        <v>0</v>
      </c>
      <c r="Z222" s="572"/>
      <c r="AB222" s="382"/>
      <c r="AC222" s="516"/>
      <c r="AD222" s="516"/>
      <c r="AE222" s="516"/>
      <c r="AF222" s="516"/>
      <c r="AG222" s="516"/>
      <c r="AH222" s="516"/>
      <c r="AI222" s="516"/>
      <c r="AJ222" s="516"/>
      <c r="AK222" s="516"/>
      <c r="AL222" s="516"/>
      <c r="AM222" s="383"/>
      <c r="AO222">
        <f ca="1">IF($A222="S",IF(BM!$I222=0,0,CHOOSE(MATCH(RegimeExecucao,{"Global","Unitário"},0),ROUND(ROUND(BM.MEDAcumulado,15-13*BM!$A$9)/100*BM!$I222,15-13*ORÇAMENTO!$AF$11),ROUND(ROUND(BM.MEDAcumulado,15-13*BM!$A$9)*ROUND(BM!$H222,15-13*ORÇAMENTO!$AF$10),15-13*ORÇAMENTO!$AF$11))),IF($A222=0,0,ROUND(SomaAgrupBM,15-13*ORÇAMENTO!$AF$11)))</f>
        <v>0</v>
      </c>
    </row>
    <row r="223" spans="1:41" ht="63.75" x14ac:dyDescent="0.2">
      <c r="A223" t="str">
        <f ca="1">ORÇAMENTO!C223</f>
        <v>S</v>
      </c>
      <c r="B223">
        <f ca="1">ORÇAMENTO!D223</f>
        <v>0</v>
      </c>
      <c r="C223" s="116" t="str">
        <f t="shared" ca="1" si="15"/>
        <v>F</v>
      </c>
      <c r="D223" s="119" t="str">
        <f ca="1">ORÇAMENTO!O223</f>
        <v>1.9.0.11.</v>
      </c>
      <c r="E223" s="172" t="str">
        <f t="shared" ca="1" si="16"/>
        <v>(abra o arquivo 'Referência 03-2024.xlsm)</v>
      </c>
      <c r="F223" s="173" t="str">
        <f ca="1">IF(RegimeExecucao="Global","",ORÇAMENTO.Unidade)</f>
        <v/>
      </c>
      <c r="G223" s="124" t="str">
        <f ca="1">IF(RegimeExecucao="Global","",ORÇAMENTO!T223)</f>
        <v/>
      </c>
      <c r="H223" s="124" t="str">
        <f ca="1">IF(RegimeExecucao="Global","",ORÇAMENTO!W223)</f>
        <v/>
      </c>
      <c r="I223" s="127">
        <f ca="1">ORÇAMENTO!X223</f>
        <v>10619.46</v>
      </c>
      <c r="J223" s="378">
        <f ca="1">IF($A223="S",IF(CAIXA.Modo,BM.AFAnterior,BM.MEDAnterior),IF(AND(RegimeExecucao="Global",$I223&gt;0,COUNTIF($AB$13:$AM$13,BM.medicao-1)&gt;0),M223/$I223*100,0))</f>
        <v>0</v>
      </c>
      <c r="K223" s="124">
        <f t="shared" ca="1" si="17"/>
        <v>0</v>
      </c>
      <c r="L223" s="379">
        <f ca="1">IF($A223="S",IF(CAIXA.Modo,BM.AFAcumulado,BM.MEDAcumulado),IF(AND(RegimeExecucao="Global",$I223&gt;0,COUNTIF($AB$13:$AM$13,BM.medicao)&gt;0),O223/$I223*100,0))</f>
        <v>0</v>
      </c>
      <c r="M223" s="380">
        <f ca="1">IF($A223="S",VTOTALBM,IF($A223=0,0,ROUND(SomaAgrupBM,15-13*ORÇAMENTO!$AF$11)))</f>
        <v>0</v>
      </c>
      <c r="N223" s="381">
        <f t="shared" ca="1" si="18"/>
        <v>0</v>
      </c>
      <c r="O223" s="127">
        <f ca="1">IF($A223="S",VTOTALBM,IF($A223=0,0,ROUND(SomaAgrupBM,15-13*ORÇAMENTO!$AF$11)))</f>
        <v>0</v>
      </c>
      <c r="Q223" s="382"/>
      <c r="R223" s="383"/>
      <c r="T223" s="119" t="str">
        <f t="shared" ca="1" si="19"/>
        <v/>
      </c>
      <c r="U223" s="172" t="str">
        <f t="shared" ca="1" si="20"/>
        <v/>
      </c>
      <c r="V223" s="173" t="str">
        <f ca="1">IF(AND($W223&gt;0,RegimeExecucao="Unitário"),$F223,"")</f>
        <v/>
      </c>
      <c r="W223" s="547">
        <f ca="1">IF($Y223&gt;0,CHOOSE(MATCH(RegimeExecucao,{"Unitário","Global"},0),IF($A223="S",$Y223/$X223,""),($Y223/$X223)*100),0)</f>
        <v>0</v>
      </c>
      <c r="X223" s="384" t="str">
        <f ca="1">IF($Y223&gt;0,CHOOSE(MATCH(RegimeExecucao,{"Unitário","Global"},0),IF($A223="S",ROUND($H223,ORÇAMENTO!$AF$10),""),ROUND($I223,ORÇAMENTO!$AF$11)),"")</f>
        <v/>
      </c>
      <c r="Y223" s="384">
        <f t="shared" ca="1" si="21"/>
        <v>0</v>
      </c>
      <c r="Z223" s="572"/>
      <c r="AB223" s="382"/>
      <c r="AC223" s="516"/>
      <c r="AD223" s="516"/>
      <c r="AE223" s="516"/>
      <c r="AF223" s="516"/>
      <c r="AG223" s="516"/>
      <c r="AH223" s="516"/>
      <c r="AI223" s="516"/>
      <c r="AJ223" s="516"/>
      <c r="AK223" s="516"/>
      <c r="AL223" s="516"/>
      <c r="AM223" s="383"/>
      <c r="AO223">
        <f ca="1">IF($A223="S",IF(BM!$I223=0,0,CHOOSE(MATCH(RegimeExecucao,{"Global","Unitário"},0),ROUND(ROUND(BM.MEDAcumulado,15-13*BM!$A$9)/100*BM!$I223,15-13*ORÇAMENTO!$AF$11),ROUND(ROUND(BM.MEDAcumulado,15-13*BM!$A$9)*ROUND(BM!$H223,15-13*ORÇAMENTO!$AF$10),15-13*ORÇAMENTO!$AF$11))),IF($A223=0,0,ROUND(SomaAgrupBM,15-13*ORÇAMENTO!$AF$11)))</f>
        <v>0</v>
      </c>
    </row>
    <row r="224" spans="1:41" ht="63.75" x14ac:dyDescent="0.2">
      <c r="A224" t="str">
        <f ca="1">ORÇAMENTO!C224</f>
        <v>S</v>
      </c>
      <c r="B224">
        <f ca="1">ORÇAMENTO!D224</f>
        <v>0</v>
      </c>
      <c r="C224" s="116" t="str">
        <f t="shared" ca="1" si="15"/>
        <v>F</v>
      </c>
      <c r="D224" s="119" t="str">
        <f ca="1">ORÇAMENTO!O224</f>
        <v>1.9.0.12.</v>
      </c>
      <c r="E224" s="172" t="str">
        <f t="shared" ca="1" si="16"/>
        <v>(abra o arquivo 'Referência 03-2024.xlsm)</v>
      </c>
      <c r="F224" s="173" t="str">
        <f ca="1">IF(RegimeExecucao="Global","",ORÇAMENTO.Unidade)</f>
        <v/>
      </c>
      <c r="G224" s="124" t="str">
        <f ca="1">IF(RegimeExecucao="Global","",ORÇAMENTO!T224)</f>
        <v/>
      </c>
      <c r="H224" s="124" t="str">
        <f ca="1">IF(RegimeExecucao="Global","",ORÇAMENTO!W224)</f>
        <v/>
      </c>
      <c r="I224" s="127">
        <f ca="1">ORÇAMENTO!X224</f>
        <v>768.39</v>
      </c>
      <c r="J224" s="378">
        <f ca="1">IF($A224="S",IF(CAIXA.Modo,BM.AFAnterior,BM.MEDAnterior),IF(AND(RegimeExecucao="Global",$I224&gt;0,COUNTIF($AB$13:$AM$13,BM.medicao-1)&gt;0),M224/$I224*100,0))</f>
        <v>0</v>
      </c>
      <c r="K224" s="124">
        <f t="shared" ca="1" si="17"/>
        <v>0</v>
      </c>
      <c r="L224" s="379">
        <f ca="1">IF($A224="S",IF(CAIXA.Modo,BM.AFAcumulado,BM.MEDAcumulado),IF(AND(RegimeExecucao="Global",$I224&gt;0,COUNTIF($AB$13:$AM$13,BM.medicao)&gt;0),O224/$I224*100,0))</f>
        <v>0</v>
      </c>
      <c r="M224" s="380">
        <f ca="1">IF($A224="S",VTOTALBM,IF($A224=0,0,ROUND(SomaAgrupBM,15-13*ORÇAMENTO!$AF$11)))</f>
        <v>0</v>
      </c>
      <c r="N224" s="381">
        <f t="shared" ca="1" si="18"/>
        <v>0</v>
      </c>
      <c r="O224" s="127">
        <f ca="1">IF($A224="S",VTOTALBM,IF($A224=0,0,ROUND(SomaAgrupBM,15-13*ORÇAMENTO!$AF$11)))</f>
        <v>0</v>
      </c>
      <c r="Q224" s="382"/>
      <c r="R224" s="383"/>
      <c r="T224" s="119" t="str">
        <f t="shared" ca="1" si="19"/>
        <v/>
      </c>
      <c r="U224" s="172" t="str">
        <f t="shared" ca="1" si="20"/>
        <v/>
      </c>
      <c r="V224" s="173" t="str">
        <f ca="1">IF(AND($W224&gt;0,RegimeExecucao="Unitário"),$F224,"")</f>
        <v/>
      </c>
      <c r="W224" s="547">
        <f ca="1">IF($Y224&gt;0,CHOOSE(MATCH(RegimeExecucao,{"Unitário","Global"},0),IF($A224="S",$Y224/$X224,""),($Y224/$X224)*100),0)</f>
        <v>0</v>
      </c>
      <c r="X224" s="384" t="str">
        <f ca="1">IF($Y224&gt;0,CHOOSE(MATCH(RegimeExecucao,{"Unitário","Global"},0),IF($A224="S",ROUND($H224,ORÇAMENTO!$AF$10),""),ROUND($I224,ORÇAMENTO!$AF$11)),"")</f>
        <v/>
      </c>
      <c r="Y224" s="384">
        <f t="shared" ca="1" si="21"/>
        <v>0</v>
      </c>
      <c r="Z224" s="572"/>
      <c r="AB224" s="382"/>
      <c r="AC224" s="516"/>
      <c r="AD224" s="516"/>
      <c r="AE224" s="516"/>
      <c r="AF224" s="516"/>
      <c r="AG224" s="516"/>
      <c r="AH224" s="516"/>
      <c r="AI224" s="516"/>
      <c r="AJ224" s="516"/>
      <c r="AK224" s="516"/>
      <c r="AL224" s="516"/>
      <c r="AM224" s="383"/>
      <c r="AO224">
        <f ca="1">IF($A224="S",IF(BM!$I224=0,0,CHOOSE(MATCH(RegimeExecucao,{"Global","Unitário"},0),ROUND(ROUND(BM.MEDAcumulado,15-13*BM!$A$9)/100*BM!$I224,15-13*ORÇAMENTO!$AF$11),ROUND(ROUND(BM.MEDAcumulado,15-13*BM!$A$9)*ROUND(BM!$H224,15-13*ORÇAMENTO!$AF$10),15-13*ORÇAMENTO!$AF$11))),IF($A224=0,0,ROUND(SomaAgrupBM,15-13*ORÇAMENTO!$AF$11)))</f>
        <v>0</v>
      </c>
    </row>
    <row r="225" spans="1:41" x14ac:dyDescent="0.2">
      <c r="A225">
        <f ca="1">ORÇAMENTO!C225</f>
        <v>2</v>
      </c>
      <c r="B225">
        <f ca="1">ORÇAMENTO!D225</f>
        <v>12</v>
      </c>
      <c r="C225" s="116" t="str">
        <f t="shared" ca="1" si="15"/>
        <v>F</v>
      </c>
      <c r="D225" s="119" t="str">
        <f ca="1">ORÇAMENTO!O225</f>
        <v>1.10.</v>
      </c>
      <c r="E225" s="172" t="str">
        <f t="shared" si="16"/>
        <v>PLAYGROUND</v>
      </c>
      <c r="F225" s="173" t="str">
        <f ca="1">IF(RegimeExecucao="Global","",ORÇAMENTO.Unidade)</f>
        <v/>
      </c>
      <c r="G225" s="124" t="str">
        <f ca="1">IF(RegimeExecucao="Global","",ORÇAMENTO!T225)</f>
        <v/>
      </c>
      <c r="H225" s="124" t="str">
        <f ca="1">IF(RegimeExecucao="Global","",ORÇAMENTO!W225)</f>
        <v/>
      </c>
      <c r="I225" s="127">
        <f ca="1">ORÇAMENTO!X225</f>
        <v>18622.34</v>
      </c>
      <c r="J225" s="378">
        <f ca="1">IF($A225="S",IF(CAIXA.Modo,BM.AFAnterior,BM.MEDAnterior),IF(AND(RegimeExecucao="Global",$I225&gt;0,COUNTIF($AB$13:$AM$13,BM.medicao-1)&gt;0),M225/$I225*100,0))</f>
        <v>0</v>
      </c>
      <c r="K225" s="124">
        <f t="shared" ca="1" si="17"/>
        <v>0</v>
      </c>
      <c r="L225" s="379">
        <f ca="1">IF($A225="S",IF(CAIXA.Modo,BM.AFAcumulado,BM.MEDAcumulado),IF(AND(RegimeExecucao="Global",$I225&gt;0,COUNTIF($AB$13:$AM$13,BM.medicao)&gt;0),O225/$I225*100,0))</f>
        <v>0</v>
      </c>
      <c r="M225" s="380">
        <f ca="1">IF($A225="S",VTOTALBM,IF($A225=0,0,ROUND(SomaAgrupBM,15-13*ORÇAMENTO!$AF$11)))</f>
        <v>0</v>
      </c>
      <c r="N225" s="381">
        <f t="shared" ca="1" si="18"/>
        <v>0</v>
      </c>
      <c r="O225" s="127">
        <f ca="1">IF($A225="S",VTOTALBM,IF($A225=0,0,ROUND(SomaAgrupBM,15-13*ORÇAMENTO!$AF$11)))</f>
        <v>0</v>
      </c>
      <c r="Q225" s="382"/>
      <c r="R225" s="383"/>
      <c r="T225" s="119" t="str">
        <f t="shared" ca="1" si="19"/>
        <v/>
      </c>
      <c r="U225" s="172" t="str">
        <f t="shared" ca="1" si="20"/>
        <v/>
      </c>
      <c r="V225" s="173" t="str">
        <f ca="1">IF(AND($W225&gt;0,RegimeExecucao="Unitário"),$F225,"")</f>
        <v/>
      </c>
      <c r="W225" s="547">
        <f ca="1">IF($Y225&gt;0,CHOOSE(MATCH(RegimeExecucao,{"Unitário","Global"},0),IF($A225="S",$Y225/$X225,""),($Y225/$X225)*100),0)</f>
        <v>0</v>
      </c>
      <c r="X225" s="384" t="str">
        <f ca="1">IF($Y225&gt;0,CHOOSE(MATCH(RegimeExecucao,{"Unitário","Global"},0),IF($A225="S",ROUND($H225,ORÇAMENTO!$AF$10),""),ROUND($I225,ORÇAMENTO!$AF$11)),"")</f>
        <v/>
      </c>
      <c r="Y225" s="384">
        <f t="shared" ca="1" si="21"/>
        <v>0</v>
      </c>
      <c r="Z225" s="572"/>
      <c r="AB225" s="382"/>
      <c r="AC225" s="516"/>
      <c r="AD225" s="516"/>
      <c r="AE225" s="516"/>
      <c r="AF225" s="516"/>
      <c r="AG225" s="516"/>
      <c r="AH225" s="516"/>
      <c r="AI225" s="516"/>
      <c r="AJ225" s="516"/>
      <c r="AK225" s="516"/>
      <c r="AL225" s="516"/>
      <c r="AM225" s="383"/>
      <c r="AO225">
        <f ca="1">IF($A225="S",IF(BM!$I225=0,0,CHOOSE(MATCH(RegimeExecucao,{"Global","Unitário"},0),ROUND(ROUND(BM.MEDAcumulado,15-13*BM!$A$9)/100*BM!$I225,15-13*ORÇAMENTO!$AF$11),ROUND(ROUND(BM.MEDAcumulado,15-13*BM!$A$9)*ROUND(BM!$H225,15-13*ORÇAMENTO!$AF$10),15-13*ORÇAMENTO!$AF$11))),IF($A225=0,0,ROUND(SomaAgrupBM,15-13*ORÇAMENTO!$AF$11)))</f>
        <v>0</v>
      </c>
    </row>
    <row r="226" spans="1:41" ht="63.75" x14ac:dyDescent="0.2">
      <c r="A226" t="str">
        <f ca="1">ORÇAMENTO!C226</f>
        <v>S</v>
      </c>
      <c r="B226">
        <f ca="1">ORÇAMENTO!D226</f>
        <v>0</v>
      </c>
      <c r="C226" s="116" t="str">
        <f t="shared" ca="1" si="15"/>
        <v>F</v>
      </c>
      <c r="D226" s="119" t="str">
        <f ca="1">ORÇAMENTO!O226</f>
        <v>1.10.0.1.</v>
      </c>
      <c r="E226" s="172" t="str">
        <f t="shared" ca="1" si="16"/>
        <v>(abra o arquivo 'Referência 03-2024.xlsm)</v>
      </c>
      <c r="F226" s="173" t="str">
        <f ca="1">IF(RegimeExecucao="Global","",ORÇAMENTO.Unidade)</f>
        <v/>
      </c>
      <c r="G226" s="124" t="str">
        <f ca="1">IF(RegimeExecucao="Global","",ORÇAMENTO!T226)</f>
        <v/>
      </c>
      <c r="H226" s="124" t="str">
        <f ca="1">IF(RegimeExecucao="Global","",ORÇAMENTO!W226)</f>
        <v/>
      </c>
      <c r="I226" s="127">
        <f ca="1">ORÇAMENTO!X226</f>
        <v>31.76</v>
      </c>
      <c r="J226" s="378">
        <f ca="1">IF($A226="S",IF(CAIXA.Modo,BM.AFAnterior,BM.MEDAnterior),IF(AND(RegimeExecucao="Global",$I226&gt;0,COUNTIF($AB$13:$AM$13,BM.medicao-1)&gt;0),M226/$I226*100,0))</f>
        <v>0</v>
      </c>
      <c r="K226" s="124">
        <f t="shared" ca="1" si="17"/>
        <v>0</v>
      </c>
      <c r="L226" s="379">
        <f ca="1">IF($A226="S",IF(CAIXA.Modo,BM.AFAcumulado,BM.MEDAcumulado),IF(AND(RegimeExecucao="Global",$I226&gt;0,COUNTIF($AB$13:$AM$13,BM.medicao)&gt;0),O226/$I226*100,0))</f>
        <v>0</v>
      </c>
      <c r="M226" s="380">
        <f ca="1">IF($A226="S",VTOTALBM,IF($A226=0,0,ROUND(SomaAgrupBM,15-13*ORÇAMENTO!$AF$11)))</f>
        <v>0</v>
      </c>
      <c r="N226" s="381">
        <f t="shared" ca="1" si="18"/>
        <v>0</v>
      </c>
      <c r="O226" s="127">
        <f ca="1">IF($A226="S",VTOTALBM,IF($A226=0,0,ROUND(SomaAgrupBM,15-13*ORÇAMENTO!$AF$11)))</f>
        <v>0</v>
      </c>
      <c r="Q226" s="382"/>
      <c r="R226" s="383"/>
      <c r="T226" s="119" t="str">
        <f t="shared" ca="1" si="19"/>
        <v/>
      </c>
      <c r="U226" s="172" t="str">
        <f t="shared" ca="1" si="20"/>
        <v/>
      </c>
      <c r="V226" s="173" t="str">
        <f ca="1">IF(AND($W226&gt;0,RegimeExecucao="Unitário"),$F226,"")</f>
        <v/>
      </c>
      <c r="W226" s="547">
        <f ca="1">IF($Y226&gt;0,CHOOSE(MATCH(RegimeExecucao,{"Unitário","Global"},0),IF($A226="S",$Y226/$X226,""),($Y226/$X226)*100),0)</f>
        <v>0</v>
      </c>
      <c r="X226" s="384" t="str">
        <f ca="1">IF($Y226&gt;0,CHOOSE(MATCH(RegimeExecucao,{"Unitário","Global"},0),IF($A226="S",ROUND($H226,ORÇAMENTO!$AF$10),""),ROUND($I226,ORÇAMENTO!$AF$11)),"")</f>
        <v/>
      </c>
      <c r="Y226" s="384">
        <f t="shared" ca="1" si="21"/>
        <v>0</v>
      </c>
      <c r="Z226" s="572"/>
      <c r="AB226" s="382"/>
      <c r="AC226" s="516"/>
      <c r="AD226" s="516"/>
      <c r="AE226" s="516"/>
      <c r="AF226" s="516"/>
      <c r="AG226" s="516"/>
      <c r="AH226" s="516"/>
      <c r="AI226" s="516"/>
      <c r="AJ226" s="516"/>
      <c r="AK226" s="516"/>
      <c r="AL226" s="516"/>
      <c r="AM226" s="383"/>
      <c r="AO226">
        <f ca="1">IF($A226="S",IF(BM!$I226=0,0,CHOOSE(MATCH(RegimeExecucao,{"Global","Unitário"},0),ROUND(ROUND(BM.MEDAcumulado,15-13*BM!$A$9)/100*BM!$I226,15-13*ORÇAMENTO!$AF$11),ROUND(ROUND(BM.MEDAcumulado,15-13*BM!$A$9)*ROUND(BM!$H226,15-13*ORÇAMENTO!$AF$10),15-13*ORÇAMENTO!$AF$11))),IF($A226=0,0,ROUND(SomaAgrupBM,15-13*ORÇAMENTO!$AF$11)))</f>
        <v>0</v>
      </c>
    </row>
    <row r="227" spans="1:41" ht="51" x14ac:dyDescent="0.2">
      <c r="A227" t="str">
        <f ca="1">ORÇAMENTO!C227</f>
        <v>S</v>
      </c>
      <c r="B227">
        <f ca="1">ORÇAMENTO!D227</f>
        <v>0</v>
      </c>
      <c r="C227" s="116" t="str">
        <f t="shared" ca="1" si="15"/>
        <v>F</v>
      </c>
      <c r="D227" s="119" t="str">
        <f ca="1">ORÇAMENTO!O227</f>
        <v>1.10.0.2.</v>
      </c>
      <c r="E227" s="172" t="str">
        <f t="shared" ca="1" si="16"/>
        <v>(abra o arquivo 'Referência 03-2024.xlsm)</v>
      </c>
      <c r="F227" s="173" t="str">
        <f ca="1">IF(RegimeExecucao="Global","",ORÇAMENTO.Unidade)</f>
        <v/>
      </c>
      <c r="G227" s="124" t="str">
        <f ca="1">IF(RegimeExecucao="Global","",ORÇAMENTO!T227)</f>
        <v/>
      </c>
      <c r="H227" s="124" t="str">
        <f ca="1">IF(RegimeExecucao="Global","",ORÇAMENTO!W227)</f>
        <v/>
      </c>
      <c r="I227" s="127">
        <f ca="1">ORÇAMENTO!X227</f>
        <v>11.27</v>
      </c>
      <c r="J227" s="378">
        <f ca="1">IF($A227="S",IF(CAIXA.Modo,BM.AFAnterior,BM.MEDAnterior),IF(AND(RegimeExecucao="Global",$I227&gt;0,COUNTIF($AB$13:$AM$13,BM.medicao-1)&gt;0),M227/$I227*100,0))</f>
        <v>0</v>
      </c>
      <c r="K227" s="124">
        <f t="shared" ca="1" si="17"/>
        <v>0</v>
      </c>
      <c r="L227" s="379">
        <f ca="1">IF($A227="S",IF(CAIXA.Modo,BM.AFAcumulado,BM.MEDAcumulado),IF(AND(RegimeExecucao="Global",$I227&gt;0,COUNTIF($AB$13:$AM$13,BM.medicao)&gt;0),O227/$I227*100,0))</f>
        <v>0</v>
      </c>
      <c r="M227" s="380">
        <f ca="1">IF($A227="S",VTOTALBM,IF($A227=0,0,ROUND(SomaAgrupBM,15-13*ORÇAMENTO!$AF$11)))</f>
        <v>0</v>
      </c>
      <c r="N227" s="381">
        <f t="shared" ca="1" si="18"/>
        <v>0</v>
      </c>
      <c r="O227" s="127">
        <f ca="1">IF($A227="S",VTOTALBM,IF($A227=0,0,ROUND(SomaAgrupBM,15-13*ORÇAMENTO!$AF$11)))</f>
        <v>0</v>
      </c>
      <c r="Q227" s="382"/>
      <c r="R227" s="383"/>
      <c r="T227" s="119" t="str">
        <f t="shared" ca="1" si="19"/>
        <v/>
      </c>
      <c r="U227" s="172" t="str">
        <f t="shared" ca="1" si="20"/>
        <v/>
      </c>
      <c r="V227" s="173" t="str">
        <f ca="1">IF(AND($W227&gt;0,RegimeExecucao="Unitário"),$F227,"")</f>
        <v/>
      </c>
      <c r="W227" s="547">
        <f ca="1">IF($Y227&gt;0,CHOOSE(MATCH(RegimeExecucao,{"Unitário","Global"},0),IF($A227="S",$Y227/$X227,""),($Y227/$X227)*100),0)</f>
        <v>0</v>
      </c>
      <c r="X227" s="384" t="str">
        <f ca="1">IF($Y227&gt;0,CHOOSE(MATCH(RegimeExecucao,{"Unitário","Global"},0),IF($A227="S",ROUND($H227,ORÇAMENTO!$AF$10),""),ROUND($I227,ORÇAMENTO!$AF$11)),"")</f>
        <v/>
      </c>
      <c r="Y227" s="384">
        <f t="shared" ca="1" si="21"/>
        <v>0</v>
      </c>
      <c r="Z227" s="572"/>
      <c r="AB227" s="382"/>
      <c r="AC227" s="516"/>
      <c r="AD227" s="516"/>
      <c r="AE227" s="516"/>
      <c r="AF227" s="516"/>
      <c r="AG227" s="516"/>
      <c r="AH227" s="516"/>
      <c r="AI227" s="516"/>
      <c r="AJ227" s="516"/>
      <c r="AK227" s="516"/>
      <c r="AL227" s="516"/>
      <c r="AM227" s="383"/>
      <c r="AO227">
        <f ca="1">IF($A227="S",IF(BM!$I227=0,0,CHOOSE(MATCH(RegimeExecucao,{"Global","Unitário"},0),ROUND(ROUND(BM.MEDAcumulado,15-13*BM!$A$9)/100*BM!$I227,15-13*ORÇAMENTO!$AF$11),ROUND(ROUND(BM.MEDAcumulado,15-13*BM!$A$9)*ROUND(BM!$H227,15-13*ORÇAMENTO!$AF$10),15-13*ORÇAMENTO!$AF$11))),IF($A227=0,0,ROUND(SomaAgrupBM,15-13*ORÇAMENTO!$AF$11)))</f>
        <v>0</v>
      </c>
    </row>
    <row r="228" spans="1:41" ht="38.25" x14ac:dyDescent="0.2">
      <c r="A228" t="str">
        <f ca="1">ORÇAMENTO!C228</f>
        <v>S</v>
      </c>
      <c r="B228">
        <f ca="1">ORÇAMENTO!D228</f>
        <v>0</v>
      </c>
      <c r="C228" s="116" t="str">
        <f t="shared" ca="1" si="15"/>
        <v>F</v>
      </c>
      <c r="D228" s="119" t="str">
        <f ca="1">ORÇAMENTO!O228</f>
        <v>1.10.0.3.</v>
      </c>
      <c r="E228" s="172" t="str">
        <f t="shared" ca="1" si="16"/>
        <v>(abra o arquivo 'Referência 03-2024.xlsm)</v>
      </c>
      <c r="F228" s="173" t="str">
        <f ca="1">IF(RegimeExecucao="Global","",ORÇAMENTO.Unidade)</f>
        <v/>
      </c>
      <c r="G228" s="124" t="str">
        <f ca="1">IF(RegimeExecucao="Global","",ORÇAMENTO!T228)</f>
        <v/>
      </c>
      <c r="H228" s="124" t="str">
        <f ca="1">IF(RegimeExecucao="Global","",ORÇAMENTO!W228)</f>
        <v/>
      </c>
      <c r="I228" s="127">
        <f ca="1">ORÇAMENTO!X228</f>
        <v>1246.27</v>
      </c>
      <c r="J228" s="378">
        <f ca="1">IF($A228="S",IF(CAIXA.Modo,BM.AFAnterior,BM.MEDAnterior),IF(AND(RegimeExecucao="Global",$I228&gt;0,COUNTIF($AB$13:$AM$13,BM.medicao-1)&gt;0),M228/$I228*100,0))</f>
        <v>0</v>
      </c>
      <c r="K228" s="124">
        <f t="shared" ca="1" si="17"/>
        <v>0</v>
      </c>
      <c r="L228" s="379">
        <f ca="1">IF($A228="S",IF(CAIXA.Modo,BM.AFAcumulado,BM.MEDAcumulado),IF(AND(RegimeExecucao="Global",$I228&gt;0,COUNTIF($AB$13:$AM$13,BM.medicao)&gt;0),O228/$I228*100,0))</f>
        <v>0</v>
      </c>
      <c r="M228" s="380">
        <f ca="1">IF($A228="S",VTOTALBM,IF($A228=0,0,ROUND(SomaAgrupBM,15-13*ORÇAMENTO!$AF$11)))</f>
        <v>0</v>
      </c>
      <c r="N228" s="381">
        <f t="shared" ca="1" si="18"/>
        <v>0</v>
      </c>
      <c r="O228" s="127">
        <f ca="1">IF($A228="S",VTOTALBM,IF($A228=0,0,ROUND(SomaAgrupBM,15-13*ORÇAMENTO!$AF$11)))</f>
        <v>0</v>
      </c>
      <c r="Q228" s="382"/>
      <c r="R228" s="383"/>
      <c r="T228" s="119" t="str">
        <f t="shared" ca="1" si="19"/>
        <v/>
      </c>
      <c r="U228" s="172" t="str">
        <f t="shared" ca="1" si="20"/>
        <v/>
      </c>
      <c r="V228" s="173" t="str">
        <f ca="1">IF(AND($W228&gt;0,RegimeExecucao="Unitário"),$F228,"")</f>
        <v/>
      </c>
      <c r="W228" s="547">
        <f ca="1">IF($Y228&gt;0,CHOOSE(MATCH(RegimeExecucao,{"Unitário","Global"},0),IF($A228="S",$Y228/$X228,""),($Y228/$X228)*100),0)</f>
        <v>0</v>
      </c>
      <c r="X228" s="384" t="str">
        <f ca="1">IF($Y228&gt;0,CHOOSE(MATCH(RegimeExecucao,{"Unitário","Global"},0),IF($A228="S",ROUND($H228,ORÇAMENTO!$AF$10),""),ROUND($I228,ORÇAMENTO!$AF$11)),"")</f>
        <v/>
      </c>
      <c r="Y228" s="384">
        <f t="shared" ca="1" si="21"/>
        <v>0</v>
      </c>
      <c r="Z228" s="572"/>
      <c r="AB228" s="382"/>
      <c r="AC228" s="516"/>
      <c r="AD228" s="516"/>
      <c r="AE228" s="516"/>
      <c r="AF228" s="516"/>
      <c r="AG228" s="516"/>
      <c r="AH228" s="516"/>
      <c r="AI228" s="516"/>
      <c r="AJ228" s="516"/>
      <c r="AK228" s="516"/>
      <c r="AL228" s="516"/>
      <c r="AM228" s="383"/>
      <c r="AO228">
        <f ca="1">IF($A228="S",IF(BM!$I228=0,0,CHOOSE(MATCH(RegimeExecucao,{"Global","Unitário"},0),ROUND(ROUND(BM.MEDAcumulado,15-13*BM!$A$9)/100*BM!$I228,15-13*ORÇAMENTO!$AF$11),ROUND(ROUND(BM.MEDAcumulado,15-13*BM!$A$9)*ROUND(BM!$H228,15-13*ORÇAMENTO!$AF$10),15-13*ORÇAMENTO!$AF$11))),IF($A228=0,0,ROUND(SomaAgrupBM,15-13*ORÇAMENTO!$AF$11)))</f>
        <v>0</v>
      </c>
    </row>
    <row r="229" spans="1:41" ht="51" x14ac:dyDescent="0.2">
      <c r="A229" t="str">
        <f ca="1">ORÇAMENTO!C229</f>
        <v>S</v>
      </c>
      <c r="B229">
        <f ca="1">ORÇAMENTO!D229</f>
        <v>0</v>
      </c>
      <c r="C229" s="116" t="str">
        <f t="shared" ref="C229:C289" ca="1" si="28">IF(OR($I229&gt;0,$A229=1,$A229=2,$A229=3,$A229=4),"F","")</f>
        <v>F</v>
      </c>
      <c r="D229" s="119" t="str">
        <f ca="1">ORÇAMENTO!O229</f>
        <v>1.10.0.4.</v>
      </c>
      <c r="E229" s="172" t="str">
        <f t="shared" ref="E229:E289" ca="1" si="29">ORÇAMENTO.Descricao</f>
        <v>(abra o arquivo 'Referência 03-2024.xlsm)</v>
      </c>
      <c r="F229" s="173" t="str">
        <f ca="1">IF(RegimeExecucao="Global","",ORÇAMENTO.Unidade)</f>
        <v/>
      </c>
      <c r="G229" s="124" t="str">
        <f ca="1">IF(RegimeExecucao="Global","",ORÇAMENTO!T229)</f>
        <v/>
      </c>
      <c r="H229" s="124" t="str">
        <f ca="1">IF(RegimeExecucao="Global","",ORÇAMENTO!W229)</f>
        <v/>
      </c>
      <c r="I229" s="127">
        <f ca="1">ORÇAMENTO!X229</f>
        <v>1236.08</v>
      </c>
      <c r="J229" s="378">
        <f ca="1">IF($A229="S",IF(CAIXA.Modo,BM.AFAnterior,BM.MEDAnterior),IF(AND(RegimeExecucao="Global",$I229&gt;0,COUNTIF($AB$13:$AM$13,BM.medicao-1)&gt;0),M229/$I229*100,0))</f>
        <v>0</v>
      </c>
      <c r="K229" s="124">
        <f t="shared" ref="K229:K289" ca="1" si="30">L229-J229</f>
        <v>0</v>
      </c>
      <c r="L229" s="379">
        <f ca="1">IF($A229="S",IF(CAIXA.Modo,BM.AFAcumulado,BM.MEDAcumulado),IF(AND(RegimeExecucao="Global",$I229&gt;0,COUNTIF($AB$13:$AM$13,BM.medicao)&gt;0),O229/$I229*100,0))</f>
        <v>0</v>
      </c>
      <c r="M229" s="380">
        <f ca="1">IF($A229="S",VTOTALBM,IF($A229=0,0,ROUND(SomaAgrupBM,15-13*ORÇAMENTO!$AF$11)))</f>
        <v>0</v>
      </c>
      <c r="N229" s="381">
        <f t="shared" ref="N229:N289" ca="1" si="31">O229-M229</f>
        <v>0</v>
      </c>
      <c r="O229" s="127">
        <f ca="1">IF($A229="S",VTOTALBM,IF($A229=0,0,ROUND(SomaAgrupBM,15-13*ORÇAMENTO!$AF$11)))</f>
        <v>0</v>
      </c>
      <c r="Q229" s="382"/>
      <c r="R229" s="383"/>
      <c r="T229" s="119" t="str">
        <f t="shared" ref="T229:T289" ca="1" si="32">IF($W229&gt;0,$D229,"")</f>
        <v/>
      </c>
      <c r="U229" s="172" t="str">
        <f t="shared" ref="U229:U289" ca="1" si="33">IF($W229&gt;0,$E229,"")</f>
        <v/>
      </c>
      <c r="V229" s="173" t="str">
        <f ca="1">IF(AND($W229&gt;0,RegimeExecucao="Unitário"),$F229,"")</f>
        <v/>
      </c>
      <c r="W229" s="547">
        <f ca="1">IF($Y229&gt;0,CHOOSE(MATCH(RegimeExecucao,{"Unitário","Global"},0),IF($A229="S",$Y229/$X229,""),($Y229/$X229)*100),0)</f>
        <v>0</v>
      </c>
      <c r="X229" s="384" t="str">
        <f ca="1">IF($Y229&gt;0,CHOOSE(MATCH(RegimeExecucao,{"Unitário","Global"},0),IF($A229="S",ROUND($H229,ORÇAMENTO!$AF$10),""),ROUND($I229,ORÇAMENTO!$AF$11)),"")</f>
        <v/>
      </c>
      <c r="Y229" s="384">
        <f t="shared" ref="Y229:Y289" ca="1" si="34">AO229-O229</f>
        <v>0</v>
      </c>
      <c r="Z229" s="572"/>
      <c r="AB229" s="382"/>
      <c r="AC229" s="516"/>
      <c r="AD229" s="516"/>
      <c r="AE229" s="516"/>
      <c r="AF229" s="516"/>
      <c r="AG229" s="516"/>
      <c r="AH229" s="516"/>
      <c r="AI229" s="516"/>
      <c r="AJ229" s="516"/>
      <c r="AK229" s="516"/>
      <c r="AL229" s="516"/>
      <c r="AM229" s="383"/>
      <c r="AO229">
        <f ca="1">IF($A229="S",IF(BM!$I229=0,0,CHOOSE(MATCH(RegimeExecucao,{"Global","Unitário"},0),ROUND(ROUND(BM.MEDAcumulado,15-13*BM!$A$9)/100*BM!$I229,15-13*ORÇAMENTO!$AF$11),ROUND(ROUND(BM.MEDAcumulado,15-13*BM!$A$9)*ROUND(BM!$H229,15-13*ORÇAMENTO!$AF$10),15-13*ORÇAMENTO!$AF$11))),IF($A229=0,0,ROUND(SomaAgrupBM,15-13*ORÇAMENTO!$AF$11)))</f>
        <v>0</v>
      </c>
    </row>
    <row r="230" spans="1:41" ht="38.25" x14ac:dyDescent="0.2">
      <c r="A230" t="str">
        <f ca="1">ORÇAMENTO!C230</f>
        <v>S</v>
      </c>
      <c r="B230">
        <f ca="1">ORÇAMENTO!D230</f>
        <v>0</v>
      </c>
      <c r="C230" s="116" t="str">
        <f t="shared" ca="1" si="28"/>
        <v>F</v>
      </c>
      <c r="D230" s="119" t="str">
        <f ca="1">ORÇAMENTO!O230</f>
        <v>1.10.0.5.</v>
      </c>
      <c r="E230" s="172" t="str">
        <f t="shared" ca="1" si="29"/>
        <v>(abra o arquivo 'Referência 03-2024.xlsm)</v>
      </c>
      <c r="F230" s="173" t="str">
        <f ca="1">IF(RegimeExecucao="Global","",ORÇAMENTO.Unidade)</f>
        <v/>
      </c>
      <c r="G230" s="124" t="str">
        <f ca="1">IF(RegimeExecucao="Global","",ORÇAMENTO!T230)</f>
        <v/>
      </c>
      <c r="H230" s="124" t="str">
        <f ca="1">IF(RegimeExecucao="Global","",ORÇAMENTO!W230)</f>
        <v/>
      </c>
      <c r="I230" s="127">
        <f ca="1">ORÇAMENTO!X230</f>
        <v>480.65</v>
      </c>
      <c r="J230" s="378">
        <f ca="1">IF($A230="S",IF(CAIXA.Modo,BM.AFAnterior,BM.MEDAnterior),IF(AND(RegimeExecucao="Global",$I230&gt;0,COUNTIF($AB$13:$AM$13,BM.medicao-1)&gt;0),M230/$I230*100,0))</f>
        <v>0</v>
      </c>
      <c r="K230" s="124">
        <f t="shared" ca="1" si="30"/>
        <v>0</v>
      </c>
      <c r="L230" s="379">
        <f ca="1">IF($A230="S",IF(CAIXA.Modo,BM.AFAcumulado,BM.MEDAcumulado),IF(AND(RegimeExecucao="Global",$I230&gt;0,COUNTIF($AB$13:$AM$13,BM.medicao)&gt;0),O230/$I230*100,0))</f>
        <v>0</v>
      </c>
      <c r="M230" s="380">
        <f ca="1">IF($A230="S",VTOTALBM,IF($A230=0,0,ROUND(SomaAgrupBM,15-13*ORÇAMENTO!$AF$11)))</f>
        <v>0</v>
      </c>
      <c r="N230" s="381">
        <f t="shared" ca="1" si="31"/>
        <v>0</v>
      </c>
      <c r="O230" s="127">
        <f ca="1">IF($A230="S",VTOTALBM,IF($A230=0,0,ROUND(SomaAgrupBM,15-13*ORÇAMENTO!$AF$11)))</f>
        <v>0</v>
      </c>
      <c r="Q230" s="382"/>
      <c r="R230" s="383"/>
      <c r="T230" s="119" t="str">
        <f t="shared" ca="1" si="32"/>
        <v/>
      </c>
      <c r="U230" s="172" t="str">
        <f t="shared" ca="1" si="33"/>
        <v/>
      </c>
      <c r="V230" s="173" t="str">
        <f ca="1">IF(AND($W230&gt;0,RegimeExecucao="Unitário"),$F230,"")</f>
        <v/>
      </c>
      <c r="W230" s="547">
        <f ca="1">IF($Y230&gt;0,CHOOSE(MATCH(RegimeExecucao,{"Unitário","Global"},0),IF($A230="S",$Y230/$X230,""),($Y230/$X230)*100),0)</f>
        <v>0</v>
      </c>
      <c r="X230" s="384" t="str">
        <f ca="1">IF($Y230&gt;0,CHOOSE(MATCH(RegimeExecucao,{"Unitário","Global"},0),IF($A230="S",ROUND($H230,ORÇAMENTO!$AF$10),""),ROUND($I230,ORÇAMENTO!$AF$11)),"")</f>
        <v/>
      </c>
      <c r="Y230" s="384">
        <f t="shared" ca="1" si="34"/>
        <v>0</v>
      </c>
      <c r="Z230" s="572"/>
      <c r="AB230" s="382"/>
      <c r="AC230" s="516"/>
      <c r="AD230" s="516"/>
      <c r="AE230" s="516"/>
      <c r="AF230" s="516"/>
      <c r="AG230" s="516"/>
      <c r="AH230" s="516"/>
      <c r="AI230" s="516"/>
      <c r="AJ230" s="516"/>
      <c r="AK230" s="516"/>
      <c r="AL230" s="516"/>
      <c r="AM230" s="383"/>
      <c r="AO230">
        <f ca="1">IF($A230="S",IF(BM!$I230=0,0,CHOOSE(MATCH(RegimeExecucao,{"Global","Unitário"},0),ROUND(ROUND(BM.MEDAcumulado,15-13*BM!$A$9)/100*BM!$I230,15-13*ORÇAMENTO!$AF$11),ROUND(ROUND(BM.MEDAcumulado,15-13*BM!$A$9)*ROUND(BM!$H230,15-13*ORÇAMENTO!$AF$10),15-13*ORÇAMENTO!$AF$11))),IF($A230=0,0,ROUND(SomaAgrupBM,15-13*ORÇAMENTO!$AF$11)))</f>
        <v>0</v>
      </c>
    </row>
    <row r="231" spans="1:41" ht="38.25" x14ac:dyDescent="0.2">
      <c r="A231" t="str">
        <f ca="1">ORÇAMENTO!C231</f>
        <v>S</v>
      </c>
      <c r="B231">
        <f ca="1">ORÇAMENTO!D231</f>
        <v>0</v>
      </c>
      <c r="C231" s="116" t="str">
        <f t="shared" ca="1" si="28"/>
        <v>F</v>
      </c>
      <c r="D231" s="119" t="str">
        <f ca="1">ORÇAMENTO!O231</f>
        <v>1.10.0.6.</v>
      </c>
      <c r="E231" s="172" t="str">
        <f t="shared" ca="1" si="29"/>
        <v>(abra o arquivo 'Referência 03-2024.xlsm)</v>
      </c>
      <c r="F231" s="173" t="str">
        <f ca="1">IF(RegimeExecucao="Global","",ORÇAMENTO.Unidade)</f>
        <v/>
      </c>
      <c r="G231" s="124" t="str">
        <f ca="1">IF(RegimeExecucao="Global","",ORÇAMENTO!T231)</f>
        <v/>
      </c>
      <c r="H231" s="124" t="str">
        <f ca="1">IF(RegimeExecucao="Global","",ORÇAMENTO!W231)</f>
        <v/>
      </c>
      <c r="I231" s="127">
        <f ca="1">ORÇAMENTO!X231</f>
        <v>1066.31</v>
      </c>
      <c r="J231" s="378">
        <f ca="1">IF($A231="S",IF(CAIXA.Modo,BM.AFAnterior,BM.MEDAnterior),IF(AND(RegimeExecucao="Global",$I231&gt;0,COUNTIF($AB$13:$AM$13,BM.medicao-1)&gt;0),M231/$I231*100,0))</f>
        <v>0</v>
      </c>
      <c r="K231" s="124">
        <f t="shared" ca="1" si="30"/>
        <v>0</v>
      </c>
      <c r="L231" s="379">
        <f ca="1">IF($A231="S",IF(CAIXA.Modo,BM.AFAcumulado,BM.MEDAcumulado),IF(AND(RegimeExecucao="Global",$I231&gt;0,COUNTIF($AB$13:$AM$13,BM.medicao)&gt;0),O231/$I231*100,0))</f>
        <v>0</v>
      </c>
      <c r="M231" s="380">
        <f ca="1">IF($A231="S",VTOTALBM,IF($A231=0,0,ROUND(SomaAgrupBM,15-13*ORÇAMENTO!$AF$11)))</f>
        <v>0</v>
      </c>
      <c r="N231" s="381">
        <f t="shared" ca="1" si="31"/>
        <v>0</v>
      </c>
      <c r="O231" s="127">
        <f ca="1">IF($A231="S",VTOTALBM,IF($A231=0,0,ROUND(SomaAgrupBM,15-13*ORÇAMENTO!$AF$11)))</f>
        <v>0</v>
      </c>
      <c r="Q231" s="382"/>
      <c r="R231" s="383"/>
      <c r="T231" s="119" t="str">
        <f t="shared" ca="1" si="32"/>
        <v/>
      </c>
      <c r="U231" s="172" t="str">
        <f t="shared" ca="1" si="33"/>
        <v/>
      </c>
      <c r="V231" s="173" t="str">
        <f ca="1">IF(AND($W231&gt;0,RegimeExecucao="Unitário"),$F231,"")</f>
        <v/>
      </c>
      <c r="W231" s="547">
        <f ca="1">IF($Y231&gt;0,CHOOSE(MATCH(RegimeExecucao,{"Unitário","Global"},0),IF($A231="S",$Y231/$X231,""),($Y231/$X231)*100),0)</f>
        <v>0</v>
      </c>
      <c r="X231" s="384" t="str">
        <f ca="1">IF($Y231&gt;0,CHOOSE(MATCH(RegimeExecucao,{"Unitário","Global"},0),IF($A231="S",ROUND($H231,ORÇAMENTO!$AF$10),""),ROUND($I231,ORÇAMENTO!$AF$11)),"")</f>
        <v/>
      </c>
      <c r="Y231" s="384">
        <f t="shared" ca="1" si="34"/>
        <v>0</v>
      </c>
      <c r="Z231" s="572"/>
      <c r="AB231" s="382"/>
      <c r="AC231" s="516"/>
      <c r="AD231" s="516"/>
      <c r="AE231" s="516"/>
      <c r="AF231" s="516"/>
      <c r="AG231" s="516"/>
      <c r="AH231" s="516"/>
      <c r="AI231" s="516"/>
      <c r="AJ231" s="516"/>
      <c r="AK231" s="516"/>
      <c r="AL231" s="516"/>
      <c r="AM231" s="383"/>
      <c r="AO231">
        <f ca="1">IF($A231="S",IF(BM!$I231=0,0,CHOOSE(MATCH(RegimeExecucao,{"Global","Unitário"},0),ROUND(ROUND(BM.MEDAcumulado,15-13*BM!$A$9)/100*BM!$I231,15-13*ORÇAMENTO!$AF$11),ROUND(ROUND(BM.MEDAcumulado,15-13*BM!$A$9)*ROUND(BM!$H231,15-13*ORÇAMENTO!$AF$10),15-13*ORÇAMENTO!$AF$11))),IF($A231=0,0,ROUND(SomaAgrupBM,15-13*ORÇAMENTO!$AF$11)))</f>
        <v>0</v>
      </c>
    </row>
    <row r="232" spans="1:41" ht="51" x14ac:dyDescent="0.2">
      <c r="A232" t="str">
        <f ca="1">ORÇAMENTO!C232</f>
        <v>S</v>
      </c>
      <c r="B232">
        <f ca="1">ORÇAMENTO!D232</f>
        <v>0</v>
      </c>
      <c r="C232" s="116" t="str">
        <f t="shared" ca="1" si="28"/>
        <v>F</v>
      </c>
      <c r="D232" s="119" t="str">
        <f ca="1">ORÇAMENTO!O232</f>
        <v>1.10.0.7.</v>
      </c>
      <c r="E232" s="172" t="str">
        <f t="shared" ca="1" si="29"/>
        <v>(abra o arquivo 'Referência 03-2024.xlsm)</v>
      </c>
      <c r="F232" s="173" t="str">
        <f ca="1">IF(RegimeExecucao="Global","",ORÇAMENTO.Unidade)</f>
        <v/>
      </c>
      <c r="G232" s="124" t="str">
        <f ca="1">IF(RegimeExecucao="Global","",ORÇAMENTO!T232)</f>
        <v/>
      </c>
      <c r="H232" s="124" t="str">
        <f ca="1">IF(RegimeExecucao="Global","",ORÇAMENTO!W232)</f>
        <v/>
      </c>
      <c r="I232" s="127">
        <f ca="1">ORÇAMENTO!X232</f>
        <v>1662.72</v>
      </c>
      <c r="J232" s="378">
        <f ca="1">IF($A232="S",IF(CAIXA.Modo,BM.AFAnterior,BM.MEDAnterior),IF(AND(RegimeExecucao="Global",$I232&gt;0,COUNTIF($AB$13:$AM$13,BM.medicao-1)&gt;0),M232/$I232*100,0))</f>
        <v>0</v>
      </c>
      <c r="K232" s="124">
        <f t="shared" ca="1" si="30"/>
        <v>0</v>
      </c>
      <c r="L232" s="379">
        <f ca="1">IF($A232="S",IF(CAIXA.Modo,BM.AFAcumulado,BM.MEDAcumulado),IF(AND(RegimeExecucao="Global",$I232&gt;0,COUNTIF($AB$13:$AM$13,BM.medicao)&gt;0),O232/$I232*100,0))</f>
        <v>0</v>
      </c>
      <c r="M232" s="380">
        <f ca="1">IF($A232="S",VTOTALBM,IF($A232=0,0,ROUND(SomaAgrupBM,15-13*ORÇAMENTO!$AF$11)))</f>
        <v>0</v>
      </c>
      <c r="N232" s="381">
        <f t="shared" ca="1" si="31"/>
        <v>0</v>
      </c>
      <c r="O232" s="127">
        <f ca="1">IF($A232="S",VTOTALBM,IF($A232=0,0,ROUND(SomaAgrupBM,15-13*ORÇAMENTO!$AF$11)))</f>
        <v>0</v>
      </c>
      <c r="Q232" s="382"/>
      <c r="R232" s="383"/>
      <c r="T232" s="119" t="str">
        <f t="shared" ca="1" si="32"/>
        <v/>
      </c>
      <c r="U232" s="172" t="str">
        <f t="shared" ca="1" si="33"/>
        <v/>
      </c>
      <c r="V232" s="173" t="str">
        <f ca="1">IF(AND($W232&gt;0,RegimeExecucao="Unitário"),$F232,"")</f>
        <v/>
      </c>
      <c r="W232" s="547">
        <f ca="1">IF($Y232&gt;0,CHOOSE(MATCH(RegimeExecucao,{"Unitário","Global"},0),IF($A232="S",$Y232/$X232,""),($Y232/$X232)*100),0)</f>
        <v>0</v>
      </c>
      <c r="X232" s="384" t="str">
        <f ca="1">IF($Y232&gt;0,CHOOSE(MATCH(RegimeExecucao,{"Unitário","Global"},0),IF($A232="S",ROUND($H232,ORÇAMENTO!$AF$10),""),ROUND($I232,ORÇAMENTO!$AF$11)),"")</f>
        <v/>
      </c>
      <c r="Y232" s="384">
        <f t="shared" ca="1" si="34"/>
        <v>0</v>
      </c>
      <c r="Z232" s="572"/>
      <c r="AB232" s="382"/>
      <c r="AC232" s="516"/>
      <c r="AD232" s="516"/>
      <c r="AE232" s="516"/>
      <c r="AF232" s="516"/>
      <c r="AG232" s="516"/>
      <c r="AH232" s="516"/>
      <c r="AI232" s="516"/>
      <c r="AJ232" s="516"/>
      <c r="AK232" s="516"/>
      <c r="AL232" s="516"/>
      <c r="AM232" s="383"/>
      <c r="AO232">
        <f ca="1">IF($A232="S",IF(BM!$I232=0,0,CHOOSE(MATCH(RegimeExecucao,{"Global","Unitário"},0),ROUND(ROUND(BM.MEDAcumulado,15-13*BM!$A$9)/100*BM!$I232,15-13*ORÇAMENTO!$AF$11),ROUND(ROUND(BM.MEDAcumulado,15-13*BM!$A$9)*ROUND(BM!$H232,15-13*ORÇAMENTO!$AF$10),15-13*ORÇAMENTO!$AF$11))),IF($A232=0,0,ROUND(SomaAgrupBM,15-13*ORÇAMENTO!$AF$11)))</f>
        <v>0</v>
      </c>
    </row>
    <row r="233" spans="1:41" ht="51" x14ac:dyDescent="0.2">
      <c r="A233" t="str">
        <f ca="1">ORÇAMENTO!C233</f>
        <v>S</v>
      </c>
      <c r="B233">
        <f ca="1">ORÇAMENTO!D233</f>
        <v>0</v>
      </c>
      <c r="C233" s="116" t="str">
        <f t="shared" ca="1" si="28"/>
        <v>F</v>
      </c>
      <c r="D233" s="119" t="str">
        <f ca="1">ORÇAMENTO!O233</f>
        <v>1.10.0.8.</v>
      </c>
      <c r="E233" s="172" t="str">
        <f t="shared" ca="1" si="29"/>
        <v>(abra o arquivo 'Referência 03-2024.xlsm)</v>
      </c>
      <c r="F233" s="173" t="str">
        <f ca="1">IF(RegimeExecucao="Global","",ORÇAMENTO.Unidade)</f>
        <v/>
      </c>
      <c r="G233" s="124" t="str">
        <f ca="1">IF(RegimeExecucao="Global","",ORÇAMENTO!T233)</f>
        <v/>
      </c>
      <c r="H233" s="124" t="str">
        <f ca="1">IF(RegimeExecucao="Global","",ORÇAMENTO!W233)</f>
        <v/>
      </c>
      <c r="I233" s="127">
        <f ca="1">ORÇAMENTO!X233</f>
        <v>614.88</v>
      </c>
      <c r="J233" s="378">
        <f ca="1">IF($A233="S",IF(CAIXA.Modo,BM.AFAnterior,BM.MEDAnterior),IF(AND(RegimeExecucao="Global",$I233&gt;0,COUNTIF($AB$13:$AM$13,BM.medicao-1)&gt;0),M233/$I233*100,0))</f>
        <v>0</v>
      </c>
      <c r="K233" s="124">
        <f t="shared" ca="1" si="30"/>
        <v>0</v>
      </c>
      <c r="L233" s="379">
        <f ca="1">IF($A233="S",IF(CAIXA.Modo,BM.AFAcumulado,BM.MEDAcumulado),IF(AND(RegimeExecucao="Global",$I233&gt;0,COUNTIF($AB$13:$AM$13,BM.medicao)&gt;0),O233/$I233*100,0))</f>
        <v>0</v>
      </c>
      <c r="M233" s="380">
        <f ca="1">IF($A233="S",VTOTALBM,IF($A233=0,0,ROUND(SomaAgrupBM,15-13*ORÇAMENTO!$AF$11)))</f>
        <v>0</v>
      </c>
      <c r="N233" s="381">
        <f t="shared" ca="1" si="31"/>
        <v>0</v>
      </c>
      <c r="O233" s="127">
        <f ca="1">IF($A233="S",VTOTALBM,IF($A233=0,0,ROUND(SomaAgrupBM,15-13*ORÇAMENTO!$AF$11)))</f>
        <v>0</v>
      </c>
      <c r="Q233" s="382"/>
      <c r="R233" s="383"/>
      <c r="T233" s="119" t="str">
        <f t="shared" ca="1" si="32"/>
        <v/>
      </c>
      <c r="U233" s="172" t="str">
        <f t="shared" ca="1" si="33"/>
        <v/>
      </c>
      <c r="V233" s="173" t="str">
        <f ca="1">IF(AND($W233&gt;0,RegimeExecucao="Unitário"),$F233,"")</f>
        <v/>
      </c>
      <c r="W233" s="547">
        <f ca="1">IF($Y233&gt;0,CHOOSE(MATCH(RegimeExecucao,{"Unitário","Global"},0),IF($A233="S",$Y233/$X233,""),($Y233/$X233)*100),0)</f>
        <v>0</v>
      </c>
      <c r="X233" s="384" t="str">
        <f ca="1">IF($Y233&gt;0,CHOOSE(MATCH(RegimeExecucao,{"Unitário","Global"},0),IF($A233="S",ROUND($H233,ORÇAMENTO!$AF$10),""),ROUND($I233,ORÇAMENTO!$AF$11)),"")</f>
        <v/>
      </c>
      <c r="Y233" s="384">
        <f t="shared" ca="1" si="34"/>
        <v>0</v>
      </c>
      <c r="Z233" s="572"/>
      <c r="AB233" s="382"/>
      <c r="AC233" s="516"/>
      <c r="AD233" s="516"/>
      <c r="AE233" s="516"/>
      <c r="AF233" s="516"/>
      <c r="AG233" s="516"/>
      <c r="AH233" s="516"/>
      <c r="AI233" s="516"/>
      <c r="AJ233" s="516"/>
      <c r="AK233" s="516"/>
      <c r="AL233" s="516"/>
      <c r="AM233" s="383"/>
      <c r="AO233">
        <f ca="1">IF($A233="S",IF(BM!$I233=0,0,CHOOSE(MATCH(RegimeExecucao,{"Global","Unitário"},0),ROUND(ROUND(BM.MEDAcumulado,15-13*BM!$A$9)/100*BM!$I233,15-13*ORÇAMENTO!$AF$11),ROUND(ROUND(BM.MEDAcumulado,15-13*BM!$A$9)*ROUND(BM!$H233,15-13*ORÇAMENTO!$AF$10),15-13*ORÇAMENTO!$AF$11))),IF($A233=0,0,ROUND(SomaAgrupBM,15-13*ORÇAMENTO!$AF$11)))</f>
        <v>0</v>
      </c>
    </row>
    <row r="234" spans="1:41" ht="38.25" x14ac:dyDescent="0.2">
      <c r="A234" t="str">
        <f ca="1">ORÇAMENTO!C234</f>
        <v>S</v>
      </c>
      <c r="B234">
        <f ca="1">ORÇAMENTO!D234</f>
        <v>0</v>
      </c>
      <c r="C234" s="116" t="str">
        <f t="shared" ca="1" si="28"/>
        <v>F</v>
      </c>
      <c r="D234" s="119" t="str">
        <f ca="1">ORÇAMENTO!O234</f>
        <v>1.10.0.9.</v>
      </c>
      <c r="E234" s="172" t="str">
        <f t="shared" ca="1" si="29"/>
        <v>(abra o arquivo 'Referência 03-2024.xlsm)</v>
      </c>
      <c r="F234" s="173" t="str">
        <f ca="1">IF(RegimeExecucao="Global","",ORÇAMENTO.Unidade)</f>
        <v/>
      </c>
      <c r="G234" s="124" t="str">
        <f ca="1">IF(RegimeExecucao="Global","",ORÇAMENTO!T234)</f>
        <v/>
      </c>
      <c r="H234" s="124" t="str">
        <f ca="1">IF(RegimeExecucao="Global","",ORÇAMENTO!W234)</f>
        <v/>
      </c>
      <c r="I234" s="127">
        <f ca="1">ORÇAMENTO!X234</f>
        <v>2713.25</v>
      </c>
      <c r="J234" s="378">
        <f ca="1">IF($A234="S",IF(CAIXA.Modo,BM.AFAnterior,BM.MEDAnterior),IF(AND(RegimeExecucao="Global",$I234&gt;0,COUNTIF($AB$13:$AM$13,BM.medicao-1)&gt;0),M234/$I234*100,0))</f>
        <v>0</v>
      </c>
      <c r="K234" s="124">
        <f t="shared" ca="1" si="30"/>
        <v>0</v>
      </c>
      <c r="L234" s="379">
        <f ca="1">IF($A234="S",IF(CAIXA.Modo,BM.AFAcumulado,BM.MEDAcumulado),IF(AND(RegimeExecucao="Global",$I234&gt;0,COUNTIF($AB$13:$AM$13,BM.medicao)&gt;0),O234/$I234*100,0))</f>
        <v>0</v>
      </c>
      <c r="M234" s="380">
        <f ca="1">IF($A234="S",VTOTALBM,IF($A234=0,0,ROUND(SomaAgrupBM,15-13*ORÇAMENTO!$AF$11)))</f>
        <v>0</v>
      </c>
      <c r="N234" s="381">
        <f t="shared" ca="1" si="31"/>
        <v>0</v>
      </c>
      <c r="O234" s="127">
        <f ca="1">IF($A234="S",VTOTALBM,IF($A234=0,0,ROUND(SomaAgrupBM,15-13*ORÇAMENTO!$AF$11)))</f>
        <v>0</v>
      </c>
      <c r="Q234" s="382"/>
      <c r="R234" s="383"/>
      <c r="T234" s="119" t="str">
        <f t="shared" ca="1" si="32"/>
        <v/>
      </c>
      <c r="U234" s="172" t="str">
        <f t="shared" ca="1" si="33"/>
        <v/>
      </c>
      <c r="V234" s="173" t="str">
        <f ca="1">IF(AND($W234&gt;0,RegimeExecucao="Unitário"),$F234,"")</f>
        <v/>
      </c>
      <c r="W234" s="547">
        <f ca="1">IF($Y234&gt;0,CHOOSE(MATCH(RegimeExecucao,{"Unitário","Global"},0),IF($A234="S",$Y234/$X234,""),($Y234/$X234)*100),0)</f>
        <v>0</v>
      </c>
      <c r="X234" s="384" t="str">
        <f ca="1">IF($Y234&gt;0,CHOOSE(MATCH(RegimeExecucao,{"Unitário","Global"},0),IF($A234="S",ROUND($H234,ORÇAMENTO!$AF$10),""),ROUND($I234,ORÇAMENTO!$AF$11)),"")</f>
        <v/>
      </c>
      <c r="Y234" s="384">
        <f t="shared" ca="1" si="34"/>
        <v>0</v>
      </c>
      <c r="Z234" s="572"/>
      <c r="AB234" s="382"/>
      <c r="AC234" s="516"/>
      <c r="AD234" s="516"/>
      <c r="AE234" s="516"/>
      <c r="AF234" s="516"/>
      <c r="AG234" s="516"/>
      <c r="AH234" s="516"/>
      <c r="AI234" s="516"/>
      <c r="AJ234" s="516"/>
      <c r="AK234" s="516"/>
      <c r="AL234" s="516"/>
      <c r="AM234" s="383"/>
      <c r="AO234">
        <f ca="1">IF($A234="S",IF(BM!$I234=0,0,CHOOSE(MATCH(RegimeExecucao,{"Global","Unitário"},0),ROUND(ROUND(BM.MEDAcumulado,15-13*BM!$A$9)/100*BM!$I234,15-13*ORÇAMENTO!$AF$11),ROUND(ROUND(BM.MEDAcumulado,15-13*BM!$A$9)*ROUND(BM!$H234,15-13*ORÇAMENTO!$AF$10),15-13*ORÇAMENTO!$AF$11))),IF($A234=0,0,ROUND(SomaAgrupBM,15-13*ORÇAMENTO!$AF$11)))</f>
        <v>0</v>
      </c>
    </row>
    <row r="235" spans="1:41" ht="76.5" x14ac:dyDescent="0.2">
      <c r="A235" t="str">
        <f ca="1">ORÇAMENTO!C235</f>
        <v>S</v>
      </c>
      <c r="B235">
        <f ca="1">ORÇAMENTO!D235</f>
        <v>0</v>
      </c>
      <c r="C235" s="116" t="str">
        <f t="shared" ca="1" si="28"/>
        <v>F</v>
      </c>
      <c r="D235" s="119" t="str">
        <f ca="1">ORÇAMENTO!O235</f>
        <v>1.10.0.10.</v>
      </c>
      <c r="E235" s="172" t="str">
        <f t="shared" ca="1" si="29"/>
        <v>(abra o arquivo 'Referência 03-2024.xlsm)</v>
      </c>
      <c r="F235" s="173" t="str">
        <f ca="1">IF(RegimeExecucao="Global","",ORÇAMENTO.Unidade)</f>
        <v/>
      </c>
      <c r="G235" s="124" t="str">
        <f ca="1">IF(RegimeExecucao="Global","",ORÇAMENTO!T235)</f>
        <v/>
      </c>
      <c r="H235" s="124" t="str">
        <f ca="1">IF(RegimeExecucao="Global","",ORÇAMENTO!W235)</f>
        <v/>
      </c>
      <c r="I235" s="127">
        <f ca="1">ORÇAMENTO!X235</f>
        <v>8942.9500000000007</v>
      </c>
      <c r="J235" s="378">
        <f ca="1">IF($A235="S",IF(CAIXA.Modo,BM.AFAnterior,BM.MEDAnterior),IF(AND(RegimeExecucao="Global",$I235&gt;0,COUNTIF($AB$13:$AM$13,BM.medicao-1)&gt;0),M235/$I235*100,0))</f>
        <v>0</v>
      </c>
      <c r="K235" s="124">
        <f t="shared" ca="1" si="30"/>
        <v>0</v>
      </c>
      <c r="L235" s="379">
        <f ca="1">IF($A235="S",IF(CAIXA.Modo,BM.AFAcumulado,BM.MEDAcumulado),IF(AND(RegimeExecucao="Global",$I235&gt;0,COUNTIF($AB$13:$AM$13,BM.medicao)&gt;0),O235/$I235*100,0))</f>
        <v>0</v>
      </c>
      <c r="M235" s="380">
        <f ca="1">IF($A235="S",VTOTALBM,IF($A235=0,0,ROUND(SomaAgrupBM,15-13*ORÇAMENTO!$AF$11)))</f>
        <v>0</v>
      </c>
      <c r="N235" s="381">
        <f t="shared" ca="1" si="31"/>
        <v>0</v>
      </c>
      <c r="O235" s="127">
        <f ca="1">IF($A235="S",VTOTALBM,IF($A235=0,0,ROUND(SomaAgrupBM,15-13*ORÇAMENTO!$AF$11)))</f>
        <v>0</v>
      </c>
      <c r="Q235" s="382"/>
      <c r="R235" s="383"/>
      <c r="T235" s="119" t="str">
        <f t="shared" ca="1" si="32"/>
        <v/>
      </c>
      <c r="U235" s="172" t="str">
        <f t="shared" ca="1" si="33"/>
        <v/>
      </c>
      <c r="V235" s="173" t="str">
        <f ca="1">IF(AND($W235&gt;0,RegimeExecucao="Unitário"),$F235,"")</f>
        <v/>
      </c>
      <c r="W235" s="547">
        <f ca="1">IF($Y235&gt;0,CHOOSE(MATCH(RegimeExecucao,{"Unitário","Global"},0),IF($A235="S",$Y235/$X235,""),($Y235/$X235)*100),0)</f>
        <v>0</v>
      </c>
      <c r="X235" s="384" t="str">
        <f ca="1">IF($Y235&gt;0,CHOOSE(MATCH(RegimeExecucao,{"Unitário","Global"},0),IF($A235="S",ROUND($H235,ORÇAMENTO!$AF$10),""),ROUND($I235,ORÇAMENTO!$AF$11)),"")</f>
        <v/>
      </c>
      <c r="Y235" s="384">
        <f t="shared" ca="1" si="34"/>
        <v>0</v>
      </c>
      <c r="Z235" s="572"/>
      <c r="AB235" s="382"/>
      <c r="AC235" s="516"/>
      <c r="AD235" s="516"/>
      <c r="AE235" s="516"/>
      <c r="AF235" s="516"/>
      <c r="AG235" s="516"/>
      <c r="AH235" s="516"/>
      <c r="AI235" s="516"/>
      <c r="AJ235" s="516"/>
      <c r="AK235" s="516"/>
      <c r="AL235" s="516"/>
      <c r="AM235" s="383"/>
      <c r="AO235">
        <f ca="1">IF($A235="S",IF(BM!$I235=0,0,CHOOSE(MATCH(RegimeExecucao,{"Global","Unitário"},0),ROUND(ROUND(BM.MEDAcumulado,15-13*BM!$A$9)/100*BM!$I235,15-13*ORÇAMENTO!$AF$11),ROUND(ROUND(BM.MEDAcumulado,15-13*BM!$A$9)*ROUND(BM!$H235,15-13*ORÇAMENTO!$AF$10),15-13*ORÇAMENTO!$AF$11))),IF($A235=0,0,ROUND(SomaAgrupBM,15-13*ORÇAMENTO!$AF$11)))</f>
        <v>0</v>
      </c>
    </row>
    <row r="236" spans="1:41" ht="63.75" x14ac:dyDescent="0.2">
      <c r="A236" t="str">
        <f ca="1">ORÇAMENTO!C236</f>
        <v>S</v>
      </c>
      <c r="B236">
        <f ca="1">ORÇAMENTO!D236</f>
        <v>0</v>
      </c>
      <c r="C236" s="116" t="str">
        <f t="shared" ca="1" si="28"/>
        <v>F</v>
      </c>
      <c r="D236" s="119" t="str">
        <f ca="1">ORÇAMENTO!O236</f>
        <v>1.10.0.11.</v>
      </c>
      <c r="E236" s="172" t="str">
        <f t="shared" ca="1" si="29"/>
        <v>(abra o arquivo 'Referência 03-2024.xlsm)</v>
      </c>
      <c r="F236" s="173" t="str">
        <f ca="1">IF(RegimeExecucao="Global","",ORÇAMENTO.Unidade)</f>
        <v/>
      </c>
      <c r="G236" s="124" t="str">
        <f ca="1">IF(RegimeExecucao="Global","",ORÇAMENTO!T236)</f>
        <v/>
      </c>
      <c r="H236" s="124" t="str">
        <f ca="1">IF(RegimeExecucao="Global","",ORÇAMENTO!W236)</f>
        <v/>
      </c>
      <c r="I236" s="127">
        <f ca="1">ORÇAMENTO!X236</f>
        <v>616.20000000000005</v>
      </c>
      <c r="J236" s="378">
        <f ca="1">IF($A236="S",IF(CAIXA.Modo,BM.AFAnterior,BM.MEDAnterior),IF(AND(RegimeExecucao="Global",$I236&gt;0,COUNTIF($AB$13:$AM$13,BM.medicao-1)&gt;0),M236/$I236*100,0))</f>
        <v>0</v>
      </c>
      <c r="K236" s="124">
        <f t="shared" ca="1" si="30"/>
        <v>0</v>
      </c>
      <c r="L236" s="379">
        <f ca="1">IF($A236="S",IF(CAIXA.Modo,BM.AFAcumulado,BM.MEDAcumulado),IF(AND(RegimeExecucao="Global",$I236&gt;0,COUNTIF($AB$13:$AM$13,BM.medicao)&gt;0),O236/$I236*100,0))</f>
        <v>0</v>
      </c>
      <c r="M236" s="380">
        <f ca="1">IF($A236="S",VTOTALBM,IF($A236=0,0,ROUND(SomaAgrupBM,15-13*ORÇAMENTO!$AF$11)))</f>
        <v>0</v>
      </c>
      <c r="N236" s="381">
        <f t="shared" ca="1" si="31"/>
        <v>0</v>
      </c>
      <c r="O236" s="127">
        <f ca="1">IF($A236="S",VTOTALBM,IF($A236=0,0,ROUND(SomaAgrupBM,15-13*ORÇAMENTO!$AF$11)))</f>
        <v>0</v>
      </c>
      <c r="Q236" s="382"/>
      <c r="R236" s="383"/>
      <c r="T236" s="119" t="str">
        <f t="shared" ca="1" si="32"/>
        <v/>
      </c>
      <c r="U236" s="172" t="str">
        <f t="shared" ca="1" si="33"/>
        <v/>
      </c>
      <c r="V236" s="173" t="str">
        <f ca="1">IF(AND($W236&gt;0,RegimeExecucao="Unitário"),$F236,"")</f>
        <v/>
      </c>
      <c r="W236" s="547">
        <f ca="1">IF($Y236&gt;0,CHOOSE(MATCH(RegimeExecucao,{"Unitário","Global"},0),IF($A236="S",$Y236/$X236,""),($Y236/$X236)*100),0)</f>
        <v>0</v>
      </c>
      <c r="X236" s="384" t="str">
        <f ca="1">IF($Y236&gt;0,CHOOSE(MATCH(RegimeExecucao,{"Unitário","Global"},0),IF($A236="S",ROUND($H236,ORÇAMENTO!$AF$10),""),ROUND($I236,ORÇAMENTO!$AF$11)),"")</f>
        <v/>
      </c>
      <c r="Y236" s="384">
        <f t="shared" ca="1" si="34"/>
        <v>0</v>
      </c>
      <c r="Z236" s="572"/>
      <c r="AB236" s="382"/>
      <c r="AC236" s="516"/>
      <c r="AD236" s="516"/>
      <c r="AE236" s="516"/>
      <c r="AF236" s="516"/>
      <c r="AG236" s="516"/>
      <c r="AH236" s="516"/>
      <c r="AI236" s="516"/>
      <c r="AJ236" s="516"/>
      <c r="AK236" s="516"/>
      <c r="AL236" s="516"/>
      <c r="AM236" s="383"/>
      <c r="AO236">
        <f ca="1">IF($A236="S",IF(BM!$I236=0,0,CHOOSE(MATCH(RegimeExecucao,{"Global","Unitário"},0),ROUND(ROUND(BM.MEDAcumulado,15-13*BM!$A$9)/100*BM!$I236,15-13*ORÇAMENTO!$AF$11),ROUND(ROUND(BM.MEDAcumulado,15-13*BM!$A$9)*ROUND(BM!$H236,15-13*ORÇAMENTO!$AF$10),15-13*ORÇAMENTO!$AF$11))),IF($A236=0,0,ROUND(SomaAgrupBM,15-13*ORÇAMENTO!$AF$11)))</f>
        <v>0</v>
      </c>
    </row>
    <row r="237" spans="1:41" x14ac:dyDescent="0.2">
      <c r="A237">
        <f ca="1">ORÇAMENTO!C237</f>
        <v>2</v>
      </c>
      <c r="B237">
        <f ca="1">ORÇAMENTO!D237</f>
        <v>8</v>
      </c>
      <c r="C237" s="116" t="str">
        <f t="shared" ca="1" si="28"/>
        <v>F</v>
      </c>
      <c r="D237" s="119" t="str">
        <f ca="1">ORÇAMENTO!O237</f>
        <v>1.11.</v>
      </c>
      <c r="E237" s="172" t="str">
        <f t="shared" si="29"/>
        <v>ACADEMIA DE SAÚDE AO AR LIVRE</v>
      </c>
      <c r="F237" s="173" t="str">
        <f ca="1">IF(RegimeExecucao="Global","",ORÇAMENTO.Unidade)</f>
        <v/>
      </c>
      <c r="G237" s="124" t="str">
        <f ca="1">IF(RegimeExecucao="Global","",ORÇAMENTO!T237)</f>
        <v/>
      </c>
      <c r="H237" s="124" t="str">
        <f ca="1">IF(RegimeExecucao="Global","",ORÇAMENTO!W237)</f>
        <v/>
      </c>
      <c r="I237" s="127">
        <f ca="1">ORÇAMENTO!X237</f>
        <v>30282.11</v>
      </c>
      <c r="J237" s="378">
        <f ca="1">IF($A237="S",IF(CAIXA.Modo,BM.AFAnterior,BM.MEDAnterior),IF(AND(RegimeExecucao="Global",$I237&gt;0,COUNTIF($AB$13:$AM$13,BM.medicao-1)&gt;0),M237/$I237*100,0))</f>
        <v>0</v>
      </c>
      <c r="K237" s="124">
        <f t="shared" ca="1" si="30"/>
        <v>0</v>
      </c>
      <c r="L237" s="379">
        <f ca="1">IF($A237="S",IF(CAIXA.Modo,BM.AFAcumulado,BM.MEDAcumulado),IF(AND(RegimeExecucao="Global",$I237&gt;0,COUNTIF($AB$13:$AM$13,BM.medicao)&gt;0),O237/$I237*100,0))</f>
        <v>0</v>
      </c>
      <c r="M237" s="380">
        <f ca="1">IF($A237="S",VTOTALBM,IF($A237=0,0,ROUND(SomaAgrupBM,15-13*ORÇAMENTO!$AF$11)))</f>
        <v>0</v>
      </c>
      <c r="N237" s="381">
        <f t="shared" ca="1" si="31"/>
        <v>0</v>
      </c>
      <c r="O237" s="127">
        <f ca="1">IF($A237="S",VTOTALBM,IF($A237=0,0,ROUND(SomaAgrupBM,15-13*ORÇAMENTO!$AF$11)))</f>
        <v>0</v>
      </c>
      <c r="Q237" s="382"/>
      <c r="R237" s="383"/>
      <c r="T237" s="119" t="str">
        <f t="shared" ca="1" si="32"/>
        <v/>
      </c>
      <c r="U237" s="172" t="str">
        <f t="shared" ca="1" si="33"/>
        <v/>
      </c>
      <c r="V237" s="173" t="str">
        <f ca="1">IF(AND($W237&gt;0,RegimeExecucao="Unitário"),$F237,"")</f>
        <v/>
      </c>
      <c r="W237" s="547">
        <f ca="1">IF($Y237&gt;0,CHOOSE(MATCH(RegimeExecucao,{"Unitário","Global"},0),IF($A237="S",$Y237/$X237,""),($Y237/$X237)*100),0)</f>
        <v>0</v>
      </c>
      <c r="X237" s="384" t="str">
        <f ca="1">IF($Y237&gt;0,CHOOSE(MATCH(RegimeExecucao,{"Unitário","Global"},0),IF($A237="S",ROUND($H237,ORÇAMENTO!$AF$10),""),ROUND($I237,ORÇAMENTO!$AF$11)),"")</f>
        <v/>
      </c>
      <c r="Y237" s="384">
        <f t="shared" ca="1" si="34"/>
        <v>0</v>
      </c>
      <c r="Z237" s="572"/>
      <c r="AB237" s="382"/>
      <c r="AC237" s="516"/>
      <c r="AD237" s="516"/>
      <c r="AE237" s="516"/>
      <c r="AF237" s="516"/>
      <c r="AG237" s="516"/>
      <c r="AH237" s="516"/>
      <c r="AI237" s="516"/>
      <c r="AJ237" s="516"/>
      <c r="AK237" s="516"/>
      <c r="AL237" s="516"/>
      <c r="AM237" s="383"/>
      <c r="AO237">
        <f ca="1">IF($A237="S",IF(BM!$I237=0,0,CHOOSE(MATCH(RegimeExecucao,{"Global","Unitário"},0),ROUND(ROUND(BM.MEDAcumulado,15-13*BM!$A$9)/100*BM!$I237,15-13*ORÇAMENTO!$AF$11),ROUND(ROUND(BM.MEDAcumulado,15-13*BM!$A$9)*ROUND(BM!$H237,15-13*ORÇAMENTO!$AF$10),15-13*ORÇAMENTO!$AF$11))),IF($A237=0,0,ROUND(SomaAgrupBM,15-13*ORÇAMENTO!$AF$11)))</f>
        <v>0</v>
      </c>
    </row>
    <row r="238" spans="1:41" ht="51" x14ac:dyDescent="0.2">
      <c r="A238" t="str">
        <f ca="1">ORÇAMENTO!C238</f>
        <v>S</v>
      </c>
      <c r="B238">
        <f ca="1">ORÇAMENTO!D238</f>
        <v>0</v>
      </c>
      <c r="C238" s="116" t="str">
        <f ca="1">IF(OR($I238&gt;0,$A238=1,$A238=2,$A238=3,$A238=4),"F","")</f>
        <v>F</v>
      </c>
      <c r="D238" s="119" t="str">
        <f ca="1">ORÇAMENTO!O238</f>
        <v>1.11.0.1.</v>
      </c>
      <c r="E238" s="172" t="str">
        <f ca="1">ORÇAMENTO.Descricao</f>
        <v>(abra o arquivo 'Referência 03-2024.xlsm)</v>
      </c>
      <c r="F238" s="173" t="str">
        <f ca="1">IF(RegimeExecucao="Global","",ORÇAMENTO.Unidade)</f>
        <v/>
      </c>
      <c r="G238" s="124" t="str">
        <f ca="1">IF(RegimeExecucao="Global","",ORÇAMENTO!T238)</f>
        <v/>
      </c>
      <c r="H238" s="124" t="str">
        <f ca="1">IF(RegimeExecucao="Global","",ORÇAMENTO!W238)</f>
        <v/>
      </c>
      <c r="I238" s="127">
        <f ca="1">ORÇAMENTO!X238</f>
        <v>2799.78</v>
      </c>
      <c r="J238" s="378">
        <f ca="1">IF($A238="S",IF(CAIXA.Modo,BM.AFAnterior,BM.MEDAnterior),IF(AND(RegimeExecucao="Global",$I238&gt;0,COUNTIF($AB$13:$AM$13,BM.medicao-1)&gt;0),M238/$I238*100,0))</f>
        <v>0</v>
      </c>
      <c r="K238" s="124">
        <f ca="1">L238-J238</f>
        <v>0</v>
      </c>
      <c r="L238" s="379">
        <f ca="1">IF($A238="S",IF(CAIXA.Modo,BM.AFAcumulado,BM.MEDAcumulado),IF(AND(RegimeExecucao="Global",$I238&gt;0,COUNTIF($AB$13:$AM$13,BM.medicao)&gt;0),O238/$I238*100,0))</f>
        <v>0</v>
      </c>
      <c r="M238" s="380">
        <f ca="1">IF($A238="S",VTOTALBM,IF($A238=0,0,ROUND(SomaAgrupBM,15-13*ORÇAMENTO!$AF$11)))</f>
        <v>0</v>
      </c>
      <c r="N238" s="381">
        <f ca="1">O238-M238</f>
        <v>0</v>
      </c>
      <c r="O238" s="127">
        <f ca="1">IF($A238="S",VTOTALBM,IF($A238=0,0,ROUND(SomaAgrupBM,15-13*ORÇAMENTO!$AF$11)))</f>
        <v>0</v>
      </c>
      <c r="Q238" s="382"/>
      <c r="R238" s="383"/>
      <c r="T238" s="119" t="str">
        <f ca="1">IF($W238&gt;0,$D238,"")</f>
        <v/>
      </c>
      <c r="U238" s="172" t="str">
        <f ca="1">IF($W238&gt;0,$E238,"")</f>
        <v/>
      </c>
      <c r="V238" s="173" t="str">
        <f ca="1">IF(AND($W238&gt;0,RegimeExecucao="Unitário"),$F238,"")</f>
        <v/>
      </c>
      <c r="W238" s="547">
        <f ca="1">IF($Y238&gt;0,CHOOSE(MATCH(RegimeExecucao,{"Unitário","Global"},0),IF($A238="S",$Y238/$X238,""),($Y238/$X238)*100),0)</f>
        <v>0</v>
      </c>
      <c r="X238" s="384" t="str">
        <f ca="1">IF($Y238&gt;0,CHOOSE(MATCH(RegimeExecucao,{"Unitário","Global"},0),IF($A238="S",ROUND($H238,ORÇAMENTO!$AF$10),""),ROUND($I238,ORÇAMENTO!$AF$11)),"")</f>
        <v/>
      </c>
      <c r="Y238" s="384">
        <f ca="1">AO238-O238</f>
        <v>0</v>
      </c>
      <c r="Z238" s="572"/>
      <c r="AB238" s="382"/>
      <c r="AC238" s="516"/>
      <c r="AD238" s="516"/>
      <c r="AE238" s="516"/>
      <c r="AF238" s="516"/>
      <c r="AG238" s="516"/>
      <c r="AH238" s="516"/>
      <c r="AI238" s="516"/>
      <c r="AJ238" s="516"/>
      <c r="AK238" s="516"/>
      <c r="AL238" s="516"/>
      <c r="AM238" s="383"/>
      <c r="AO238">
        <f ca="1">IF($A238="S",IF(BM!$I238=0,0,CHOOSE(MATCH(RegimeExecucao,{"Global","Unitário"},0),ROUND(ROUND(BM.MEDAcumulado,15-13*BM!$A$9)/100*BM!$I238,15-13*ORÇAMENTO!$AF$11),ROUND(ROUND(BM.MEDAcumulado,15-13*BM!$A$9)*ROUND(BM!$H238,15-13*ORÇAMENTO!$AF$10),15-13*ORÇAMENTO!$AF$11))),IF($A238=0,0,ROUND(SomaAgrupBM,15-13*ORÇAMENTO!$AF$11)))</f>
        <v>0</v>
      </c>
    </row>
    <row r="239" spans="1:41" ht="51" x14ac:dyDescent="0.2">
      <c r="A239" t="str">
        <f ca="1">ORÇAMENTO!C239</f>
        <v>S</v>
      </c>
      <c r="B239">
        <f ca="1">ORÇAMENTO!D239</f>
        <v>0</v>
      </c>
      <c r="C239" s="116" t="str">
        <f t="shared" ca="1" si="28"/>
        <v>F</v>
      </c>
      <c r="D239" s="119" t="str">
        <f ca="1">ORÇAMENTO!O239</f>
        <v>1.11.0.2.</v>
      </c>
      <c r="E239" s="172" t="str">
        <f t="shared" ca="1" si="29"/>
        <v>(abra o arquivo 'Referência 03-2024.xlsm)</v>
      </c>
      <c r="F239" s="173" t="str">
        <f ca="1">IF(RegimeExecucao="Global","",ORÇAMENTO.Unidade)</f>
        <v/>
      </c>
      <c r="G239" s="124" t="str">
        <f ca="1">IF(RegimeExecucao="Global","",ORÇAMENTO!T239)</f>
        <v/>
      </c>
      <c r="H239" s="124" t="str">
        <f ca="1">IF(RegimeExecucao="Global","",ORÇAMENTO!W239)</f>
        <v/>
      </c>
      <c r="I239" s="127">
        <f ca="1">ORÇAMENTO!X239</f>
        <v>3036.94</v>
      </c>
      <c r="J239" s="378">
        <f ca="1">IF($A239="S",IF(CAIXA.Modo,BM.AFAnterior,BM.MEDAnterior),IF(AND(RegimeExecucao="Global",$I239&gt;0,COUNTIF($AB$13:$AM$13,BM.medicao-1)&gt;0),M239/$I239*100,0))</f>
        <v>0</v>
      </c>
      <c r="K239" s="124">
        <f t="shared" ca="1" si="30"/>
        <v>0</v>
      </c>
      <c r="L239" s="379">
        <f ca="1">IF($A239="S",IF(CAIXA.Modo,BM.AFAcumulado,BM.MEDAcumulado),IF(AND(RegimeExecucao="Global",$I239&gt;0,COUNTIF($AB$13:$AM$13,BM.medicao)&gt;0),O239/$I239*100,0))</f>
        <v>0</v>
      </c>
      <c r="M239" s="380">
        <f ca="1">IF($A239="S",VTOTALBM,IF($A239=0,0,ROUND(SomaAgrupBM,15-13*ORÇAMENTO!$AF$11)))</f>
        <v>0</v>
      </c>
      <c r="N239" s="381">
        <f t="shared" ca="1" si="31"/>
        <v>0</v>
      </c>
      <c r="O239" s="127">
        <f ca="1">IF($A239="S",VTOTALBM,IF($A239=0,0,ROUND(SomaAgrupBM,15-13*ORÇAMENTO!$AF$11)))</f>
        <v>0</v>
      </c>
      <c r="Q239" s="382"/>
      <c r="R239" s="383"/>
      <c r="T239" s="119" t="str">
        <f t="shared" ca="1" si="32"/>
        <v/>
      </c>
      <c r="U239" s="172" t="str">
        <f t="shared" ca="1" si="33"/>
        <v/>
      </c>
      <c r="V239" s="173" t="str">
        <f ca="1">IF(AND($W239&gt;0,RegimeExecucao="Unitário"),$F239,"")</f>
        <v/>
      </c>
      <c r="W239" s="547">
        <f ca="1">IF($Y239&gt;0,CHOOSE(MATCH(RegimeExecucao,{"Unitário","Global"},0),IF($A239="S",$Y239/$X239,""),($Y239/$X239)*100),0)</f>
        <v>0</v>
      </c>
      <c r="X239" s="384" t="str">
        <f ca="1">IF($Y239&gt;0,CHOOSE(MATCH(RegimeExecucao,{"Unitário","Global"},0),IF($A239="S",ROUND($H239,ORÇAMENTO!$AF$10),""),ROUND($I239,ORÇAMENTO!$AF$11)),"")</f>
        <v/>
      </c>
      <c r="Y239" s="384">
        <f t="shared" ca="1" si="34"/>
        <v>0</v>
      </c>
      <c r="Z239" s="572"/>
      <c r="AB239" s="382"/>
      <c r="AC239" s="516"/>
      <c r="AD239" s="516"/>
      <c r="AE239" s="516"/>
      <c r="AF239" s="516"/>
      <c r="AG239" s="516"/>
      <c r="AH239" s="516"/>
      <c r="AI239" s="516"/>
      <c r="AJ239" s="516"/>
      <c r="AK239" s="516"/>
      <c r="AL239" s="516"/>
      <c r="AM239" s="383"/>
      <c r="AO239">
        <f ca="1">IF($A239="S",IF(BM!$I239=0,0,CHOOSE(MATCH(RegimeExecucao,{"Global","Unitário"},0),ROUND(ROUND(BM.MEDAcumulado,15-13*BM!$A$9)/100*BM!$I239,15-13*ORÇAMENTO!$AF$11),ROUND(ROUND(BM.MEDAcumulado,15-13*BM!$A$9)*ROUND(BM!$H239,15-13*ORÇAMENTO!$AF$10),15-13*ORÇAMENTO!$AF$11))),IF($A239=0,0,ROUND(SomaAgrupBM,15-13*ORÇAMENTO!$AF$11)))</f>
        <v>0</v>
      </c>
    </row>
    <row r="240" spans="1:41" ht="51" x14ac:dyDescent="0.2">
      <c r="A240" t="str">
        <f ca="1">ORÇAMENTO!C240</f>
        <v>S</v>
      </c>
      <c r="B240">
        <f ca="1">ORÇAMENTO!D240</f>
        <v>0</v>
      </c>
      <c r="C240" s="116" t="str">
        <f t="shared" ca="1" si="28"/>
        <v>F</v>
      </c>
      <c r="D240" s="119" t="str">
        <f ca="1">ORÇAMENTO!O240</f>
        <v>1.11.0.3.</v>
      </c>
      <c r="E240" s="172" t="str">
        <f t="shared" ca="1" si="29"/>
        <v>(abra o arquivo 'Referência 03-2024.xlsm)</v>
      </c>
      <c r="F240" s="173" t="str">
        <f ca="1">IF(RegimeExecucao="Global","",ORÇAMENTO.Unidade)</f>
        <v/>
      </c>
      <c r="G240" s="124" t="str">
        <f ca="1">IF(RegimeExecucao="Global","",ORÇAMENTO!T240)</f>
        <v/>
      </c>
      <c r="H240" s="124" t="str">
        <f ca="1">IF(RegimeExecucao="Global","",ORÇAMENTO!W240)</f>
        <v/>
      </c>
      <c r="I240" s="127">
        <f ca="1">ORÇAMENTO!X240</f>
        <v>2488.84</v>
      </c>
      <c r="J240" s="378">
        <f ca="1">IF($A240="S",IF(CAIXA.Modo,BM.AFAnterior,BM.MEDAnterior),IF(AND(RegimeExecucao="Global",$I240&gt;0,COUNTIF($AB$13:$AM$13,BM.medicao-1)&gt;0),M240/$I240*100,0))</f>
        <v>0</v>
      </c>
      <c r="K240" s="124">
        <f t="shared" ca="1" si="30"/>
        <v>0</v>
      </c>
      <c r="L240" s="379">
        <f ca="1">IF($A240="S",IF(CAIXA.Modo,BM.AFAcumulado,BM.MEDAcumulado),IF(AND(RegimeExecucao="Global",$I240&gt;0,COUNTIF($AB$13:$AM$13,BM.medicao)&gt;0),O240/$I240*100,0))</f>
        <v>0</v>
      </c>
      <c r="M240" s="380">
        <f ca="1">IF($A240="S",VTOTALBM,IF($A240=0,0,ROUND(SomaAgrupBM,15-13*ORÇAMENTO!$AF$11)))</f>
        <v>0</v>
      </c>
      <c r="N240" s="381">
        <f t="shared" ca="1" si="31"/>
        <v>0</v>
      </c>
      <c r="O240" s="127">
        <f ca="1">IF($A240="S",VTOTALBM,IF($A240=0,0,ROUND(SomaAgrupBM,15-13*ORÇAMENTO!$AF$11)))</f>
        <v>0</v>
      </c>
      <c r="Q240" s="382"/>
      <c r="R240" s="383"/>
      <c r="T240" s="119" t="str">
        <f t="shared" ca="1" si="32"/>
        <v/>
      </c>
      <c r="U240" s="172" t="str">
        <f t="shared" ca="1" si="33"/>
        <v/>
      </c>
      <c r="V240" s="173" t="str">
        <f ca="1">IF(AND($W240&gt;0,RegimeExecucao="Unitário"),$F240,"")</f>
        <v/>
      </c>
      <c r="W240" s="547">
        <f ca="1">IF($Y240&gt;0,CHOOSE(MATCH(RegimeExecucao,{"Unitário","Global"},0),IF($A240="S",$Y240/$X240,""),($Y240/$X240)*100),0)</f>
        <v>0</v>
      </c>
      <c r="X240" s="384" t="str">
        <f ca="1">IF($Y240&gt;0,CHOOSE(MATCH(RegimeExecucao,{"Unitário","Global"},0),IF($A240="S",ROUND($H240,ORÇAMENTO!$AF$10),""),ROUND($I240,ORÇAMENTO!$AF$11)),"")</f>
        <v/>
      </c>
      <c r="Y240" s="384">
        <f t="shared" ca="1" si="34"/>
        <v>0</v>
      </c>
      <c r="Z240" s="572"/>
      <c r="AB240" s="382"/>
      <c r="AC240" s="516"/>
      <c r="AD240" s="516"/>
      <c r="AE240" s="516"/>
      <c r="AF240" s="516"/>
      <c r="AG240" s="516"/>
      <c r="AH240" s="516"/>
      <c r="AI240" s="516"/>
      <c r="AJ240" s="516"/>
      <c r="AK240" s="516"/>
      <c r="AL240" s="516"/>
      <c r="AM240" s="383"/>
      <c r="AO240">
        <f ca="1">IF($A240="S",IF(BM!$I240=0,0,CHOOSE(MATCH(RegimeExecucao,{"Global","Unitário"},0),ROUND(ROUND(BM.MEDAcumulado,15-13*BM!$A$9)/100*BM!$I240,15-13*ORÇAMENTO!$AF$11),ROUND(ROUND(BM.MEDAcumulado,15-13*BM!$A$9)*ROUND(BM!$H240,15-13*ORÇAMENTO!$AF$10),15-13*ORÇAMENTO!$AF$11))),IF($A240=0,0,ROUND(SomaAgrupBM,15-13*ORÇAMENTO!$AF$11)))</f>
        <v>0</v>
      </c>
    </row>
    <row r="241" spans="1:41" ht="51" x14ac:dyDescent="0.2">
      <c r="A241" t="str">
        <f ca="1">ORÇAMENTO!C241</f>
        <v>S</v>
      </c>
      <c r="B241">
        <f ca="1">ORÇAMENTO!D241</f>
        <v>0</v>
      </c>
      <c r="C241" s="116" t="str">
        <f t="shared" ca="1" si="28"/>
        <v>F</v>
      </c>
      <c r="D241" s="119" t="str">
        <f ca="1">ORÇAMENTO!O241</f>
        <v>1.11.0.4.</v>
      </c>
      <c r="E241" s="172" t="str">
        <f t="shared" ca="1" si="29"/>
        <v>(abra o arquivo 'Referência 03-2024.xlsm)</v>
      </c>
      <c r="F241" s="173" t="str">
        <f ca="1">IF(RegimeExecucao="Global","",ORÇAMENTO.Unidade)</f>
        <v/>
      </c>
      <c r="G241" s="124" t="str">
        <f ca="1">IF(RegimeExecucao="Global","",ORÇAMENTO!T241)</f>
        <v/>
      </c>
      <c r="H241" s="124" t="str">
        <f ca="1">IF(RegimeExecucao="Global","",ORÇAMENTO!W241)</f>
        <v/>
      </c>
      <c r="I241" s="127">
        <f ca="1">ORÇAMENTO!X241</f>
        <v>3588.5</v>
      </c>
      <c r="J241" s="378">
        <f ca="1">IF($A241="S",IF(CAIXA.Modo,BM.AFAnterior,BM.MEDAnterior),IF(AND(RegimeExecucao="Global",$I241&gt;0,COUNTIF($AB$13:$AM$13,BM.medicao-1)&gt;0),M241/$I241*100,0))</f>
        <v>0</v>
      </c>
      <c r="K241" s="124">
        <f t="shared" ca="1" si="30"/>
        <v>0</v>
      </c>
      <c r="L241" s="379">
        <f ca="1">IF($A241="S",IF(CAIXA.Modo,BM.AFAcumulado,BM.MEDAcumulado),IF(AND(RegimeExecucao="Global",$I241&gt;0,COUNTIF($AB$13:$AM$13,BM.medicao)&gt;0),O241/$I241*100,0))</f>
        <v>0</v>
      </c>
      <c r="M241" s="380">
        <f ca="1">IF($A241="S",VTOTALBM,IF($A241=0,0,ROUND(SomaAgrupBM,15-13*ORÇAMENTO!$AF$11)))</f>
        <v>0</v>
      </c>
      <c r="N241" s="381">
        <f t="shared" ca="1" si="31"/>
        <v>0</v>
      </c>
      <c r="O241" s="127">
        <f ca="1">IF($A241="S",VTOTALBM,IF($A241=0,0,ROUND(SomaAgrupBM,15-13*ORÇAMENTO!$AF$11)))</f>
        <v>0</v>
      </c>
      <c r="Q241" s="382"/>
      <c r="R241" s="383"/>
      <c r="T241" s="119" t="str">
        <f t="shared" ca="1" si="32"/>
        <v/>
      </c>
      <c r="U241" s="172" t="str">
        <f t="shared" ca="1" si="33"/>
        <v/>
      </c>
      <c r="V241" s="173" t="str">
        <f ca="1">IF(AND($W241&gt;0,RegimeExecucao="Unitário"),$F241,"")</f>
        <v/>
      </c>
      <c r="W241" s="547">
        <f ca="1">IF($Y241&gt;0,CHOOSE(MATCH(RegimeExecucao,{"Unitário","Global"},0),IF($A241="S",$Y241/$X241,""),($Y241/$X241)*100),0)</f>
        <v>0</v>
      </c>
      <c r="X241" s="384" t="str">
        <f ca="1">IF($Y241&gt;0,CHOOSE(MATCH(RegimeExecucao,{"Unitário","Global"},0),IF($A241="S",ROUND($H241,ORÇAMENTO!$AF$10),""),ROUND($I241,ORÇAMENTO!$AF$11)),"")</f>
        <v/>
      </c>
      <c r="Y241" s="384">
        <f t="shared" ca="1" si="34"/>
        <v>0</v>
      </c>
      <c r="Z241" s="572"/>
      <c r="AB241" s="382"/>
      <c r="AC241" s="516"/>
      <c r="AD241" s="516"/>
      <c r="AE241" s="516"/>
      <c r="AF241" s="516"/>
      <c r="AG241" s="516"/>
      <c r="AH241" s="516"/>
      <c r="AI241" s="516"/>
      <c r="AJ241" s="516"/>
      <c r="AK241" s="516"/>
      <c r="AL241" s="516"/>
      <c r="AM241" s="383"/>
      <c r="AO241">
        <f ca="1">IF($A241="S",IF(BM!$I241=0,0,CHOOSE(MATCH(RegimeExecucao,{"Global","Unitário"},0),ROUND(ROUND(BM.MEDAcumulado,15-13*BM!$A$9)/100*BM!$I241,15-13*ORÇAMENTO!$AF$11),ROUND(ROUND(BM.MEDAcumulado,15-13*BM!$A$9)*ROUND(BM!$H241,15-13*ORÇAMENTO!$AF$10),15-13*ORÇAMENTO!$AF$11))),IF($A241=0,0,ROUND(SomaAgrupBM,15-13*ORÇAMENTO!$AF$11)))</f>
        <v>0</v>
      </c>
    </row>
    <row r="242" spans="1:41" ht="51" x14ac:dyDescent="0.2">
      <c r="A242" t="str">
        <f ca="1">ORÇAMENTO!C242</f>
        <v>S</v>
      </c>
      <c r="B242">
        <f ca="1">ORÇAMENTO!D242</f>
        <v>0</v>
      </c>
      <c r="C242" s="116" t="str">
        <f t="shared" ca="1" si="28"/>
        <v>F</v>
      </c>
      <c r="D242" s="119" t="str">
        <f ca="1">ORÇAMENTO!O242</f>
        <v>1.11.0.5.</v>
      </c>
      <c r="E242" s="172" t="str">
        <f t="shared" ca="1" si="29"/>
        <v>(abra o arquivo 'Referência 03-2024.xlsm)</v>
      </c>
      <c r="F242" s="173" t="str">
        <f ca="1">IF(RegimeExecucao="Global","",ORÇAMENTO.Unidade)</f>
        <v/>
      </c>
      <c r="G242" s="124" t="str">
        <f ca="1">IF(RegimeExecucao="Global","",ORÇAMENTO!T242)</f>
        <v/>
      </c>
      <c r="H242" s="124" t="str">
        <f ca="1">IF(RegimeExecucao="Global","",ORÇAMENTO!W242)</f>
        <v/>
      </c>
      <c r="I242" s="127">
        <f ca="1">ORÇAMENTO!X242</f>
        <v>5217.29</v>
      </c>
      <c r="J242" s="378">
        <f ca="1">IF($A242="S",IF(CAIXA.Modo,BM.AFAnterior,BM.MEDAnterior),IF(AND(RegimeExecucao="Global",$I242&gt;0,COUNTIF($AB$13:$AM$13,BM.medicao-1)&gt;0),M242/$I242*100,0))</f>
        <v>0</v>
      </c>
      <c r="K242" s="124">
        <f t="shared" ca="1" si="30"/>
        <v>0</v>
      </c>
      <c r="L242" s="379">
        <f ca="1">IF($A242="S",IF(CAIXA.Modo,BM.AFAcumulado,BM.MEDAcumulado),IF(AND(RegimeExecucao="Global",$I242&gt;0,COUNTIF($AB$13:$AM$13,BM.medicao)&gt;0),O242/$I242*100,0))</f>
        <v>0</v>
      </c>
      <c r="M242" s="380">
        <f ca="1">IF($A242="S",VTOTALBM,IF($A242=0,0,ROUND(SomaAgrupBM,15-13*ORÇAMENTO!$AF$11)))</f>
        <v>0</v>
      </c>
      <c r="N242" s="381">
        <f t="shared" ca="1" si="31"/>
        <v>0</v>
      </c>
      <c r="O242" s="127">
        <f ca="1">IF($A242="S",VTOTALBM,IF($A242=0,0,ROUND(SomaAgrupBM,15-13*ORÇAMENTO!$AF$11)))</f>
        <v>0</v>
      </c>
      <c r="Q242" s="382"/>
      <c r="R242" s="383"/>
      <c r="T242" s="119" t="str">
        <f t="shared" ca="1" si="32"/>
        <v/>
      </c>
      <c r="U242" s="172" t="str">
        <f t="shared" ca="1" si="33"/>
        <v/>
      </c>
      <c r="V242" s="173" t="str">
        <f ca="1">IF(AND($W242&gt;0,RegimeExecucao="Unitário"),$F242,"")</f>
        <v/>
      </c>
      <c r="W242" s="547">
        <f ca="1">IF($Y242&gt;0,CHOOSE(MATCH(RegimeExecucao,{"Unitário","Global"},0),IF($A242="S",$Y242/$X242,""),($Y242/$X242)*100),0)</f>
        <v>0</v>
      </c>
      <c r="X242" s="384" t="str">
        <f ca="1">IF($Y242&gt;0,CHOOSE(MATCH(RegimeExecucao,{"Unitário","Global"},0),IF($A242="S",ROUND($H242,ORÇAMENTO!$AF$10),""),ROUND($I242,ORÇAMENTO!$AF$11)),"")</f>
        <v/>
      </c>
      <c r="Y242" s="384">
        <f t="shared" ca="1" si="34"/>
        <v>0</v>
      </c>
      <c r="Z242" s="572"/>
      <c r="AB242" s="382"/>
      <c r="AC242" s="516"/>
      <c r="AD242" s="516"/>
      <c r="AE242" s="516"/>
      <c r="AF242" s="516"/>
      <c r="AG242" s="516"/>
      <c r="AH242" s="516"/>
      <c r="AI242" s="516"/>
      <c r="AJ242" s="516"/>
      <c r="AK242" s="516"/>
      <c r="AL242" s="516"/>
      <c r="AM242" s="383"/>
      <c r="AO242">
        <f ca="1">IF($A242="S",IF(BM!$I242=0,0,CHOOSE(MATCH(RegimeExecucao,{"Global","Unitário"},0),ROUND(ROUND(BM.MEDAcumulado,15-13*BM!$A$9)/100*BM!$I242,15-13*ORÇAMENTO!$AF$11),ROUND(ROUND(BM.MEDAcumulado,15-13*BM!$A$9)*ROUND(BM!$H242,15-13*ORÇAMENTO!$AF$10),15-13*ORÇAMENTO!$AF$11))),IF($A242=0,0,ROUND(SomaAgrupBM,15-13*ORÇAMENTO!$AF$11)))</f>
        <v>0</v>
      </c>
    </row>
    <row r="243" spans="1:41" ht="51" x14ac:dyDescent="0.2">
      <c r="A243" t="str">
        <f ca="1">ORÇAMENTO!C243</f>
        <v>S</v>
      </c>
      <c r="B243">
        <f ca="1">ORÇAMENTO!D243</f>
        <v>0</v>
      </c>
      <c r="C243" s="116" t="str">
        <f t="shared" ca="1" si="28"/>
        <v>F</v>
      </c>
      <c r="D243" s="119" t="str">
        <f ca="1">ORÇAMENTO!O243</f>
        <v>1.11.0.6.</v>
      </c>
      <c r="E243" s="172" t="str">
        <f t="shared" ca="1" si="29"/>
        <v>(abra o arquivo 'Referência 03-2024.xlsm)</v>
      </c>
      <c r="F243" s="173" t="str">
        <f ca="1">IF(RegimeExecucao="Global","",ORÇAMENTO.Unidade)</f>
        <v/>
      </c>
      <c r="G243" s="124" t="str">
        <f ca="1">IF(RegimeExecucao="Global","",ORÇAMENTO!T243)</f>
        <v/>
      </c>
      <c r="H243" s="124" t="str">
        <f ca="1">IF(RegimeExecucao="Global","",ORÇAMENTO!W243)</f>
        <v/>
      </c>
      <c r="I243" s="127">
        <f ca="1">ORÇAMENTO!X243</f>
        <v>6282.8</v>
      </c>
      <c r="J243" s="378">
        <f ca="1">IF($A243="S",IF(CAIXA.Modo,BM.AFAnterior,BM.MEDAnterior),IF(AND(RegimeExecucao="Global",$I243&gt;0,COUNTIF($AB$13:$AM$13,BM.medicao-1)&gt;0),M243/$I243*100,0))</f>
        <v>0</v>
      </c>
      <c r="K243" s="124">
        <f t="shared" ca="1" si="30"/>
        <v>0</v>
      </c>
      <c r="L243" s="379">
        <f ca="1">IF($A243="S",IF(CAIXA.Modo,BM.AFAcumulado,BM.MEDAcumulado),IF(AND(RegimeExecucao="Global",$I243&gt;0,COUNTIF($AB$13:$AM$13,BM.medicao)&gt;0),O243/$I243*100,0))</f>
        <v>0</v>
      </c>
      <c r="M243" s="380">
        <f ca="1">IF($A243="S",VTOTALBM,IF($A243=0,0,ROUND(SomaAgrupBM,15-13*ORÇAMENTO!$AF$11)))</f>
        <v>0</v>
      </c>
      <c r="N243" s="381">
        <f t="shared" ca="1" si="31"/>
        <v>0</v>
      </c>
      <c r="O243" s="127">
        <f ca="1">IF($A243="S",VTOTALBM,IF($A243=0,0,ROUND(SomaAgrupBM,15-13*ORÇAMENTO!$AF$11)))</f>
        <v>0</v>
      </c>
      <c r="Q243" s="382"/>
      <c r="R243" s="383"/>
      <c r="T243" s="119" t="str">
        <f t="shared" ca="1" si="32"/>
        <v/>
      </c>
      <c r="U243" s="172" t="str">
        <f t="shared" ca="1" si="33"/>
        <v/>
      </c>
      <c r="V243" s="173" t="str">
        <f ca="1">IF(AND($W243&gt;0,RegimeExecucao="Unitário"),$F243,"")</f>
        <v/>
      </c>
      <c r="W243" s="547">
        <f ca="1">IF($Y243&gt;0,CHOOSE(MATCH(RegimeExecucao,{"Unitário","Global"},0),IF($A243="S",$Y243/$X243,""),($Y243/$X243)*100),0)</f>
        <v>0</v>
      </c>
      <c r="X243" s="384" t="str">
        <f ca="1">IF($Y243&gt;0,CHOOSE(MATCH(RegimeExecucao,{"Unitário","Global"},0),IF($A243="S",ROUND($H243,ORÇAMENTO!$AF$10),""),ROUND($I243,ORÇAMENTO!$AF$11)),"")</f>
        <v/>
      </c>
      <c r="Y243" s="384">
        <f t="shared" ca="1" si="34"/>
        <v>0</v>
      </c>
      <c r="Z243" s="572"/>
      <c r="AB243" s="382"/>
      <c r="AC243" s="516"/>
      <c r="AD243" s="516"/>
      <c r="AE243" s="516"/>
      <c r="AF243" s="516"/>
      <c r="AG243" s="516"/>
      <c r="AH243" s="516"/>
      <c r="AI243" s="516"/>
      <c r="AJ243" s="516"/>
      <c r="AK243" s="516"/>
      <c r="AL243" s="516"/>
      <c r="AM243" s="383"/>
      <c r="AO243">
        <f ca="1">IF($A243="S",IF(BM!$I243=0,0,CHOOSE(MATCH(RegimeExecucao,{"Global","Unitário"},0),ROUND(ROUND(BM.MEDAcumulado,15-13*BM!$A$9)/100*BM!$I243,15-13*ORÇAMENTO!$AF$11),ROUND(ROUND(BM.MEDAcumulado,15-13*BM!$A$9)*ROUND(BM!$H243,15-13*ORÇAMENTO!$AF$10),15-13*ORÇAMENTO!$AF$11))),IF($A243=0,0,ROUND(SomaAgrupBM,15-13*ORÇAMENTO!$AF$11)))</f>
        <v>0</v>
      </c>
    </row>
    <row r="244" spans="1:41" ht="51" x14ac:dyDescent="0.2">
      <c r="A244" t="str">
        <f ca="1">ORÇAMENTO!C244</f>
        <v>S</v>
      </c>
      <c r="B244">
        <f ca="1">ORÇAMENTO!D244</f>
        <v>0</v>
      </c>
      <c r="C244" s="116" t="str">
        <f t="shared" ca="1" si="28"/>
        <v>F</v>
      </c>
      <c r="D244" s="119" t="str">
        <f ca="1">ORÇAMENTO!O244</f>
        <v>1.11.0.7.</v>
      </c>
      <c r="E244" s="172" t="str">
        <f t="shared" ca="1" si="29"/>
        <v>(abra o arquivo 'Referência 03-2024.xlsm)</v>
      </c>
      <c r="F244" s="173" t="str">
        <f ca="1">IF(RegimeExecucao="Global","",ORÇAMENTO.Unidade)</f>
        <v/>
      </c>
      <c r="G244" s="124" t="str">
        <f ca="1">IF(RegimeExecucao="Global","",ORÇAMENTO!T244)</f>
        <v/>
      </c>
      <c r="H244" s="124" t="str">
        <f ca="1">IF(RegimeExecucao="Global","",ORÇAMENTO!W244)</f>
        <v/>
      </c>
      <c r="I244" s="127">
        <f ca="1">ORÇAMENTO!X244</f>
        <v>6867.96</v>
      </c>
      <c r="J244" s="378">
        <f ca="1">IF($A244="S",IF(CAIXA.Modo,BM.AFAnterior,BM.MEDAnterior),IF(AND(RegimeExecucao="Global",$I244&gt;0,COUNTIF($AB$13:$AM$13,BM.medicao-1)&gt;0),M244/$I244*100,0))</f>
        <v>0</v>
      </c>
      <c r="K244" s="124">
        <f t="shared" ca="1" si="30"/>
        <v>0</v>
      </c>
      <c r="L244" s="379">
        <f ca="1">IF($A244="S",IF(CAIXA.Modo,BM.AFAcumulado,BM.MEDAcumulado),IF(AND(RegimeExecucao="Global",$I244&gt;0,COUNTIF($AB$13:$AM$13,BM.medicao)&gt;0),O244/$I244*100,0))</f>
        <v>0</v>
      </c>
      <c r="M244" s="380">
        <f ca="1">IF($A244="S",VTOTALBM,IF($A244=0,0,ROUND(SomaAgrupBM,15-13*ORÇAMENTO!$AF$11)))</f>
        <v>0</v>
      </c>
      <c r="N244" s="381">
        <f t="shared" ca="1" si="31"/>
        <v>0</v>
      </c>
      <c r="O244" s="127">
        <f ca="1">IF($A244="S",VTOTALBM,IF($A244=0,0,ROUND(SomaAgrupBM,15-13*ORÇAMENTO!$AF$11)))</f>
        <v>0</v>
      </c>
      <c r="Q244" s="382"/>
      <c r="R244" s="383"/>
      <c r="T244" s="119" t="str">
        <f t="shared" ca="1" si="32"/>
        <v/>
      </c>
      <c r="U244" s="172" t="str">
        <f t="shared" ca="1" si="33"/>
        <v/>
      </c>
      <c r="V244" s="173" t="str">
        <f ca="1">IF(AND($W244&gt;0,RegimeExecucao="Unitário"),$F244,"")</f>
        <v/>
      </c>
      <c r="W244" s="547">
        <f ca="1">IF($Y244&gt;0,CHOOSE(MATCH(RegimeExecucao,{"Unitário","Global"},0),IF($A244="S",$Y244/$X244,""),($Y244/$X244)*100),0)</f>
        <v>0</v>
      </c>
      <c r="X244" s="384" t="str">
        <f ca="1">IF($Y244&gt;0,CHOOSE(MATCH(RegimeExecucao,{"Unitário","Global"},0),IF($A244="S",ROUND($H244,ORÇAMENTO!$AF$10),""),ROUND($I244,ORÇAMENTO!$AF$11)),"")</f>
        <v/>
      </c>
      <c r="Y244" s="384">
        <f t="shared" ca="1" si="34"/>
        <v>0</v>
      </c>
      <c r="Z244" s="572"/>
      <c r="AB244" s="382"/>
      <c r="AC244" s="516"/>
      <c r="AD244" s="516"/>
      <c r="AE244" s="516"/>
      <c r="AF244" s="516"/>
      <c r="AG244" s="516"/>
      <c r="AH244" s="516"/>
      <c r="AI244" s="516"/>
      <c r="AJ244" s="516"/>
      <c r="AK244" s="516"/>
      <c r="AL244" s="516"/>
      <c r="AM244" s="383"/>
      <c r="AO244">
        <f ca="1">IF($A244="S",IF(BM!$I244=0,0,CHOOSE(MATCH(RegimeExecucao,{"Global","Unitário"},0),ROUND(ROUND(BM.MEDAcumulado,15-13*BM!$A$9)/100*BM!$I244,15-13*ORÇAMENTO!$AF$11),ROUND(ROUND(BM.MEDAcumulado,15-13*BM!$A$9)*ROUND(BM!$H244,15-13*ORÇAMENTO!$AF$10),15-13*ORÇAMENTO!$AF$11))),IF($A244=0,0,ROUND(SomaAgrupBM,15-13*ORÇAMENTO!$AF$11)))</f>
        <v>0</v>
      </c>
    </row>
    <row r="245" spans="1:41" x14ac:dyDescent="0.2">
      <c r="A245">
        <f ca="1">ORÇAMENTO!C245</f>
        <v>2</v>
      </c>
      <c r="B245">
        <f ca="1">ORÇAMENTO!D245</f>
        <v>3</v>
      </c>
      <c r="C245" s="116" t="str">
        <f t="shared" ca="1" si="28"/>
        <v>F</v>
      </c>
      <c r="D245" s="119" t="str">
        <f ca="1">ORÇAMENTO!O245</f>
        <v>1.12.</v>
      </c>
      <c r="E245" s="172" t="str">
        <f t="shared" si="29"/>
        <v>ÁREA DE CONFRATERNIZAÇÃO</v>
      </c>
      <c r="F245" s="173" t="str">
        <f ca="1">IF(RegimeExecucao="Global","",ORÇAMENTO.Unidade)</f>
        <v/>
      </c>
      <c r="G245" s="124" t="str">
        <f ca="1">IF(RegimeExecucao="Global","",ORÇAMENTO!T245)</f>
        <v/>
      </c>
      <c r="H245" s="124" t="str">
        <f ca="1">IF(RegimeExecucao="Global","",ORÇAMENTO!W245)</f>
        <v/>
      </c>
      <c r="I245" s="127">
        <f ca="1">ORÇAMENTO!X245</f>
        <v>4058</v>
      </c>
      <c r="J245" s="378">
        <f ca="1">IF($A245="S",IF(CAIXA.Modo,BM.AFAnterior,BM.MEDAnterior),IF(AND(RegimeExecucao="Global",$I245&gt;0,COUNTIF($AB$13:$AM$13,BM.medicao-1)&gt;0),M245/$I245*100,0))</f>
        <v>0</v>
      </c>
      <c r="K245" s="124">
        <f t="shared" ca="1" si="30"/>
        <v>0</v>
      </c>
      <c r="L245" s="379">
        <f ca="1">IF($A245="S",IF(CAIXA.Modo,BM.AFAcumulado,BM.MEDAcumulado),IF(AND(RegimeExecucao="Global",$I245&gt;0,COUNTIF($AB$13:$AM$13,BM.medicao)&gt;0),O245/$I245*100,0))</f>
        <v>0</v>
      </c>
      <c r="M245" s="380">
        <f ca="1">IF($A245="S",VTOTALBM,IF($A245=0,0,ROUND(SomaAgrupBM,15-13*ORÇAMENTO!$AF$11)))</f>
        <v>0</v>
      </c>
      <c r="N245" s="381">
        <f t="shared" ca="1" si="31"/>
        <v>0</v>
      </c>
      <c r="O245" s="127">
        <f ca="1">IF($A245="S",VTOTALBM,IF($A245=0,0,ROUND(SomaAgrupBM,15-13*ORÇAMENTO!$AF$11)))</f>
        <v>0</v>
      </c>
      <c r="Q245" s="382"/>
      <c r="R245" s="383"/>
      <c r="T245" s="119" t="str">
        <f t="shared" ca="1" si="32"/>
        <v/>
      </c>
      <c r="U245" s="172" t="str">
        <f t="shared" ca="1" si="33"/>
        <v/>
      </c>
      <c r="V245" s="173" t="str">
        <f ca="1">IF(AND($W245&gt;0,RegimeExecucao="Unitário"),$F245,"")</f>
        <v/>
      </c>
      <c r="W245" s="547">
        <f ca="1">IF($Y245&gt;0,CHOOSE(MATCH(RegimeExecucao,{"Unitário","Global"},0),IF($A245="S",$Y245/$X245,""),($Y245/$X245)*100),0)</f>
        <v>0</v>
      </c>
      <c r="X245" s="384" t="str">
        <f ca="1">IF($Y245&gt;0,CHOOSE(MATCH(RegimeExecucao,{"Unitário","Global"},0),IF($A245="S",ROUND($H245,ORÇAMENTO!$AF$10),""),ROUND($I245,ORÇAMENTO!$AF$11)),"")</f>
        <v/>
      </c>
      <c r="Y245" s="384">
        <f t="shared" ca="1" si="34"/>
        <v>0</v>
      </c>
      <c r="Z245" s="572"/>
      <c r="AB245" s="382"/>
      <c r="AC245" s="516"/>
      <c r="AD245" s="516"/>
      <c r="AE245" s="516"/>
      <c r="AF245" s="516"/>
      <c r="AG245" s="516"/>
      <c r="AH245" s="516"/>
      <c r="AI245" s="516"/>
      <c r="AJ245" s="516"/>
      <c r="AK245" s="516"/>
      <c r="AL245" s="516"/>
      <c r="AM245" s="383"/>
      <c r="AO245">
        <f ca="1">IF($A245="S",IF(BM!$I245=0,0,CHOOSE(MATCH(RegimeExecucao,{"Global","Unitário"},0),ROUND(ROUND(BM.MEDAcumulado,15-13*BM!$A$9)/100*BM!$I245,15-13*ORÇAMENTO!$AF$11),ROUND(ROUND(BM.MEDAcumulado,15-13*BM!$A$9)*ROUND(BM!$H245,15-13*ORÇAMENTO!$AF$10),15-13*ORÇAMENTO!$AF$11))),IF($A245=0,0,ROUND(SomaAgrupBM,15-13*ORÇAMENTO!$AF$11)))</f>
        <v>0</v>
      </c>
    </row>
    <row r="246" spans="1:41" ht="51" x14ac:dyDescent="0.2">
      <c r="A246" t="str">
        <f ca="1">ORÇAMENTO!C246</f>
        <v>S</v>
      </c>
      <c r="B246">
        <f ca="1">ORÇAMENTO!D246</f>
        <v>0</v>
      </c>
      <c r="C246" s="116" t="str">
        <f t="shared" ca="1" si="28"/>
        <v>F</v>
      </c>
      <c r="D246" s="119" t="str">
        <f ca="1">ORÇAMENTO!O246</f>
        <v>1.12.0.1.</v>
      </c>
      <c r="E246" s="172" t="str">
        <f t="shared" ca="1" si="29"/>
        <v>(abra o arquivo 'Referência 03-2024.xlsm)</v>
      </c>
      <c r="F246" s="173" t="str">
        <f ca="1">IF(RegimeExecucao="Global","",ORÇAMENTO.Unidade)</f>
        <v/>
      </c>
      <c r="G246" s="124" t="str">
        <f ca="1">IF(RegimeExecucao="Global","",ORÇAMENTO!T246)</f>
        <v/>
      </c>
      <c r="H246" s="124" t="str">
        <f ca="1">IF(RegimeExecucao="Global","",ORÇAMENTO!W246)</f>
        <v/>
      </c>
      <c r="I246" s="127">
        <f ca="1">ORÇAMENTO!X246</f>
        <v>427</v>
      </c>
      <c r="J246" s="378">
        <f ca="1">IF($A246="S",IF(CAIXA.Modo,BM.AFAnterior,BM.MEDAnterior),IF(AND(RegimeExecucao="Global",$I246&gt;0,COUNTIF($AB$13:$AM$13,BM.medicao-1)&gt;0),M246/$I246*100,0))</f>
        <v>0</v>
      </c>
      <c r="K246" s="124">
        <f t="shared" ca="1" si="30"/>
        <v>0</v>
      </c>
      <c r="L246" s="379">
        <f ca="1">IF($A246="S",IF(CAIXA.Modo,BM.AFAcumulado,BM.MEDAcumulado),IF(AND(RegimeExecucao="Global",$I246&gt;0,COUNTIF($AB$13:$AM$13,BM.medicao)&gt;0),O246/$I246*100,0))</f>
        <v>0</v>
      </c>
      <c r="M246" s="380">
        <f ca="1">IF($A246="S",VTOTALBM,IF($A246=0,0,ROUND(SomaAgrupBM,15-13*ORÇAMENTO!$AF$11)))</f>
        <v>0</v>
      </c>
      <c r="N246" s="381">
        <f t="shared" ca="1" si="31"/>
        <v>0</v>
      </c>
      <c r="O246" s="127">
        <f ca="1">IF($A246="S",VTOTALBM,IF($A246=0,0,ROUND(SomaAgrupBM,15-13*ORÇAMENTO!$AF$11)))</f>
        <v>0</v>
      </c>
      <c r="Q246" s="382"/>
      <c r="R246" s="383"/>
      <c r="T246" s="119" t="str">
        <f t="shared" ca="1" si="32"/>
        <v/>
      </c>
      <c r="U246" s="172" t="str">
        <f t="shared" ca="1" si="33"/>
        <v/>
      </c>
      <c r="V246" s="173" t="str">
        <f ca="1">IF(AND($W246&gt;0,RegimeExecucao="Unitário"),$F246,"")</f>
        <v/>
      </c>
      <c r="W246" s="547">
        <f ca="1">IF($Y246&gt;0,CHOOSE(MATCH(RegimeExecucao,{"Unitário","Global"},0),IF($A246="S",$Y246/$X246,""),($Y246/$X246)*100),0)</f>
        <v>0</v>
      </c>
      <c r="X246" s="384" t="str">
        <f ca="1">IF($Y246&gt;0,CHOOSE(MATCH(RegimeExecucao,{"Unitário","Global"},0),IF($A246="S",ROUND($H246,ORÇAMENTO!$AF$10),""),ROUND($I246,ORÇAMENTO!$AF$11)),"")</f>
        <v/>
      </c>
      <c r="Y246" s="384">
        <f t="shared" ca="1" si="34"/>
        <v>0</v>
      </c>
      <c r="Z246" s="572"/>
      <c r="AB246" s="382"/>
      <c r="AC246" s="516"/>
      <c r="AD246" s="516"/>
      <c r="AE246" s="516"/>
      <c r="AF246" s="516"/>
      <c r="AG246" s="516"/>
      <c r="AH246" s="516"/>
      <c r="AI246" s="516"/>
      <c r="AJ246" s="516"/>
      <c r="AK246" s="516"/>
      <c r="AL246" s="516"/>
      <c r="AM246" s="383"/>
      <c r="AO246">
        <f ca="1">IF($A246="S",IF(BM!$I246=0,0,CHOOSE(MATCH(RegimeExecucao,{"Global","Unitário"},0),ROUND(ROUND(BM.MEDAcumulado,15-13*BM!$A$9)/100*BM!$I246,15-13*ORÇAMENTO!$AF$11),ROUND(ROUND(BM.MEDAcumulado,15-13*BM!$A$9)*ROUND(BM!$H246,15-13*ORÇAMENTO!$AF$10),15-13*ORÇAMENTO!$AF$11))),IF($A246=0,0,ROUND(SomaAgrupBM,15-13*ORÇAMENTO!$AF$11)))</f>
        <v>0</v>
      </c>
    </row>
    <row r="247" spans="1:41" ht="25.5" x14ac:dyDescent="0.2">
      <c r="A247" t="str">
        <f ca="1">ORÇAMENTO!C247</f>
        <v>S</v>
      </c>
      <c r="B247">
        <f ca="1">ORÇAMENTO!D247</f>
        <v>0</v>
      </c>
      <c r="C247" s="116" t="str">
        <f t="shared" ca="1" si="28"/>
        <v>F</v>
      </c>
      <c r="D247" s="119" t="str">
        <f ca="1">ORÇAMENTO!O247</f>
        <v>1.12.0.2.</v>
      </c>
      <c r="E247" s="172" t="str">
        <f t="shared" ca="1" si="29"/>
        <v>(abra o arquivo 'Referência 03-2024.xlsm)</v>
      </c>
      <c r="F247" s="173" t="str">
        <f ca="1">IF(RegimeExecucao="Global","",ORÇAMENTO.Unidade)</f>
        <v/>
      </c>
      <c r="G247" s="124" t="str">
        <f ca="1">IF(RegimeExecucao="Global","",ORÇAMENTO!T247)</f>
        <v/>
      </c>
      <c r="H247" s="124" t="str">
        <f ca="1">IF(RegimeExecucao="Global","",ORÇAMENTO!W247)</f>
        <v/>
      </c>
      <c r="I247" s="127">
        <f ca="1">ORÇAMENTO!X247</f>
        <v>3631</v>
      </c>
      <c r="J247" s="378">
        <f ca="1">IF($A247="S",IF(CAIXA.Modo,BM.AFAnterior,BM.MEDAnterior),IF(AND(RegimeExecucao="Global",$I247&gt;0,COUNTIF($AB$13:$AM$13,BM.medicao-1)&gt;0),M247/$I247*100,0))</f>
        <v>0</v>
      </c>
      <c r="K247" s="124">
        <f t="shared" ca="1" si="30"/>
        <v>0</v>
      </c>
      <c r="L247" s="379">
        <f ca="1">IF($A247="S",IF(CAIXA.Modo,BM.AFAcumulado,BM.MEDAcumulado),IF(AND(RegimeExecucao="Global",$I247&gt;0,COUNTIF($AB$13:$AM$13,BM.medicao)&gt;0),O247/$I247*100,0))</f>
        <v>0</v>
      </c>
      <c r="M247" s="380">
        <f ca="1">IF($A247="S",VTOTALBM,IF($A247=0,0,ROUND(SomaAgrupBM,15-13*ORÇAMENTO!$AF$11)))</f>
        <v>0</v>
      </c>
      <c r="N247" s="381">
        <f t="shared" ca="1" si="31"/>
        <v>0</v>
      </c>
      <c r="O247" s="127">
        <f ca="1">IF($A247="S",VTOTALBM,IF($A247=0,0,ROUND(SomaAgrupBM,15-13*ORÇAMENTO!$AF$11)))</f>
        <v>0</v>
      </c>
      <c r="Q247" s="382"/>
      <c r="R247" s="383"/>
      <c r="T247" s="119" t="str">
        <f t="shared" ca="1" si="32"/>
        <v/>
      </c>
      <c r="U247" s="172" t="str">
        <f t="shared" ca="1" si="33"/>
        <v/>
      </c>
      <c r="V247" s="173" t="str">
        <f ca="1">IF(AND($W247&gt;0,RegimeExecucao="Unitário"),$F247,"")</f>
        <v/>
      </c>
      <c r="W247" s="547">
        <f ca="1">IF($Y247&gt;0,CHOOSE(MATCH(RegimeExecucao,{"Unitário","Global"},0),IF($A247="S",$Y247/$X247,""),($Y247/$X247)*100),0)</f>
        <v>0</v>
      </c>
      <c r="X247" s="384" t="str">
        <f ca="1">IF($Y247&gt;0,CHOOSE(MATCH(RegimeExecucao,{"Unitário","Global"},0),IF($A247="S",ROUND($H247,ORÇAMENTO!$AF$10),""),ROUND($I247,ORÇAMENTO!$AF$11)),"")</f>
        <v/>
      </c>
      <c r="Y247" s="384">
        <f t="shared" ca="1" si="34"/>
        <v>0</v>
      </c>
      <c r="Z247" s="572"/>
      <c r="AB247" s="382"/>
      <c r="AC247" s="516"/>
      <c r="AD247" s="516"/>
      <c r="AE247" s="516"/>
      <c r="AF247" s="516"/>
      <c r="AG247" s="516"/>
      <c r="AH247" s="516"/>
      <c r="AI247" s="516"/>
      <c r="AJ247" s="516"/>
      <c r="AK247" s="516"/>
      <c r="AL247" s="516"/>
      <c r="AM247" s="383"/>
      <c r="AO247">
        <f ca="1">IF($A247="S",IF(BM!$I247=0,0,CHOOSE(MATCH(RegimeExecucao,{"Global","Unitário"},0),ROUND(ROUND(BM.MEDAcumulado,15-13*BM!$A$9)/100*BM!$I247,15-13*ORÇAMENTO!$AF$11),ROUND(ROUND(BM.MEDAcumulado,15-13*BM!$A$9)*ROUND(BM!$H247,15-13*ORÇAMENTO!$AF$10),15-13*ORÇAMENTO!$AF$11))),IF($A247=0,0,ROUND(SomaAgrupBM,15-13*ORÇAMENTO!$AF$11)))</f>
        <v>0</v>
      </c>
    </row>
    <row r="248" spans="1:41" x14ac:dyDescent="0.2">
      <c r="A248">
        <f ca="1">ORÇAMENTO!C248</f>
        <v>2</v>
      </c>
      <c r="B248">
        <f ca="1">ORÇAMENTO!D248</f>
        <v>42</v>
      </c>
      <c r="C248" s="116" t="str">
        <f t="shared" ca="1" si="28"/>
        <v>F</v>
      </c>
      <c r="D248" s="119" t="str">
        <f ca="1">ORÇAMENTO!O248</f>
        <v>1.13.</v>
      </c>
      <c r="E248" s="172" t="str">
        <f t="shared" si="29"/>
        <v>SERVIÇOS FINAIS</v>
      </c>
      <c r="F248" s="173" t="str">
        <f ca="1">IF(RegimeExecucao="Global","",ORÇAMENTO.Unidade)</f>
        <v/>
      </c>
      <c r="G248" s="124" t="str">
        <f ca="1">IF(RegimeExecucao="Global","",ORÇAMENTO!T248)</f>
        <v/>
      </c>
      <c r="H248" s="124" t="str">
        <f ca="1">IF(RegimeExecucao="Global","",ORÇAMENTO!W248)</f>
        <v/>
      </c>
      <c r="I248" s="127">
        <f ca="1">ORÇAMENTO!X248</f>
        <v>102.95</v>
      </c>
      <c r="J248" s="378">
        <f ca="1">IF($A248="S",IF(CAIXA.Modo,BM.AFAnterior,BM.MEDAnterior),IF(AND(RegimeExecucao="Global",$I248&gt;0,COUNTIF($AB$13:$AM$13,BM.medicao-1)&gt;0),M248/$I248*100,0))</f>
        <v>0</v>
      </c>
      <c r="K248" s="124">
        <f t="shared" ca="1" si="30"/>
        <v>0</v>
      </c>
      <c r="L248" s="379">
        <f ca="1">IF($A248="S",IF(CAIXA.Modo,BM.AFAcumulado,BM.MEDAcumulado),IF(AND(RegimeExecucao="Global",$I248&gt;0,COUNTIF($AB$13:$AM$13,BM.medicao)&gt;0),O248/$I248*100,0))</f>
        <v>0</v>
      </c>
      <c r="M248" s="380">
        <f ca="1">IF($A248="S",VTOTALBM,IF($A248=0,0,ROUND(SomaAgrupBM,15-13*ORÇAMENTO!$AF$11)))</f>
        <v>0</v>
      </c>
      <c r="N248" s="381">
        <f t="shared" ca="1" si="31"/>
        <v>0</v>
      </c>
      <c r="O248" s="127">
        <f ca="1">IF($A248="S",VTOTALBM,IF($A248=0,0,ROUND(SomaAgrupBM,15-13*ORÇAMENTO!$AF$11)))</f>
        <v>0</v>
      </c>
      <c r="Q248" s="382"/>
      <c r="R248" s="383"/>
      <c r="T248" s="119" t="str">
        <f t="shared" ca="1" si="32"/>
        <v/>
      </c>
      <c r="U248" s="172" t="str">
        <f t="shared" ca="1" si="33"/>
        <v/>
      </c>
      <c r="V248" s="173" t="str">
        <f ca="1">IF(AND($W248&gt;0,RegimeExecucao="Unitário"),$F248,"")</f>
        <v/>
      </c>
      <c r="W248" s="547">
        <f ca="1">IF($Y248&gt;0,CHOOSE(MATCH(RegimeExecucao,{"Unitário","Global"},0),IF($A248="S",$Y248/$X248,""),($Y248/$X248)*100),0)</f>
        <v>0</v>
      </c>
      <c r="X248" s="384" t="str">
        <f ca="1">IF($Y248&gt;0,CHOOSE(MATCH(RegimeExecucao,{"Unitário","Global"},0),IF($A248="S",ROUND($H248,ORÇAMENTO!$AF$10),""),ROUND($I248,ORÇAMENTO!$AF$11)),"")</f>
        <v/>
      </c>
      <c r="Y248" s="384">
        <f t="shared" ca="1" si="34"/>
        <v>0</v>
      </c>
      <c r="Z248" s="572"/>
      <c r="AB248" s="382"/>
      <c r="AC248" s="516"/>
      <c r="AD248" s="516"/>
      <c r="AE248" s="516"/>
      <c r="AF248" s="516"/>
      <c r="AG248" s="516"/>
      <c r="AH248" s="516"/>
      <c r="AI248" s="516"/>
      <c r="AJ248" s="516"/>
      <c r="AK248" s="516"/>
      <c r="AL248" s="516"/>
      <c r="AM248" s="383"/>
      <c r="AO248">
        <f ca="1">IF($A248="S",IF(BM!$I248=0,0,CHOOSE(MATCH(RegimeExecucao,{"Global","Unitário"},0),ROUND(ROUND(BM.MEDAcumulado,15-13*BM!$A$9)/100*BM!$I248,15-13*ORÇAMENTO!$AF$11),ROUND(ROUND(BM.MEDAcumulado,15-13*BM!$A$9)*ROUND(BM!$H248,15-13*ORÇAMENTO!$AF$10),15-13*ORÇAMENTO!$AF$11))),IF($A248=0,0,ROUND(SomaAgrupBM,15-13*ORÇAMENTO!$AF$11)))</f>
        <v>0</v>
      </c>
    </row>
    <row r="249" spans="1:41" x14ac:dyDescent="0.2">
      <c r="A249" t="str">
        <f ca="1">ORÇAMENTO!C249</f>
        <v>S</v>
      </c>
      <c r="B249">
        <f ca="1">ORÇAMENTO!D249</f>
        <v>0</v>
      </c>
      <c r="C249" s="116" t="str">
        <f t="shared" ca="1" si="28"/>
        <v>F</v>
      </c>
      <c r="D249" s="119" t="str">
        <f ca="1">ORÇAMENTO!O249</f>
        <v>1.13.0.1.</v>
      </c>
      <c r="E249" s="172" t="str">
        <f t="shared" ca="1" si="29"/>
        <v>(abra o arquivo 'Referência 03-2024.xlsm)</v>
      </c>
      <c r="F249" s="173" t="str">
        <f ca="1">IF(RegimeExecucao="Global","",ORÇAMENTO.Unidade)</f>
        <v/>
      </c>
      <c r="G249" s="124" t="str">
        <f ca="1">IF(RegimeExecucao="Global","",ORÇAMENTO!T249)</f>
        <v/>
      </c>
      <c r="H249" s="124" t="str">
        <f ca="1">IF(RegimeExecucao="Global","",ORÇAMENTO!W249)</f>
        <v/>
      </c>
      <c r="I249" s="127">
        <f ca="1">ORÇAMENTO!X249</f>
        <v>102.95</v>
      </c>
      <c r="J249" s="378">
        <f ca="1">IF($A249="S",IF(CAIXA.Modo,BM.AFAnterior,BM.MEDAnterior),IF(AND(RegimeExecucao="Global",$I249&gt;0,COUNTIF($AB$13:$AM$13,BM.medicao-1)&gt;0),M249/$I249*100,0))</f>
        <v>0</v>
      </c>
      <c r="K249" s="124">
        <f t="shared" ca="1" si="30"/>
        <v>0</v>
      </c>
      <c r="L249" s="379">
        <f ca="1">IF($A249="S",IF(CAIXA.Modo,BM.AFAcumulado,BM.MEDAcumulado),IF(AND(RegimeExecucao="Global",$I249&gt;0,COUNTIF($AB$13:$AM$13,BM.medicao)&gt;0),O249/$I249*100,0))</f>
        <v>0</v>
      </c>
      <c r="M249" s="380">
        <f ca="1">IF($A249="S",VTOTALBM,IF($A249=0,0,ROUND(SomaAgrupBM,15-13*ORÇAMENTO!$AF$11)))</f>
        <v>0</v>
      </c>
      <c r="N249" s="381">
        <f t="shared" ca="1" si="31"/>
        <v>0</v>
      </c>
      <c r="O249" s="127">
        <f ca="1">IF($A249="S",VTOTALBM,IF($A249=0,0,ROUND(SomaAgrupBM,15-13*ORÇAMENTO!$AF$11)))</f>
        <v>0</v>
      </c>
      <c r="Q249" s="382"/>
      <c r="R249" s="383"/>
      <c r="T249" s="119" t="str">
        <f t="shared" ca="1" si="32"/>
        <v/>
      </c>
      <c r="U249" s="172" t="str">
        <f t="shared" ca="1" si="33"/>
        <v/>
      </c>
      <c r="V249" s="173" t="str">
        <f ca="1">IF(AND($W249&gt;0,RegimeExecucao="Unitário"),$F249,"")</f>
        <v/>
      </c>
      <c r="W249" s="547">
        <f ca="1">IF($Y249&gt;0,CHOOSE(MATCH(RegimeExecucao,{"Unitário","Global"},0),IF($A249="S",$Y249/$X249,""),($Y249/$X249)*100),0)</f>
        <v>0</v>
      </c>
      <c r="X249" s="384" t="str">
        <f ca="1">IF($Y249&gt;0,CHOOSE(MATCH(RegimeExecucao,{"Unitário","Global"},0),IF($A249="S",ROUND($H249,ORÇAMENTO!$AF$10),""),ROUND($I249,ORÇAMENTO!$AF$11)),"")</f>
        <v/>
      </c>
      <c r="Y249" s="384">
        <f t="shared" ca="1" si="34"/>
        <v>0</v>
      </c>
      <c r="Z249" s="572"/>
      <c r="AB249" s="382"/>
      <c r="AC249" s="516"/>
      <c r="AD249" s="516"/>
      <c r="AE249" s="516"/>
      <c r="AF249" s="516"/>
      <c r="AG249" s="516"/>
      <c r="AH249" s="516"/>
      <c r="AI249" s="516"/>
      <c r="AJ249" s="516"/>
      <c r="AK249" s="516"/>
      <c r="AL249" s="516"/>
      <c r="AM249" s="383"/>
      <c r="AO249">
        <f ca="1">IF($A249="S",IF(BM!$I249=0,0,CHOOSE(MATCH(RegimeExecucao,{"Global","Unitário"},0),ROUND(ROUND(BM.MEDAcumulado,15-13*BM!$A$9)/100*BM!$I249,15-13*ORÇAMENTO!$AF$11),ROUND(ROUND(BM.MEDAcumulado,15-13*BM!$A$9)*ROUND(BM!$H249,15-13*ORÇAMENTO!$AF$10),15-13*ORÇAMENTO!$AF$11))),IF($A249=0,0,ROUND(SomaAgrupBM,15-13*ORÇAMENTO!$AF$11)))</f>
        <v>0</v>
      </c>
    </row>
    <row r="250" spans="1:41" x14ac:dyDescent="0.2">
      <c r="A250" t="str">
        <f ca="1">ORÇAMENTO!C250</f>
        <v>S</v>
      </c>
      <c r="B250">
        <f ca="1">ORÇAMENTO!D250</f>
        <v>0</v>
      </c>
      <c r="C250" s="116" t="str">
        <f t="shared" ca="1" si="28"/>
        <v/>
      </c>
      <c r="D250" s="119" t="str">
        <f ca="1">ORÇAMENTO!O250</f>
        <v>-</v>
      </c>
      <c r="E250" s="172" t="str">
        <f t="shared" ca="1" si="29"/>
        <v>(abra o arquivo 'Referência 03-2024.xlsm)</v>
      </c>
      <c r="F250" s="173" t="str">
        <f ca="1">IF(RegimeExecucao="Global","",ORÇAMENTO.Unidade)</f>
        <v/>
      </c>
      <c r="G250" s="124" t="str">
        <f ca="1">IF(RegimeExecucao="Global","",ORÇAMENTO!T250)</f>
        <v/>
      </c>
      <c r="H250" s="124" t="str">
        <f ca="1">IF(RegimeExecucao="Global","",ORÇAMENTO!W250)</f>
        <v/>
      </c>
      <c r="I250" s="127">
        <f ca="1">ORÇAMENTO!X250</f>
        <v>0</v>
      </c>
      <c r="J250" s="378">
        <f ca="1">IF($A250="S",IF(CAIXA.Modo,BM.AFAnterior,BM.MEDAnterior),IF(AND(RegimeExecucao="Global",$I250&gt;0,COUNTIF($AB$13:$AM$13,BM.medicao-1)&gt;0),M250/$I250*100,0))</f>
        <v>0</v>
      </c>
      <c r="K250" s="124">
        <f t="shared" ca="1" si="30"/>
        <v>0</v>
      </c>
      <c r="L250" s="379">
        <f ca="1">IF($A250="S",IF(CAIXA.Modo,BM.AFAcumulado,BM.MEDAcumulado),IF(AND(RegimeExecucao="Global",$I250&gt;0,COUNTIF($AB$13:$AM$13,BM.medicao)&gt;0),O250/$I250*100,0))</f>
        <v>0</v>
      </c>
      <c r="M250" s="380">
        <f ca="1">IF($A250="S",VTOTALBM,IF($A250=0,0,ROUND(SomaAgrupBM,15-13*ORÇAMENTO!$AF$11)))</f>
        <v>0</v>
      </c>
      <c r="N250" s="381">
        <f t="shared" ca="1" si="31"/>
        <v>0</v>
      </c>
      <c r="O250" s="127">
        <f ca="1">IF($A250="S",VTOTALBM,IF($A250=0,0,ROUND(SomaAgrupBM,15-13*ORÇAMENTO!$AF$11)))</f>
        <v>0</v>
      </c>
      <c r="Q250" s="382"/>
      <c r="R250" s="383"/>
      <c r="T250" s="119" t="str">
        <f t="shared" ca="1" si="32"/>
        <v/>
      </c>
      <c r="U250" s="172" t="str">
        <f t="shared" ca="1" si="33"/>
        <v/>
      </c>
      <c r="V250" s="173" t="str">
        <f ca="1">IF(AND($W250&gt;0,RegimeExecucao="Unitário"),$F250,"")</f>
        <v/>
      </c>
      <c r="W250" s="547">
        <f ca="1">IF($Y250&gt;0,CHOOSE(MATCH(RegimeExecucao,{"Unitário","Global"},0),IF($A250="S",$Y250/$X250,""),($Y250/$X250)*100),0)</f>
        <v>0</v>
      </c>
      <c r="X250" s="384" t="str">
        <f ca="1">IF($Y250&gt;0,CHOOSE(MATCH(RegimeExecucao,{"Unitário","Global"},0),IF($A250="S",ROUND($H250,ORÇAMENTO!$AF$10),""),ROUND($I250,ORÇAMENTO!$AF$11)),"")</f>
        <v/>
      </c>
      <c r="Y250" s="384">
        <f t="shared" ca="1" si="34"/>
        <v>0</v>
      </c>
      <c r="Z250" s="572"/>
      <c r="AB250" s="382"/>
      <c r="AC250" s="516"/>
      <c r="AD250" s="516"/>
      <c r="AE250" s="516"/>
      <c r="AF250" s="516"/>
      <c r="AG250" s="516"/>
      <c r="AH250" s="516"/>
      <c r="AI250" s="516"/>
      <c r="AJ250" s="516"/>
      <c r="AK250" s="516"/>
      <c r="AL250" s="516"/>
      <c r="AM250" s="383"/>
      <c r="AO250">
        <f ca="1">IF($A250="S",IF(BM!$I250=0,0,CHOOSE(MATCH(RegimeExecucao,{"Global","Unitário"},0),ROUND(ROUND(BM.MEDAcumulado,15-13*BM!$A$9)/100*BM!$I250,15-13*ORÇAMENTO!$AF$11),ROUND(ROUND(BM.MEDAcumulado,15-13*BM!$A$9)*ROUND(BM!$H250,15-13*ORÇAMENTO!$AF$10),15-13*ORÇAMENTO!$AF$11))),IF($A250=0,0,ROUND(SomaAgrupBM,15-13*ORÇAMENTO!$AF$11)))</f>
        <v>0</v>
      </c>
    </row>
    <row r="251" spans="1:41" x14ac:dyDescent="0.2">
      <c r="A251" t="str">
        <f ca="1">ORÇAMENTO!C251</f>
        <v>S</v>
      </c>
      <c r="B251">
        <f ca="1">ORÇAMENTO!D251</f>
        <v>0</v>
      </c>
      <c r="C251" s="116" t="str">
        <f t="shared" ca="1" si="28"/>
        <v/>
      </c>
      <c r="D251" s="119" t="str">
        <f ca="1">ORÇAMENTO!O251</f>
        <v>-</v>
      </c>
      <c r="E251" s="172" t="str">
        <f t="shared" ca="1" si="29"/>
        <v>(abra o arquivo 'Referência 03-2024.xlsm)</v>
      </c>
      <c r="F251" s="173" t="str">
        <f ca="1">IF(RegimeExecucao="Global","",ORÇAMENTO.Unidade)</f>
        <v/>
      </c>
      <c r="G251" s="124" t="str">
        <f ca="1">IF(RegimeExecucao="Global","",ORÇAMENTO!T251)</f>
        <v/>
      </c>
      <c r="H251" s="124" t="str">
        <f ca="1">IF(RegimeExecucao="Global","",ORÇAMENTO!W251)</f>
        <v/>
      </c>
      <c r="I251" s="127">
        <f ca="1">ORÇAMENTO!X251</f>
        <v>0</v>
      </c>
      <c r="J251" s="378">
        <f ca="1">IF($A251="S",IF(CAIXA.Modo,BM.AFAnterior,BM.MEDAnterior),IF(AND(RegimeExecucao="Global",$I251&gt;0,COUNTIF($AB$13:$AM$13,BM.medicao-1)&gt;0),M251/$I251*100,0))</f>
        <v>0</v>
      </c>
      <c r="K251" s="124">
        <f t="shared" ca="1" si="30"/>
        <v>0</v>
      </c>
      <c r="L251" s="379">
        <f ca="1">IF($A251="S",IF(CAIXA.Modo,BM.AFAcumulado,BM.MEDAcumulado),IF(AND(RegimeExecucao="Global",$I251&gt;0,COUNTIF($AB$13:$AM$13,BM.medicao)&gt;0),O251/$I251*100,0))</f>
        <v>0</v>
      </c>
      <c r="M251" s="380">
        <f ca="1">IF($A251="S",VTOTALBM,IF($A251=0,0,ROUND(SomaAgrupBM,15-13*ORÇAMENTO!$AF$11)))</f>
        <v>0</v>
      </c>
      <c r="N251" s="381">
        <f t="shared" ca="1" si="31"/>
        <v>0</v>
      </c>
      <c r="O251" s="127">
        <f ca="1">IF($A251="S",VTOTALBM,IF($A251=0,0,ROUND(SomaAgrupBM,15-13*ORÇAMENTO!$AF$11)))</f>
        <v>0</v>
      </c>
      <c r="Q251" s="382"/>
      <c r="R251" s="383"/>
      <c r="T251" s="119" t="str">
        <f t="shared" ca="1" si="32"/>
        <v/>
      </c>
      <c r="U251" s="172" t="str">
        <f t="shared" ca="1" si="33"/>
        <v/>
      </c>
      <c r="V251" s="173" t="str">
        <f ca="1">IF(AND($W251&gt;0,RegimeExecucao="Unitário"),$F251,"")</f>
        <v/>
      </c>
      <c r="W251" s="547">
        <f ca="1">IF($Y251&gt;0,CHOOSE(MATCH(RegimeExecucao,{"Unitário","Global"},0),IF($A251="S",$Y251/$X251,""),($Y251/$X251)*100),0)</f>
        <v>0</v>
      </c>
      <c r="X251" s="384" t="str">
        <f ca="1">IF($Y251&gt;0,CHOOSE(MATCH(RegimeExecucao,{"Unitário","Global"},0),IF($A251="S",ROUND($H251,ORÇAMENTO!$AF$10),""),ROUND($I251,ORÇAMENTO!$AF$11)),"")</f>
        <v/>
      </c>
      <c r="Y251" s="384">
        <f t="shared" ca="1" si="34"/>
        <v>0</v>
      </c>
      <c r="Z251" s="572"/>
      <c r="AB251" s="382"/>
      <c r="AC251" s="516"/>
      <c r="AD251" s="516"/>
      <c r="AE251" s="516"/>
      <c r="AF251" s="516"/>
      <c r="AG251" s="516"/>
      <c r="AH251" s="516"/>
      <c r="AI251" s="516"/>
      <c r="AJ251" s="516"/>
      <c r="AK251" s="516"/>
      <c r="AL251" s="516"/>
      <c r="AM251" s="383"/>
      <c r="AO251">
        <f ca="1">IF($A251="S",IF(BM!$I251=0,0,CHOOSE(MATCH(RegimeExecucao,{"Global","Unitário"},0),ROUND(ROUND(BM.MEDAcumulado,15-13*BM!$A$9)/100*BM!$I251,15-13*ORÇAMENTO!$AF$11),ROUND(ROUND(BM.MEDAcumulado,15-13*BM!$A$9)*ROUND(BM!$H251,15-13*ORÇAMENTO!$AF$10),15-13*ORÇAMENTO!$AF$11))),IF($A251=0,0,ROUND(SomaAgrupBM,15-13*ORÇAMENTO!$AF$11)))</f>
        <v>0</v>
      </c>
    </row>
    <row r="252" spans="1:41" x14ac:dyDescent="0.2">
      <c r="A252" t="str">
        <f ca="1">ORÇAMENTO!C252</f>
        <v>S</v>
      </c>
      <c r="B252">
        <f ca="1">ORÇAMENTO!D252</f>
        <v>0</v>
      </c>
      <c r="C252" s="116" t="str">
        <f t="shared" ca="1" si="28"/>
        <v/>
      </c>
      <c r="D252" s="119" t="str">
        <f ca="1">ORÇAMENTO!O252</f>
        <v>-</v>
      </c>
      <c r="E252" s="172" t="str">
        <f t="shared" ca="1" si="29"/>
        <v>(abra o arquivo 'Referência 03-2024.xlsm)</v>
      </c>
      <c r="F252" s="173" t="str">
        <f ca="1">IF(RegimeExecucao="Global","",ORÇAMENTO.Unidade)</f>
        <v/>
      </c>
      <c r="G252" s="124" t="str">
        <f ca="1">IF(RegimeExecucao="Global","",ORÇAMENTO!T252)</f>
        <v/>
      </c>
      <c r="H252" s="124" t="str">
        <f ca="1">IF(RegimeExecucao="Global","",ORÇAMENTO!W252)</f>
        <v/>
      </c>
      <c r="I252" s="127">
        <f ca="1">ORÇAMENTO!X252</f>
        <v>0</v>
      </c>
      <c r="J252" s="378">
        <f ca="1">IF($A252="S",IF(CAIXA.Modo,BM.AFAnterior,BM.MEDAnterior),IF(AND(RegimeExecucao="Global",$I252&gt;0,COUNTIF($AB$13:$AM$13,BM.medicao-1)&gt;0),M252/$I252*100,0))</f>
        <v>0</v>
      </c>
      <c r="K252" s="124">
        <f t="shared" ca="1" si="30"/>
        <v>0</v>
      </c>
      <c r="L252" s="379">
        <f ca="1">IF($A252="S",IF(CAIXA.Modo,BM.AFAcumulado,BM.MEDAcumulado),IF(AND(RegimeExecucao="Global",$I252&gt;0,COUNTIF($AB$13:$AM$13,BM.medicao)&gt;0),O252/$I252*100,0))</f>
        <v>0</v>
      </c>
      <c r="M252" s="380">
        <f ca="1">IF($A252="S",VTOTALBM,IF($A252=0,0,ROUND(SomaAgrupBM,15-13*ORÇAMENTO!$AF$11)))</f>
        <v>0</v>
      </c>
      <c r="N252" s="381">
        <f t="shared" ca="1" si="31"/>
        <v>0</v>
      </c>
      <c r="O252" s="127">
        <f ca="1">IF($A252="S",VTOTALBM,IF($A252=0,0,ROUND(SomaAgrupBM,15-13*ORÇAMENTO!$AF$11)))</f>
        <v>0</v>
      </c>
      <c r="Q252" s="382"/>
      <c r="R252" s="383"/>
      <c r="T252" s="119" t="str">
        <f t="shared" ca="1" si="32"/>
        <v/>
      </c>
      <c r="U252" s="172" t="str">
        <f t="shared" ca="1" si="33"/>
        <v/>
      </c>
      <c r="V252" s="173" t="str">
        <f ca="1">IF(AND($W252&gt;0,RegimeExecucao="Unitário"),$F252,"")</f>
        <v/>
      </c>
      <c r="W252" s="547">
        <f ca="1">IF($Y252&gt;0,CHOOSE(MATCH(RegimeExecucao,{"Unitário","Global"},0),IF($A252="S",$Y252/$X252,""),($Y252/$X252)*100),0)</f>
        <v>0</v>
      </c>
      <c r="X252" s="384" t="str">
        <f ca="1">IF($Y252&gt;0,CHOOSE(MATCH(RegimeExecucao,{"Unitário","Global"},0),IF($A252="S",ROUND($H252,ORÇAMENTO!$AF$10),""),ROUND($I252,ORÇAMENTO!$AF$11)),"")</f>
        <v/>
      </c>
      <c r="Y252" s="384">
        <f t="shared" ca="1" si="34"/>
        <v>0</v>
      </c>
      <c r="Z252" s="572"/>
      <c r="AB252" s="382"/>
      <c r="AC252" s="516"/>
      <c r="AD252" s="516"/>
      <c r="AE252" s="516"/>
      <c r="AF252" s="516"/>
      <c r="AG252" s="516"/>
      <c r="AH252" s="516"/>
      <c r="AI252" s="516"/>
      <c r="AJ252" s="516"/>
      <c r="AK252" s="516"/>
      <c r="AL252" s="516"/>
      <c r="AM252" s="383"/>
      <c r="AO252">
        <f ca="1">IF($A252="S",IF(BM!$I252=0,0,CHOOSE(MATCH(RegimeExecucao,{"Global","Unitário"},0),ROUND(ROUND(BM.MEDAcumulado,15-13*BM!$A$9)/100*BM!$I252,15-13*ORÇAMENTO!$AF$11),ROUND(ROUND(BM.MEDAcumulado,15-13*BM!$A$9)*ROUND(BM!$H252,15-13*ORÇAMENTO!$AF$10),15-13*ORÇAMENTO!$AF$11))),IF($A252=0,0,ROUND(SomaAgrupBM,15-13*ORÇAMENTO!$AF$11)))</f>
        <v>0</v>
      </c>
    </row>
    <row r="253" spans="1:41" x14ac:dyDescent="0.2">
      <c r="A253" t="str">
        <f ca="1">ORÇAMENTO!C253</f>
        <v>S</v>
      </c>
      <c r="B253">
        <f ca="1">ORÇAMENTO!D253</f>
        <v>0</v>
      </c>
      <c r="C253" s="116" t="str">
        <f t="shared" ca="1" si="28"/>
        <v/>
      </c>
      <c r="D253" s="119" t="str">
        <f ca="1">ORÇAMENTO!O253</f>
        <v>-</v>
      </c>
      <c r="E253" s="172" t="str">
        <f t="shared" ca="1" si="29"/>
        <v>(abra o arquivo 'Referência 03-2024.xlsm)</v>
      </c>
      <c r="F253" s="173" t="str">
        <f ca="1">IF(RegimeExecucao="Global","",ORÇAMENTO.Unidade)</f>
        <v/>
      </c>
      <c r="G253" s="124" t="str">
        <f ca="1">IF(RegimeExecucao="Global","",ORÇAMENTO!T253)</f>
        <v/>
      </c>
      <c r="H253" s="124" t="str">
        <f ca="1">IF(RegimeExecucao="Global","",ORÇAMENTO!W253)</f>
        <v/>
      </c>
      <c r="I253" s="127">
        <f ca="1">ORÇAMENTO!X253</f>
        <v>0</v>
      </c>
      <c r="J253" s="378">
        <f ca="1">IF($A253="S",IF(CAIXA.Modo,BM.AFAnterior,BM.MEDAnterior),IF(AND(RegimeExecucao="Global",$I253&gt;0,COUNTIF($AB$13:$AM$13,BM.medicao-1)&gt;0),M253/$I253*100,0))</f>
        <v>0</v>
      </c>
      <c r="K253" s="124">
        <f t="shared" ca="1" si="30"/>
        <v>0</v>
      </c>
      <c r="L253" s="379">
        <f ca="1">IF($A253="S",IF(CAIXA.Modo,BM.AFAcumulado,BM.MEDAcumulado),IF(AND(RegimeExecucao="Global",$I253&gt;0,COUNTIF($AB$13:$AM$13,BM.medicao)&gt;0),O253/$I253*100,0))</f>
        <v>0</v>
      </c>
      <c r="M253" s="380">
        <f ca="1">IF($A253="S",VTOTALBM,IF($A253=0,0,ROUND(SomaAgrupBM,15-13*ORÇAMENTO!$AF$11)))</f>
        <v>0</v>
      </c>
      <c r="N253" s="381">
        <f t="shared" ca="1" si="31"/>
        <v>0</v>
      </c>
      <c r="O253" s="127">
        <f ca="1">IF($A253="S",VTOTALBM,IF($A253=0,0,ROUND(SomaAgrupBM,15-13*ORÇAMENTO!$AF$11)))</f>
        <v>0</v>
      </c>
      <c r="Q253" s="382"/>
      <c r="R253" s="383"/>
      <c r="T253" s="119" t="str">
        <f t="shared" ca="1" si="32"/>
        <v/>
      </c>
      <c r="U253" s="172" t="str">
        <f t="shared" ca="1" si="33"/>
        <v/>
      </c>
      <c r="V253" s="173" t="str">
        <f ca="1">IF(AND($W253&gt;0,RegimeExecucao="Unitário"),$F253,"")</f>
        <v/>
      </c>
      <c r="W253" s="547">
        <f ca="1">IF($Y253&gt;0,CHOOSE(MATCH(RegimeExecucao,{"Unitário","Global"},0),IF($A253="S",$Y253/$X253,""),($Y253/$X253)*100),0)</f>
        <v>0</v>
      </c>
      <c r="X253" s="384" t="str">
        <f ca="1">IF($Y253&gt;0,CHOOSE(MATCH(RegimeExecucao,{"Unitário","Global"},0),IF($A253="S",ROUND($H253,ORÇAMENTO!$AF$10),""),ROUND($I253,ORÇAMENTO!$AF$11)),"")</f>
        <v/>
      </c>
      <c r="Y253" s="384">
        <f t="shared" ca="1" si="34"/>
        <v>0</v>
      </c>
      <c r="Z253" s="572"/>
      <c r="AB253" s="382"/>
      <c r="AC253" s="516"/>
      <c r="AD253" s="516"/>
      <c r="AE253" s="516"/>
      <c r="AF253" s="516"/>
      <c r="AG253" s="516"/>
      <c r="AH253" s="516"/>
      <c r="AI253" s="516"/>
      <c r="AJ253" s="516"/>
      <c r="AK253" s="516"/>
      <c r="AL253" s="516"/>
      <c r="AM253" s="383"/>
      <c r="AO253">
        <f ca="1">IF($A253="S",IF(BM!$I253=0,0,CHOOSE(MATCH(RegimeExecucao,{"Global","Unitário"},0),ROUND(ROUND(BM.MEDAcumulado,15-13*BM!$A$9)/100*BM!$I253,15-13*ORÇAMENTO!$AF$11),ROUND(ROUND(BM.MEDAcumulado,15-13*BM!$A$9)*ROUND(BM!$H253,15-13*ORÇAMENTO!$AF$10),15-13*ORÇAMENTO!$AF$11))),IF($A253=0,0,ROUND(SomaAgrupBM,15-13*ORÇAMENTO!$AF$11)))</f>
        <v>0</v>
      </c>
    </row>
    <row r="254" spans="1:41" x14ac:dyDescent="0.2">
      <c r="A254" t="str">
        <f ca="1">ORÇAMENTO!C254</f>
        <v>S</v>
      </c>
      <c r="B254">
        <f ca="1">ORÇAMENTO!D254</f>
        <v>0</v>
      </c>
      <c r="C254" s="116" t="str">
        <f t="shared" ca="1" si="28"/>
        <v/>
      </c>
      <c r="D254" s="119" t="str">
        <f ca="1">ORÇAMENTO!O254</f>
        <v>-</v>
      </c>
      <c r="E254" s="172" t="str">
        <f t="shared" ca="1" si="29"/>
        <v>(abra o arquivo 'Referência 03-2024.xlsm)</v>
      </c>
      <c r="F254" s="173" t="str">
        <f ca="1">IF(RegimeExecucao="Global","",ORÇAMENTO.Unidade)</f>
        <v/>
      </c>
      <c r="G254" s="124" t="str">
        <f ca="1">IF(RegimeExecucao="Global","",ORÇAMENTO!T254)</f>
        <v/>
      </c>
      <c r="H254" s="124" t="str">
        <f ca="1">IF(RegimeExecucao="Global","",ORÇAMENTO!W254)</f>
        <v/>
      </c>
      <c r="I254" s="127">
        <f ca="1">ORÇAMENTO!X254</f>
        <v>0</v>
      </c>
      <c r="J254" s="378">
        <f ca="1">IF($A254="S",IF(CAIXA.Modo,BM.AFAnterior,BM.MEDAnterior),IF(AND(RegimeExecucao="Global",$I254&gt;0,COUNTIF($AB$13:$AM$13,BM.medicao-1)&gt;0),M254/$I254*100,0))</f>
        <v>0</v>
      </c>
      <c r="K254" s="124">
        <f t="shared" ca="1" si="30"/>
        <v>0</v>
      </c>
      <c r="L254" s="379">
        <f ca="1">IF($A254="S",IF(CAIXA.Modo,BM.AFAcumulado,BM.MEDAcumulado),IF(AND(RegimeExecucao="Global",$I254&gt;0,COUNTIF($AB$13:$AM$13,BM.medicao)&gt;0),O254/$I254*100,0))</f>
        <v>0</v>
      </c>
      <c r="M254" s="380">
        <f ca="1">IF($A254="S",VTOTALBM,IF($A254=0,0,ROUND(SomaAgrupBM,15-13*ORÇAMENTO!$AF$11)))</f>
        <v>0</v>
      </c>
      <c r="N254" s="381">
        <f t="shared" ca="1" si="31"/>
        <v>0</v>
      </c>
      <c r="O254" s="127">
        <f ca="1">IF($A254="S",VTOTALBM,IF($A254=0,0,ROUND(SomaAgrupBM,15-13*ORÇAMENTO!$AF$11)))</f>
        <v>0</v>
      </c>
      <c r="Q254" s="382"/>
      <c r="R254" s="383"/>
      <c r="T254" s="119" t="str">
        <f t="shared" ca="1" si="32"/>
        <v/>
      </c>
      <c r="U254" s="172" t="str">
        <f t="shared" ca="1" si="33"/>
        <v/>
      </c>
      <c r="V254" s="173" t="str">
        <f ca="1">IF(AND($W254&gt;0,RegimeExecucao="Unitário"),$F254,"")</f>
        <v/>
      </c>
      <c r="W254" s="547">
        <f ca="1">IF($Y254&gt;0,CHOOSE(MATCH(RegimeExecucao,{"Unitário","Global"},0),IF($A254="S",$Y254/$X254,""),($Y254/$X254)*100),0)</f>
        <v>0</v>
      </c>
      <c r="X254" s="384" t="str">
        <f ca="1">IF($Y254&gt;0,CHOOSE(MATCH(RegimeExecucao,{"Unitário","Global"},0),IF($A254="S",ROUND($H254,ORÇAMENTO!$AF$10),""),ROUND($I254,ORÇAMENTO!$AF$11)),"")</f>
        <v/>
      </c>
      <c r="Y254" s="384">
        <f t="shared" ca="1" si="34"/>
        <v>0</v>
      </c>
      <c r="Z254" s="572"/>
      <c r="AB254" s="382"/>
      <c r="AC254" s="516"/>
      <c r="AD254" s="516"/>
      <c r="AE254" s="516"/>
      <c r="AF254" s="516"/>
      <c r="AG254" s="516"/>
      <c r="AH254" s="516"/>
      <c r="AI254" s="516"/>
      <c r="AJ254" s="516"/>
      <c r="AK254" s="516"/>
      <c r="AL254" s="516"/>
      <c r="AM254" s="383"/>
      <c r="AO254">
        <f ca="1">IF($A254="S",IF(BM!$I254=0,0,CHOOSE(MATCH(RegimeExecucao,{"Global","Unitário"},0),ROUND(ROUND(BM.MEDAcumulado,15-13*BM!$A$9)/100*BM!$I254,15-13*ORÇAMENTO!$AF$11),ROUND(ROUND(BM.MEDAcumulado,15-13*BM!$A$9)*ROUND(BM!$H254,15-13*ORÇAMENTO!$AF$10),15-13*ORÇAMENTO!$AF$11))),IF($A254=0,0,ROUND(SomaAgrupBM,15-13*ORÇAMENTO!$AF$11)))</f>
        <v>0</v>
      </c>
    </row>
    <row r="255" spans="1:41" x14ac:dyDescent="0.2">
      <c r="A255" t="str">
        <f ca="1">ORÇAMENTO!C255</f>
        <v>S</v>
      </c>
      <c r="B255">
        <f ca="1">ORÇAMENTO!D255</f>
        <v>0</v>
      </c>
      <c r="C255" s="116" t="str">
        <f t="shared" ca="1" si="28"/>
        <v/>
      </c>
      <c r="D255" s="119" t="str">
        <f ca="1">ORÇAMENTO!O255</f>
        <v>-</v>
      </c>
      <c r="E255" s="172" t="str">
        <f t="shared" ca="1" si="29"/>
        <v>(abra o arquivo 'Referência 03-2024.xlsm)</v>
      </c>
      <c r="F255" s="173" t="str">
        <f ca="1">IF(RegimeExecucao="Global","",ORÇAMENTO.Unidade)</f>
        <v/>
      </c>
      <c r="G255" s="124" t="str">
        <f ca="1">IF(RegimeExecucao="Global","",ORÇAMENTO!T255)</f>
        <v/>
      </c>
      <c r="H255" s="124" t="str">
        <f ca="1">IF(RegimeExecucao="Global","",ORÇAMENTO!W255)</f>
        <v/>
      </c>
      <c r="I255" s="127">
        <f ca="1">ORÇAMENTO!X255</f>
        <v>0</v>
      </c>
      <c r="J255" s="378">
        <f ca="1">IF($A255="S",IF(CAIXA.Modo,BM.AFAnterior,BM.MEDAnterior),IF(AND(RegimeExecucao="Global",$I255&gt;0,COUNTIF($AB$13:$AM$13,BM.medicao-1)&gt;0),M255/$I255*100,0))</f>
        <v>0</v>
      </c>
      <c r="K255" s="124">
        <f t="shared" ca="1" si="30"/>
        <v>0</v>
      </c>
      <c r="L255" s="379">
        <f ca="1">IF($A255="S",IF(CAIXA.Modo,BM.AFAcumulado,BM.MEDAcumulado),IF(AND(RegimeExecucao="Global",$I255&gt;0,COUNTIF($AB$13:$AM$13,BM.medicao)&gt;0),O255/$I255*100,0))</f>
        <v>0</v>
      </c>
      <c r="M255" s="380">
        <f ca="1">IF($A255="S",VTOTALBM,IF($A255=0,0,ROUND(SomaAgrupBM,15-13*ORÇAMENTO!$AF$11)))</f>
        <v>0</v>
      </c>
      <c r="N255" s="381">
        <f t="shared" ca="1" si="31"/>
        <v>0</v>
      </c>
      <c r="O255" s="127">
        <f ca="1">IF($A255="S",VTOTALBM,IF($A255=0,0,ROUND(SomaAgrupBM,15-13*ORÇAMENTO!$AF$11)))</f>
        <v>0</v>
      </c>
      <c r="Q255" s="382"/>
      <c r="R255" s="383"/>
      <c r="T255" s="119" t="str">
        <f t="shared" ca="1" si="32"/>
        <v/>
      </c>
      <c r="U255" s="172" t="str">
        <f t="shared" ca="1" si="33"/>
        <v/>
      </c>
      <c r="V255" s="173" t="str">
        <f ca="1">IF(AND($W255&gt;0,RegimeExecucao="Unitário"),$F255,"")</f>
        <v/>
      </c>
      <c r="W255" s="547">
        <f ca="1">IF($Y255&gt;0,CHOOSE(MATCH(RegimeExecucao,{"Unitário","Global"},0),IF($A255="S",$Y255/$X255,""),($Y255/$X255)*100),0)</f>
        <v>0</v>
      </c>
      <c r="X255" s="384" t="str">
        <f ca="1">IF($Y255&gt;0,CHOOSE(MATCH(RegimeExecucao,{"Unitário","Global"},0),IF($A255="S",ROUND($H255,ORÇAMENTO!$AF$10),""),ROUND($I255,ORÇAMENTO!$AF$11)),"")</f>
        <v/>
      </c>
      <c r="Y255" s="384">
        <f t="shared" ca="1" si="34"/>
        <v>0</v>
      </c>
      <c r="Z255" s="572"/>
      <c r="AB255" s="382"/>
      <c r="AC255" s="516"/>
      <c r="AD255" s="516"/>
      <c r="AE255" s="516"/>
      <c r="AF255" s="516"/>
      <c r="AG255" s="516"/>
      <c r="AH255" s="516"/>
      <c r="AI255" s="516"/>
      <c r="AJ255" s="516"/>
      <c r="AK255" s="516"/>
      <c r="AL255" s="516"/>
      <c r="AM255" s="383"/>
      <c r="AO255">
        <f ca="1">IF($A255="S",IF(BM!$I255=0,0,CHOOSE(MATCH(RegimeExecucao,{"Global","Unitário"},0),ROUND(ROUND(BM.MEDAcumulado,15-13*BM!$A$9)/100*BM!$I255,15-13*ORÇAMENTO!$AF$11),ROUND(ROUND(BM.MEDAcumulado,15-13*BM!$A$9)*ROUND(BM!$H255,15-13*ORÇAMENTO!$AF$10),15-13*ORÇAMENTO!$AF$11))),IF($A255=0,0,ROUND(SomaAgrupBM,15-13*ORÇAMENTO!$AF$11)))</f>
        <v>0</v>
      </c>
    </row>
    <row r="256" spans="1:41" x14ac:dyDescent="0.2">
      <c r="A256" t="str">
        <f ca="1">ORÇAMENTO!C256</f>
        <v>S</v>
      </c>
      <c r="B256">
        <f ca="1">ORÇAMENTO!D256</f>
        <v>0</v>
      </c>
      <c r="C256" s="116" t="str">
        <f t="shared" ca="1" si="28"/>
        <v/>
      </c>
      <c r="D256" s="119" t="str">
        <f ca="1">ORÇAMENTO!O256</f>
        <v>-</v>
      </c>
      <c r="E256" s="172" t="str">
        <f t="shared" ca="1" si="29"/>
        <v>(abra o arquivo 'Referência 03-2024.xlsm)</v>
      </c>
      <c r="F256" s="173" t="str">
        <f ca="1">IF(RegimeExecucao="Global","",ORÇAMENTO.Unidade)</f>
        <v/>
      </c>
      <c r="G256" s="124" t="str">
        <f ca="1">IF(RegimeExecucao="Global","",ORÇAMENTO!T256)</f>
        <v/>
      </c>
      <c r="H256" s="124" t="str">
        <f ca="1">IF(RegimeExecucao="Global","",ORÇAMENTO!W256)</f>
        <v/>
      </c>
      <c r="I256" s="127">
        <f ca="1">ORÇAMENTO!X256</f>
        <v>0</v>
      </c>
      <c r="J256" s="378">
        <f ca="1">IF($A256="S",IF(CAIXA.Modo,BM.AFAnterior,BM.MEDAnterior),IF(AND(RegimeExecucao="Global",$I256&gt;0,COUNTIF($AB$13:$AM$13,BM.medicao-1)&gt;0),M256/$I256*100,0))</f>
        <v>0</v>
      </c>
      <c r="K256" s="124">
        <f t="shared" ca="1" si="30"/>
        <v>0</v>
      </c>
      <c r="L256" s="379">
        <f ca="1">IF($A256="S",IF(CAIXA.Modo,BM.AFAcumulado,BM.MEDAcumulado),IF(AND(RegimeExecucao="Global",$I256&gt;0,COUNTIF($AB$13:$AM$13,BM.medicao)&gt;0),O256/$I256*100,0))</f>
        <v>0</v>
      </c>
      <c r="M256" s="380">
        <f ca="1">IF($A256="S",VTOTALBM,IF($A256=0,0,ROUND(SomaAgrupBM,15-13*ORÇAMENTO!$AF$11)))</f>
        <v>0</v>
      </c>
      <c r="N256" s="381">
        <f t="shared" ca="1" si="31"/>
        <v>0</v>
      </c>
      <c r="O256" s="127">
        <f ca="1">IF($A256="S",VTOTALBM,IF($A256=0,0,ROUND(SomaAgrupBM,15-13*ORÇAMENTO!$AF$11)))</f>
        <v>0</v>
      </c>
      <c r="Q256" s="382"/>
      <c r="R256" s="383"/>
      <c r="T256" s="119" t="str">
        <f t="shared" ca="1" si="32"/>
        <v/>
      </c>
      <c r="U256" s="172" t="str">
        <f t="shared" ca="1" si="33"/>
        <v/>
      </c>
      <c r="V256" s="173" t="str">
        <f ca="1">IF(AND($W256&gt;0,RegimeExecucao="Unitário"),$F256,"")</f>
        <v/>
      </c>
      <c r="W256" s="547">
        <f ca="1">IF($Y256&gt;0,CHOOSE(MATCH(RegimeExecucao,{"Unitário","Global"},0),IF($A256="S",$Y256/$X256,""),($Y256/$X256)*100),0)</f>
        <v>0</v>
      </c>
      <c r="X256" s="384" t="str">
        <f ca="1">IF($Y256&gt;0,CHOOSE(MATCH(RegimeExecucao,{"Unitário","Global"},0),IF($A256="S",ROUND($H256,ORÇAMENTO!$AF$10),""),ROUND($I256,ORÇAMENTO!$AF$11)),"")</f>
        <v/>
      </c>
      <c r="Y256" s="384">
        <f t="shared" ca="1" si="34"/>
        <v>0</v>
      </c>
      <c r="Z256" s="572"/>
      <c r="AB256" s="382"/>
      <c r="AC256" s="516"/>
      <c r="AD256" s="516"/>
      <c r="AE256" s="516"/>
      <c r="AF256" s="516"/>
      <c r="AG256" s="516"/>
      <c r="AH256" s="516"/>
      <c r="AI256" s="516"/>
      <c r="AJ256" s="516"/>
      <c r="AK256" s="516"/>
      <c r="AL256" s="516"/>
      <c r="AM256" s="383"/>
      <c r="AO256">
        <f ca="1">IF($A256="S",IF(BM!$I256=0,0,CHOOSE(MATCH(RegimeExecucao,{"Global","Unitário"},0),ROUND(ROUND(BM.MEDAcumulado,15-13*BM!$A$9)/100*BM!$I256,15-13*ORÇAMENTO!$AF$11),ROUND(ROUND(BM.MEDAcumulado,15-13*BM!$A$9)*ROUND(BM!$H256,15-13*ORÇAMENTO!$AF$10),15-13*ORÇAMENTO!$AF$11))),IF($A256=0,0,ROUND(SomaAgrupBM,15-13*ORÇAMENTO!$AF$11)))</f>
        <v>0</v>
      </c>
    </row>
    <row r="257" spans="1:41" x14ac:dyDescent="0.2">
      <c r="A257" t="str">
        <f ca="1">ORÇAMENTO!C257</f>
        <v>S</v>
      </c>
      <c r="B257">
        <f ca="1">ORÇAMENTO!D257</f>
        <v>0</v>
      </c>
      <c r="C257" s="116" t="str">
        <f t="shared" ca="1" si="28"/>
        <v/>
      </c>
      <c r="D257" s="119" t="str">
        <f ca="1">ORÇAMENTO!O257</f>
        <v>-</v>
      </c>
      <c r="E257" s="172" t="str">
        <f t="shared" ca="1" si="29"/>
        <v>(abra o arquivo 'Referência 03-2024.xlsm)</v>
      </c>
      <c r="F257" s="173" t="str">
        <f ca="1">IF(RegimeExecucao="Global","",ORÇAMENTO.Unidade)</f>
        <v/>
      </c>
      <c r="G257" s="124" t="str">
        <f ca="1">IF(RegimeExecucao="Global","",ORÇAMENTO!T257)</f>
        <v/>
      </c>
      <c r="H257" s="124" t="str">
        <f ca="1">IF(RegimeExecucao="Global","",ORÇAMENTO!W257)</f>
        <v/>
      </c>
      <c r="I257" s="127">
        <f ca="1">ORÇAMENTO!X257</f>
        <v>0</v>
      </c>
      <c r="J257" s="378">
        <f ca="1">IF($A257="S",IF(CAIXA.Modo,BM.AFAnterior,BM.MEDAnterior),IF(AND(RegimeExecucao="Global",$I257&gt;0,COUNTIF($AB$13:$AM$13,BM.medicao-1)&gt;0),M257/$I257*100,0))</f>
        <v>0</v>
      </c>
      <c r="K257" s="124">
        <f t="shared" ca="1" si="30"/>
        <v>0</v>
      </c>
      <c r="L257" s="379">
        <f ca="1">IF($A257="S",IF(CAIXA.Modo,BM.AFAcumulado,BM.MEDAcumulado),IF(AND(RegimeExecucao="Global",$I257&gt;0,COUNTIF($AB$13:$AM$13,BM.medicao)&gt;0),O257/$I257*100,0))</f>
        <v>0</v>
      </c>
      <c r="M257" s="380">
        <f ca="1">IF($A257="S",VTOTALBM,IF($A257=0,0,ROUND(SomaAgrupBM,15-13*ORÇAMENTO!$AF$11)))</f>
        <v>0</v>
      </c>
      <c r="N257" s="381">
        <f t="shared" ca="1" si="31"/>
        <v>0</v>
      </c>
      <c r="O257" s="127">
        <f ca="1">IF($A257="S",VTOTALBM,IF($A257=0,0,ROUND(SomaAgrupBM,15-13*ORÇAMENTO!$AF$11)))</f>
        <v>0</v>
      </c>
      <c r="Q257" s="382"/>
      <c r="R257" s="383"/>
      <c r="T257" s="119" t="str">
        <f t="shared" ca="1" si="32"/>
        <v/>
      </c>
      <c r="U257" s="172" t="str">
        <f t="shared" ca="1" si="33"/>
        <v/>
      </c>
      <c r="V257" s="173" t="str">
        <f ca="1">IF(AND($W257&gt;0,RegimeExecucao="Unitário"),$F257,"")</f>
        <v/>
      </c>
      <c r="W257" s="547">
        <f ca="1">IF($Y257&gt;0,CHOOSE(MATCH(RegimeExecucao,{"Unitário","Global"},0),IF($A257="S",$Y257/$X257,""),($Y257/$X257)*100),0)</f>
        <v>0</v>
      </c>
      <c r="X257" s="384" t="str">
        <f ca="1">IF($Y257&gt;0,CHOOSE(MATCH(RegimeExecucao,{"Unitário","Global"},0),IF($A257="S",ROUND($H257,ORÇAMENTO!$AF$10),""),ROUND($I257,ORÇAMENTO!$AF$11)),"")</f>
        <v/>
      </c>
      <c r="Y257" s="384">
        <f t="shared" ca="1" si="34"/>
        <v>0</v>
      </c>
      <c r="Z257" s="572"/>
      <c r="AB257" s="382"/>
      <c r="AC257" s="516"/>
      <c r="AD257" s="516"/>
      <c r="AE257" s="516"/>
      <c r="AF257" s="516"/>
      <c r="AG257" s="516"/>
      <c r="AH257" s="516"/>
      <c r="AI257" s="516"/>
      <c r="AJ257" s="516"/>
      <c r="AK257" s="516"/>
      <c r="AL257" s="516"/>
      <c r="AM257" s="383"/>
      <c r="AO257">
        <f ca="1">IF($A257="S",IF(BM!$I257=0,0,CHOOSE(MATCH(RegimeExecucao,{"Global","Unitário"},0),ROUND(ROUND(BM.MEDAcumulado,15-13*BM!$A$9)/100*BM!$I257,15-13*ORÇAMENTO!$AF$11),ROUND(ROUND(BM.MEDAcumulado,15-13*BM!$A$9)*ROUND(BM!$H257,15-13*ORÇAMENTO!$AF$10),15-13*ORÇAMENTO!$AF$11))),IF($A257=0,0,ROUND(SomaAgrupBM,15-13*ORÇAMENTO!$AF$11)))</f>
        <v>0</v>
      </c>
    </row>
    <row r="258" spans="1:41" x14ac:dyDescent="0.2">
      <c r="A258" t="str">
        <f ca="1">ORÇAMENTO!C258</f>
        <v>S</v>
      </c>
      <c r="B258">
        <f ca="1">ORÇAMENTO!D258</f>
        <v>0</v>
      </c>
      <c r="C258" s="116" t="str">
        <f t="shared" ca="1" si="28"/>
        <v/>
      </c>
      <c r="D258" s="119" t="str">
        <f ca="1">ORÇAMENTO!O258</f>
        <v>-</v>
      </c>
      <c r="E258" s="172" t="str">
        <f t="shared" ca="1" si="29"/>
        <v>(abra o arquivo 'Referência 03-2024.xlsm)</v>
      </c>
      <c r="F258" s="173" t="str">
        <f ca="1">IF(RegimeExecucao="Global","",ORÇAMENTO.Unidade)</f>
        <v/>
      </c>
      <c r="G258" s="124" t="str">
        <f ca="1">IF(RegimeExecucao="Global","",ORÇAMENTO!T258)</f>
        <v/>
      </c>
      <c r="H258" s="124" t="str">
        <f ca="1">IF(RegimeExecucao="Global","",ORÇAMENTO!W258)</f>
        <v/>
      </c>
      <c r="I258" s="127">
        <f ca="1">ORÇAMENTO!X258</f>
        <v>0</v>
      </c>
      <c r="J258" s="378">
        <f ca="1">IF($A258="S",IF(CAIXA.Modo,BM.AFAnterior,BM.MEDAnterior),IF(AND(RegimeExecucao="Global",$I258&gt;0,COUNTIF($AB$13:$AM$13,BM.medicao-1)&gt;0),M258/$I258*100,0))</f>
        <v>0</v>
      </c>
      <c r="K258" s="124">
        <f t="shared" ca="1" si="30"/>
        <v>0</v>
      </c>
      <c r="L258" s="379">
        <f ca="1">IF($A258="S",IF(CAIXA.Modo,BM.AFAcumulado,BM.MEDAcumulado),IF(AND(RegimeExecucao="Global",$I258&gt;0,COUNTIF($AB$13:$AM$13,BM.medicao)&gt;0),O258/$I258*100,0))</f>
        <v>0</v>
      </c>
      <c r="M258" s="380">
        <f ca="1">IF($A258="S",VTOTALBM,IF($A258=0,0,ROUND(SomaAgrupBM,15-13*ORÇAMENTO!$AF$11)))</f>
        <v>0</v>
      </c>
      <c r="N258" s="381">
        <f t="shared" ca="1" si="31"/>
        <v>0</v>
      </c>
      <c r="O258" s="127">
        <f ca="1">IF($A258="S",VTOTALBM,IF($A258=0,0,ROUND(SomaAgrupBM,15-13*ORÇAMENTO!$AF$11)))</f>
        <v>0</v>
      </c>
      <c r="Q258" s="382"/>
      <c r="R258" s="383"/>
      <c r="T258" s="119" t="str">
        <f t="shared" ca="1" si="32"/>
        <v/>
      </c>
      <c r="U258" s="172" t="str">
        <f t="shared" ca="1" si="33"/>
        <v/>
      </c>
      <c r="V258" s="173" t="str">
        <f ca="1">IF(AND($W258&gt;0,RegimeExecucao="Unitário"),$F258,"")</f>
        <v/>
      </c>
      <c r="W258" s="547">
        <f ca="1">IF($Y258&gt;0,CHOOSE(MATCH(RegimeExecucao,{"Unitário","Global"},0),IF($A258="S",$Y258/$X258,""),($Y258/$X258)*100),0)</f>
        <v>0</v>
      </c>
      <c r="X258" s="384" t="str">
        <f ca="1">IF($Y258&gt;0,CHOOSE(MATCH(RegimeExecucao,{"Unitário","Global"},0),IF($A258="S",ROUND($H258,ORÇAMENTO!$AF$10),""),ROUND($I258,ORÇAMENTO!$AF$11)),"")</f>
        <v/>
      </c>
      <c r="Y258" s="384">
        <f t="shared" ca="1" si="34"/>
        <v>0</v>
      </c>
      <c r="Z258" s="572"/>
      <c r="AB258" s="382"/>
      <c r="AC258" s="516"/>
      <c r="AD258" s="516"/>
      <c r="AE258" s="516"/>
      <c r="AF258" s="516"/>
      <c r="AG258" s="516"/>
      <c r="AH258" s="516"/>
      <c r="AI258" s="516"/>
      <c r="AJ258" s="516"/>
      <c r="AK258" s="516"/>
      <c r="AL258" s="516"/>
      <c r="AM258" s="383"/>
      <c r="AO258">
        <f ca="1">IF($A258="S",IF(BM!$I258=0,0,CHOOSE(MATCH(RegimeExecucao,{"Global","Unitário"},0),ROUND(ROUND(BM.MEDAcumulado,15-13*BM!$A$9)/100*BM!$I258,15-13*ORÇAMENTO!$AF$11),ROUND(ROUND(BM.MEDAcumulado,15-13*BM!$A$9)*ROUND(BM!$H258,15-13*ORÇAMENTO!$AF$10),15-13*ORÇAMENTO!$AF$11))),IF($A258=0,0,ROUND(SomaAgrupBM,15-13*ORÇAMENTO!$AF$11)))</f>
        <v>0</v>
      </c>
    </row>
    <row r="259" spans="1:41" x14ac:dyDescent="0.2">
      <c r="A259" t="str">
        <f ca="1">ORÇAMENTO!C259</f>
        <v>S</v>
      </c>
      <c r="B259">
        <f ca="1">ORÇAMENTO!D259</f>
        <v>0</v>
      </c>
      <c r="C259" s="116" t="str">
        <f t="shared" ca="1" si="28"/>
        <v/>
      </c>
      <c r="D259" s="119" t="str">
        <f ca="1">ORÇAMENTO!O259</f>
        <v>-</v>
      </c>
      <c r="E259" s="172" t="str">
        <f t="shared" ca="1" si="29"/>
        <v>(abra o arquivo 'Referência 03-2024.xlsm)</v>
      </c>
      <c r="F259" s="173" t="str">
        <f ca="1">IF(RegimeExecucao="Global","",ORÇAMENTO.Unidade)</f>
        <v/>
      </c>
      <c r="G259" s="124" t="str">
        <f ca="1">IF(RegimeExecucao="Global","",ORÇAMENTO!T259)</f>
        <v/>
      </c>
      <c r="H259" s="124" t="str">
        <f ca="1">IF(RegimeExecucao="Global","",ORÇAMENTO!W259)</f>
        <v/>
      </c>
      <c r="I259" s="127">
        <f ca="1">ORÇAMENTO!X259</f>
        <v>0</v>
      </c>
      <c r="J259" s="378">
        <f ca="1">IF($A259="S",IF(CAIXA.Modo,BM.AFAnterior,BM.MEDAnterior),IF(AND(RegimeExecucao="Global",$I259&gt;0,COUNTIF($AB$13:$AM$13,BM.medicao-1)&gt;0),M259/$I259*100,0))</f>
        <v>0</v>
      </c>
      <c r="K259" s="124">
        <f t="shared" ca="1" si="30"/>
        <v>0</v>
      </c>
      <c r="L259" s="379">
        <f ca="1">IF($A259="S",IF(CAIXA.Modo,BM.AFAcumulado,BM.MEDAcumulado),IF(AND(RegimeExecucao="Global",$I259&gt;0,COUNTIF($AB$13:$AM$13,BM.medicao)&gt;0),O259/$I259*100,0))</f>
        <v>0</v>
      </c>
      <c r="M259" s="380">
        <f ca="1">IF($A259="S",VTOTALBM,IF($A259=0,0,ROUND(SomaAgrupBM,15-13*ORÇAMENTO!$AF$11)))</f>
        <v>0</v>
      </c>
      <c r="N259" s="381">
        <f t="shared" ca="1" si="31"/>
        <v>0</v>
      </c>
      <c r="O259" s="127">
        <f ca="1">IF($A259="S",VTOTALBM,IF($A259=0,0,ROUND(SomaAgrupBM,15-13*ORÇAMENTO!$AF$11)))</f>
        <v>0</v>
      </c>
      <c r="Q259" s="382"/>
      <c r="R259" s="383"/>
      <c r="T259" s="119" t="str">
        <f t="shared" ca="1" si="32"/>
        <v/>
      </c>
      <c r="U259" s="172" t="str">
        <f t="shared" ca="1" si="33"/>
        <v/>
      </c>
      <c r="V259" s="173" t="str">
        <f ca="1">IF(AND($W259&gt;0,RegimeExecucao="Unitário"),$F259,"")</f>
        <v/>
      </c>
      <c r="W259" s="547">
        <f ca="1">IF($Y259&gt;0,CHOOSE(MATCH(RegimeExecucao,{"Unitário","Global"},0),IF($A259="S",$Y259/$X259,""),($Y259/$X259)*100),0)</f>
        <v>0</v>
      </c>
      <c r="X259" s="384" t="str">
        <f ca="1">IF($Y259&gt;0,CHOOSE(MATCH(RegimeExecucao,{"Unitário","Global"},0),IF($A259="S",ROUND($H259,ORÇAMENTO!$AF$10),""),ROUND($I259,ORÇAMENTO!$AF$11)),"")</f>
        <v/>
      </c>
      <c r="Y259" s="384">
        <f t="shared" ca="1" si="34"/>
        <v>0</v>
      </c>
      <c r="Z259" s="572"/>
      <c r="AB259" s="382"/>
      <c r="AC259" s="516"/>
      <c r="AD259" s="516"/>
      <c r="AE259" s="516"/>
      <c r="AF259" s="516"/>
      <c r="AG259" s="516"/>
      <c r="AH259" s="516"/>
      <c r="AI259" s="516"/>
      <c r="AJ259" s="516"/>
      <c r="AK259" s="516"/>
      <c r="AL259" s="516"/>
      <c r="AM259" s="383"/>
      <c r="AO259">
        <f ca="1">IF($A259="S",IF(BM!$I259=0,0,CHOOSE(MATCH(RegimeExecucao,{"Global","Unitário"},0),ROUND(ROUND(BM.MEDAcumulado,15-13*BM!$A$9)/100*BM!$I259,15-13*ORÇAMENTO!$AF$11),ROUND(ROUND(BM.MEDAcumulado,15-13*BM!$A$9)*ROUND(BM!$H259,15-13*ORÇAMENTO!$AF$10),15-13*ORÇAMENTO!$AF$11))),IF($A259=0,0,ROUND(SomaAgrupBM,15-13*ORÇAMENTO!$AF$11)))</f>
        <v>0</v>
      </c>
    </row>
    <row r="260" spans="1:41" x14ac:dyDescent="0.2">
      <c r="A260" t="str">
        <f ca="1">ORÇAMENTO!C260</f>
        <v>S</v>
      </c>
      <c r="B260">
        <f ca="1">ORÇAMENTO!D260</f>
        <v>0</v>
      </c>
      <c r="C260" s="116" t="str">
        <f t="shared" ca="1" si="28"/>
        <v/>
      </c>
      <c r="D260" s="119" t="str">
        <f ca="1">ORÇAMENTO!O260</f>
        <v>-</v>
      </c>
      <c r="E260" s="172" t="str">
        <f t="shared" ca="1" si="29"/>
        <v>(abra o arquivo 'Referência 03-2024.xlsm)</v>
      </c>
      <c r="F260" s="173" t="str">
        <f ca="1">IF(RegimeExecucao="Global","",ORÇAMENTO.Unidade)</f>
        <v/>
      </c>
      <c r="G260" s="124" t="str">
        <f ca="1">IF(RegimeExecucao="Global","",ORÇAMENTO!T260)</f>
        <v/>
      </c>
      <c r="H260" s="124" t="str">
        <f ca="1">IF(RegimeExecucao="Global","",ORÇAMENTO!W260)</f>
        <v/>
      </c>
      <c r="I260" s="127">
        <f ca="1">ORÇAMENTO!X260</f>
        <v>0</v>
      </c>
      <c r="J260" s="378">
        <f ca="1">IF($A260="S",IF(CAIXA.Modo,BM.AFAnterior,BM.MEDAnterior),IF(AND(RegimeExecucao="Global",$I260&gt;0,COUNTIF($AB$13:$AM$13,BM.medicao-1)&gt;0),M260/$I260*100,0))</f>
        <v>0</v>
      </c>
      <c r="K260" s="124">
        <f t="shared" ca="1" si="30"/>
        <v>0</v>
      </c>
      <c r="L260" s="379">
        <f ca="1">IF($A260="S",IF(CAIXA.Modo,BM.AFAcumulado,BM.MEDAcumulado),IF(AND(RegimeExecucao="Global",$I260&gt;0,COUNTIF($AB$13:$AM$13,BM.medicao)&gt;0),O260/$I260*100,0))</f>
        <v>0</v>
      </c>
      <c r="M260" s="380">
        <f ca="1">IF($A260="S",VTOTALBM,IF($A260=0,0,ROUND(SomaAgrupBM,15-13*ORÇAMENTO!$AF$11)))</f>
        <v>0</v>
      </c>
      <c r="N260" s="381">
        <f t="shared" ca="1" si="31"/>
        <v>0</v>
      </c>
      <c r="O260" s="127">
        <f ca="1">IF($A260="S",VTOTALBM,IF($A260=0,0,ROUND(SomaAgrupBM,15-13*ORÇAMENTO!$AF$11)))</f>
        <v>0</v>
      </c>
      <c r="Q260" s="382"/>
      <c r="R260" s="383"/>
      <c r="T260" s="119" t="str">
        <f t="shared" ca="1" si="32"/>
        <v/>
      </c>
      <c r="U260" s="172" t="str">
        <f t="shared" ca="1" si="33"/>
        <v/>
      </c>
      <c r="V260" s="173" t="str">
        <f ca="1">IF(AND($W260&gt;0,RegimeExecucao="Unitário"),$F260,"")</f>
        <v/>
      </c>
      <c r="W260" s="547">
        <f ca="1">IF($Y260&gt;0,CHOOSE(MATCH(RegimeExecucao,{"Unitário","Global"},0),IF($A260="S",$Y260/$X260,""),($Y260/$X260)*100),0)</f>
        <v>0</v>
      </c>
      <c r="X260" s="384" t="str">
        <f ca="1">IF($Y260&gt;0,CHOOSE(MATCH(RegimeExecucao,{"Unitário","Global"},0),IF($A260="S",ROUND($H260,ORÇAMENTO!$AF$10),""),ROUND($I260,ORÇAMENTO!$AF$11)),"")</f>
        <v/>
      </c>
      <c r="Y260" s="384">
        <f t="shared" ca="1" si="34"/>
        <v>0</v>
      </c>
      <c r="Z260" s="572"/>
      <c r="AB260" s="382"/>
      <c r="AC260" s="516"/>
      <c r="AD260" s="516"/>
      <c r="AE260" s="516"/>
      <c r="AF260" s="516"/>
      <c r="AG260" s="516"/>
      <c r="AH260" s="516"/>
      <c r="AI260" s="516"/>
      <c r="AJ260" s="516"/>
      <c r="AK260" s="516"/>
      <c r="AL260" s="516"/>
      <c r="AM260" s="383"/>
      <c r="AO260">
        <f ca="1">IF($A260="S",IF(BM!$I260=0,0,CHOOSE(MATCH(RegimeExecucao,{"Global","Unitário"},0),ROUND(ROUND(BM.MEDAcumulado,15-13*BM!$A$9)/100*BM!$I260,15-13*ORÇAMENTO!$AF$11),ROUND(ROUND(BM.MEDAcumulado,15-13*BM!$A$9)*ROUND(BM!$H260,15-13*ORÇAMENTO!$AF$10),15-13*ORÇAMENTO!$AF$11))),IF($A260=0,0,ROUND(SomaAgrupBM,15-13*ORÇAMENTO!$AF$11)))</f>
        <v>0</v>
      </c>
    </row>
    <row r="261" spans="1:41" x14ac:dyDescent="0.2">
      <c r="A261" t="str">
        <f ca="1">ORÇAMENTO!C261</f>
        <v>S</v>
      </c>
      <c r="B261">
        <f ca="1">ORÇAMENTO!D261</f>
        <v>0</v>
      </c>
      <c r="C261" s="116" t="str">
        <f t="shared" ca="1" si="28"/>
        <v/>
      </c>
      <c r="D261" s="119" t="str">
        <f ca="1">ORÇAMENTO!O261</f>
        <v>-</v>
      </c>
      <c r="E261" s="172" t="str">
        <f t="shared" ca="1" si="29"/>
        <v>(abra o arquivo 'Referência 03-2024.xlsm)</v>
      </c>
      <c r="F261" s="173" t="str">
        <f ca="1">IF(RegimeExecucao="Global","",ORÇAMENTO.Unidade)</f>
        <v/>
      </c>
      <c r="G261" s="124" t="str">
        <f ca="1">IF(RegimeExecucao="Global","",ORÇAMENTO!T261)</f>
        <v/>
      </c>
      <c r="H261" s="124" t="str">
        <f ca="1">IF(RegimeExecucao="Global","",ORÇAMENTO!W261)</f>
        <v/>
      </c>
      <c r="I261" s="127">
        <f ca="1">ORÇAMENTO!X261</f>
        <v>0</v>
      </c>
      <c r="J261" s="378">
        <f ca="1">IF($A261="S",IF(CAIXA.Modo,BM.AFAnterior,BM.MEDAnterior),IF(AND(RegimeExecucao="Global",$I261&gt;0,COUNTIF($AB$13:$AM$13,BM.medicao-1)&gt;0),M261/$I261*100,0))</f>
        <v>0</v>
      </c>
      <c r="K261" s="124">
        <f t="shared" ca="1" si="30"/>
        <v>0</v>
      </c>
      <c r="L261" s="379">
        <f ca="1">IF($A261="S",IF(CAIXA.Modo,BM.AFAcumulado,BM.MEDAcumulado),IF(AND(RegimeExecucao="Global",$I261&gt;0,COUNTIF($AB$13:$AM$13,BM.medicao)&gt;0),O261/$I261*100,0))</f>
        <v>0</v>
      </c>
      <c r="M261" s="380">
        <f ca="1">IF($A261="S",VTOTALBM,IF($A261=0,0,ROUND(SomaAgrupBM,15-13*ORÇAMENTO!$AF$11)))</f>
        <v>0</v>
      </c>
      <c r="N261" s="381">
        <f t="shared" ca="1" si="31"/>
        <v>0</v>
      </c>
      <c r="O261" s="127">
        <f ca="1">IF($A261="S",VTOTALBM,IF($A261=0,0,ROUND(SomaAgrupBM,15-13*ORÇAMENTO!$AF$11)))</f>
        <v>0</v>
      </c>
      <c r="Q261" s="382"/>
      <c r="R261" s="383"/>
      <c r="T261" s="119" t="str">
        <f t="shared" ca="1" si="32"/>
        <v/>
      </c>
      <c r="U261" s="172" t="str">
        <f t="shared" ca="1" si="33"/>
        <v/>
      </c>
      <c r="V261" s="173" t="str">
        <f ca="1">IF(AND($W261&gt;0,RegimeExecucao="Unitário"),$F261,"")</f>
        <v/>
      </c>
      <c r="W261" s="547">
        <f ca="1">IF($Y261&gt;0,CHOOSE(MATCH(RegimeExecucao,{"Unitário","Global"},0),IF($A261="S",$Y261/$X261,""),($Y261/$X261)*100),0)</f>
        <v>0</v>
      </c>
      <c r="X261" s="384" t="str">
        <f ca="1">IF($Y261&gt;0,CHOOSE(MATCH(RegimeExecucao,{"Unitário","Global"},0),IF($A261="S",ROUND($H261,ORÇAMENTO!$AF$10),""),ROUND($I261,ORÇAMENTO!$AF$11)),"")</f>
        <v/>
      </c>
      <c r="Y261" s="384">
        <f t="shared" ca="1" si="34"/>
        <v>0</v>
      </c>
      <c r="Z261" s="572"/>
      <c r="AB261" s="382"/>
      <c r="AC261" s="516"/>
      <c r="AD261" s="516"/>
      <c r="AE261" s="516"/>
      <c r="AF261" s="516"/>
      <c r="AG261" s="516"/>
      <c r="AH261" s="516"/>
      <c r="AI261" s="516"/>
      <c r="AJ261" s="516"/>
      <c r="AK261" s="516"/>
      <c r="AL261" s="516"/>
      <c r="AM261" s="383"/>
      <c r="AO261">
        <f ca="1">IF($A261="S",IF(BM!$I261=0,0,CHOOSE(MATCH(RegimeExecucao,{"Global","Unitário"},0),ROUND(ROUND(BM.MEDAcumulado,15-13*BM!$A$9)/100*BM!$I261,15-13*ORÇAMENTO!$AF$11),ROUND(ROUND(BM.MEDAcumulado,15-13*BM!$A$9)*ROUND(BM!$H261,15-13*ORÇAMENTO!$AF$10),15-13*ORÇAMENTO!$AF$11))),IF($A261=0,0,ROUND(SomaAgrupBM,15-13*ORÇAMENTO!$AF$11)))</f>
        <v>0</v>
      </c>
    </row>
    <row r="262" spans="1:41" x14ac:dyDescent="0.2">
      <c r="A262" t="str">
        <f ca="1">ORÇAMENTO!C262</f>
        <v>S</v>
      </c>
      <c r="B262">
        <f ca="1">ORÇAMENTO!D262</f>
        <v>0</v>
      </c>
      <c r="C262" s="116" t="str">
        <f t="shared" ca="1" si="28"/>
        <v/>
      </c>
      <c r="D262" s="119" t="str">
        <f ca="1">ORÇAMENTO!O262</f>
        <v>-</v>
      </c>
      <c r="E262" s="172" t="str">
        <f t="shared" ca="1" si="29"/>
        <v>(abra o arquivo 'Referência 03-2024.xlsm)</v>
      </c>
      <c r="F262" s="173" t="str">
        <f ca="1">IF(RegimeExecucao="Global","",ORÇAMENTO.Unidade)</f>
        <v/>
      </c>
      <c r="G262" s="124" t="str">
        <f ca="1">IF(RegimeExecucao="Global","",ORÇAMENTO!T262)</f>
        <v/>
      </c>
      <c r="H262" s="124" t="str">
        <f ca="1">IF(RegimeExecucao="Global","",ORÇAMENTO!W262)</f>
        <v/>
      </c>
      <c r="I262" s="127">
        <f ca="1">ORÇAMENTO!X262</f>
        <v>0</v>
      </c>
      <c r="J262" s="378">
        <f ca="1">IF($A262="S",IF(CAIXA.Modo,BM.AFAnterior,BM.MEDAnterior),IF(AND(RegimeExecucao="Global",$I262&gt;0,COUNTIF($AB$13:$AM$13,BM.medicao-1)&gt;0),M262/$I262*100,0))</f>
        <v>0</v>
      </c>
      <c r="K262" s="124">
        <f t="shared" ca="1" si="30"/>
        <v>0</v>
      </c>
      <c r="L262" s="379">
        <f ca="1">IF($A262="S",IF(CAIXA.Modo,BM.AFAcumulado,BM.MEDAcumulado),IF(AND(RegimeExecucao="Global",$I262&gt;0,COUNTIF($AB$13:$AM$13,BM.medicao)&gt;0),O262/$I262*100,0))</f>
        <v>0</v>
      </c>
      <c r="M262" s="380">
        <f ca="1">IF($A262="S",VTOTALBM,IF($A262=0,0,ROUND(SomaAgrupBM,15-13*ORÇAMENTO!$AF$11)))</f>
        <v>0</v>
      </c>
      <c r="N262" s="381">
        <f t="shared" ca="1" si="31"/>
        <v>0</v>
      </c>
      <c r="O262" s="127">
        <f ca="1">IF($A262="S",VTOTALBM,IF($A262=0,0,ROUND(SomaAgrupBM,15-13*ORÇAMENTO!$AF$11)))</f>
        <v>0</v>
      </c>
      <c r="Q262" s="382"/>
      <c r="R262" s="383"/>
      <c r="T262" s="119" t="str">
        <f t="shared" ca="1" si="32"/>
        <v/>
      </c>
      <c r="U262" s="172" t="str">
        <f t="shared" ca="1" si="33"/>
        <v/>
      </c>
      <c r="V262" s="173" t="str">
        <f ca="1">IF(AND($W262&gt;0,RegimeExecucao="Unitário"),$F262,"")</f>
        <v/>
      </c>
      <c r="W262" s="547">
        <f ca="1">IF($Y262&gt;0,CHOOSE(MATCH(RegimeExecucao,{"Unitário","Global"},0),IF($A262="S",$Y262/$X262,""),($Y262/$X262)*100),0)</f>
        <v>0</v>
      </c>
      <c r="X262" s="384" t="str">
        <f ca="1">IF($Y262&gt;0,CHOOSE(MATCH(RegimeExecucao,{"Unitário","Global"},0),IF($A262="S",ROUND($H262,ORÇAMENTO!$AF$10),""),ROUND($I262,ORÇAMENTO!$AF$11)),"")</f>
        <v/>
      </c>
      <c r="Y262" s="384">
        <f t="shared" ca="1" si="34"/>
        <v>0</v>
      </c>
      <c r="Z262" s="572"/>
      <c r="AB262" s="382"/>
      <c r="AC262" s="516"/>
      <c r="AD262" s="516"/>
      <c r="AE262" s="516"/>
      <c r="AF262" s="516"/>
      <c r="AG262" s="516"/>
      <c r="AH262" s="516"/>
      <c r="AI262" s="516"/>
      <c r="AJ262" s="516"/>
      <c r="AK262" s="516"/>
      <c r="AL262" s="516"/>
      <c r="AM262" s="383"/>
      <c r="AO262">
        <f ca="1">IF($A262="S",IF(BM!$I262=0,0,CHOOSE(MATCH(RegimeExecucao,{"Global","Unitário"},0),ROUND(ROUND(BM.MEDAcumulado,15-13*BM!$A$9)/100*BM!$I262,15-13*ORÇAMENTO!$AF$11),ROUND(ROUND(BM.MEDAcumulado,15-13*BM!$A$9)*ROUND(BM!$H262,15-13*ORÇAMENTO!$AF$10),15-13*ORÇAMENTO!$AF$11))),IF($A262=0,0,ROUND(SomaAgrupBM,15-13*ORÇAMENTO!$AF$11)))</f>
        <v>0</v>
      </c>
    </row>
    <row r="263" spans="1:41" x14ac:dyDescent="0.2">
      <c r="A263" t="str">
        <f ca="1">ORÇAMENTO!C263</f>
        <v>S</v>
      </c>
      <c r="B263">
        <f ca="1">ORÇAMENTO!D263</f>
        <v>0</v>
      </c>
      <c r="C263" s="116" t="str">
        <f t="shared" ca="1" si="28"/>
        <v/>
      </c>
      <c r="D263" s="119" t="str">
        <f ca="1">ORÇAMENTO!O263</f>
        <v>-</v>
      </c>
      <c r="E263" s="172" t="str">
        <f t="shared" ca="1" si="29"/>
        <v>(abra o arquivo 'Referência 03-2024.xlsm)</v>
      </c>
      <c r="F263" s="173" t="str">
        <f ca="1">IF(RegimeExecucao="Global","",ORÇAMENTO.Unidade)</f>
        <v/>
      </c>
      <c r="G263" s="124" t="str">
        <f ca="1">IF(RegimeExecucao="Global","",ORÇAMENTO!T263)</f>
        <v/>
      </c>
      <c r="H263" s="124" t="str">
        <f ca="1">IF(RegimeExecucao="Global","",ORÇAMENTO!W263)</f>
        <v/>
      </c>
      <c r="I263" s="127">
        <f ca="1">ORÇAMENTO!X263</f>
        <v>0</v>
      </c>
      <c r="J263" s="378">
        <f ca="1">IF($A263="S",IF(CAIXA.Modo,BM.AFAnterior,BM.MEDAnterior),IF(AND(RegimeExecucao="Global",$I263&gt;0,COUNTIF($AB$13:$AM$13,BM.medicao-1)&gt;0),M263/$I263*100,0))</f>
        <v>0</v>
      </c>
      <c r="K263" s="124">
        <f t="shared" ca="1" si="30"/>
        <v>0</v>
      </c>
      <c r="L263" s="379">
        <f ca="1">IF($A263="S",IF(CAIXA.Modo,BM.AFAcumulado,BM.MEDAcumulado),IF(AND(RegimeExecucao="Global",$I263&gt;0,COUNTIF($AB$13:$AM$13,BM.medicao)&gt;0),O263/$I263*100,0))</f>
        <v>0</v>
      </c>
      <c r="M263" s="380">
        <f ca="1">IF($A263="S",VTOTALBM,IF($A263=0,0,ROUND(SomaAgrupBM,15-13*ORÇAMENTO!$AF$11)))</f>
        <v>0</v>
      </c>
      <c r="N263" s="381">
        <f t="shared" ca="1" si="31"/>
        <v>0</v>
      </c>
      <c r="O263" s="127">
        <f ca="1">IF($A263="S",VTOTALBM,IF($A263=0,0,ROUND(SomaAgrupBM,15-13*ORÇAMENTO!$AF$11)))</f>
        <v>0</v>
      </c>
      <c r="Q263" s="382"/>
      <c r="R263" s="383"/>
      <c r="T263" s="119" t="str">
        <f t="shared" ca="1" si="32"/>
        <v/>
      </c>
      <c r="U263" s="172" t="str">
        <f t="shared" ca="1" si="33"/>
        <v/>
      </c>
      <c r="V263" s="173" t="str">
        <f ca="1">IF(AND($W263&gt;0,RegimeExecucao="Unitário"),$F263,"")</f>
        <v/>
      </c>
      <c r="W263" s="547">
        <f ca="1">IF($Y263&gt;0,CHOOSE(MATCH(RegimeExecucao,{"Unitário","Global"},0),IF($A263="S",$Y263/$X263,""),($Y263/$X263)*100),0)</f>
        <v>0</v>
      </c>
      <c r="X263" s="384" t="str">
        <f ca="1">IF($Y263&gt;0,CHOOSE(MATCH(RegimeExecucao,{"Unitário","Global"},0),IF($A263="S",ROUND($H263,ORÇAMENTO!$AF$10),""),ROUND($I263,ORÇAMENTO!$AF$11)),"")</f>
        <v/>
      </c>
      <c r="Y263" s="384">
        <f t="shared" ca="1" si="34"/>
        <v>0</v>
      </c>
      <c r="Z263" s="572"/>
      <c r="AB263" s="382"/>
      <c r="AC263" s="516"/>
      <c r="AD263" s="516"/>
      <c r="AE263" s="516"/>
      <c r="AF263" s="516"/>
      <c r="AG263" s="516"/>
      <c r="AH263" s="516"/>
      <c r="AI263" s="516"/>
      <c r="AJ263" s="516"/>
      <c r="AK263" s="516"/>
      <c r="AL263" s="516"/>
      <c r="AM263" s="383"/>
      <c r="AO263">
        <f ca="1">IF($A263="S",IF(BM!$I263=0,0,CHOOSE(MATCH(RegimeExecucao,{"Global","Unitário"},0),ROUND(ROUND(BM.MEDAcumulado,15-13*BM!$A$9)/100*BM!$I263,15-13*ORÇAMENTO!$AF$11),ROUND(ROUND(BM.MEDAcumulado,15-13*BM!$A$9)*ROUND(BM!$H263,15-13*ORÇAMENTO!$AF$10),15-13*ORÇAMENTO!$AF$11))),IF($A263=0,0,ROUND(SomaAgrupBM,15-13*ORÇAMENTO!$AF$11)))</f>
        <v>0</v>
      </c>
    </row>
    <row r="264" spans="1:41" x14ac:dyDescent="0.2">
      <c r="A264" t="str">
        <f ca="1">ORÇAMENTO!C264</f>
        <v>S</v>
      </c>
      <c r="B264">
        <f ca="1">ORÇAMENTO!D264</f>
        <v>0</v>
      </c>
      <c r="C264" s="116" t="str">
        <f t="shared" ca="1" si="28"/>
        <v/>
      </c>
      <c r="D264" s="119" t="str">
        <f ca="1">ORÇAMENTO!O264</f>
        <v>-</v>
      </c>
      <c r="E264" s="172" t="str">
        <f t="shared" ca="1" si="29"/>
        <v>(abra o arquivo 'Referência 03-2024.xlsm)</v>
      </c>
      <c r="F264" s="173" t="str">
        <f ca="1">IF(RegimeExecucao="Global","",ORÇAMENTO.Unidade)</f>
        <v/>
      </c>
      <c r="G264" s="124" t="str">
        <f ca="1">IF(RegimeExecucao="Global","",ORÇAMENTO!T264)</f>
        <v/>
      </c>
      <c r="H264" s="124" t="str">
        <f ca="1">IF(RegimeExecucao="Global","",ORÇAMENTO!W264)</f>
        <v/>
      </c>
      <c r="I264" s="127">
        <f ca="1">ORÇAMENTO!X264</f>
        <v>0</v>
      </c>
      <c r="J264" s="378">
        <f ca="1">IF($A264="S",IF(CAIXA.Modo,BM.AFAnterior,BM.MEDAnterior),IF(AND(RegimeExecucao="Global",$I264&gt;0,COUNTIF($AB$13:$AM$13,BM.medicao-1)&gt;0),M264/$I264*100,0))</f>
        <v>0</v>
      </c>
      <c r="K264" s="124">
        <f t="shared" ca="1" si="30"/>
        <v>0</v>
      </c>
      <c r="L264" s="379">
        <f ca="1">IF($A264="S",IF(CAIXA.Modo,BM.AFAcumulado,BM.MEDAcumulado),IF(AND(RegimeExecucao="Global",$I264&gt;0,COUNTIF($AB$13:$AM$13,BM.medicao)&gt;0),O264/$I264*100,0))</f>
        <v>0</v>
      </c>
      <c r="M264" s="380">
        <f ca="1">IF($A264="S",VTOTALBM,IF($A264=0,0,ROUND(SomaAgrupBM,15-13*ORÇAMENTO!$AF$11)))</f>
        <v>0</v>
      </c>
      <c r="N264" s="381">
        <f t="shared" ca="1" si="31"/>
        <v>0</v>
      </c>
      <c r="O264" s="127">
        <f ca="1">IF($A264="S",VTOTALBM,IF($A264=0,0,ROUND(SomaAgrupBM,15-13*ORÇAMENTO!$AF$11)))</f>
        <v>0</v>
      </c>
      <c r="Q264" s="382"/>
      <c r="R264" s="383"/>
      <c r="T264" s="119" t="str">
        <f t="shared" ca="1" si="32"/>
        <v/>
      </c>
      <c r="U264" s="172" t="str">
        <f t="shared" ca="1" si="33"/>
        <v/>
      </c>
      <c r="V264" s="173" t="str">
        <f ca="1">IF(AND($W264&gt;0,RegimeExecucao="Unitário"),$F264,"")</f>
        <v/>
      </c>
      <c r="W264" s="547">
        <f ca="1">IF($Y264&gt;0,CHOOSE(MATCH(RegimeExecucao,{"Unitário","Global"},0),IF($A264="S",$Y264/$X264,""),($Y264/$X264)*100),0)</f>
        <v>0</v>
      </c>
      <c r="X264" s="384" t="str">
        <f ca="1">IF($Y264&gt;0,CHOOSE(MATCH(RegimeExecucao,{"Unitário","Global"},0),IF($A264="S",ROUND($H264,ORÇAMENTO!$AF$10),""),ROUND($I264,ORÇAMENTO!$AF$11)),"")</f>
        <v/>
      </c>
      <c r="Y264" s="384">
        <f t="shared" ca="1" si="34"/>
        <v>0</v>
      </c>
      <c r="Z264" s="572"/>
      <c r="AB264" s="382"/>
      <c r="AC264" s="516"/>
      <c r="AD264" s="516"/>
      <c r="AE264" s="516"/>
      <c r="AF264" s="516"/>
      <c r="AG264" s="516"/>
      <c r="AH264" s="516"/>
      <c r="AI264" s="516"/>
      <c r="AJ264" s="516"/>
      <c r="AK264" s="516"/>
      <c r="AL264" s="516"/>
      <c r="AM264" s="383"/>
      <c r="AO264">
        <f ca="1">IF($A264="S",IF(BM!$I264=0,0,CHOOSE(MATCH(RegimeExecucao,{"Global","Unitário"},0),ROUND(ROUND(BM.MEDAcumulado,15-13*BM!$A$9)/100*BM!$I264,15-13*ORÇAMENTO!$AF$11),ROUND(ROUND(BM.MEDAcumulado,15-13*BM!$A$9)*ROUND(BM!$H264,15-13*ORÇAMENTO!$AF$10),15-13*ORÇAMENTO!$AF$11))),IF($A264=0,0,ROUND(SomaAgrupBM,15-13*ORÇAMENTO!$AF$11)))</f>
        <v>0</v>
      </c>
    </row>
    <row r="265" spans="1:41" x14ac:dyDescent="0.2">
      <c r="A265" t="str">
        <f ca="1">ORÇAMENTO!C265</f>
        <v>S</v>
      </c>
      <c r="B265">
        <f ca="1">ORÇAMENTO!D265</f>
        <v>0</v>
      </c>
      <c r="C265" s="116" t="str">
        <f t="shared" ca="1" si="28"/>
        <v/>
      </c>
      <c r="D265" s="119" t="str">
        <f ca="1">ORÇAMENTO!O265</f>
        <v>-</v>
      </c>
      <c r="E265" s="172" t="str">
        <f t="shared" ca="1" si="29"/>
        <v>(abra o arquivo 'Referência 03-2024.xlsm)</v>
      </c>
      <c r="F265" s="173" t="str">
        <f ca="1">IF(RegimeExecucao="Global","",ORÇAMENTO.Unidade)</f>
        <v/>
      </c>
      <c r="G265" s="124" t="str">
        <f ca="1">IF(RegimeExecucao="Global","",ORÇAMENTO!T265)</f>
        <v/>
      </c>
      <c r="H265" s="124" t="str">
        <f ca="1">IF(RegimeExecucao="Global","",ORÇAMENTO!W265)</f>
        <v/>
      </c>
      <c r="I265" s="127">
        <f ca="1">ORÇAMENTO!X265</f>
        <v>0</v>
      </c>
      <c r="J265" s="378">
        <f ca="1">IF($A265="S",IF(CAIXA.Modo,BM.AFAnterior,BM.MEDAnterior),IF(AND(RegimeExecucao="Global",$I265&gt;0,COUNTIF($AB$13:$AM$13,BM.medicao-1)&gt;0),M265/$I265*100,0))</f>
        <v>0</v>
      </c>
      <c r="K265" s="124">
        <f t="shared" ca="1" si="30"/>
        <v>0</v>
      </c>
      <c r="L265" s="379">
        <f ca="1">IF($A265="S",IF(CAIXA.Modo,BM.AFAcumulado,BM.MEDAcumulado),IF(AND(RegimeExecucao="Global",$I265&gt;0,COUNTIF($AB$13:$AM$13,BM.medicao)&gt;0),O265/$I265*100,0))</f>
        <v>0</v>
      </c>
      <c r="M265" s="380">
        <f ca="1">IF($A265="S",VTOTALBM,IF($A265=0,0,ROUND(SomaAgrupBM,15-13*ORÇAMENTO!$AF$11)))</f>
        <v>0</v>
      </c>
      <c r="N265" s="381">
        <f t="shared" ca="1" si="31"/>
        <v>0</v>
      </c>
      <c r="O265" s="127">
        <f ca="1">IF($A265="S",VTOTALBM,IF($A265=0,0,ROUND(SomaAgrupBM,15-13*ORÇAMENTO!$AF$11)))</f>
        <v>0</v>
      </c>
      <c r="Q265" s="382"/>
      <c r="R265" s="383"/>
      <c r="T265" s="119" t="str">
        <f t="shared" ca="1" si="32"/>
        <v/>
      </c>
      <c r="U265" s="172" t="str">
        <f t="shared" ca="1" si="33"/>
        <v/>
      </c>
      <c r="V265" s="173" t="str">
        <f ca="1">IF(AND($W265&gt;0,RegimeExecucao="Unitário"),$F265,"")</f>
        <v/>
      </c>
      <c r="W265" s="547">
        <f ca="1">IF($Y265&gt;0,CHOOSE(MATCH(RegimeExecucao,{"Unitário","Global"},0),IF($A265="S",$Y265/$X265,""),($Y265/$X265)*100),0)</f>
        <v>0</v>
      </c>
      <c r="X265" s="384" t="str">
        <f ca="1">IF($Y265&gt;0,CHOOSE(MATCH(RegimeExecucao,{"Unitário","Global"},0),IF($A265="S",ROUND($H265,ORÇAMENTO!$AF$10),""),ROUND($I265,ORÇAMENTO!$AF$11)),"")</f>
        <v/>
      </c>
      <c r="Y265" s="384">
        <f t="shared" ca="1" si="34"/>
        <v>0</v>
      </c>
      <c r="Z265" s="572"/>
      <c r="AB265" s="382"/>
      <c r="AC265" s="516"/>
      <c r="AD265" s="516"/>
      <c r="AE265" s="516"/>
      <c r="AF265" s="516"/>
      <c r="AG265" s="516"/>
      <c r="AH265" s="516"/>
      <c r="AI265" s="516"/>
      <c r="AJ265" s="516"/>
      <c r="AK265" s="516"/>
      <c r="AL265" s="516"/>
      <c r="AM265" s="383"/>
      <c r="AO265">
        <f ca="1">IF($A265="S",IF(BM!$I265=0,0,CHOOSE(MATCH(RegimeExecucao,{"Global","Unitário"},0),ROUND(ROUND(BM.MEDAcumulado,15-13*BM!$A$9)/100*BM!$I265,15-13*ORÇAMENTO!$AF$11),ROUND(ROUND(BM.MEDAcumulado,15-13*BM!$A$9)*ROUND(BM!$H265,15-13*ORÇAMENTO!$AF$10),15-13*ORÇAMENTO!$AF$11))),IF($A265=0,0,ROUND(SomaAgrupBM,15-13*ORÇAMENTO!$AF$11)))</f>
        <v>0</v>
      </c>
    </row>
    <row r="266" spans="1:41" x14ac:dyDescent="0.2">
      <c r="A266" t="str">
        <f ca="1">ORÇAMENTO!C266</f>
        <v>S</v>
      </c>
      <c r="B266">
        <f ca="1">ORÇAMENTO!D266</f>
        <v>0</v>
      </c>
      <c r="C266" s="116" t="str">
        <f t="shared" ca="1" si="28"/>
        <v/>
      </c>
      <c r="D266" s="119" t="str">
        <f ca="1">ORÇAMENTO!O266</f>
        <v>-</v>
      </c>
      <c r="E266" s="172" t="str">
        <f t="shared" ca="1" si="29"/>
        <v>(abra o arquivo 'Referência 03-2024.xlsm)</v>
      </c>
      <c r="F266" s="173" t="str">
        <f ca="1">IF(RegimeExecucao="Global","",ORÇAMENTO.Unidade)</f>
        <v/>
      </c>
      <c r="G266" s="124" t="str">
        <f ca="1">IF(RegimeExecucao="Global","",ORÇAMENTO!T266)</f>
        <v/>
      </c>
      <c r="H266" s="124" t="str">
        <f ca="1">IF(RegimeExecucao="Global","",ORÇAMENTO!W266)</f>
        <v/>
      </c>
      <c r="I266" s="127">
        <f ca="1">ORÇAMENTO!X266</f>
        <v>0</v>
      </c>
      <c r="J266" s="378">
        <f ca="1">IF($A266="S",IF(CAIXA.Modo,BM.AFAnterior,BM.MEDAnterior),IF(AND(RegimeExecucao="Global",$I266&gt;0,COUNTIF($AB$13:$AM$13,BM.medicao-1)&gt;0),M266/$I266*100,0))</f>
        <v>0</v>
      </c>
      <c r="K266" s="124">
        <f t="shared" ca="1" si="30"/>
        <v>0</v>
      </c>
      <c r="L266" s="379">
        <f ca="1">IF($A266="S",IF(CAIXA.Modo,BM.AFAcumulado,BM.MEDAcumulado),IF(AND(RegimeExecucao="Global",$I266&gt;0,COUNTIF($AB$13:$AM$13,BM.medicao)&gt;0),O266/$I266*100,0))</f>
        <v>0</v>
      </c>
      <c r="M266" s="380">
        <f ca="1">IF($A266="S",VTOTALBM,IF($A266=0,0,ROUND(SomaAgrupBM,15-13*ORÇAMENTO!$AF$11)))</f>
        <v>0</v>
      </c>
      <c r="N266" s="381">
        <f t="shared" ca="1" si="31"/>
        <v>0</v>
      </c>
      <c r="O266" s="127">
        <f ca="1">IF($A266="S",VTOTALBM,IF($A266=0,0,ROUND(SomaAgrupBM,15-13*ORÇAMENTO!$AF$11)))</f>
        <v>0</v>
      </c>
      <c r="Q266" s="382"/>
      <c r="R266" s="383"/>
      <c r="T266" s="119" t="str">
        <f t="shared" ca="1" si="32"/>
        <v/>
      </c>
      <c r="U266" s="172" t="str">
        <f t="shared" ca="1" si="33"/>
        <v/>
      </c>
      <c r="V266" s="173" t="str">
        <f ca="1">IF(AND($W266&gt;0,RegimeExecucao="Unitário"),$F266,"")</f>
        <v/>
      </c>
      <c r="W266" s="547">
        <f ca="1">IF($Y266&gt;0,CHOOSE(MATCH(RegimeExecucao,{"Unitário","Global"},0),IF($A266="S",$Y266/$X266,""),($Y266/$X266)*100),0)</f>
        <v>0</v>
      </c>
      <c r="X266" s="384" t="str">
        <f ca="1">IF($Y266&gt;0,CHOOSE(MATCH(RegimeExecucao,{"Unitário","Global"},0),IF($A266="S",ROUND($H266,ORÇAMENTO!$AF$10),""),ROUND($I266,ORÇAMENTO!$AF$11)),"")</f>
        <v/>
      </c>
      <c r="Y266" s="384">
        <f t="shared" ca="1" si="34"/>
        <v>0</v>
      </c>
      <c r="Z266" s="572"/>
      <c r="AB266" s="382"/>
      <c r="AC266" s="516"/>
      <c r="AD266" s="516"/>
      <c r="AE266" s="516"/>
      <c r="AF266" s="516"/>
      <c r="AG266" s="516"/>
      <c r="AH266" s="516"/>
      <c r="AI266" s="516"/>
      <c r="AJ266" s="516"/>
      <c r="AK266" s="516"/>
      <c r="AL266" s="516"/>
      <c r="AM266" s="383"/>
      <c r="AO266">
        <f ca="1">IF($A266="S",IF(BM!$I266=0,0,CHOOSE(MATCH(RegimeExecucao,{"Global","Unitário"},0),ROUND(ROUND(BM.MEDAcumulado,15-13*BM!$A$9)/100*BM!$I266,15-13*ORÇAMENTO!$AF$11),ROUND(ROUND(BM.MEDAcumulado,15-13*BM!$A$9)*ROUND(BM!$H266,15-13*ORÇAMENTO!$AF$10),15-13*ORÇAMENTO!$AF$11))),IF($A266=0,0,ROUND(SomaAgrupBM,15-13*ORÇAMENTO!$AF$11)))</f>
        <v>0</v>
      </c>
    </row>
    <row r="267" spans="1:41" x14ac:dyDescent="0.2">
      <c r="A267" t="str">
        <f ca="1">ORÇAMENTO!C267</f>
        <v>S</v>
      </c>
      <c r="B267">
        <f ca="1">ORÇAMENTO!D267</f>
        <v>0</v>
      </c>
      <c r="C267" s="116" t="str">
        <f t="shared" ca="1" si="28"/>
        <v/>
      </c>
      <c r="D267" s="119" t="str">
        <f ca="1">ORÇAMENTO!O267</f>
        <v>-</v>
      </c>
      <c r="E267" s="172" t="str">
        <f t="shared" ca="1" si="29"/>
        <v>(abra o arquivo 'Referência 03-2024.xlsm)</v>
      </c>
      <c r="F267" s="173" t="str">
        <f ca="1">IF(RegimeExecucao="Global","",ORÇAMENTO.Unidade)</f>
        <v/>
      </c>
      <c r="G267" s="124" t="str">
        <f ca="1">IF(RegimeExecucao="Global","",ORÇAMENTO!T267)</f>
        <v/>
      </c>
      <c r="H267" s="124" t="str">
        <f ca="1">IF(RegimeExecucao="Global","",ORÇAMENTO!W267)</f>
        <v/>
      </c>
      <c r="I267" s="127">
        <f ca="1">ORÇAMENTO!X267</f>
        <v>0</v>
      </c>
      <c r="J267" s="378">
        <f ca="1">IF($A267="S",IF(CAIXA.Modo,BM.AFAnterior,BM.MEDAnterior),IF(AND(RegimeExecucao="Global",$I267&gt;0,COUNTIF($AB$13:$AM$13,BM.medicao-1)&gt;0),M267/$I267*100,0))</f>
        <v>0</v>
      </c>
      <c r="K267" s="124">
        <f t="shared" ca="1" si="30"/>
        <v>0</v>
      </c>
      <c r="L267" s="379">
        <f ca="1">IF($A267="S",IF(CAIXA.Modo,BM.AFAcumulado,BM.MEDAcumulado),IF(AND(RegimeExecucao="Global",$I267&gt;0,COUNTIF($AB$13:$AM$13,BM.medicao)&gt;0),O267/$I267*100,0))</f>
        <v>0</v>
      </c>
      <c r="M267" s="380">
        <f ca="1">IF($A267="S",VTOTALBM,IF($A267=0,0,ROUND(SomaAgrupBM,15-13*ORÇAMENTO!$AF$11)))</f>
        <v>0</v>
      </c>
      <c r="N267" s="381">
        <f t="shared" ca="1" si="31"/>
        <v>0</v>
      </c>
      <c r="O267" s="127">
        <f ca="1">IF($A267="S",VTOTALBM,IF($A267=0,0,ROUND(SomaAgrupBM,15-13*ORÇAMENTO!$AF$11)))</f>
        <v>0</v>
      </c>
      <c r="Q267" s="382"/>
      <c r="R267" s="383"/>
      <c r="T267" s="119" t="str">
        <f t="shared" ca="1" si="32"/>
        <v/>
      </c>
      <c r="U267" s="172" t="str">
        <f t="shared" ca="1" si="33"/>
        <v/>
      </c>
      <c r="V267" s="173" t="str">
        <f ca="1">IF(AND($W267&gt;0,RegimeExecucao="Unitário"),$F267,"")</f>
        <v/>
      </c>
      <c r="W267" s="547">
        <f ca="1">IF($Y267&gt;0,CHOOSE(MATCH(RegimeExecucao,{"Unitário","Global"},0),IF($A267="S",$Y267/$X267,""),($Y267/$X267)*100),0)</f>
        <v>0</v>
      </c>
      <c r="X267" s="384" t="str">
        <f ca="1">IF($Y267&gt;0,CHOOSE(MATCH(RegimeExecucao,{"Unitário","Global"},0),IF($A267="S",ROUND($H267,ORÇAMENTO!$AF$10),""),ROUND($I267,ORÇAMENTO!$AF$11)),"")</f>
        <v/>
      </c>
      <c r="Y267" s="384">
        <f t="shared" ca="1" si="34"/>
        <v>0</v>
      </c>
      <c r="Z267" s="572"/>
      <c r="AB267" s="382"/>
      <c r="AC267" s="516"/>
      <c r="AD267" s="516"/>
      <c r="AE267" s="516"/>
      <c r="AF267" s="516"/>
      <c r="AG267" s="516"/>
      <c r="AH267" s="516"/>
      <c r="AI267" s="516"/>
      <c r="AJ267" s="516"/>
      <c r="AK267" s="516"/>
      <c r="AL267" s="516"/>
      <c r="AM267" s="383"/>
      <c r="AO267">
        <f ca="1">IF($A267="S",IF(BM!$I267=0,0,CHOOSE(MATCH(RegimeExecucao,{"Global","Unitário"},0),ROUND(ROUND(BM.MEDAcumulado,15-13*BM!$A$9)/100*BM!$I267,15-13*ORÇAMENTO!$AF$11),ROUND(ROUND(BM.MEDAcumulado,15-13*BM!$A$9)*ROUND(BM!$H267,15-13*ORÇAMENTO!$AF$10),15-13*ORÇAMENTO!$AF$11))),IF($A267=0,0,ROUND(SomaAgrupBM,15-13*ORÇAMENTO!$AF$11)))</f>
        <v>0</v>
      </c>
    </row>
    <row r="268" spans="1:41" x14ac:dyDescent="0.2">
      <c r="A268" t="str">
        <f ca="1">ORÇAMENTO!C268</f>
        <v>S</v>
      </c>
      <c r="B268">
        <f ca="1">ORÇAMENTO!D268</f>
        <v>0</v>
      </c>
      <c r="C268" s="116" t="str">
        <f t="shared" ca="1" si="28"/>
        <v/>
      </c>
      <c r="D268" s="119" t="str">
        <f ca="1">ORÇAMENTO!O268</f>
        <v>-</v>
      </c>
      <c r="E268" s="172" t="str">
        <f t="shared" ca="1" si="29"/>
        <v>(abra o arquivo 'Referência 03-2024.xlsm)</v>
      </c>
      <c r="F268" s="173" t="str">
        <f ca="1">IF(RegimeExecucao="Global","",ORÇAMENTO.Unidade)</f>
        <v/>
      </c>
      <c r="G268" s="124" t="str">
        <f ca="1">IF(RegimeExecucao="Global","",ORÇAMENTO!T268)</f>
        <v/>
      </c>
      <c r="H268" s="124" t="str">
        <f ca="1">IF(RegimeExecucao="Global","",ORÇAMENTO!W268)</f>
        <v/>
      </c>
      <c r="I268" s="127">
        <f ca="1">ORÇAMENTO!X268</f>
        <v>0</v>
      </c>
      <c r="J268" s="378">
        <f ca="1">IF($A268="S",IF(CAIXA.Modo,BM.AFAnterior,BM.MEDAnterior),IF(AND(RegimeExecucao="Global",$I268&gt;0,COUNTIF($AB$13:$AM$13,BM.medicao-1)&gt;0),M268/$I268*100,0))</f>
        <v>0</v>
      </c>
      <c r="K268" s="124">
        <f t="shared" ca="1" si="30"/>
        <v>0</v>
      </c>
      <c r="L268" s="379">
        <f ca="1">IF($A268="S",IF(CAIXA.Modo,BM.AFAcumulado,BM.MEDAcumulado),IF(AND(RegimeExecucao="Global",$I268&gt;0,COUNTIF($AB$13:$AM$13,BM.medicao)&gt;0),O268/$I268*100,0))</f>
        <v>0</v>
      </c>
      <c r="M268" s="380">
        <f ca="1">IF($A268="S",VTOTALBM,IF($A268=0,0,ROUND(SomaAgrupBM,15-13*ORÇAMENTO!$AF$11)))</f>
        <v>0</v>
      </c>
      <c r="N268" s="381">
        <f t="shared" ca="1" si="31"/>
        <v>0</v>
      </c>
      <c r="O268" s="127">
        <f ca="1">IF($A268="S",VTOTALBM,IF($A268=0,0,ROUND(SomaAgrupBM,15-13*ORÇAMENTO!$AF$11)))</f>
        <v>0</v>
      </c>
      <c r="Q268" s="382"/>
      <c r="R268" s="383"/>
      <c r="T268" s="119" t="str">
        <f t="shared" ca="1" si="32"/>
        <v/>
      </c>
      <c r="U268" s="172" t="str">
        <f t="shared" ca="1" si="33"/>
        <v/>
      </c>
      <c r="V268" s="173" t="str">
        <f ca="1">IF(AND($W268&gt;0,RegimeExecucao="Unitário"),$F268,"")</f>
        <v/>
      </c>
      <c r="W268" s="547">
        <f ca="1">IF($Y268&gt;0,CHOOSE(MATCH(RegimeExecucao,{"Unitário","Global"},0),IF($A268="S",$Y268/$X268,""),($Y268/$X268)*100),0)</f>
        <v>0</v>
      </c>
      <c r="X268" s="384" t="str">
        <f ca="1">IF($Y268&gt;0,CHOOSE(MATCH(RegimeExecucao,{"Unitário","Global"},0),IF($A268="S",ROUND($H268,ORÇAMENTO!$AF$10),""),ROUND($I268,ORÇAMENTO!$AF$11)),"")</f>
        <v/>
      </c>
      <c r="Y268" s="384">
        <f t="shared" ca="1" si="34"/>
        <v>0</v>
      </c>
      <c r="Z268" s="572"/>
      <c r="AB268" s="382"/>
      <c r="AC268" s="516"/>
      <c r="AD268" s="516"/>
      <c r="AE268" s="516"/>
      <c r="AF268" s="516"/>
      <c r="AG268" s="516"/>
      <c r="AH268" s="516"/>
      <c r="AI268" s="516"/>
      <c r="AJ268" s="516"/>
      <c r="AK268" s="516"/>
      <c r="AL268" s="516"/>
      <c r="AM268" s="383"/>
      <c r="AO268">
        <f ca="1">IF($A268="S",IF(BM!$I268=0,0,CHOOSE(MATCH(RegimeExecucao,{"Global","Unitário"},0),ROUND(ROUND(BM.MEDAcumulado,15-13*BM!$A$9)/100*BM!$I268,15-13*ORÇAMENTO!$AF$11),ROUND(ROUND(BM.MEDAcumulado,15-13*BM!$A$9)*ROUND(BM!$H268,15-13*ORÇAMENTO!$AF$10),15-13*ORÇAMENTO!$AF$11))),IF($A268=0,0,ROUND(SomaAgrupBM,15-13*ORÇAMENTO!$AF$11)))</f>
        <v>0</v>
      </c>
    </row>
    <row r="269" spans="1:41" x14ac:dyDescent="0.2">
      <c r="A269" t="str">
        <f ca="1">ORÇAMENTO!C269</f>
        <v>S</v>
      </c>
      <c r="B269">
        <f ca="1">ORÇAMENTO!D269</f>
        <v>0</v>
      </c>
      <c r="C269" s="116" t="str">
        <f t="shared" ca="1" si="28"/>
        <v/>
      </c>
      <c r="D269" s="119" t="str">
        <f ca="1">ORÇAMENTO!O269</f>
        <v>-</v>
      </c>
      <c r="E269" s="172" t="str">
        <f t="shared" ca="1" si="29"/>
        <v>(abra o arquivo 'Referência 03-2024.xlsm)</v>
      </c>
      <c r="F269" s="173" t="str">
        <f ca="1">IF(RegimeExecucao="Global","",ORÇAMENTO.Unidade)</f>
        <v/>
      </c>
      <c r="G269" s="124" t="str">
        <f ca="1">IF(RegimeExecucao="Global","",ORÇAMENTO!T269)</f>
        <v/>
      </c>
      <c r="H269" s="124" t="str">
        <f ca="1">IF(RegimeExecucao="Global","",ORÇAMENTO!W269)</f>
        <v/>
      </c>
      <c r="I269" s="127">
        <f ca="1">ORÇAMENTO!X269</f>
        <v>0</v>
      </c>
      <c r="J269" s="378">
        <f ca="1">IF($A269="S",IF(CAIXA.Modo,BM.AFAnterior,BM.MEDAnterior),IF(AND(RegimeExecucao="Global",$I269&gt;0,COUNTIF($AB$13:$AM$13,BM.medicao-1)&gt;0),M269/$I269*100,0))</f>
        <v>0</v>
      </c>
      <c r="K269" s="124">
        <f t="shared" ca="1" si="30"/>
        <v>0</v>
      </c>
      <c r="L269" s="379">
        <f ca="1">IF($A269="S",IF(CAIXA.Modo,BM.AFAcumulado,BM.MEDAcumulado),IF(AND(RegimeExecucao="Global",$I269&gt;0,COUNTIF($AB$13:$AM$13,BM.medicao)&gt;0),O269/$I269*100,0))</f>
        <v>0</v>
      </c>
      <c r="M269" s="380">
        <f ca="1">IF($A269="S",VTOTALBM,IF($A269=0,0,ROUND(SomaAgrupBM,15-13*ORÇAMENTO!$AF$11)))</f>
        <v>0</v>
      </c>
      <c r="N269" s="381">
        <f t="shared" ca="1" si="31"/>
        <v>0</v>
      </c>
      <c r="O269" s="127">
        <f ca="1">IF($A269="S",VTOTALBM,IF($A269=0,0,ROUND(SomaAgrupBM,15-13*ORÇAMENTO!$AF$11)))</f>
        <v>0</v>
      </c>
      <c r="Q269" s="382"/>
      <c r="R269" s="383"/>
      <c r="T269" s="119" t="str">
        <f t="shared" ca="1" si="32"/>
        <v/>
      </c>
      <c r="U269" s="172" t="str">
        <f t="shared" ca="1" si="33"/>
        <v/>
      </c>
      <c r="V269" s="173" t="str">
        <f ca="1">IF(AND($W269&gt;0,RegimeExecucao="Unitário"),$F269,"")</f>
        <v/>
      </c>
      <c r="W269" s="547">
        <f ca="1">IF($Y269&gt;0,CHOOSE(MATCH(RegimeExecucao,{"Unitário","Global"},0),IF($A269="S",$Y269/$X269,""),($Y269/$X269)*100),0)</f>
        <v>0</v>
      </c>
      <c r="X269" s="384" t="str">
        <f ca="1">IF($Y269&gt;0,CHOOSE(MATCH(RegimeExecucao,{"Unitário","Global"},0),IF($A269="S",ROUND($H269,ORÇAMENTO!$AF$10),""),ROUND($I269,ORÇAMENTO!$AF$11)),"")</f>
        <v/>
      </c>
      <c r="Y269" s="384">
        <f t="shared" ca="1" si="34"/>
        <v>0</v>
      </c>
      <c r="Z269" s="572"/>
      <c r="AB269" s="382"/>
      <c r="AC269" s="516"/>
      <c r="AD269" s="516"/>
      <c r="AE269" s="516"/>
      <c r="AF269" s="516"/>
      <c r="AG269" s="516"/>
      <c r="AH269" s="516"/>
      <c r="AI269" s="516"/>
      <c r="AJ269" s="516"/>
      <c r="AK269" s="516"/>
      <c r="AL269" s="516"/>
      <c r="AM269" s="383"/>
      <c r="AO269">
        <f ca="1">IF($A269="S",IF(BM!$I269=0,0,CHOOSE(MATCH(RegimeExecucao,{"Global","Unitário"},0),ROUND(ROUND(BM.MEDAcumulado,15-13*BM!$A$9)/100*BM!$I269,15-13*ORÇAMENTO!$AF$11),ROUND(ROUND(BM.MEDAcumulado,15-13*BM!$A$9)*ROUND(BM!$H269,15-13*ORÇAMENTO!$AF$10),15-13*ORÇAMENTO!$AF$11))),IF($A269=0,0,ROUND(SomaAgrupBM,15-13*ORÇAMENTO!$AF$11)))</f>
        <v>0</v>
      </c>
    </row>
    <row r="270" spans="1:41" x14ac:dyDescent="0.2">
      <c r="A270" t="str">
        <f ca="1">ORÇAMENTO!C270</f>
        <v>S</v>
      </c>
      <c r="B270">
        <f ca="1">ORÇAMENTO!D270</f>
        <v>0</v>
      </c>
      <c r="C270" s="116" t="str">
        <f t="shared" ca="1" si="28"/>
        <v/>
      </c>
      <c r="D270" s="119" t="str">
        <f ca="1">ORÇAMENTO!O270</f>
        <v>-</v>
      </c>
      <c r="E270" s="172" t="str">
        <f t="shared" ca="1" si="29"/>
        <v>(abra o arquivo 'Referência 03-2024.xlsm)</v>
      </c>
      <c r="F270" s="173" t="str">
        <f ca="1">IF(RegimeExecucao="Global","",ORÇAMENTO.Unidade)</f>
        <v/>
      </c>
      <c r="G270" s="124" t="str">
        <f ca="1">IF(RegimeExecucao="Global","",ORÇAMENTO!T270)</f>
        <v/>
      </c>
      <c r="H270" s="124" t="str">
        <f ca="1">IF(RegimeExecucao="Global","",ORÇAMENTO!W270)</f>
        <v/>
      </c>
      <c r="I270" s="127">
        <f ca="1">ORÇAMENTO!X270</f>
        <v>0</v>
      </c>
      <c r="J270" s="378">
        <f ca="1">IF($A270="S",IF(CAIXA.Modo,BM.AFAnterior,BM.MEDAnterior),IF(AND(RegimeExecucao="Global",$I270&gt;0,COUNTIF($AB$13:$AM$13,BM.medicao-1)&gt;0),M270/$I270*100,0))</f>
        <v>0</v>
      </c>
      <c r="K270" s="124">
        <f t="shared" ca="1" si="30"/>
        <v>0</v>
      </c>
      <c r="L270" s="379">
        <f ca="1">IF($A270="S",IF(CAIXA.Modo,BM.AFAcumulado,BM.MEDAcumulado),IF(AND(RegimeExecucao="Global",$I270&gt;0,COUNTIF($AB$13:$AM$13,BM.medicao)&gt;0),O270/$I270*100,0))</f>
        <v>0</v>
      </c>
      <c r="M270" s="380">
        <f ca="1">IF($A270="S",VTOTALBM,IF($A270=0,0,ROUND(SomaAgrupBM,15-13*ORÇAMENTO!$AF$11)))</f>
        <v>0</v>
      </c>
      <c r="N270" s="381">
        <f t="shared" ca="1" si="31"/>
        <v>0</v>
      </c>
      <c r="O270" s="127">
        <f ca="1">IF($A270="S",VTOTALBM,IF($A270=0,0,ROUND(SomaAgrupBM,15-13*ORÇAMENTO!$AF$11)))</f>
        <v>0</v>
      </c>
      <c r="Q270" s="382"/>
      <c r="R270" s="383"/>
      <c r="T270" s="119" t="str">
        <f t="shared" ca="1" si="32"/>
        <v/>
      </c>
      <c r="U270" s="172" t="str">
        <f t="shared" ca="1" si="33"/>
        <v/>
      </c>
      <c r="V270" s="173" t="str">
        <f ca="1">IF(AND($W270&gt;0,RegimeExecucao="Unitário"),$F270,"")</f>
        <v/>
      </c>
      <c r="W270" s="547">
        <f ca="1">IF($Y270&gt;0,CHOOSE(MATCH(RegimeExecucao,{"Unitário","Global"},0),IF($A270="S",$Y270/$X270,""),($Y270/$X270)*100),0)</f>
        <v>0</v>
      </c>
      <c r="X270" s="384" t="str">
        <f ca="1">IF($Y270&gt;0,CHOOSE(MATCH(RegimeExecucao,{"Unitário","Global"},0),IF($A270="S",ROUND($H270,ORÇAMENTO!$AF$10),""),ROUND($I270,ORÇAMENTO!$AF$11)),"")</f>
        <v/>
      </c>
      <c r="Y270" s="384">
        <f t="shared" ca="1" si="34"/>
        <v>0</v>
      </c>
      <c r="Z270" s="572"/>
      <c r="AB270" s="382"/>
      <c r="AC270" s="516"/>
      <c r="AD270" s="516"/>
      <c r="AE270" s="516"/>
      <c r="AF270" s="516"/>
      <c r="AG270" s="516"/>
      <c r="AH270" s="516"/>
      <c r="AI270" s="516"/>
      <c r="AJ270" s="516"/>
      <c r="AK270" s="516"/>
      <c r="AL270" s="516"/>
      <c r="AM270" s="383"/>
      <c r="AO270">
        <f ca="1">IF($A270="S",IF(BM!$I270=0,0,CHOOSE(MATCH(RegimeExecucao,{"Global","Unitário"},0),ROUND(ROUND(BM.MEDAcumulado,15-13*BM!$A$9)/100*BM!$I270,15-13*ORÇAMENTO!$AF$11),ROUND(ROUND(BM.MEDAcumulado,15-13*BM!$A$9)*ROUND(BM!$H270,15-13*ORÇAMENTO!$AF$10),15-13*ORÇAMENTO!$AF$11))),IF($A270=0,0,ROUND(SomaAgrupBM,15-13*ORÇAMENTO!$AF$11)))</f>
        <v>0</v>
      </c>
    </row>
    <row r="271" spans="1:41" x14ac:dyDescent="0.2">
      <c r="A271" t="str">
        <f ca="1">ORÇAMENTO!C271</f>
        <v>S</v>
      </c>
      <c r="B271">
        <f ca="1">ORÇAMENTO!D271</f>
        <v>0</v>
      </c>
      <c r="C271" s="116" t="str">
        <f t="shared" ca="1" si="28"/>
        <v/>
      </c>
      <c r="D271" s="119" t="str">
        <f ca="1">ORÇAMENTO!O271</f>
        <v>-</v>
      </c>
      <c r="E271" s="172" t="str">
        <f t="shared" ca="1" si="29"/>
        <v>(abra o arquivo 'Referência 03-2024.xlsm)</v>
      </c>
      <c r="F271" s="173" t="str">
        <f ca="1">IF(RegimeExecucao="Global","",ORÇAMENTO.Unidade)</f>
        <v/>
      </c>
      <c r="G271" s="124" t="str">
        <f ca="1">IF(RegimeExecucao="Global","",ORÇAMENTO!T271)</f>
        <v/>
      </c>
      <c r="H271" s="124" t="str">
        <f ca="1">IF(RegimeExecucao="Global","",ORÇAMENTO!W271)</f>
        <v/>
      </c>
      <c r="I271" s="127">
        <f ca="1">ORÇAMENTO!X271</f>
        <v>0</v>
      </c>
      <c r="J271" s="378">
        <f ca="1">IF($A271="S",IF(CAIXA.Modo,BM.AFAnterior,BM.MEDAnterior),IF(AND(RegimeExecucao="Global",$I271&gt;0,COUNTIF($AB$13:$AM$13,BM.medicao-1)&gt;0),M271/$I271*100,0))</f>
        <v>0</v>
      </c>
      <c r="K271" s="124">
        <f t="shared" ca="1" si="30"/>
        <v>0</v>
      </c>
      <c r="L271" s="379">
        <f ca="1">IF($A271="S",IF(CAIXA.Modo,BM.AFAcumulado,BM.MEDAcumulado),IF(AND(RegimeExecucao="Global",$I271&gt;0,COUNTIF($AB$13:$AM$13,BM.medicao)&gt;0),O271/$I271*100,0))</f>
        <v>0</v>
      </c>
      <c r="M271" s="380">
        <f ca="1">IF($A271="S",VTOTALBM,IF($A271=0,0,ROUND(SomaAgrupBM,15-13*ORÇAMENTO!$AF$11)))</f>
        <v>0</v>
      </c>
      <c r="N271" s="381">
        <f t="shared" ca="1" si="31"/>
        <v>0</v>
      </c>
      <c r="O271" s="127">
        <f ca="1">IF($A271="S",VTOTALBM,IF($A271=0,0,ROUND(SomaAgrupBM,15-13*ORÇAMENTO!$AF$11)))</f>
        <v>0</v>
      </c>
      <c r="Q271" s="382"/>
      <c r="R271" s="383"/>
      <c r="T271" s="119" t="str">
        <f t="shared" ca="1" si="32"/>
        <v/>
      </c>
      <c r="U271" s="172" t="str">
        <f t="shared" ca="1" si="33"/>
        <v/>
      </c>
      <c r="V271" s="173" t="str">
        <f ca="1">IF(AND($W271&gt;0,RegimeExecucao="Unitário"),$F271,"")</f>
        <v/>
      </c>
      <c r="W271" s="547">
        <f ca="1">IF($Y271&gt;0,CHOOSE(MATCH(RegimeExecucao,{"Unitário","Global"},0),IF($A271="S",$Y271/$X271,""),($Y271/$X271)*100),0)</f>
        <v>0</v>
      </c>
      <c r="X271" s="384" t="str">
        <f ca="1">IF($Y271&gt;0,CHOOSE(MATCH(RegimeExecucao,{"Unitário","Global"},0),IF($A271="S",ROUND($H271,ORÇAMENTO!$AF$10),""),ROUND($I271,ORÇAMENTO!$AF$11)),"")</f>
        <v/>
      </c>
      <c r="Y271" s="384">
        <f t="shared" ca="1" si="34"/>
        <v>0</v>
      </c>
      <c r="Z271" s="572"/>
      <c r="AB271" s="382"/>
      <c r="AC271" s="516"/>
      <c r="AD271" s="516"/>
      <c r="AE271" s="516"/>
      <c r="AF271" s="516"/>
      <c r="AG271" s="516"/>
      <c r="AH271" s="516"/>
      <c r="AI271" s="516"/>
      <c r="AJ271" s="516"/>
      <c r="AK271" s="516"/>
      <c r="AL271" s="516"/>
      <c r="AM271" s="383"/>
      <c r="AO271">
        <f ca="1">IF($A271="S",IF(BM!$I271=0,0,CHOOSE(MATCH(RegimeExecucao,{"Global","Unitário"},0),ROUND(ROUND(BM.MEDAcumulado,15-13*BM!$A$9)/100*BM!$I271,15-13*ORÇAMENTO!$AF$11),ROUND(ROUND(BM.MEDAcumulado,15-13*BM!$A$9)*ROUND(BM!$H271,15-13*ORÇAMENTO!$AF$10),15-13*ORÇAMENTO!$AF$11))),IF($A271=0,0,ROUND(SomaAgrupBM,15-13*ORÇAMENTO!$AF$11)))</f>
        <v>0</v>
      </c>
    </row>
    <row r="272" spans="1:41" x14ac:dyDescent="0.2">
      <c r="A272" t="str">
        <f ca="1">ORÇAMENTO!C272</f>
        <v>S</v>
      </c>
      <c r="B272">
        <f ca="1">ORÇAMENTO!D272</f>
        <v>0</v>
      </c>
      <c r="C272" s="116" t="str">
        <f t="shared" ca="1" si="28"/>
        <v/>
      </c>
      <c r="D272" s="119" t="str">
        <f ca="1">ORÇAMENTO!O272</f>
        <v>-</v>
      </c>
      <c r="E272" s="172" t="str">
        <f t="shared" ca="1" si="29"/>
        <v>(abra o arquivo 'Referência 03-2024.xlsm)</v>
      </c>
      <c r="F272" s="173" t="str">
        <f ca="1">IF(RegimeExecucao="Global","",ORÇAMENTO.Unidade)</f>
        <v/>
      </c>
      <c r="G272" s="124" t="str">
        <f ca="1">IF(RegimeExecucao="Global","",ORÇAMENTO!T272)</f>
        <v/>
      </c>
      <c r="H272" s="124" t="str">
        <f ca="1">IF(RegimeExecucao="Global","",ORÇAMENTO!W272)</f>
        <v/>
      </c>
      <c r="I272" s="127">
        <f ca="1">ORÇAMENTO!X272</f>
        <v>0</v>
      </c>
      <c r="J272" s="378">
        <f ca="1">IF($A272="S",IF(CAIXA.Modo,BM.AFAnterior,BM.MEDAnterior),IF(AND(RegimeExecucao="Global",$I272&gt;0,COUNTIF($AB$13:$AM$13,BM.medicao-1)&gt;0),M272/$I272*100,0))</f>
        <v>0</v>
      </c>
      <c r="K272" s="124">
        <f t="shared" ca="1" si="30"/>
        <v>0</v>
      </c>
      <c r="L272" s="379">
        <f ca="1">IF($A272="S",IF(CAIXA.Modo,BM.AFAcumulado,BM.MEDAcumulado),IF(AND(RegimeExecucao="Global",$I272&gt;0,COUNTIF($AB$13:$AM$13,BM.medicao)&gt;0),O272/$I272*100,0))</f>
        <v>0</v>
      </c>
      <c r="M272" s="380">
        <f ca="1">IF($A272="S",VTOTALBM,IF($A272=0,0,ROUND(SomaAgrupBM,15-13*ORÇAMENTO!$AF$11)))</f>
        <v>0</v>
      </c>
      <c r="N272" s="381">
        <f t="shared" ca="1" si="31"/>
        <v>0</v>
      </c>
      <c r="O272" s="127">
        <f ca="1">IF($A272="S",VTOTALBM,IF($A272=0,0,ROUND(SomaAgrupBM,15-13*ORÇAMENTO!$AF$11)))</f>
        <v>0</v>
      </c>
      <c r="Q272" s="382"/>
      <c r="R272" s="383"/>
      <c r="T272" s="119" t="str">
        <f t="shared" ca="1" si="32"/>
        <v/>
      </c>
      <c r="U272" s="172" t="str">
        <f t="shared" ca="1" si="33"/>
        <v/>
      </c>
      <c r="V272" s="173" t="str">
        <f ca="1">IF(AND($W272&gt;0,RegimeExecucao="Unitário"),$F272,"")</f>
        <v/>
      </c>
      <c r="W272" s="547">
        <f ca="1">IF($Y272&gt;0,CHOOSE(MATCH(RegimeExecucao,{"Unitário","Global"},0),IF($A272="S",$Y272/$X272,""),($Y272/$X272)*100),0)</f>
        <v>0</v>
      </c>
      <c r="X272" s="384" t="str">
        <f ca="1">IF($Y272&gt;0,CHOOSE(MATCH(RegimeExecucao,{"Unitário","Global"},0),IF($A272="S",ROUND($H272,ORÇAMENTO!$AF$10),""),ROUND($I272,ORÇAMENTO!$AF$11)),"")</f>
        <v/>
      </c>
      <c r="Y272" s="384">
        <f t="shared" ca="1" si="34"/>
        <v>0</v>
      </c>
      <c r="Z272" s="572"/>
      <c r="AB272" s="382"/>
      <c r="AC272" s="516"/>
      <c r="AD272" s="516"/>
      <c r="AE272" s="516"/>
      <c r="AF272" s="516"/>
      <c r="AG272" s="516"/>
      <c r="AH272" s="516"/>
      <c r="AI272" s="516"/>
      <c r="AJ272" s="516"/>
      <c r="AK272" s="516"/>
      <c r="AL272" s="516"/>
      <c r="AM272" s="383"/>
      <c r="AO272">
        <f ca="1">IF($A272="S",IF(BM!$I272=0,0,CHOOSE(MATCH(RegimeExecucao,{"Global","Unitário"},0),ROUND(ROUND(BM.MEDAcumulado,15-13*BM!$A$9)/100*BM!$I272,15-13*ORÇAMENTO!$AF$11),ROUND(ROUND(BM.MEDAcumulado,15-13*BM!$A$9)*ROUND(BM!$H272,15-13*ORÇAMENTO!$AF$10),15-13*ORÇAMENTO!$AF$11))),IF($A272=0,0,ROUND(SomaAgrupBM,15-13*ORÇAMENTO!$AF$11)))</f>
        <v>0</v>
      </c>
    </row>
    <row r="273" spans="1:41" x14ac:dyDescent="0.2">
      <c r="A273" t="str">
        <f ca="1">ORÇAMENTO!C273</f>
        <v>S</v>
      </c>
      <c r="B273">
        <f ca="1">ORÇAMENTO!D273</f>
        <v>0</v>
      </c>
      <c r="C273" s="116" t="str">
        <f t="shared" ca="1" si="28"/>
        <v/>
      </c>
      <c r="D273" s="119" t="str">
        <f ca="1">ORÇAMENTO!O273</f>
        <v>-</v>
      </c>
      <c r="E273" s="172" t="str">
        <f t="shared" ca="1" si="29"/>
        <v>(abra o arquivo 'Referência 03-2024.xlsm)</v>
      </c>
      <c r="F273" s="173" t="str">
        <f ca="1">IF(RegimeExecucao="Global","",ORÇAMENTO.Unidade)</f>
        <v/>
      </c>
      <c r="G273" s="124" t="str">
        <f ca="1">IF(RegimeExecucao="Global","",ORÇAMENTO!T273)</f>
        <v/>
      </c>
      <c r="H273" s="124" t="str">
        <f ca="1">IF(RegimeExecucao="Global","",ORÇAMENTO!W273)</f>
        <v/>
      </c>
      <c r="I273" s="127">
        <f ca="1">ORÇAMENTO!X273</f>
        <v>0</v>
      </c>
      <c r="J273" s="378">
        <f ca="1">IF($A273="S",IF(CAIXA.Modo,BM.AFAnterior,BM.MEDAnterior),IF(AND(RegimeExecucao="Global",$I273&gt;0,COUNTIF($AB$13:$AM$13,BM.medicao-1)&gt;0),M273/$I273*100,0))</f>
        <v>0</v>
      </c>
      <c r="K273" s="124">
        <f t="shared" ca="1" si="30"/>
        <v>0</v>
      </c>
      <c r="L273" s="379">
        <f ca="1">IF($A273="S",IF(CAIXA.Modo,BM.AFAcumulado,BM.MEDAcumulado),IF(AND(RegimeExecucao="Global",$I273&gt;0,COUNTIF($AB$13:$AM$13,BM.medicao)&gt;0),O273/$I273*100,0))</f>
        <v>0</v>
      </c>
      <c r="M273" s="380">
        <f ca="1">IF($A273="S",VTOTALBM,IF($A273=0,0,ROUND(SomaAgrupBM,15-13*ORÇAMENTO!$AF$11)))</f>
        <v>0</v>
      </c>
      <c r="N273" s="381">
        <f t="shared" ca="1" si="31"/>
        <v>0</v>
      </c>
      <c r="O273" s="127">
        <f ca="1">IF($A273="S",VTOTALBM,IF($A273=0,0,ROUND(SomaAgrupBM,15-13*ORÇAMENTO!$AF$11)))</f>
        <v>0</v>
      </c>
      <c r="Q273" s="382"/>
      <c r="R273" s="383"/>
      <c r="T273" s="119" t="str">
        <f t="shared" ca="1" si="32"/>
        <v/>
      </c>
      <c r="U273" s="172" t="str">
        <f t="shared" ca="1" si="33"/>
        <v/>
      </c>
      <c r="V273" s="173" t="str">
        <f ca="1">IF(AND($W273&gt;0,RegimeExecucao="Unitário"),$F273,"")</f>
        <v/>
      </c>
      <c r="W273" s="547">
        <f ca="1">IF($Y273&gt;0,CHOOSE(MATCH(RegimeExecucao,{"Unitário","Global"},0),IF($A273="S",$Y273/$X273,""),($Y273/$X273)*100),0)</f>
        <v>0</v>
      </c>
      <c r="X273" s="384" t="str">
        <f ca="1">IF($Y273&gt;0,CHOOSE(MATCH(RegimeExecucao,{"Unitário","Global"},0),IF($A273="S",ROUND($H273,ORÇAMENTO!$AF$10),""),ROUND($I273,ORÇAMENTO!$AF$11)),"")</f>
        <v/>
      </c>
      <c r="Y273" s="384">
        <f t="shared" ca="1" si="34"/>
        <v>0</v>
      </c>
      <c r="Z273" s="572"/>
      <c r="AB273" s="382"/>
      <c r="AC273" s="516"/>
      <c r="AD273" s="516"/>
      <c r="AE273" s="516"/>
      <c r="AF273" s="516"/>
      <c r="AG273" s="516"/>
      <c r="AH273" s="516"/>
      <c r="AI273" s="516"/>
      <c r="AJ273" s="516"/>
      <c r="AK273" s="516"/>
      <c r="AL273" s="516"/>
      <c r="AM273" s="383"/>
      <c r="AO273">
        <f ca="1">IF($A273="S",IF(BM!$I273=0,0,CHOOSE(MATCH(RegimeExecucao,{"Global","Unitário"},0),ROUND(ROUND(BM.MEDAcumulado,15-13*BM!$A$9)/100*BM!$I273,15-13*ORÇAMENTO!$AF$11),ROUND(ROUND(BM.MEDAcumulado,15-13*BM!$A$9)*ROUND(BM!$H273,15-13*ORÇAMENTO!$AF$10),15-13*ORÇAMENTO!$AF$11))),IF($A273=0,0,ROUND(SomaAgrupBM,15-13*ORÇAMENTO!$AF$11)))</f>
        <v>0</v>
      </c>
    </row>
    <row r="274" spans="1:41" x14ac:dyDescent="0.2">
      <c r="A274" t="str">
        <f ca="1">ORÇAMENTO!C274</f>
        <v>S</v>
      </c>
      <c r="B274">
        <f ca="1">ORÇAMENTO!D274</f>
        <v>0</v>
      </c>
      <c r="C274" s="116" t="str">
        <f t="shared" ca="1" si="28"/>
        <v/>
      </c>
      <c r="D274" s="119" t="str">
        <f ca="1">ORÇAMENTO!O274</f>
        <v>-</v>
      </c>
      <c r="E274" s="172" t="str">
        <f t="shared" ca="1" si="29"/>
        <v>(abra o arquivo 'Referência 03-2024.xlsm)</v>
      </c>
      <c r="F274" s="173" t="str">
        <f ca="1">IF(RegimeExecucao="Global","",ORÇAMENTO.Unidade)</f>
        <v/>
      </c>
      <c r="G274" s="124" t="str">
        <f ca="1">IF(RegimeExecucao="Global","",ORÇAMENTO!T274)</f>
        <v/>
      </c>
      <c r="H274" s="124" t="str">
        <f ca="1">IF(RegimeExecucao="Global","",ORÇAMENTO!W274)</f>
        <v/>
      </c>
      <c r="I274" s="127">
        <f ca="1">ORÇAMENTO!X274</f>
        <v>0</v>
      </c>
      <c r="J274" s="378">
        <f ca="1">IF($A274="S",IF(CAIXA.Modo,BM.AFAnterior,BM.MEDAnterior),IF(AND(RegimeExecucao="Global",$I274&gt;0,COUNTIF($AB$13:$AM$13,BM.medicao-1)&gt;0),M274/$I274*100,0))</f>
        <v>0</v>
      </c>
      <c r="K274" s="124">
        <f t="shared" ca="1" si="30"/>
        <v>0</v>
      </c>
      <c r="L274" s="379">
        <f ca="1">IF($A274="S",IF(CAIXA.Modo,BM.AFAcumulado,BM.MEDAcumulado),IF(AND(RegimeExecucao="Global",$I274&gt;0,COUNTIF($AB$13:$AM$13,BM.medicao)&gt;0),O274/$I274*100,0))</f>
        <v>0</v>
      </c>
      <c r="M274" s="380">
        <f ca="1">IF($A274="S",VTOTALBM,IF($A274=0,0,ROUND(SomaAgrupBM,15-13*ORÇAMENTO!$AF$11)))</f>
        <v>0</v>
      </c>
      <c r="N274" s="381">
        <f t="shared" ca="1" si="31"/>
        <v>0</v>
      </c>
      <c r="O274" s="127">
        <f ca="1">IF($A274="S",VTOTALBM,IF($A274=0,0,ROUND(SomaAgrupBM,15-13*ORÇAMENTO!$AF$11)))</f>
        <v>0</v>
      </c>
      <c r="Q274" s="382"/>
      <c r="R274" s="383"/>
      <c r="T274" s="119" t="str">
        <f t="shared" ca="1" si="32"/>
        <v/>
      </c>
      <c r="U274" s="172" t="str">
        <f t="shared" ca="1" si="33"/>
        <v/>
      </c>
      <c r="V274" s="173" t="str">
        <f ca="1">IF(AND($W274&gt;0,RegimeExecucao="Unitário"),$F274,"")</f>
        <v/>
      </c>
      <c r="W274" s="547">
        <f ca="1">IF($Y274&gt;0,CHOOSE(MATCH(RegimeExecucao,{"Unitário","Global"},0),IF($A274="S",$Y274/$X274,""),($Y274/$X274)*100),0)</f>
        <v>0</v>
      </c>
      <c r="X274" s="384" t="str">
        <f ca="1">IF($Y274&gt;0,CHOOSE(MATCH(RegimeExecucao,{"Unitário","Global"},0),IF($A274="S",ROUND($H274,ORÇAMENTO!$AF$10),""),ROUND($I274,ORÇAMENTO!$AF$11)),"")</f>
        <v/>
      </c>
      <c r="Y274" s="384">
        <f t="shared" ca="1" si="34"/>
        <v>0</v>
      </c>
      <c r="Z274" s="572"/>
      <c r="AB274" s="382"/>
      <c r="AC274" s="516"/>
      <c r="AD274" s="516"/>
      <c r="AE274" s="516"/>
      <c r="AF274" s="516"/>
      <c r="AG274" s="516"/>
      <c r="AH274" s="516"/>
      <c r="AI274" s="516"/>
      <c r="AJ274" s="516"/>
      <c r="AK274" s="516"/>
      <c r="AL274" s="516"/>
      <c r="AM274" s="383"/>
      <c r="AO274">
        <f ca="1">IF($A274="S",IF(BM!$I274=0,0,CHOOSE(MATCH(RegimeExecucao,{"Global","Unitário"},0),ROUND(ROUND(BM.MEDAcumulado,15-13*BM!$A$9)/100*BM!$I274,15-13*ORÇAMENTO!$AF$11),ROUND(ROUND(BM.MEDAcumulado,15-13*BM!$A$9)*ROUND(BM!$H274,15-13*ORÇAMENTO!$AF$10),15-13*ORÇAMENTO!$AF$11))),IF($A274=0,0,ROUND(SomaAgrupBM,15-13*ORÇAMENTO!$AF$11)))</f>
        <v>0</v>
      </c>
    </row>
    <row r="275" spans="1:41" x14ac:dyDescent="0.2">
      <c r="A275" t="str">
        <f ca="1">ORÇAMENTO!C275</f>
        <v>S</v>
      </c>
      <c r="B275">
        <f ca="1">ORÇAMENTO!D275</f>
        <v>0</v>
      </c>
      <c r="C275" s="116" t="str">
        <f t="shared" ca="1" si="28"/>
        <v/>
      </c>
      <c r="D275" s="119" t="str">
        <f ca="1">ORÇAMENTO!O275</f>
        <v>-</v>
      </c>
      <c r="E275" s="172" t="str">
        <f t="shared" ca="1" si="29"/>
        <v>(abra o arquivo 'Referência 03-2024.xlsm)</v>
      </c>
      <c r="F275" s="173" t="str">
        <f ca="1">IF(RegimeExecucao="Global","",ORÇAMENTO.Unidade)</f>
        <v/>
      </c>
      <c r="G275" s="124" t="str">
        <f ca="1">IF(RegimeExecucao="Global","",ORÇAMENTO!T275)</f>
        <v/>
      </c>
      <c r="H275" s="124" t="str">
        <f ca="1">IF(RegimeExecucao="Global","",ORÇAMENTO!W275)</f>
        <v/>
      </c>
      <c r="I275" s="127">
        <f ca="1">ORÇAMENTO!X275</f>
        <v>0</v>
      </c>
      <c r="J275" s="378">
        <f ca="1">IF($A275="S",IF(CAIXA.Modo,BM.AFAnterior,BM.MEDAnterior),IF(AND(RegimeExecucao="Global",$I275&gt;0,COUNTIF($AB$13:$AM$13,BM.medicao-1)&gt;0),M275/$I275*100,0))</f>
        <v>0</v>
      </c>
      <c r="K275" s="124">
        <f t="shared" ca="1" si="30"/>
        <v>0</v>
      </c>
      <c r="L275" s="379">
        <f ca="1">IF($A275="S",IF(CAIXA.Modo,BM.AFAcumulado,BM.MEDAcumulado),IF(AND(RegimeExecucao="Global",$I275&gt;0,COUNTIF($AB$13:$AM$13,BM.medicao)&gt;0),O275/$I275*100,0))</f>
        <v>0</v>
      </c>
      <c r="M275" s="380">
        <f ca="1">IF($A275="S",VTOTALBM,IF($A275=0,0,ROUND(SomaAgrupBM,15-13*ORÇAMENTO!$AF$11)))</f>
        <v>0</v>
      </c>
      <c r="N275" s="381">
        <f t="shared" ca="1" si="31"/>
        <v>0</v>
      </c>
      <c r="O275" s="127">
        <f ca="1">IF($A275="S",VTOTALBM,IF($A275=0,0,ROUND(SomaAgrupBM,15-13*ORÇAMENTO!$AF$11)))</f>
        <v>0</v>
      </c>
      <c r="Q275" s="382"/>
      <c r="R275" s="383"/>
      <c r="T275" s="119" t="str">
        <f t="shared" ca="1" si="32"/>
        <v/>
      </c>
      <c r="U275" s="172" t="str">
        <f t="shared" ca="1" si="33"/>
        <v/>
      </c>
      <c r="V275" s="173" t="str">
        <f ca="1">IF(AND($W275&gt;0,RegimeExecucao="Unitário"),$F275,"")</f>
        <v/>
      </c>
      <c r="W275" s="547">
        <f ca="1">IF($Y275&gt;0,CHOOSE(MATCH(RegimeExecucao,{"Unitário","Global"},0),IF($A275="S",$Y275/$X275,""),($Y275/$X275)*100),0)</f>
        <v>0</v>
      </c>
      <c r="X275" s="384" t="str">
        <f ca="1">IF($Y275&gt;0,CHOOSE(MATCH(RegimeExecucao,{"Unitário","Global"},0),IF($A275="S",ROUND($H275,ORÇAMENTO!$AF$10),""),ROUND($I275,ORÇAMENTO!$AF$11)),"")</f>
        <v/>
      </c>
      <c r="Y275" s="384">
        <f t="shared" ca="1" si="34"/>
        <v>0</v>
      </c>
      <c r="Z275" s="572"/>
      <c r="AB275" s="382"/>
      <c r="AC275" s="516"/>
      <c r="AD275" s="516"/>
      <c r="AE275" s="516"/>
      <c r="AF275" s="516"/>
      <c r="AG275" s="516"/>
      <c r="AH275" s="516"/>
      <c r="AI275" s="516"/>
      <c r="AJ275" s="516"/>
      <c r="AK275" s="516"/>
      <c r="AL275" s="516"/>
      <c r="AM275" s="383"/>
      <c r="AO275">
        <f ca="1">IF($A275="S",IF(BM!$I275=0,0,CHOOSE(MATCH(RegimeExecucao,{"Global","Unitário"},0),ROUND(ROUND(BM.MEDAcumulado,15-13*BM!$A$9)/100*BM!$I275,15-13*ORÇAMENTO!$AF$11),ROUND(ROUND(BM.MEDAcumulado,15-13*BM!$A$9)*ROUND(BM!$H275,15-13*ORÇAMENTO!$AF$10),15-13*ORÇAMENTO!$AF$11))),IF($A275=0,0,ROUND(SomaAgrupBM,15-13*ORÇAMENTO!$AF$11)))</f>
        <v>0</v>
      </c>
    </row>
    <row r="276" spans="1:41" x14ac:dyDescent="0.2">
      <c r="A276" t="str">
        <f ca="1">ORÇAMENTO!C276</f>
        <v>S</v>
      </c>
      <c r="B276">
        <f ca="1">ORÇAMENTO!D276</f>
        <v>0</v>
      </c>
      <c r="C276" s="116" t="str">
        <f t="shared" ca="1" si="28"/>
        <v/>
      </c>
      <c r="D276" s="119" t="str">
        <f ca="1">ORÇAMENTO!O276</f>
        <v>-</v>
      </c>
      <c r="E276" s="172" t="str">
        <f t="shared" ca="1" si="29"/>
        <v>(abra o arquivo 'Referência 03-2024.xlsm)</v>
      </c>
      <c r="F276" s="173" t="str">
        <f ca="1">IF(RegimeExecucao="Global","",ORÇAMENTO.Unidade)</f>
        <v/>
      </c>
      <c r="G276" s="124" t="str">
        <f ca="1">IF(RegimeExecucao="Global","",ORÇAMENTO!T276)</f>
        <v/>
      </c>
      <c r="H276" s="124" t="str">
        <f ca="1">IF(RegimeExecucao="Global","",ORÇAMENTO!W276)</f>
        <v/>
      </c>
      <c r="I276" s="127">
        <f ca="1">ORÇAMENTO!X276</f>
        <v>0</v>
      </c>
      <c r="J276" s="378">
        <f ca="1">IF($A276="S",IF(CAIXA.Modo,BM.AFAnterior,BM.MEDAnterior),IF(AND(RegimeExecucao="Global",$I276&gt;0,COUNTIF($AB$13:$AM$13,BM.medicao-1)&gt;0),M276/$I276*100,0))</f>
        <v>0</v>
      </c>
      <c r="K276" s="124">
        <f t="shared" ca="1" si="30"/>
        <v>0</v>
      </c>
      <c r="L276" s="379">
        <f ca="1">IF($A276="S",IF(CAIXA.Modo,BM.AFAcumulado,BM.MEDAcumulado),IF(AND(RegimeExecucao="Global",$I276&gt;0,COUNTIF($AB$13:$AM$13,BM.medicao)&gt;0),O276/$I276*100,0))</f>
        <v>0</v>
      </c>
      <c r="M276" s="380">
        <f ca="1">IF($A276="S",VTOTALBM,IF($A276=0,0,ROUND(SomaAgrupBM,15-13*ORÇAMENTO!$AF$11)))</f>
        <v>0</v>
      </c>
      <c r="N276" s="381">
        <f t="shared" ca="1" si="31"/>
        <v>0</v>
      </c>
      <c r="O276" s="127">
        <f ca="1">IF($A276="S",VTOTALBM,IF($A276=0,0,ROUND(SomaAgrupBM,15-13*ORÇAMENTO!$AF$11)))</f>
        <v>0</v>
      </c>
      <c r="Q276" s="382"/>
      <c r="R276" s="383"/>
      <c r="T276" s="119" t="str">
        <f t="shared" ca="1" si="32"/>
        <v/>
      </c>
      <c r="U276" s="172" t="str">
        <f t="shared" ca="1" si="33"/>
        <v/>
      </c>
      <c r="V276" s="173" t="str">
        <f ca="1">IF(AND($W276&gt;0,RegimeExecucao="Unitário"),$F276,"")</f>
        <v/>
      </c>
      <c r="W276" s="547">
        <f ca="1">IF($Y276&gt;0,CHOOSE(MATCH(RegimeExecucao,{"Unitário","Global"},0),IF($A276="S",$Y276/$X276,""),($Y276/$X276)*100),0)</f>
        <v>0</v>
      </c>
      <c r="X276" s="384" t="str">
        <f ca="1">IF($Y276&gt;0,CHOOSE(MATCH(RegimeExecucao,{"Unitário","Global"},0),IF($A276="S",ROUND($H276,ORÇAMENTO!$AF$10),""),ROUND($I276,ORÇAMENTO!$AF$11)),"")</f>
        <v/>
      </c>
      <c r="Y276" s="384">
        <f t="shared" ca="1" si="34"/>
        <v>0</v>
      </c>
      <c r="Z276" s="572"/>
      <c r="AB276" s="382"/>
      <c r="AC276" s="516"/>
      <c r="AD276" s="516"/>
      <c r="AE276" s="516"/>
      <c r="AF276" s="516"/>
      <c r="AG276" s="516"/>
      <c r="AH276" s="516"/>
      <c r="AI276" s="516"/>
      <c r="AJ276" s="516"/>
      <c r="AK276" s="516"/>
      <c r="AL276" s="516"/>
      <c r="AM276" s="383"/>
      <c r="AO276">
        <f ca="1">IF($A276="S",IF(BM!$I276=0,0,CHOOSE(MATCH(RegimeExecucao,{"Global","Unitário"},0),ROUND(ROUND(BM.MEDAcumulado,15-13*BM!$A$9)/100*BM!$I276,15-13*ORÇAMENTO!$AF$11),ROUND(ROUND(BM.MEDAcumulado,15-13*BM!$A$9)*ROUND(BM!$H276,15-13*ORÇAMENTO!$AF$10),15-13*ORÇAMENTO!$AF$11))),IF($A276=0,0,ROUND(SomaAgrupBM,15-13*ORÇAMENTO!$AF$11)))</f>
        <v>0</v>
      </c>
    </row>
    <row r="277" spans="1:41" x14ac:dyDescent="0.2">
      <c r="A277" t="str">
        <f ca="1">ORÇAMENTO!C277</f>
        <v>S</v>
      </c>
      <c r="B277">
        <f ca="1">ORÇAMENTO!D277</f>
        <v>0</v>
      </c>
      <c r="C277" s="116" t="str">
        <f t="shared" ca="1" si="28"/>
        <v/>
      </c>
      <c r="D277" s="119" t="str">
        <f ca="1">ORÇAMENTO!O277</f>
        <v>-</v>
      </c>
      <c r="E277" s="172" t="str">
        <f t="shared" ca="1" si="29"/>
        <v>(abra o arquivo 'Referência 03-2024.xlsm)</v>
      </c>
      <c r="F277" s="173" t="str">
        <f ca="1">IF(RegimeExecucao="Global","",ORÇAMENTO.Unidade)</f>
        <v/>
      </c>
      <c r="G277" s="124" t="str">
        <f ca="1">IF(RegimeExecucao="Global","",ORÇAMENTO!T277)</f>
        <v/>
      </c>
      <c r="H277" s="124" t="str">
        <f ca="1">IF(RegimeExecucao="Global","",ORÇAMENTO!W277)</f>
        <v/>
      </c>
      <c r="I277" s="127">
        <f ca="1">ORÇAMENTO!X277</f>
        <v>0</v>
      </c>
      <c r="J277" s="378">
        <f ca="1">IF($A277="S",IF(CAIXA.Modo,BM.AFAnterior,BM.MEDAnterior),IF(AND(RegimeExecucao="Global",$I277&gt;0,COUNTIF($AB$13:$AM$13,BM.medicao-1)&gt;0),M277/$I277*100,0))</f>
        <v>0</v>
      </c>
      <c r="K277" s="124">
        <f t="shared" ca="1" si="30"/>
        <v>0</v>
      </c>
      <c r="L277" s="379">
        <f ca="1">IF($A277="S",IF(CAIXA.Modo,BM.AFAcumulado,BM.MEDAcumulado),IF(AND(RegimeExecucao="Global",$I277&gt;0,COUNTIF($AB$13:$AM$13,BM.medicao)&gt;0),O277/$I277*100,0))</f>
        <v>0</v>
      </c>
      <c r="M277" s="380">
        <f ca="1">IF($A277="S",VTOTALBM,IF($A277=0,0,ROUND(SomaAgrupBM,15-13*ORÇAMENTO!$AF$11)))</f>
        <v>0</v>
      </c>
      <c r="N277" s="381">
        <f t="shared" ca="1" si="31"/>
        <v>0</v>
      </c>
      <c r="O277" s="127">
        <f ca="1">IF($A277="S",VTOTALBM,IF($A277=0,0,ROUND(SomaAgrupBM,15-13*ORÇAMENTO!$AF$11)))</f>
        <v>0</v>
      </c>
      <c r="Q277" s="382"/>
      <c r="R277" s="383"/>
      <c r="T277" s="119" t="str">
        <f t="shared" ca="1" si="32"/>
        <v/>
      </c>
      <c r="U277" s="172" t="str">
        <f t="shared" ca="1" si="33"/>
        <v/>
      </c>
      <c r="V277" s="173" t="str">
        <f ca="1">IF(AND($W277&gt;0,RegimeExecucao="Unitário"),$F277,"")</f>
        <v/>
      </c>
      <c r="W277" s="547">
        <f ca="1">IF($Y277&gt;0,CHOOSE(MATCH(RegimeExecucao,{"Unitário","Global"},0),IF($A277="S",$Y277/$X277,""),($Y277/$X277)*100),0)</f>
        <v>0</v>
      </c>
      <c r="X277" s="384" t="str">
        <f ca="1">IF($Y277&gt;0,CHOOSE(MATCH(RegimeExecucao,{"Unitário","Global"},0),IF($A277="S",ROUND($H277,ORÇAMENTO!$AF$10),""),ROUND($I277,ORÇAMENTO!$AF$11)),"")</f>
        <v/>
      </c>
      <c r="Y277" s="384">
        <f t="shared" ca="1" si="34"/>
        <v>0</v>
      </c>
      <c r="Z277" s="572"/>
      <c r="AB277" s="382"/>
      <c r="AC277" s="516"/>
      <c r="AD277" s="516"/>
      <c r="AE277" s="516"/>
      <c r="AF277" s="516"/>
      <c r="AG277" s="516"/>
      <c r="AH277" s="516"/>
      <c r="AI277" s="516"/>
      <c r="AJ277" s="516"/>
      <c r="AK277" s="516"/>
      <c r="AL277" s="516"/>
      <c r="AM277" s="383"/>
      <c r="AO277">
        <f ca="1">IF($A277="S",IF(BM!$I277=0,0,CHOOSE(MATCH(RegimeExecucao,{"Global","Unitário"},0),ROUND(ROUND(BM.MEDAcumulado,15-13*BM!$A$9)/100*BM!$I277,15-13*ORÇAMENTO!$AF$11),ROUND(ROUND(BM.MEDAcumulado,15-13*BM!$A$9)*ROUND(BM!$H277,15-13*ORÇAMENTO!$AF$10),15-13*ORÇAMENTO!$AF$11))),IF($A277=0,0,ROUND(SomaAgrupBM,15-13*ORÇAMENTO!$AF$11)))</f>
        <v>0</v>
      </c>
    </row>
    <row r="278" spans="1:41" x14ac:dyDescent="0.2">
      <c r="A278" t="str">
        <f ca="1">ORÇAMENTO!C278</f>
        <v>S</v>
      </c>
      <c r="B278">
        <f ca="1">ORÇAMENTO!D278</f>
        <v>0</v>
      </c>
      <c r="C278" s="116" t="str">
        <f t="shared" ca="1" si="28"/>
        <v/>
      </c>
      <c r="D278" s="119" t="str">
        <f ca="1">ORÇAMENTO!O278</f>
        <v>-</v>
      </c>
      <c r="E278" s="172" t="str">
        <f t="shared" ca="1" si="29"/>
        <v>(abra o arquivo 'Referência 03-2024.xlsm)</v>
      </c>
      <c r="F278" s="173" t="str">
        <f ca="1">IF(RegimeExecucao="Global","",ORÇAMENTO.Unidade)</f>
        <v/>
      </c>
      <c r="G278" s="124" t="str">
        <f ca="1">IF(RegimeExecucao="Global","",ORÇAMENTO!T278)</f>
        <v/>
      </c>
      <c r="H278" s="124" t="str">
        <f ca="1">IF(RegimeExecucao="Global","",ORÇAMENTO!W278)</f>
        <v/>
      </c>
      <c r="I278" s="127">
        <f ca="1">ORÇAMENTO!X278</f>
        <v>0</v>
      </c>
      <c r="J278" s="378">
        <f ca="1">IF($A278="S",IF(CAIXA.Modo,BM.AFAnterior,BM.MEDAnterior),IF(AND(RegimeExecucao="Global",$I278&gt;0,COUNTIF($AB$13:$AM$13,BM.medicao-1)&gt;0),M278/$I278*100,0))</f>
        <v>0</v>
      </c>
      <c r="K278" s="124">
        <f t="shared" ca="1" si="30"/>
        <v>0</v>
      </c>
      <c r="L278" s="379">
        <f ca="1">IF($A278="S",IF(CAIXA.Modo,BM.AFAcumulado,BM.MEDAcumulado),IF(AND(RegimeExecucao="Global",$I278&gt;0,COUNTIF($AB$13:$AM$13,BM.medicao)&gt;0),O278/$I278*100,0))</f>
        <v>0</v>
      </c>
      <c r="M278" s="380">
        <f ca="1">IF($A278="S",VTOTALBM,IF($A278=0,0,ROUND(SomaAgrupBM,15-13*ORÇAMENTO!$AF$11)))</f>
        <v>0</v>
      </c>
      <c r="N278" s="381">
        <f t="shared" ca="1" si="31"/>
        <v>0</v>
      </c>
      <c r="O278" s="127">
        <f ca="1">IF($A278="S",VTOTALBM,IF($A278=0,0,ROUND(SomaAgrupBM,15-13*ORÇAMENTO!$AF$11)))</f>
        <v>0</v>
      </c>
      <c r="Q278" s="382"/>
      <c r="R278" s="383"/>
      <c r="T278" s="119" t="str">
        <f t="shared" ca="1" si="32"/>
        <v/>
      </c>
      <c r="U278" s="172" t="str">
        <f t="shared" ca="1" si="33"/>
        <v/>
      </c>
      <c r="V278" s="173" t="str">
        <f ca="1">IF(AND($W278&gt;0,RegimeExecucao="Unitário"),$F278,"")</f>
        <v/>
      </c>
      <c r="W278" s="547">
        <f ca="1">IF($Y278&gt;0,CHOOSE(MATCH(RegimeExecucao,{"Unitário","Global"},0),IF($A278="S",$Y278/$X278,""),($Y278/$X278)*100),0)</f>
        <v>0</v>
      </c>
      <c r="X278" s="384" t="str">
        <f ca="1">IF($Y278&gt;0,CHOOSE(MATCH(RegimeExecucao,{"Unitário","Global"},0),IF($A278="S",ROUND($H278,ORÇAMENTO!$AF$10),""),ROUND($I278,ORÇAMENTO!$AF$11)),"")</f>
        <v/>
      </c>
      <c r="Y278" s="384">
        <f t="shared" ca="1" si="34"/>
        <v>0</v>
      </c>
      <c r="Z278" s="572"/>
      <c r="AB278" s="382"/>
      <c r="AC278" s="516"/>
      <c r="AD278" s="516"/>
      <c r="AE278" s="516"/>
      <c r="AF278" s="516"/>
      <c r="AG278" s="516"/>
      <c r="AH278" s="516"/>
      <c r="AI278" s="516"/>
      <c r="AJ278" s="516"/>
      <c r="AK278" s="516"/>
      <c r="AL278" s="516"/>
      <c r="AM278" s="383"/>
      <c r="AO278">
        <f ca="1">IF($A278="S",IF(BM!$I278=0,0,CHOOSE(MATCH(RegimeExecucao,{"Global","Unitário"},0),ROUND(ROUND(BM.MEDAcumulado,15-13*BM!$A$9)/100*BM!$I278,15-13*ORÇAMENTO!$AF$11),ROUND(ROUND(BM.MEDAcumulado,15-13*BM!$A$9)*ROUND(BM!$H278,15-13*ORÇAMENTO!$AF$10),15-13*ORÇAMENTO!$AF$11))),IF($A278=0,0,ROUND(SomaAgrupBM,15-13*ORÇAMENTO!$AF$11)))</f>
        <v>0</v>
      </c>
    </row>
    <row r="279" spans="1:41" x14ac:dyDescent="0.2">
      <c r="A279" t="str">
        <f ca="1">ORÇAMENTO!C279</f>
        <v>S</v>
      </c>
      <c r="B279">
        <f ca="1">ORÇAMENTO!D279</f>
        <v>0</v>
      </c>
      <c r="C279" s="116" t="str">
        <f t="shared" ca="1" si="28"/>
        <v/>
      </c>
      <c r="D279" s="119" t="str">
        <f ca="1">ORÇAMENTO!O279</f>
        <v>-</v>
      </c>
      <c r="E279" s="172" t="str">
        <f t="shared" ca="1" si="29"/>
        <v>(abra o arquivo 'Referência 03-2024.xlsm)</v>
      </c>
      <c r="F279" s="173" t="str">
        <f ca="1">IF(RegimeExecucao="Global","",ORÇAMENTO.Unidade)</f>
        <v/>
      </c>
      <c r="G279" s="124" t="str">
        <f ca="1">IF(RegimeExecucao="Global","",ORÇAMENTO!T279)</f>
        <v/>
      </c>
      <c r="H279" s="124" t="str">
        <f ca="1">IF(RegimeExecucao="Global","",ORÇAMENTO!W279)</f>
        <v/>
      </c>
      <c r="I279" s="127">
        <f ca="1">ORÇAMENTO!X279</f>
        <v>0</v>
      </c>
      <c r="J279" s="378">
        <f ca="1">IF($A279="S",IF(CAIXA.Modo,BM.AFAnterior,BM.MEDAnterior),IF(AND(RegimeExecucao="Global",$I279&gt;0,COUNTIF($AB$13:$AM$13,BM.medicao-1)&gt;0),M279/$I279*100,0))</f>
        <v>0</v>
      </c>
      <c r="K279" s="124">
        <f t="shared" ca="1" si="30"/>
        <v>0</v>
      </c>
      <c r="L279" s="379">
        <f ca="1">IF($A279="S",IF(CAIXA.Modo,BM.AFAcumulado,BM.MEDAcumulado),IF(AND(RegimeExecucao="Global",$I279&gt;0,COUNTIF($AB$13:$AM$13,BM.medicao)&gt;0),O279/$I279*100,0))</f>
        <v>0</v>
      </c>
      <c r="M279" s="380">
        <f ca="1">IF($A279="S",VTOTALBM,IF($A279=0,0,ROUND(SomaAgrupBM,15-13*ORÇAMENTO!$AF$11)))</f>
        <v>0</v>
      </c>
      <c r="N279" s="381">
        <f t="shared" ca="1" si="31"/>
        <v>0</v>
      </c>
      <c r="O279" s="127">
        <f ca="1">IF($A279="S",VTOTALBM,IF($A279=0,0,ROUND(SomaAgrupBM,15-13*ORÇAMENTO!$AF$11)))</f>
        <v>0</v>
      </c>
      <c r="Q279" s="382"/>
      <c r="R279" s="383"/>
      <c r="T279" s="119" t="str">
        <f t="shared" ca="1" si="32"/>
        <v/>
      </c>
      <c r="U279" s="172" t="str">
        <f t="shared" ca="1" si="33"/>
        <v/>
      </c>
      <c r="V279" s="173" t="str">
        <f ca="1">IF(AND($W279&gt;0,RegimeExecucao="Unitário"),$F279,"")</f>
        <v/>
      </c>
      <c r="W279" s="547">
        <f ca="1">IF($Y279&gt;0,CHOOSE(MATCH(RegimeExecucao,{"Unitário","Global"},0),IF($A279="S",$Y279/$X279,""),($Y279/$X279)*100),0)</f>
        <v>0</v>
      </c>
      <c r="X279" s="384" t="str">
        <f ca="1">IF($Y279&gt;0,CHOOSE(MATCH(RegimeExecucao,{"Unitário","Global"},0),IF($A279="S",ROUND($H279,ORÇAMENTO!$AF$10),""),ROUND($I279,ORÇAMENTO!$AF$11)),"")</f>
        <v/>
      </c>
      <c r="Y279" s="384">
        <f t="shared" ca="1" si="34"/>
        <v>0</v>
      </c>
      <c r="Z279" s="572"/>
      <c r="AB279" s="382"/>
      <c r="AC279" s="516"/>
      <c r="AD279" s="516"/>
      <c r="AE279" s="516"/>
      <c r="AF279" s="516"/>
      <c r="AG279" s="516"/>
      <c r="AH279" s="516"/>
      <c r="AI279" s="516"/>
      <c r="AJ279" s="516"/>
      <c r="AK279" s="516"/>
      <c r="AL279" s="516"/>
      <c r="AM279" s="383"/>
      <c r="AO279">
        <f ca="1">IF($A279="S",IF(BM!$I279=0,0,CHOOSE(MATCH(RegimeExecucao,{"Global","Unitário"},0),ROUND(ROUND(BM.MEDAcumulado,15-13*BM!$A$9)/100*BM!$I279,15-13*ORÇAMENTO!$AF$11),ROUND(ROUND(BM.MEDAcumulado,15-13*BM!$A$9)*ROUND(BM!$H279,15-13*ORÇAMENTO!$AF$10),15-13*ORÇAMENTO!$AF$11))),IF($A279=0,0,ROUND(SomaAgrupBM,15-13*ORÇAMENTO!$AF$11)))</f>
        <v>0</v>
      </c>
    </row>
    <row r="280" spans="1:41" x14ac:dyDescent="0.2">
      <c r="A280" t="str">
        <f ca="1">ORÇAMENTO!C280</f>
        <v>S</v>
      </c>
      <c r="B280">
        <f ca="1">ORÇAMENTO!D280</f>
        <v>0</v>
      </c>
      <c r="C280" s="116" t="str">
        <f t="shared" ca="1" si="28"/>
        <v/>
      </c>
      <c r="D280" s="119" t="str">
        <f ca="1">ORÇAMENTO!O280</f>
        <v>-</v>
      </c>
      <c r="E280" s="172" t="str">
        <f t="shared" ca="1" si="29"/>
        <v>(abra o arquivo 'Referência 03-2024.xlsm)</v>
      </c>
      <c r="F280" s="173" t="str">
        <f ca="1">IF(RegimeExecucao="Global","",ORÇAMENTO.Unidade)</f>
        <v/>
      </c>
      <c r="G280" s="124" t="str">
        <f ca="1">IF(RegimeExecucao="Global","",ORÇAMENTO!T280)</f>
        <v/>
      </c>
      <c r="H280" s="124" t="str">
        <f ca="1">IF(RegimeExecucao="Global","",ORÇAMENTO!W280)</f>
        <v/>
      </c>
      <c r="I280" s="127">
        <f ca="1">ORÇAMENTO!X280</f>
        <v>0</v>
      </c>
      <c r="J280" s="378">
        <f ca="1">IF($A280="S",IF(CAIXA.Modo,BM.AFAnterior,BM.MEDAnterior),IF(AND(RegimeExecucao="Global",$I280&gt;0,COUNTIF($AB$13:$AM$13,BM.medicao-1)&gt;0),M280/$I280*100,0))</f>
        <v>0</v>
      </c>
      <c r="K280" s="124">
        <f t="shared" ca="1" si="30"/>
        <v>0</v>
      </c>
      <c r="L280" s="379">
        <f ca="1">IF($A280="S",IF(CAIXA.Modo,BM.AFAcumulado,BM.MEDAcumulado),IF(AND(RegimeExecucao="Global",$I280&gt;0,COUNTIF($AB$13:$AM$13,BM.medicao)&gt;0),O280/$I280*100,0))</f>
        <v>0</v>
      </c>
      <c r="M280" s="380">
        <f ca="1">IF($A280="S",VTOTALBM,IF($A280=0,0,ROUND(SomaAgrupBM,15-13*ORÇAMENTO!$AF$11)))</f>
        <v>0</v>
      </c>
      <c r="N280" s="381">
        <f t="shared" ca="1" si="31"/>
        <v>0</v>
      </c>
      <c r="O280" s="127">
        <f ca="1">IF($A280="S",VTOTALBM,IF($A280=0,0,ROUND(SomaAgrupBM,15-13*ORÇAMENTO!$AF$11)))</f>
        <v>0</v>
      </c>
      <c r="Q280" s="382"/>
      <c r="R280" s="383"/>
      <c r="T280" s="119" t="str">
        <f t="shared" ca="1" si="32"/>
        <v/>
      </c>
      <c r="U280" s="172" t="str">
        <f t="shared" ca="1" si="33"/>
        <v/>
      </c>
      <c r="V280" s="173" t="str">
        <f ca="1">IF(AND($W280&gt;0,RegimeExecucao="Unitário"),$F280,"")</f>
        <v/>
      </c>
      <c r="W280" s="547">
        <f ca="1">IF($Y280&gt;0,CHOOSE(MATCH(RegimeExecucao,{"Unitário","Global"},0),IF($A280="S",$Y280/$X280,""),($Y280/$X280)*100),0)</f>
        <v>0</v>
      </c>
      <c r="X280" s="384" t="str">
        <f ca="1">IF($Y280&gt;0,CHOOSE(MATCH(RegimeExecucao,{"Unitário","Global"},0),IF($A280="S",ROUND($H280,ORÇAMENTO!$AF$10),""),ROUND($I280,ORÇAMENTO!$AF$11)),"")</f>
        <v/>
      </c>
      <c r="Y280" s="384">
        <f t="shared" ca="1" si="34"/>
        <v>0</v>
      </c>
      <c r="Z280" s="572"/>
      <c r="AB280" s="382"/>
      <c r="AC280" s="516"/>
      <c r="AD280" s="516"/>
      <c r="AE280" s="516"/>
      <c r="AF280" s="516"/>
      <c r="AG280" s="516"/>
      <c r="AH280" s="516"/>
      <c r="AI280" s="516"/>
      <c r="AJ280" s="516"/>
      <c r="AK280" s="516"/>
      <c r="AL280" s="516"/>
      <c r="AM280" s="383"/>
      <c r="AO280">
        <f ca="1">IF($A280="S",IF(BM!$I280=0,0,CHOOSE(MATCH(RegimeExecucao,{"Global","Unitário"},0),ROUND(ROUND(BM.MEDAcumulado,15-13*BM!$A$9)/100*BM!$I280,15-13*ORÇAMENTO!$AF$11),ROUND(ROUND(BM.MEDAcumulado,15-13*BM!$A$9)*ROUND(BM!$H280,15-13*ORÇAMENTO!$AF$10),15-13*ORÇAMENTO!$AF$11))),IF($A280=0,0,ROUND(SomaAgrupBM,15-13*ORÇAMENTO!$AF$11)))</f>
        <v>0</v>
      </c>
    </row>
    <row r="281" spans="1:41" x14ac:dyDescent="0.2">
      <c r="A281" t="str">
        <f ca="1">ORÇAMENTO!C281</f>
        <v>S</v>
      </c>
      <c r="B281">
        <f ca="1">ORÇAMENTO!D281</f>
        <v>0</v>
      </c>
      <c r="C281" s="116" t="str">
        <f t="shared" ca="1" si="28"/>
        <v/>
      </c>
      <c r="D281" s="119" t="str">
        <f ca="1">ORÇAMENTO!O281</f>
        <v>-</v>
      </c>
      <c r="E281" s="172" t="str">
        <f t="shared" ca="1" si="29"/>
        <v>(abra o arquivo 'Referência 03-2024.xlsm)</v>
      </c>
      <c r="F281" s="173" t="str">
        <f ca="1">IF(RegimeExecucao="Global","",ORÇAMENTO.Unidade)</f>
        <v/>
      </c>
      <c r="G281" s="124" t="str">
        <f ca="1">IF(RegimeExecucao="Global","",ORÇAMENTO!T281)</f>
        <v/>
      </c>
      <c r="H281" s="124" t="str">
        <f ca="1">IF(RegimeExecucao="Global","",ORÇAMENTO!W281)</f>
        <v/>
      </c>
      <c r="I281" s="127">
        <f ca="1">ORÇAMENTO!X281</f>
        <v>0</v>
      </c>
      <c r="J281" s="378">
        <f ca="1">IF($A281="S",IF(CAIXA.Modo,BM.AFAnterior,BM.MEDAnterior),IF(AND(RegimeExecucao="Global",$I281&gt;0,COUNTIF($AB$13:$AM$13,BM.medicao-1)&gt;0),M281/$I281*100,0))</f>
        <v>0</v>
      </c>
      <c r="K281" s="124">
        <f t="shared" ca="1" si="30"/>
        <v>0</v>
      </c>
      <c r="L281" s="379">
        <f ca="1">IF($A281="S",IF(CAIXA.Modo,BM.AFAcumulado,BM.MEDAcumulado),IF(AND(RegimeExecucao="Global",$I281&gt;0,COUNTIF($AB$13:$AM$13,BM.medicao)&gt;0),O281/$I281*100,0))</f>
        <v>0</v>
      </c>
      <c r="M281" s="380">
        <f ca="1">IF($A281="S",VTOTALBM,IF($A281=0,0,ROUND(SomaAgrupBM,15-13*ORÇAMENTO!$AF$11)))</f>
        <v>0</v>
      </c>
      <c r="N281" s="381">
        <f t="shared" ca="1" si="31"/>
        <v>0</v>
      </c>
      <c r="O281" s="127">
        <f ca="1">IF($A281="S",VTOTALBM,IF($A281=0,0,ROUND(SomaAgrupBM,15-13*ORÇAMENTO!$AF$11)))</f>
        <v>0</v>
      </c>
      <c r="Q281" s="382"/>
      <c r="R281" s="383"/>
      <c r="T281" s="119" t="str">
        <f t="shared" ca="1" si="32"/>
        <v/>
      </c>
      <c r="U281" s="172" t="str">
        <f t="shared" ca="1" si="33"/>
        <v/>
      </c>
      <c r="V281" s="173" t="str">
        <f ca="1">IF(AND($W281&gt;0,RegimeExecucao="Unitário"),$F281,"")</f>
        <v/>
      </c>
      <c r="W281" s="547">
        <f ca="1">IF($Y281&gt;0,CHOOSE(MATCH(RegimeExecucao,{"Unitário","Global"},0),IF($A281="S",$Y281/$X281,""),($Y281/$X281)*100),0)</f>
        <v>0</v>
      </c>
      <c r="X281" s="384" t="str">
        <f ca="1">IF($Y281&gt;0,CHOOSE(MATCH(RegimeExecucao,{"Unitário","Global"},0),IF($A281="S",ROUND($H281,ORÇAMENTO!$AF$10),""),ROUND($I281,ORÇAMENTO!$AF$11)),"")</f>
        <v/>
      </c>
      <c r="Y281" s="384">
        <f t="shared" ca="1" si="34"/>
        <v>0</v>
      </c>
      <c r="Z281" s="572"/>
      <c r="AB281" s="382"/>
      <c r="AC281" s="516"/>
      <c r="AD281" s="516"/>
      <c r="AE281" s="516"/>
      <c r="AF281" s="516"/>
      <c r="AG281" s="516"/>
      <c r="AH281" s="516"/>
      <c r="AI281" s="516"/>
      <c r="AJ281" s="516"/>
      <c r="AK281" s="516"/>
      <c r="AL281" s="516"/>
      <c r="AM281" s="383"/>
      <c r="AO281">
        <f ca="1">IF($A281="S",IF(BM!$I281=0,0,CHOOSE(MATCH(RegimeExecucao,{"Global","Unitário"},0),ROUND(ROUND(BM.MEDAcumulado,15-13*BM!$A$9)/100*BM!$I281,15-13*ORÇAMENTO!$AF$11),ROUND(ROUND(BM.MEDAcumulado,15-13*BM!$A$9)*ROUND(BM!$H281,15-13*ORÇAMENTO!$AF$10),15-13*ORÇAMENTO!$AF$11))),IF($A281=0,0,ROUND(SomaAgrupBM,15-13*ORÇAMENTO!$AF$11)))</f>
        <v>0</v>
      </c>
    </row>
    <row r="282" spans="1:41" x14ac:dyDescent="0.2">
      <c r="A282" t="str">
        <f ca="1">ORÇAMENTO!C282</f>
        <v>S</v>
      </c>
      <c r="B282">
        <f ca="1">ORÇAMENTO!D282</f>
        <v>0</v>
      </c>
      <c r="C282" s="116" t="str">
        <f t="shared" ca="1" si="28"/>
        <v/>
      </c>
      <c r="D282" s="119" t="str">
        <f ca="1">ORÇAMENTO!O282</f>
        <v>-</v>
      </c>
      <c r="E282" s="172" t="str">
        <f t="shared" ca="1" si="29"/>
        <v>(abra o arquivo 'Referência 03-2024.xlsm)</v>
      </c>
      <c r="F282" s="173" t="str">
        <f ca="1">IF(RegimeExecucao="Global","",ORÇAMENTO.Unidade)</f>
        <v/>
      </c>
      <c r="G282" s="124" t="str">
        <f ca="1">IF(RegimeExecucao="Global","",ORÇAMENTO!T282)</f>
        <v/>
      </c>
      <c r="H282" s="124" t="str">
        <f ca="1">IF(RegimeExecucao="Global","",ORÇAMENTO!W282)</f>
        <v/>
      </c>
      <c r="I282" s="127">
        <f ca="1">ORÇAMENTO!X282</f>
        <v>0</v>
      </c>
      <c r="J282" s="378">
        <f ca="1">IF($A282="S",IF(CAIXA.Modo,BM.AFAnterior,BM.MEDAnterior),IF(AND(RegimeExecucao="Global",$I282&gt;0,COUNTIF($AB$13:$AM$13,BM.medicao-1)&gt;0),M282/$I282*100,0))</f>
        <v>0</v>
      </c>
      <c r="K282" s="124">
        <f t="shared" ca="1" si="30"/>
        <v>0</v>
      </c>
      <c r="L282" s="379">
        <f ca="1">IF($A282="S",IF(CAIXA.Modo,BM.AFAcumulado,BM.MEDAcumulado),IF(AND(RegimeExecucao="Global",$I282&gt;0,COUNTIF($AB$13:$AM$13,BM.medicao)&gt;0),O282/$I282*100,0))</f>
        <v>0</v>
      </c>
      <c r="M282" s="380">
        <f ca="1">IF($A282="S",VTOTALBM,IF($A282=0,0,ROUND(SomaAgrupBM,15-13*ORÇAMENTO!$AF$11)))</f>
        <v>0</v>
      </c>
      <c r="N282" s="381">
        <f t="shared" ca="1" si="31"/>
        <v>0</v>
      </c>
      <c r="O282" s="127">
        <f ca="1">IF($A282="S",VTOTALBM,IF($A282=0,0,ROUND(SomaAgrupBM,15-13*ORÇAMENTO!$AF$11)))</f>
        <v>0</v>
      </c>
      <c r="Q282" s="382"/>
      <c r="R282" s="383"/>
      <c r="T282" s="119" t="str">
        <f t="shared" ca="1" si="32"/>
        <v/>
      </c>
      <c r="U282" s="172" t="str">
        <f t="shared" ca="1" si="33"/>
        <v/>
      </c>
      <c r="V282" s="173" t="str">
        <f ca="1">IF(AND($W282&gt;0,RegimeExecucao="Unitário"),$F282,"")</f>
        <v/>
      </c>
      <c r="W282" s="547">
        <f ca="1">IF($Y282&gt;0,CHOOSE(MATCH(RegimeExecucao,{"Unitário","Global"},0),IF($A282="S",$Y282/$X282,""),($Y282/$X282)*100),0)</f>
        <v>0</v>
      </c>
      <c r="X282" s="384" t="str">
        <f ca="1">IF($Y282&gt;0,CHOOSE(MATCH(RegimeExecucao,{"Unitário","Global"},0),IF($A282="S",ROUND($H282,ORÇAMENTO!$AF$10),""),ROUND($I282,ORÇAMENTO!$AF$11)),"")</f>
        <v/>
      </c>
      <c r="Y282" s="384">
        <f t="shared" ca="1" si="34"/>
        <v>0</v>
      </c>
      <c r="Z282" s="572"/>
      <c r="AB282" s="382"/>
      <c r="AC282" s="516"/>
      <c r="AD282" s="516"/>
      <c r="AE282" s="516"/>
      <c r="AF282" s="516"/>
      <c r="AG282" s="516"/>
      <c r="AH282" s="516"/>
      <c r="AI282" s="516"/>
      <c r="AJ282" s="516"/>
      <c r="AK282" s="516"/>
      <c r="AL282" s="516"/>
      <c r="AM282" s="383"/>
      <c r="AO282">
        <f ca="1">IF($A282="S",IF(BM!$I282=0,0,CHOOSE(MATCH(RegimeExecucao,{"Global","Unitário"},0),ROUND(ROUND(BM.MEDAcumulado,15-13*BM!$A$9)/100*BM!$I282,15-13*ORÇAMENTO!$AF$11),ROUND(ROUND(BM.MEDAcumulado,15-13*BM!$A$9)*ROUND(BM!$H282,15-13*ORÇAMENTO!$AF$10),15-13*ORÇAMENTO!$AF$11))),IF($A282=0,0,ROUND(SomaAgrupBM,15-13*ORÇAMENTO!$AF$11)))</f>
        <v>0</v>
      </c>
    </row>
    <row r="283" spans="1:41" x14ac:dyDescent="0.2">
      <c r="A283" t="str">
        <f ca="1">ORÇAMENTO!C283</f>
        <v>S</v>
      </c>
      <c r="B283">
        <f ca="1">ORÇAMENTO!D283</f>
        <v>0</v>
      </c>
      <c r="C283" s="116" t="str">
        <f t="shared" ca="1" si="28"/>
        <v/>
      </c>
      <c r="D283" s="119" t="str">
        <f ca="1">ORÇAMENTO!O283</f>
        <v>-</v>
      </c>
      <c r="E283" s="172" t="str">
        <f t="shared" ca="1" si="29"/>
        <v>(abra o arquivo 'Referência 03-2024.xlsm)</v>
      </c>
      <c r="F283" s="173" t="str">
        <f ca="1">IF(RegimeExecucao="Global","",ORÇAMENTO.Unidade)</f>
        <v/>
      </c>
      <c r="G283" s="124" t="str">
        <f ca="1">IF(RegimeExecucao="Global","",ORÇAMENTO!T283)</f>
        <v/>
      </c>
      <c r="H283" s="124" t="str">
        <f ca="1">IF(RegimeExecucao="Global","",ORÇAMENTO!W283)</f>
        <v/>
      </c>
      <c r="I283" s="127">
        <f ca="1">ORÇAMENTO!X283</f>
        <v>0</v>
      </c>
      <c r="J283" s="378">
        <f ca="1">IF($A283="S",IF(CAIXA.Modo,BM.AFAnterior,BM.MEDAnterior),IF(AND(RegimeExecucao="Global",$I283&gt;0,COUNTIF($AB$13:$AM$13,BM.medicao-1)&gt;0),M283/$I283*100,0))</f>
        <v>0</v>
      </c>
      <c r="K283" s="124">
        <f t="shared" ca="1" si="30"/>
        <v>0</v>
      </c>
      <c r="L283" s="379">
        <f ca="1">IF($A283="S",IF(CAIXA.Modo,BM.AFAcumulado,BM.MEDAcumulado),IF(AND(RegimeExecucao="Global",$I283&gt;0,COUNTIF($AB$13:$AM$13,BM.medicao)&gt;0),O283/$I283*100,0))</f>
        <v>0</v>
      </c>
      <c r="M283" s="380">
        <f ca="1">IF($A283="S",VTOTALBM,IF($A283=0,0,ROUND(SomaAgrupBM,15-13*ORÇAMENTO!$AF$11)))</f>
        <v>0</v>
      </c>
      <c r="N283" s="381">
        <f t="shared" ca="1" si="31"/>
        <v>0</v>
      </c>
      <c r="O283" s="127">
        <f ca="1">IF($A283="S",VTOTALBM,IF($A283=0,0,ROUND(SomaAgrupBM,15-13*ORÇAMENTO!$AF$11)))</f>
        <v>0</v>
      </c>
      <c r="Q283" s="382"/>
      <c r="R283" s="383"/>
      <c r="T283" s="119" t="str">
        <f t="shared" ca="1" si="32"/>
        <v/>
      </c>
      <c r="U283" s="172" t="str">
        <f t="shared" ca="1" si="33"/>
        <v/>
      </c>
      <c r="V283" s="173" t="str">
        <f ca="1">IF(AND($W283&gt;0,RegimeExecucao="Unitário"),$F283,"")</f>
        <v/>
      </c>
      <c r="W283" s="547">
        <f ca="1">IF($Y283&gt;0,CHOOSE(MATCH(RegimeExecucao,{"Unitário","Global"},0),IF($A283="S",$Y283/$X283,""),($Y283/$X283)*100),0)</f>
        <v>0</v>
      </c>
      <c r="X283" s="384" t="str">
        <f ca="1">IF($Y283&gt;0,CHOOSE(MATCH(RegimeExecucao,{"Unitário","Global"},0),IF($A283="S",ROUND($H283,ORÇAMENTO!$AF$10),""),ROUND($I283,ORÇAMENTO!$AF$11)),"")</f>
        <v/>
      </c>
      <c r="Y283" s="384">
        <f t="shared" ca="1" si="34"/>
        <v>0</v>
      </c>
      <c r="Z283" s="572"/>
      <c r="AB283" s="382"/>
      <c r="AC283" s="516"/>
      <c r="AD283" s="516"/>
      <c r="AE283" s="516"/>
      <c r="AF283" s="516"/>
      <c r="AG283" s="516"/>
      <c r="AH283" s="516"/>
      <c r="AI283" s="516"/>
      <c r="AJ283" s="516"/>
      <c r="AK283" s="516"/>
      <c r="AL283" s="516"/>
      <c r="AM283" s="383"/>
      <c r="AO283">
        <f ca="1">IF($A283="S",IF(BM!$I283=0,0,CHOOSE(MATCH(RegimeExecucao,{"Global","Unitário"},0),ROUND(ROUND(BM.MEDAcumulado,15-13*BM!$A$9)/100*BM!$I283,15-13*ORÇAMENTO!$AF$11),ROUND(ROUND(BM.MEDAcumulado,15-13*BM!$A$9)*ROUND(BM!$H283,15-13*ORÇAMENTO!$AF$10),15-13*ORÇAMENTO!$AF$11))),IF($A283=0,0,ROUND(SomaAgrupBM,15-13*ORÇAMENTO!$AF$11)))</f>
        <v>0</v>
      </c>
    </row>
    <row r="284" spans="1:41" x14ac:dyDescent="0.2">
      <c r="A284" t="str">
        <f ca="1">ORÇAMENTO!C284</f>
        <v>S</v>
      </c>
      <c r="B284">
        <f ca="1">ORÇAMENTO!D284</f>
        <v>0</v>
      </c>
      <c r="C284" s="116" t="str">
        <f t="shared" ca="1" si="28"/>
        <v/>
      </c>
      <c r="D284" s="119" t="str">
        <f ca="1">ORÇAMENTO!O284</f>
        <v>-</v>
      </c>
      <c r="E284" s="172" t="str">
        <f t="shared" ca="1" si="29"/>
        <v>(abra o arquivo 'Referência 03-2024.xlsm)</v>
      </c>
      <c r="F284" s="173" t="str">
        <f ca="1">IF(RegimeExecucao="Global","",ORÇAMENTO.Unidade)</f>
        <v/>
      </c>
      <c r="G284" s="124" t="str">
        <f ca="1">IF(RegimeExecucao="Global","",ORÇAMENTO!T284)</f>
        <v/>
      </c>
      <c r="H284" s="124" t="str">
        <f ca="1">IF(RegimeExecucao="Global","",ORÇAMENTO!W284)</f>
        <v/>
      </c>
      <c r="I284" s="127">
        <f ca="1">ORÇAMENTO!X284</f>
        <v>0</v>
      </c>
      <c r="J284" s="378">
        <f ca="1">IF($A284="S",IF(CAIXA.Modo,BM.AFAnterior,BM.MEDAnterior),IF(AND(RegimeExecucao="Global",$I284&gt;0,COUNTIF($AB$13:$AM$13,BM.medicao-1)&gt;0),M284/$I284*100,0))</f>
        <v>0</v>
      </c>
      <c r="K284" s="124">
        <f t="shared" ca="1" si="30"/>
        <v>0</v>
      </c>
      <c r="L284" s="379">
        <f ca="1">IF($A284="S",IF(CAIXA.Modo,BM.AFAcumulado,BM.MEDAcumulado),IF(AND(RegimeExecucao="Global",$I284&gt;0,COUNTIF($AB$13:$AM$13,BM.medicao)&gt;0),O284/$I284*100,0))</f>
        <v>0</v>
      </c>
      <c r="M284" s="380">
        <f ca="1">IF($A284="S",VTOTALBM,IF($A284=0,0,ROUND(SomaAgrupBM,15-13*ORÇAMENTO!$AF$11)))</f>
        <v>0</v>
      </c>
      <c r="N284" s="381">
        <f t="shared" ca="1" si="31"/>
        <v>0</v>
      </c>
      <c r="O284" s="127">
        <f ca="1">IF($A284="S",VTOTALBM,IF($A284=0,0,ROUND(SomaAgrupBM,15-13*ORÇAMENTO!$AF$11)))</f>
        <v>0</v>
      </c>
      <c r="Q284" s="382"/>
      <c r="R284" s="383"/>
      <c r="T284" s="119" t="str">
        <f t="shared" ca="1" si="32"/>
        <v/>
      </c>
      <c r="U284" s="172" t="str">
        <f t="shared" ca="1" si="33"/>
        <v/>
      </c>
      <c r="V284" s="173" t="str">
        <f ca="1">IF(AND($W284&gt;0,RegimeExecucao="Unitário"),$F284,"")</f>
        <v/>
      </c>
      <c r="W284" s="547">
        <f ca="1">IF($Y284&gt;0,CHOOSE(MATCH(RegimeExecucao,{"Unitário","Global"},0),IF($A284="S",$Y284/$X284,""),($Y284/$X284)*100),0)</f>
        <v>0</v>
      </c>
      <c r="X284" s="384" t="str">
        <f ca="1">IF($Y284&gt;0,CHOOSE(MATCH(RegimeExecucao,{"Unitário","Global"},0),IF($A284="S",ROUND($H284,ORÇAMENTO!$AF$10),""),ROUND($I284,ORÇAMENTO!$AF$11)),"")</f>
        <v/>
      </c>
      <c r="Y284" s="384">
        <f t="shared" ca="1" si="34"/>
        <v>0</v>
      </c>
      <c r="Z284" s="572"/>
      <c r="AB284" s="382"/>
      <c r="AC284" s="516"/>
      <c r="AD284" s="516"/>
      <c r="AE284" s="516"/>
      <c r="AF284" s="516"/>
      <c r="AG284" s="516"/>
      <c r="AH284" s="516"/>
      <c r="AI284" s="516"/>
      <c r="AJ284" s="516"/>
      <c r="AK284" s="516"/>
      <c r="AL284" s="516"/>
      <c r="AM284" s="383"/>
      <c r="AO284">
        <f ca="1">IF($A284="S",IF(BM!$I284=0,0,CHOOSE(MATCH(RegimeExecucao,{"Global","Unitário"},0),ROUND(ROUND(BM.MEDAcumulado,15-13*BM!$A$9)/100*BM!$I284,15-13*ORÇAMENTO!$AF$11),ROUND(ROUND(BM.MEDAcumulado,15-13*BM!$A$9)*ROUND(BM!$H284,15-13*ORÇAMENTO!$AF$10),15-13*ORÇAMENTO!$AF$11))),IF($A284=0,0,ROUND(SomaAgrupBM,15-13*ORÇAMENTO!$AF$11)))</f>
        <v>0</v>
      </c>
    </row>
    <row r="285" spans="1:41" x14ac:dyDescent="0.2">
      <c r="A285" t="str">
        <f ca="1">ORÇAMENTO!C285</f>
        <v>S</v>
      </c>
      <c r="B285">
        <f ca="1">ORÇAMENTO!D285</f>
        <v>0</v>
      </c>
      <c r="C285" s="116" t="str">
        <f t="shared" ca="1" si="28"/>
        <v/>
      </c>
      <c r="D285" s="119" t="str">
        <f ca="1">ORÇAMENTO!O285</f>
        <v>-</v>
      </c>
      <c r="E285" s="172" t="str">
        <f t="shared" ca="1" si="29"/>
        <v>(abra o arquivo 'Referência 03-2024.xlsm)</v>
      </c>
      <c r="F285" s="173" t="str">
        <f ca="1">IF(RegimeExecucao="Global","",ORÇAMENTO.Unidade)</f>
        <v/>
      </c>
      <c r="G285" s="124" t="str">
        <f ca="1">IF(RegimeExecucao="Global","",ORÇAMENTO!T285)</f>
        <v/>
      </c>
      <c r="H285" s="124" t="str">
        <f ca="1">IF(RegimeExecucao="Global","",ORÇAMENTO!W285)</f>
        <v/>
      </c>
      <c r="I285" s="127">
        <f ca="1">ORÇAMENTO!X285</f>
        <v>0</v>
      </c>
      <c r="J285" s="378">
        <f ca="1">IF($A285="S",IF(CAIXA.Modo,BM.AFAnterior,BM.MEDAnterior),IF(AND(RegimeExecucao="Global",$I285&gt;0,COUNTIF($AB$13:$AM$13,BM.medicao-1)&gt;0),M285/$I285*100,0))</f>
        <v>0</v>
      </c>
      <c r="K285" s="124">
        <f t="shared" ca="1" si="30"/>
        <v>0</v>
      </c>
      <c r="L285" s="379">
        <f ca="1">IF($A285="S",IF(CAIXA.Modo,BM.AFAcumulado,BM.MEDAcumulado),IF(AND(RegimeExecucao="Global",$I285&gt;0,COUNTIF($AB$13:$AM$13,BM.medicao)&gt;0),O285/$I285*100,0))</f>
        <v>0</v>
      </c>
      <c r="M285" s="380">
        <f ca="1">IF($A285="S",VTOTALBM,IF($A285=0,0,ROUND(SomaAgrupBM,15-13*ORÇAMENTO!$AF$11)))</f>
        <v>0</v>
      </c>
      <c r="N285" s="381">
        <f t="shared" ca="1" si="31"/>
        <v>0</v>
      </c>
      <c r="O285" s="127">
        <f ca="1">IF($A285="S",VTOTALBM,IF($A285=0,0,ROUND(SomaAgrupBM,15-13*ORÇAMENTO!$AF$11)))</f>
        <v>0</v>
      </c>
      <c r="Q285" s="382"/>
      <c r="R285" s="383"/>
      <c r="T285" s="119" t="str">
        <f t="shared" ca="1" si="32"/>
        <v/>
      </c>
      <c r="U285" s="172" t="str">
        <f t="shared" ca="1" si="33"/>
        <v/>
      </c>
      <c r="V285" s="173" t="str">
        <f ca="1">IF(AND($W285&gt;0,RegimeExecucao="Unitário"),$F285,"")</f>
        <v/>
      </c>
      <c r="W285" s="547">
        <f ca="1">IF($Y285&gt;0,CHOOSE(MATCH(RegimeExecucao,{"Unitário","Global"},0),IF($A285="S",$Y285/$X285,""),($Y285/$X285)*100),0)</f>
        <v>0</v>
      </c>
      <c r="X285" s="384" t="str">
        <f ca="1">IF($Y285&gt;0,CHOOSE(MATCH(RegimeExecucao,{"Unitário","Global"},0),IF($A285="S",ROUND($H285,ORÇAMENTO!$AF$10),""),ROUND($I285,ORÇAMENTO!$AF$11)),"")</f>
        <v/>
      </c>
      <c r="Y285" s="384">
        <f t="shared" ca="1" si="34"/>
        <v>0</v>
      </c>
      <c r="Z285" s="572"/>
      <c r="AB285" s="382"/>
      <c r="AC285" s="516"/>
      <c r="AD285" s="516"/>
      <c r="AE285" s="516"/>
      <c r="AF285" s="516"/>
      <c r="AG285" s="516"/>
      <c r="AH285" s="516"/>
      <c r="AI285" s="516"/>
      <c r="AJ285" s="516"/>
      <c r="AK285" s="516"/>
      <c r="AL285" s="516"/>
      <c r="AM285" s="383"/>
      <c r="AO285">
        <f ca="1">IF($A285="S",IF(BM!$I285=0,0,CHOOSE(MATCH(RegimeExecucao,{"Global","Unitário"},0),ROUND(ROUND(BM.MEDAcumulado,15-13*BM!$A$9)/100*BM!$I285,15-13*ORÇAMENTO!$AF$11),ROUND(ROUND(BM.MEDAcumulado,15-13*BM!$A$9)*ROUND(BM!$H285,15-13*ORÇAMENTO!$AF$10),15-13*ORÇAMENTO!$AF$11))),IF($A285=0,0,ROUND(SomaAgrupBM,15-13*ORÇAMENTO!$AF$11)))</f>
        <v>0</v>
      </c>
    </row>
    <row r="286" spans="1:41" x14ac:dyDescent="0.2">
      <c r="A286" t="str">
        <f ca="1">ORÇAMENTO!C286</f>
        <v>S</v>
      </c>
      <c r="B286">
        <f ca="1">ORÇAMENTO!D286</f>
        <v>0</v>
      </c>
      <c r="C286" s="116" t="str">
        <f t="shared" ca="1" si="28"/>
        <v/>
      </c>
      <c r="D286" s="119" t="str">
        <f ca="1">ORÇAMENTO!O286</f>
        <v>-</v>
      </c>
      <c r="E286" s="172" t="str">
        <f t="shared" ca="1" si="29"/>
        <v>(abra o arquivo 'Referência 03-2024.xlsm)</v>
      </c>
      <c r="F286" s="173" t="str">
        <f ca="1">IF(RegimeExecucao="Global","",ORÇAMENTO.Unidade)</f>
        <v/>
      </c>
      <c r="G286" s="124" t="str">
        <f ca="1">IF(RegimeExecucao="Global","",ORÇAMENTO!T286)</f>
        <v/>
      </c>
      <c r="H286" s="124" t="str">
        <f ca="1">IF(RegimeExecucao="Global","",ORÇAMENTO!W286)</f>
        <v/>
      </c>
      <c r="I286" s="127">
        <f ca="1">ORÇAMENTO!X286</f>
        <v>0</v>
      </c>
      <c r="J286" s="378">
        <f ca="1">IF($A286="S",IF(CAIXA.Modo,BM.AFAnterior,BM.MEDAnterior),IF(AND(RegimeExecucao="Global",$I286&gt;0,COUNTIF($AB$13:$AM$13,BM.medicao-1)&gt;0),M286/$I286*100,0))</f>
        <v>0</v>
      </c>
      <c r="K286" s="124">
        <f t="shared" ca="1" si="30"/>
        <v>0</v>
      </c>
      <c r="L286" s="379">
        <f ca="1">IF($A286="S",IF(CAIXA.Modo,BM.AFAcumulado,BM.MEDAcumulado),IF(AND(RegimeExecucao="Global",$I286&gt;0,COUNTIF($AB$13:$AM$13,BM.medicao)&gt;0),O286/$I286*100,0))</f>
        <v>0</v>
      </c>
      <c r="M286" s="380">
        <f ca="1">IF($A286="S",VTOTALBM,IF($A286=0,0,ROUND(SomaAgrupBM,15-13*ORÇAMENTO!$AF$11)))</f>
        <v>0</v>
      </c>
      <c r="N286" s="381">
        <f t="shared" ca="1" si="31"/>
        <v>0</v>
      </c>
      <c r="O286" s="127">
        <f ca="1">IF($A286="S",VTOTALBM,IF($A286=0,0,ROUND(SomaAgrupBM,15-13*ORÇAMENTO!$AF$11)))</f>
        <v>0</v>
      </c>
      <c r="Q286" s="382"/>
      <c r="R286" s="383"/>
      <c r="T286" s="119" t="str">
        <f t="shared" ca="1" si="32"/>
        <v/>
      </c>
      <c r="U286" s="172" t="str">
        <f t="shared" ca="1" si="33"/>
        <v/>
      </c>
      <c r="V286" s="173" t="str">
        <f ca="1">IF(AND($W286&gt;0,RegimeExecucao="Unitário"),$F286,"")</f>
        <v/>
      </c>
      <c r="W286" s="547">
        <f ca="1">IF($Y286&gt;0,CHOOSE(MATCH(RegimeExecucao,{"Unitário","Global"},0),IF($A286="S",$Y286/$X286,""),($Y286/$X286)*100),0)</f>
        <v>0</v>
      </c>
      <c r="X286" s="384" t="str">
        <f ca="1">IF($Y286&gt;0,CHOOSE(MATCH(RegimeExecucao,{"Unitário","Global"},0),IF($A286="S",ROUND($H286,ORÇAMENTO!$AF$10),""),ROUND($I286,ORÇAMENTO!$AF$11)),"")</f>
        <v/>
      </c>
      <c r="Y286" s="384">
        <f t="shared" ca="1" si="34"/>
        <v>0</v>
      </c>
      <c r="Z286" s="572"/>
      <c r="AB286" s="382"/>
      <c r="AC286" s="516"/>
      <c r="AD286" s="516"/>
      <c r="AE286" s="516"/>
      <c r="AF286" s="516"/>
      <c r="AG286" s="516"/>
      <c r="AH286" s="516"/>
      <c r="AI286" s="516"/>
      <c r="AJ286" s="516"/>
      <c r="AK286" s="516"/>
      <c r="AL286" s="516"/>
      <c r="AM286" s="383"/>
      <c r="AO286">
        <f ca="1">IF($A286="S",IF(BM!$I286=0,0,CHOOSE(MATCH(RegimeExecucao,{"Global","Unitário"},0),ROUND(ROUND(BM.MEDAcumulado,15-13*BM!$A$9)/100*BM!$I286,15-13*ORÇAMENTO!$AF$11),ROUND(ROUND(BM.MEDAcumulado,15-13*BM!$A$9)*ROUND(BM!$H286,15-13*ORÇAMENTO!$AF$10),15-13*ORÇAMENTO!$AF$11))),IF($A286=0,0,ROUND(SomaAgrupBM,15-13*ORÇAMENTO!$AF$11)))</f>
        <v>0</v>
      </c>
    </row>
    <row r="287" spans="1:41" x14ac:dyDescent="0.2">
      <c r="A287" t="str">
        <f ca="1">ORÇAMENTO!C287</f>
        <v>S</v>
      </c>
      <c r="B287">
        <f ca="1">ORÇAMENTO!D287</f>
        <v>0</v>
      </c>
      <c r="C287" s="116" t="str">
        <f t="shared" ca="1" si="28"/>
        <v/>
      </c>
      <c r="D287" s="119" t="str">
        <f ca="1">ORÇAMENTO!O287</f>
        <v>-</v>
      </c>
      <c r="E287" s="172" t="str">
        <f t="shared" ca="1" si="29"/>
        <v>(abra o arquivo 'Referência 03-2024.xlsm)</v>
      </c>
      <c r="F287" s="173" t="str">
        <f ca="1">IF(RegimeExecucao="Global","",ORÇAMENTO.Unidade)</f>
        <v/>
      </c>
      <c r="G287" s="124" t="str">
        <f ca="1">IF(RegimeExecucao="Global","",ORÇAMENTO!T287)</f>
        <v/>
      </c>
      <c r="H287" s="124" t="str">
        <f ca="1">IF(RegimeExecucao="Global","",ORÇAMENTO!W287)</f>
        <v/>
      </c>
      <c r="I287" s="127">
        <f ca="1">ORÇAMENTO!X287</f>
        <v>0</v>
      </c>
      <c r="J287" s="378">
        <f ca="1">IF($A287="S",IF(CAIXA.Modo,BM.AFAnterior,BM.MEDAnterior),IF(AND(RegimeExecucao="Global",$I287&gt;0,COUNTIF($AB$13:$AM$13,BM.medicao-1)&gt;0),M287/$I287*100,0))</f>
        <v>0</v>
      </c>
      <c r="K287" s="124">
        <f t="shared" ca="1" si="30"/>
        <v>0</v>
      </c>
      <c r="L287" s="379">
        <f ca="1">IF($A287="S",IF(CAIXA.Modo,BM.AFAcumulado,BM.MEDAcumulado),IF(AND(RegimeExecucao="Global",$I287&gt;0,COUNTIF($AB$13:$AM$13,BM.medicao)&gt;0),O287/$I287*100,0))</f>
        <v>0</v>
      </c>
      <c r="M287" s="380">
        <f ca="1">IF($A287="S",VTOTALBM,IF($A287=0,0,ROUND(SomaAgrupBM,15-13*ORÇAMENTO!$AF$11)))</f>
        <v>0</v>
      </c>
      <c r="N287" s="381">
        <f t="shared" ca="1" si="31"/>
        <v>0</v>
      </c>
      <c r="O287" s="127">
        <f ca="1">IF($A287="S",VTOTALBM,IF($A287=0,0,ROUND(SomaAgrupBM,15-13*ORÇAMENTO!$AF$11)))</f>
        <v>0</v>
      </c>
      <c r="Q287" s="382"/>
      <c r="R287" s="383"/>
      <c r="T287" s="119" t="str">
        <f t="shared" ca="1" si="32"/>
        <v/>
      </c>
      <c r="U287" s="172" t="str">
        <f t="shared" ca="1" si="33"/>
        <v/>
      </c>
      <c r="V287" s="173" t="str">
        <f ca="1">IF(AND($W287&gt;0,RegimeExecucao="Unitário"),$F287,"")</f>
        <v/>
      </c>
      <c r="W287" s="547">
        <f ca="1">IF($Y287&gt;0,CHOOSE(MATCH(RegimeExecucao,{"Unitário","Global"},0),IF($A287="S",$Y287/$X287,""),($Y287/$X287)*100),0)</f>
        <v>0</v>
      </c>
      <c r="X287" s="384" t="str">
        <f ca="1">IF($Y287&gt;0,CHOOSE(MATCH(RegimeExecucao,{"Unitário","Global"},0),IF($A287="S",ROUND($H287,ORÇAMENTO!$AF$10),""),ROUND($I287,ORÇAMENTO!$AF$11)),"")</f>
        <v/>
      </c>
      <c r="Y287" s="384">
        <f t="shared" ca="1" si="34"/>
        <v>0</v>
      </c>
      <c r="Z287" s="572"/>
      <c r="AB287" s="382"/>
      <c r="AC287" s="516"/>
      <c r="AD287" s="516"/>
      <c r="AE287" s="516"/>
      <c r="AF287" s="516"/>
      <c r="AG287" s="516"/>
      <c r="AH287" s="516"/>
      <c r="AI287" s="516"/>
      <c r="AJ287" s="516"/>
      <c r="AK287" s="516"/>
      <c r="AL287" s="516"/>
      <c r="AM287" s="383"/>
      <c r="AO287">
        <f ca="1">IF($A287="S",IF(BM!$I287=0,0,CHOOSE(MATCH(RegimeExecucao,{"Global","Unitário"},0),ROUND(ROUND(BM.MEDAcumulado,15-13*BM!$A$9)/100*BM!$I287,15-13*ORÇAMENTO!$AF$11),ROUND(ROUND(BM.MEDAcumulado,15-13*BM!$A$9)*ROUND(BM!$H287,15-13*ORÇAMENTO!$AF$10),15-13*ORÇAMENTO!$AF$11))),IF($A287=0,0,ROUND(SomaAgrupBM,15-13*ORÇAMENTO!$AF$11)))</f>
        <v>0</v>
      </c>
    </row>
    <row r="288" spans="1:41" x14ac:dyDescent="0.2">
      <c r="A288" t="str">
        <f ca="1">ORÇAMENTO!C288</f>
        <v>S</v>
      </c>
      <c r="B288">
        <f ca="1">ORÇAMENTO!D288</f>
        <v>0</v>
      </c>
      <c r="C288" s="116" t="str">
        <f t="shared" ca="1" si="28"/>
        <v/>
      </c>
      <c r="D288" s="119" t="str">
        <f ca="1">ORÇAMENTO!O288</f>
        <v>-</v>
      </c>
      <c r="E288" s="172" t="str">
        <f t="shared" ca="1" si="29"/>
        <v>(abra o arquivo 'Referência 03-2024.xlsm)</v>
      </c>
      <c r="F288" s="173" t="str">
        <f ca="1">IF(RegimeExecucao="Global","",ORÇAMENTO.Unidade)</f>
        <v/>
      </c>
      <c r="G288" s="124" t="str">
        <f ca="1">IF(RegimeExecucao="Global","",ORÇAMENTO!T288)</f>
        <v/>
      </c>
      <c r="H288" s="124" t="str">
        <f ca="1">IF(RegimeExecucao="Global","",ORÇAMENTO!W288)</f>
        <v/>
      </c>
      <c r="I288" s="127">
        <f ca="1">ORÇAMENTO!X288</f>
        <v>0</v>
      </c>
      <c r="J288" s="378">
        <f ca="1">IF($A288="S",IF(CAIXA.Modo,BM.AFAnterior,BM.MEDAnterior),IF(AND(RegimeExecucao="Global",$I288&gt;0,COUNTIF($AB$13:$AM$13,BM.medicao-1)&gt;0),M288/$I288*100,0))</f>
        <v>0</v>
      </c>
      <c r="K288" s="124">
        <f t="shared" ca="1" si="30"/>
        <v>0</v>
      </c>
      <c r="L288" s="379">
        <f ca="1">IF($A288="S",IF(CAIXA.Modo,BM.AFAcumulado,BM.MEDAcumulado),IF(AND(RegimeExecucao="Global",$I288&gt;0,COUNTIF($AB$13:$AM$13,BM.medicao)&gt;0),O288/$I288*100,0))</f>
        <v>0</v>
      </c>
      <c r="M288" s="380">
        <f ca="1">IF($A288="S",VTOTALBM,IF($A288=0,0,ROUND(SomaAgrupBM,15-13*ORÇAMENTO!$AF$11)))</f>
        <v>0</v>
      </c>
      <c r="N288" s="381">
        <f t="shared" ca="1" si="31"/>
        <v>0</v>
      </c>
      <c r="O288" s="127">
        <f ca="1">IF($A288="S",VTOTALBM,IF($A288=0,0,ROUND(SomaAgrupBM,15-13*ORÇAMENTO!$AF$11)))</f>
        <v>0</v>
      </c>
      <c r="Q288" s="382"/>
      <c r="R288" s="383"/>
      <c r="T288" s="119" t="str">
        <f t="shared" ca="1" si="32"/>
        <v/>
      </c>
      <c r="U288" s="172" t="str">
        <f t="shared" ca="1" si="33"/>
        <v/>
      </c>
      <c r="V288" s="173" t="str">
        <f ca="1">IF(AND($W288&gt;0,RegimeExecucao="Unitário"),$F288,"")</f>
        <v/>
      </c>
      <c r="W288" s="547">
        <f ca="1">IF($Y288&gt;0,CHOOSE(MATCH(RegimeExecucao,{"Unitário","Global"},0),IF($A288="S",$Y288/$X288,""),($Y288/$X288)*100),0)</f>
        <v>0</v>
      </c>
      <c r="X288" s="384" t="str">
        <f ca="1">IF($Y288&gt;0,CHOOSE(MATCH(RegimeExecucao,{"Unitário","Global"},0),IF($A288="S",ROUND($H288,ORÇAMENTO!$AF$10),""),ROUND($I288,ORÇAMENTO!$AF$11)),"")</f>
        <v/>
      </c>
      <c r="Y288" s="384">
        <f t="shared" ca="1" si="34"/>
        <v>0</v>
      </c>
      <c r="Z288" s="572"/>
      <c r="AB288" s="382"/>
      <c r="AC288" s="516"/>
      <c r="AD288" s="516"/>
      <c r="AE288" s="516"/>
      <c r="AF288" s="516"/>
      <c r="AG288" s="516"/>
      <c r="AH288" s="516"/>
      <c r="AI288" s="516"/>
      <c r="AJ288" s="516"/>
      <c r="AK288" s="516"/>
      <c r="AL288" s="516"/>
      <c r="AM288" s="383"/>
      <c r="AO288">
        <f ca="1">IF($A288="S",IF(BM!$I288=0,0,CHOOSE(MATCH(RegimeExecucao,{"Global","Unitário"},0),ROUND(ROUND(BM.MEDAcumulado,15-13*BM!$A$9)/100*BM!$I288,15-13*ORÇAMENTO!$AF$11),ROUND(ROUND(BM.MEDAcumulado,15-13*BM!$A$9)*ROUND(BM!$H288,15-13*ORÇAMENTO!$AF$10),15-13*ORÇAMENTO!$AF$11))),IF($A288=0,0,ROUND(SomaAgrupBM,15-13*ORÇAMENTO!$AF$11)))</f>
        <v>0</v>
      </c>
    </row>
    <row r="289" spans="1:41" x14ac:dyDescent="0.2">
      <c r="A289" t="str">
        <f ca="1">ORÇAMENTO!C289</f>
        <v>S</v>
      </c>
      <c r="B289">
        <f ca="1">ORÇAMENTO!D289</f>
        <v>0</v>
      </c>
      <c r="C289" s="116" t="str">
        <f t="shared" ca="1" si="28"/>
        <v/>
      </c>
      <c r="D289" s="119" t="str">
        <f ca="1">ORÇAMENTO!O289</f>
        <v>-</v>
      </c>
      <c r="E289" s="172" t="str">
        <f t="shared" ca="1" si="29"/>
        <v>(abra o arquivo 'Referência 03-2024.xlsm)</v>
      </c>
      <c r="F289" s="173" t="str">
        <f ca="1">IF(RegimeExecucao="Global","",ORÇAMENTO.Unidade)</f>
        <v/>
      </c>
      <c r="G289" s="124" t="str">
        <f ca="1">IF(RegimeExecucao="Global","",ORÇAMENTO!T289)</f>
        <v/>
      </c>
      <c r="H289" s="124" t="str">
        <f ca="1">IF(RegimeExecucao="Global","",ORÇAMENTO!W289)</f>
        <v/>
      </c>
      <c r="I289" s="127">
        <f ca="1">ORÇAMENTO!X289</f>
        <v>0</v>
      </c>
      <c r="J289" s="378">
        <f ca="1">IF($A289="S",IF(CAIXA.Modo,BM.AFAnterior,BM.MEDAnterior),IF(AND(RegimeExecucao="Global",$I289&gt;0,COUNTIF($AB$13:$AM$13,BM.medicao-1)&gt;0),M289/$I289*100,0))</f>
        <v>0</v>
      </c>
      <c r="K289" s="124">
        <f t="shared" ca="1" si="30"/>
        <v>0</v>
      </c>
      <c r="L289" s="379">
        <f ca="1">IF($A289="S",IF(CAIXA.Modo,BM.AFAcumulado,BM.MEDAcumulado),IF(AND(RegimeExecucao="Global",$I289&gt;0,COUNTIF($AB$13:$AM$13,BM.medicao)&gt;0),O289/$I289*100,0))</f>
        <v>0</v>
      </c>
      <c r="M289" s="380">
        <f ca="1">IF($A289="S",VTOTALBM,IF($A289=0,0,ROUND(SomaAgrupBM,15-13*ORÇAMENTO!$AF$11)))</f>
        <v>0</v>
      </c>
      <c r="N289" s="381">
        <f t="shared" ca="1" si="31"/>
        <v>0</v>
      </c>
      <c r="O289" s="127">
        <f ca="1">IF($A289="S",VTOTALBM,IF($A289=0,0,ROUND(SomaAgrupBM,15-13*ORÇAMENTO!$AF$11)))</f>
        <v>0</v>
      </c>
      <c r="Q289" s="382"/>
      <c r="R289" s="383"/>
      <c r="T289" s="119" t="str">
        <f t="shared" ca="1" si="32"/>
        <v/>
      </c>
      <c r="U289" s="172" t="str">
        <f t="shared" ca="1" si="33"/>
        <v/>
      </c>
      <c r="V289" s="173" t="str">
        <f ca="1">IF(AND($W289&gt;0,RegimeExecucao="Unitário"),$F289,"")</f>
        <v/>
      </c>
      <c r="W289" s="547">
        <f ca="1">IF($Y289&gt;0,CHOOSE(MATCH(RegimeExecucao,{"Unitário","Global"},0),IF($A289="S",$Y289/$X289,""),($Y289/$X289)*100),0)</f>
        <v>0</v>
      </c>
      <c r="X289" s="384" t="str">
        <f ca="1">IF($Y289&gt;0,CHOOSE(MATCH(RegimeExecucao,{"Unitário","Global"},0),IF($A289="S",ROUND($H289,ORÇAMENTO!$AF$10),""),ROUND($I289,ORÇAMENTO!$AF$11)),"")</f>
        <v/>
      </c>
      <c r="Y289" s="384">
        <f t="shared" ca="1" si="34"/>
        <v>0</v>
      </c>
      <c r="Z289" s="572"/>
      <c r="AB289" s="382"/>
      <c r="AC289" s="516"/>
      <c r="AD289" s="516"/>
      <c r="AE289" s="516"/>
      <c r="AF289" s="516"/>
      <c r="AG289" s="516"/>
      <c r="AH289" s="516"/>
      <c r="AI289" s="516"/>
      <c r="AJ289" s="516"/>
      <c r="AK289" s="516"/>
      <c r="AL289" s="516"/>
      <c r="AM289" s="383"/>
      <c r="AO289">
        <f ca="1">IF($A289="S",IF(BM!$I289=0,0,CHOOSE(MATCH(RegimeExecucao,{"Global","Unitário"},0),ROUND(ROUND(BM.MEDAcumulado,15-13*BM!$A$9)/100*BM!$I289,15-13*ORÇAMENTO!$AF$11),ROUND(ROUND(BM.MEDAcumulado,15-13*BM!$A$9)*ROUND(BM!$H289,15-13*ORÇAMENTO!$AF$10),15-13*ORÇAMENTO!$AF$11))),IF($A289=0,0,ROUND(SomaAgrupBM,15-13*ORÇAMENTO!$AF$11)))</f>
        <v>0</v>
      </c>
    </row>
    <row r="290" spans="1:41" ht="5.0999999999999996" customHeight="1" x14ac:dyDescent="0.2">
      <c r="C290" s="116" t="s">
        <v>246</v>
      </c>
      <c r="D290" s="484"/>
      <c r="E290" s="485"/>
      <c r="F290" s="485"/>
      <c r="G290" s="485"/>
      <c r="H290" s="485"/>
      <c r="I290" s="486"/>
      <c r="J290" s="484"/>
      <c r="K290" s="485"/>
      <c r="L290" s="486"/>
      <c r="M290" s="513"/>
      <c r="N290" s="514"/>
      <c r="O290" s="515"/>
      <c r="Q290" s="484"/>
      <c r="R290" s="486"/>
      <c r="T290" s="484"/>
      <c r="U290" s="485"/>
      <c r="V290" s="485"/>
      <c r="W290" s="485"/>
      <c r="X290" s="485"/>
      <c r="Y290" s="485"/>
      <c r="Z290" s="486"/>
      <c r="AB290" s="484"/>
      <c r="AC290" s="485"/>
      <c r="AD290" s="485"/>
      <c r="AE290" s="485"/>
      <c r="AF290" s="485"/>
      <c r="AG290" s="485"/>
      <c r="AH290" s="485"/>
      <c r="AI290" s="485"/>
      <c r="AJ290" s="485"/>
      <c r="AK290" s="485"/>
      <c r="AL290" s="485"/>
      <c r="AM290" s="486"/>
    </row>
    <row r="292" spans="1:41" ht="14.25" x14ac:dyDescent="0.2">
      <c r="D292" s="682" t="s">
        <v>187</v>
      </c>
      <c r="E292" s="682"/>
      <c r="F292" s="682"/>
      <c r="G292" s="682"/>
      <c r="H292" s="682"/>
      <c r="I292" s="682"/>
      <c r="J292" s="682"/>
      <c r="K292" s="682"/>
      <c r="L292" s="682"/>
      <c r="M292" s="682"/>
      <c r="N292" s="682"/>
      <c r="O292" s="682"/>
      <c r="T292" s="683" t="s">
        <v>353</v>
      </c>
      <c r="U292" s="683"/>
      <c r="V292" s="683"/>
      <c r="W292" s="683"/>
      <c r="X292" s="683"/>
      <c r="Y292" s="683"/>
      <c r="Z292" s="683"/>
    </row>
    <row r="293" spans="1:41" ht="12.75" customHeight="1" x14ac:dyDescent="0.2">
      <c r="D293" s="613"/>
      <c r="E293" s="613"/>
      <c r="F293" s="613"/>
      <c r="G293" s="613"/>
      <c r="H293" s="613"/>
      <c r="I293" s="613"/>
      <c r="J293" s="613"/>
      <c r="K293" s="613"/>
      <c r="L293" s="613"/>
      <c r="M293" s="613"/>
      <c r="N293" s="613"/>
      <c r="O293" s="613"/>
      <c r="T293" s="684"/>
      <c r="U293" s="684"/>
      <c r="V293" s="684"/>
      <c r="W293" s="684"/>
      <c r="X293" s="684"/>
      <c r="Y293" s="684"/>
      <c r="Z293" s="684"/>
    </row>
    <row r="294" spans="1:41" ht="12.75" customHeight="1" x14ac:dyDescent="0.2">
      <c r="D294" s="613"/>
      <c r="E294" s="613"/>
      <c r="F294" s="613"/>
      <c r="G294" s="613"/>
      <c r="H294" s="613"/>
      <c r="I294" s="613"/>
      <c r="J294" s="613"/>
      <c r="K294" s="613"/>
      <c r="L294" s="613"/>
      <c r="M294" s="613"/>
      <c r="N294" s="613"/>
      <c r="O294" s="613"/>
      <c r="T294" s="684"/>
      <c r="U294" s="684"/>
      <c r="V294" s="684"/>
      <c r="W294" s="684"/>
      <c r="X294" s="684"/>
      <c r="Y294" s="684"/>
      <c r="Z294" s="684"/>
    </row>
    <row r="295" spans="1:41" ht="12.75" customHeight="1" x14ac:dyDescent="0.2">
      <c r="D295" s="613"/>
      <c r="E295" s="613"/>
      <c r="F295" s="613"/>
      <c r="G295" s="613"/>
      <c r="H295" s="613"/>
      <c r="I295" s="613"/>
      <c r="J295" s="613"/>
      <c r="K295" s="613"/>
      <c r="L295" s="613"/>
      <c r="M295" s="613"/>
      <c r="N295" s="613"/>
      <c r="O295" s="613"/>
      <c r="T295" s="684"/>
      <c r="U295" s="684"/>
      <c r="V295" s="684"/>
      <c r="W295" s="684"/>
      <c r="X295" s="684"/>
      <c r="Y295" s="684"/>
      <c r="Z295" s="684"/>
    </row>
    <row r="296" spans="1:41" ht="14.25" x14ac:dyDescent="0.2">
      <c r="D296" s="534"/>
      <c r="E296" s="534"/>
      <c r="F296" s="534"/>
      <c r="G296" s="534"/>
      <c r="H296" s="534"/>
      <c r="I296" s="534"/>
      <c r="J296" s="534"/>
      <c r="K296" s="534"/>
      <c r="L296" s="534"/>
      <c r="M296" s="534"/>
      <c r="N296" s="534"/>
      <c r="O296" s="534"/>
    </row>
    <row r="297" spans="1:41" ht="15" customHeight="1" x14ac:dyDescent="0.25">
      <c r="D297" s="614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total; Medição.</v>
      </c>
      <c r="E297" s="614"/>
      <c r="F297" s="614"/>
      <c r="G297" s="614"/>
      <c r="H297" s="614"/>
      <c r="I297" s="614"/>
      <c r="J297" s="614"/>
      <c r="K297" s="614"/>
      <c r="L297" s="614"/>
    </row>
    <row r="298" spans="1:41" x14ac:dyDescent="0.2">
      <c r="D298" s="680"/>
      <c r="E298" s="680"/>
      <c r="F298" s="680"/>
      <c r="G298" s="680"/>
      <c r="H298" s="680"/>
      <c r="I298" s="680"/>
    </row>
    <row r="299" spans="1:41" x14ac:dyDescent="0.2">
      <c r="D299" s="68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299" s="687"/>
      <c r="F299" s="687"/>
      <c r="G299" s="687"/>
      <c r="H299" s="687"/>
      <c r="I299" s="687"/>
      <c r="J299" s="687"/>
      <c r="K299" s="687"/>
      <c r="L299" s="687"/>
      <c r="M299" s="687"/>
      <c r="N299" s="687"/>
      <c r="O299" s="687"/>
    </row>
    <row r="300" spans="1:41" ht="39.950000000000003" customHeight="1" x14ac:dyDescent="0.2">
      <c r="E300" s="144" t="str">
        <f>Import.Município</f>
        <v>RONDINHA - RS</v>
      </c>
      <c r="J300" s="688"/>
      <c r="K300" s="688"/>
      <c r="L300" s="688"/>
      <c r="M300" s="688"/>
      <c r="W300" s="688"/>
      <c r="X300" s="688"/>
      <c r="Y300" s="688"/>
      <c r="Z300" s="688"/>
    </row>
    <row r="301" spans="1:41" x14ac:dyDescent="0.2">
      <c r="E301" s="10" t="s">
        <v>188</v>
      </c>
      <c r="J301" s="195" t="s">
        <v>302</v>
      </c>
      <c r="W301" s="195" t="s">
        <v>354</v>
      </c>
    </row>
    <row r="302" spans="1:41" x14ac:dyDescent="0.2">
      <c r="J302" s="78" t="s">
        <v>108</v>
      </c>
      <c r="K302" s="312" t="str">
        <f t="array" ref="K302:K305">Import.RespFiscalização</f>
        <v>MARCELO SETTI</v>
      </c>
      <c r="L302" s="79"/>
      <c r="W302" s="78" t="s">
        <v>108</v>
      </c>
      <c r="X302" s="686"/>
      <c r="Y302" s="686"/>
      <c r="Z302" s="686"/>
    </row>
    <row r="303" spans="1:41" x14ac:dyDescent="0.2">
      <c r="E303" s="552">
        <f ca="1">DADOS!$F$48</f>
        <v>45412</v>
      </c>
      <c r="J303" s="78" t="s">
        <v>127</v>
      </c>
      <c r="K303" s="312" t="str">
        <v>ENGENHEIRO CIVIL</v>
      </c>
      <c r="L303" s="79"/>
      <c r="W303" s="78" t="s">
        <v>355</v>
      </c>
      <c r="X303" s="686"/>
      <c r="Y303" s="686"/>
      <c r="Z303" s="686"/>
    </row>
    <row r="304" spans="1:41" x14ac:dyDescent="0.2">
      <c r="E304" s="146" t="s">
        <v>189</v>
      </c>
      <c r="J304" s="78" t="s">
        <v>109</v>
      </c>
      <c r="K304" s="312" t="str">
        <v>CREA/RS 226290</v>
      </c>
      <c r="L304" s="79"/>
      <c r="W304" s="78" t="s">
        <v>109</v>
      </c>
      <c r="X304" s="686"/>
      <c r="Y304" s="686"/>
      <c r="Z304" s="686"/>
    </row>
    <row r="305" spans="10:24" x14ac:dyDescent="0.2">
      <c r="J305" s="78" t="s">
        <v>110</v>
      </c>
      <c r="K305" s="13" t="str">
        <v>13152333</v>
      </c>
      <c r="W305" s="78"/>
      <c r="X305" s="13"/>
    </row>
  </sheetData>
  <sheetProtection algorithmName="SHA-512" hashValue="DKsigrYCZdytiAc7DKumI6pn09bnfDqQcxfPuZhBGxsqBS82bbXGjo2wOepbAsZPChadFK8s3qLHBC7EZQJ5nQ==" saltValue="yR+cRC6A50XQghZ3gYK8Pg==" spinCount="100000" sheet="1" objects="1" scenarios="1" autoFilter="0"/>
  <autoFilter ref="C15:C290" xr:uid="{00000000-0009-0000-0000-00000B000000}"/>
  <mergeCells count="35">
    <mergeCell ref="X304:Z304"/>
    <mergeCell ref="D299:O299"/>
    <mergeCell ref="J300:M300"/>
    <mergeCell ref="W300:Z300"/>
    <mergeCell ref="X302:Z302"/>
    <mergeCell ref="X303:Z303"/>
    <mergeCell ref="D297:L297"/>
    <mergeCell ref="D298:I298"/>
    <mergeCell ref="AB15:AM15"/>
    <mergeCell ref="D292:O292"/>
    <mergeCell ref="T292:Z292"/>
    <mergeCell ref="D293:O295"/>
    <mergeCell ref="T293:Z295"/>
    <mergeCell ref="D15:E15"/>
    <mergeCell ref="AB11:AM11"/>
    <mergeCell ref="J12:L12"/>
    <mergeCell ref="M12:O12"/>
    <mergeCell ref="Q12:R12"/>
    <mergeCell ref="F7:H7"/>
    <mergeCell ref="I7:L7"/>
    <mergeCell ref="M7:N7"/>
    <mergeCell ref="T11:U11"/>
    <mergeCell ref="C8:C12"/>
    <mergeCell ref="F8:H8"/>
    <mergeCell ref="I8:L8"/>
    <mergeCell ref="M8:N8"/>
    <mergeCell ref="E10:I11"/>
    <mergeCell ref="N10:O11"/>
    <mergeCell ref="D5:E5"/>
    <mergeCell ref="F5:H5"/>
    <mergeCell ref="J5:N5"/>
    <mergeCell ref="A3:B3"/>
    <mergeCell ref="D4:E4"/>
    <mergeCell ref="F4:H4"/>
    <mergeCell ref="J4:N4"/>
  </mergeCells>
  <phoneticPr fontId="38" type="noConversion"/>
  <conditionalFormatting sqref="D14:O14 T14:Z14 D39:O41 T39:Z41 T62:Z65 D62:O65 T43:Z47 D43:O47 D23:O24 T23:Z24 D86:O86 T86:Z86 D208:O209 T208:Z209 D218:O225 T218:Z225 D235:O237 T235:Z237 T239:Z243 D239:O243 D245:O247 T245:Z247">
    <cfRule type="expression" dxfId="232" priority="2538" stopIfTrue="1">
      <formula>OR(ACOMPANHAMENTO="PLE",TIPOORCAMENTO="Proposto",$L14&lt;0,AND($L14&gt;100,RegimeExecucao="Global"),$O14&gt;$I14,$O14&lt;0)</formula>
    </cfRule>
    <cfRule type="expression" dxfId="231" priority="2539" stopIfTrue="1">
      <formula>$A14=1</formula>
    </cfRule>
    <cfRule type="expression" dxfId="230" priority="2540" stopIfTrue="1">
      <formula>$A14&lt;&gt;"S"</formula>
    </cfRule>
  </conditionalFormatting>
  <conditionalFormatting sqref="Q14:R14 AB14:AM14 Q39:R41 AB39:AM41 AB62:AM65 Q62:R65 AB43:AM47 Q43:R47 Q23:R24 AB23:AM24 Q86:R86 AB86:AM86 Q208:R209 AB208:AM209 Q218:R225 AB218:AM225 Q235:R237 AB235:AM237 AB239:AM243 Q239:R243 Q245:R247 AB245:AM247">
    <cfRule type="expression" dxfId="229" priority="2541" stopIfTrue="1">
      <formula>$A14=1</formula>
    </cfRule>
    <cfRule type="expression" dxfId="228" priority="2542" stopIfTrue="1">
      <formula>$A14&lt;&gt;"S"</formula>
    </cfRule>
  </conditionalFormatting>
  <conditionalFormatting sqref="E2">
    <cfRule type="expression" dxfId="227" priority="2543" stopIfTrue="1">
      <formula>Import.RegimeExecução="(SELECIONAR)"</formula>
    </cfRule>
  </conditionalFormatting>
  <conditionalFormatting sqref="F13:H13">
    <cfRule type="expression" dxfId="226" priority="2544" stopIfTrue="1">
      <formula>RegimeExecucao="Global"</formula>
    </cfRule>
  </conditionalFormatting>
  <conditionalFormatting sqref="D15:O15">
    <cfRule type="expression" dxfId="225" priority="2545" stopIfTrue="1">
      <formula>OR(ACOMPANHAMENTO="PLE",TIPOORCAMENTO="Proposto")</formula>
    </cfRule>
  </conditionalFormatting>
  <conditionalFormatting sqref="AB13">
    <cfRule type="cellIs" dxfId="224" priority="2546" stopIfTrue="1" operator="notEqual">
      <formula>1</formula>
    </cfRule>
  </conditionalFormatting>
  <conditionalFormatting sqref="D16:O20 T16:Z20 T25:Z27 D25:O27 T22:Z22 D22:O22">
    <cfRule type="expression" dxfId="223" priority="246" stopIfTrue="1">
      <formula>OR(ACOMPANHAMENTO="PLE",TIPOORCAMENTO="Proposto",$L16&lt;0,AND($L16&gt;100,RegimeExecucao="Global"),$O16&gt;$I16,$O16&lt;0)</formula>
    </cfRule>
    <cfRule type="expression" dxfId="222" priority="247" stopIfTrue="1">
      <formula>$A16=1</formula>
    </cfRule>
    <cfRule type="expression" dxfId="221" priority="248" stopIfTrue="1">
      <formula>$A16&lt;&gt;"S"</formula>
    </cfRule>
  </conditionalFormatting>
  <conditionalFormatting sqref="Q16:R20 AB16:AM20 AB25:AM27 Q25:R27 AB22:AM22 Q22:R22">
    <cfRule type="expression" dxfId="220" priority="249" stopIfTrue="1">
      <formula>$A16=1</formula>
    </cfRule>
    <cfRule type="expression" dxfId="219" priority="250" stopIfTrue="1">
      <formula>$A16&lt;&gt;"S"</formula>
    </cfRule>
  </conditionalFormatting>
  <conditionalFormatting sqref="D28:O34 T28:Z34 T37:Z38 D37:O38">
    <cfRule type="expression" dxfId="218" priority="241" stopIfTrue="1">
      <formula>OR(ACOMPANHAMENTO="PLE",TIPOORCAMENTO="Proposto",$L28&lt;0,AND($L28&gt;100,RegimeExecucao="Global"),$O28&gt;$I28,$O28&lt;0)</formula>
    </cfRule>
    <cfRule type="expression" dxfId="217" priority="242" stopIfTrue="1">
      <formula>$A28=1</formula>
    </cfRule>
    <cfRule type="expression" dxfId="216" priority="243" stopIfTrue="1">
      <formula>$A28&lt;&gt;"S"</formula>
    </cfRule>
  </conditionalFormatting>
  <conditionalFormatting sqref="Q28:R34 AB28:AM34 AB37:AM38 Q37:R38">
    <cfRule type="expression" dxfId="215" priority="244" stopIfTrue="1">
      <formula>$A28=1</formula>
    </cfRule>
    <cfRule type="expression" dxfId="214" priority="245" stopIfTrue="1">
      <formula>$A28&lt;&gt;"S"</formula>
    </cfRule>
  </conditionalFormatting>
  <conditionalFormatting sqref="D48:O56 T48:Z56">
    <cfRule type="expression" dxfId="213" priority="231" stopIfTrue="1">
      <formula>OR(ACOMPANHAMENTO="PLE",TIPOORCAMENTO="Proposto",$L48&lt;0,AND($L48&gt;100,RegimeExecucao="Global"),$O48&gt;$I48,$O48&lt;0)</formula>
    </cfRule>
    <cfRule type="expression" dxfId="212" priority="232" stopIfTrue="1">
      <formula>$A48=1</formula>
    </cfRule>
    <cfRule type="expression" dxfId="211" priority="233" stopIfTrue="1">
      <formula>$A48&lt;&gt;"S"</formula>
    </cfRule>
  </conditionalFormatting>
  <conditionalFormatting sqref="Q48:R56 AB48:AM56">
    <cfRule type="expression" dxfId="210" priority="234" stopIfTrue="1">
      <formula>$A48=1</formula>
    </cfRule>
    <cfRule type="expression" dxfId="209" priority="235" stopIfTrue="1">
      <formula>$A48&lt;&gt;"S"</formula>
    </cfRule>
  </conditionalFormatting>
  <conditionalFormatting sqref="D57:O60 T57:Z60">
    <cfRule type="expression" dxfId="208" priority="226" stopIfTrue="1">
      <formula>OR(ACOMPANHAMENTO="PLE",TIPOORCAMENTO="Proposto",$L57&lt;0,AND($L57&gt;100,RegimeExecucao="Global"),$O57&gt;$I57,$O57&lt;0)</formula>
    </cfRule>
    <cfRule type="expression" dxfId="207" priority="227" stopIfTrue="1">
      <formula>$A57=1</formula>
    </cfRule>
    <cfRule type="expression" dxfId="206" priority="228" stopIfTrue="1">
      <formula>$A57&lt;&gt;"S"</formula>
    </cfRule>
  </conditionalFormatting>
  <conditionalFormatting sqref="Q57:R60 AB57:AM60">
    <cfRule type="expression" dxfId="205" priority="229" stopIfTrue="1">
      <formula>$A57=1</formula>
    </cfRule>
    <cfRule type="expression" dxfId="204" priority="230" stopIfTrue="1">
      <formula>$A57&lt;&gt;"S"</formula>
    </cfRule>
  </conditionalFormatting>
  <conditionalFormatting sqref="D66:O74 T66:Z74">
    <cfRule type="expression" dxfId="203" priority="221" stopIfTrue="1">
      <formula>OR(ACOMPANHAMENTO="PLE",TIPOORCAMENTO="Proposto",$L66&lt;0,AND($L66&gt;100,RegimeExecucao="Global"),$O66&gt;$I66,$O66&lt;0)</formula>
    </cfRule>
    <cfRule type="expression" dxfId="202" priority="222" stopIfTrue="1">
      <formula>$A66=1</formula>
    </cfRule>
    <cfRule type="expression" dxfId="201" priority="223" stopIfTrue="1">
      <formula>$A66&lt;&gt;"S"</formula>
    </cfRule>
  </conditionalFormatting>
  <conditionalFormatting sqref="Q66:R74 AB66:AM74">
    <cfRule type="expression" dxfId="200" priority="224" stopIfTrue="1">
      <formula>$A66=1</formula>
    </cfRule>
    <cfRule type="expression" dxfId="199" priority="225" stopIfTrue="1">
      <formula>$A66&lt;&gt;"S"</formula>
    </cfRule>
  </conditionalFormatting>
  <conditionalFormatting sqref="D75:O82 T75:Z82 T85:Z85 D85:O85">
    <cfRule type="expression" dxfId="198" priority="216" stopIfTrue="1">
      <formula>OR(ACOMPANHAMENTO="PLE",TIPOORCAMENTO="Proposto",$L75&lt;0,AND($L75&gt;100,RegimeExecucao="Global"),$O75&gt;$I75,$O75&lt;0)</formula>
    </cfRule>
    <cfRule type="expression" dxfId="197" priority="217" stopIfTrue="1">
      <formula>$A75=1</formula>
    </cfRule>
    <cfRule type="expression" dxfId="196" priority="218" stopIfTrue="1">
      <formula>$A75&lt;&gt;"S"</formula>
    </cfRule>
  </conditionalFormatting>
  <conditionalFormatting sqref="Q75:R82 AB75:AM82 AB85:AM85 Q85:R85">
    <cfRule type="expression" dxfId="195" priority="219" stopIfTrue="1">
      <formula>$A75=1</formula>
    </cfRule>
    <cfRule type="expression" dxfId="194" priority="220" stopIfTrue="1">
      <formula>$A75&lt;&gt;"S"</formula>
    </cfRule>
  </conditionalFormatting>
  <conditionalFormatting sqref="T88:Z94 D88:O94">
    <cfRule type="expression" dxfId="193" priority="211" stopIfTrue="1">
      <formula>OR(ACOMPANHAMENTO="PLE",TIPOORCAMENTO="Proposto",$L88&lt;0,AND($L88&gt;100,RegimeExecucao="Global"),$O88&gt;$I88,$O88&lt;0)</formula>
    </cfRule>
    <cfRule type="expression" dxfId="192" priority="212" stopIfTrue="1">
      <formula>$A88=1</formula>
    </cfRule>
    <cfRule type="expression" dxfId="191" priority="213" stopIfTrue="1">
      <formula>$A88&lt;&gt;"S"</formula>
    </cfRule>
  </conditionalFormatting>
  <conditionalFormatting sqref="AB88:AM94 Q88:R94">
    <cfRule type="expression" dxfId="190" priority="214" stopIfTrue="1">
      <formula>$A88=1</formula>
    </cfRule>
    <cfRule type="expression" dxfId="189" priority="215" stopIfTrue="1">
      <formula>$A88&lt;&gt;"S"</formula>
    </cfRule>
  </conditionalFormatting>
  <conditionalFormatting sqref="D95:O103 T95:Z103">
    <cfRule type="expression" dxfId="188" priority="206" stopIfTrue="1">
      <formula>OR(ACOMPANHAMENTO="PLE",TIPOORCAMENTO="Proposto",$L95&lt;0,AND($L95&gt;100,RegimeExecucao="Global"),$O95&gt;$I95,$O95&lt;0)</formula>
    </cfRule>
    <cfRule type="expression" dxfId="187" priority="207" stopIfTrue="1">
      <formula>$A95=1</formula>
    </cfRule>
    <cfRule type="expression" dxfId="186" priority="208" stopIfTrue="1">
      <formula>$A95&lt;&gt;"S"</formula>
    </cfRule>
  </conditionalFormatting>
  <conditionalFormatting sqref="Q95:R103 AB95:AM103">
    <cfRule type="expression" dxfId="185" priority="209" stopIfTrue="1">
      <formula>$A95=1</formula>
    </cfRule>
    <cfRule type="expression" dxfId="184" priority="210" stopIfTrue="1">
      <formula>$A95&lt;&gt;"S"</formula>
    </cfRule>
  </conditionalFormatting>
  <conditionalFormatting sqref="D104:O110 T104:Z110 T114:Z115 D114:O115">
    <cfRule type="expression" dxfId="183" priority="201" stopIfTrue="1">
      <formula>OR(ACOMPANHAMENTO="PLE",TIPOORCAMENTO="Proposto",$L104&lt;0,AND($L104&gt;100,RegimeExecucao="Global"),$O104&gt;$I104,$O104&lt;0)</formula>
    </cfRule>
    <cfRule type="expression" dxfId="182" priority="202" stopIfTrue="1">
      <formula>$A104=1</formula>
    </cfRule>
    <cfRule type="expression" dxfId="181" priority="203" stopIfTrue="1">
      <formula>$A104&lt;&gt;"S"</formula>
    </cfRule>
  </conditionalFormatting>
  <conditionalFormatting sqref="Q104:R110 AB104:AM110 AB114:AM115 Q114:R115">
    <cfRule type="expression" dxfId="180" priority="204" stopIfTrue="1">
      <formula>$A104=1</formula>
    </cfRule>
    <cfRule type="expression" dxfId="179" priority="205" stopIfTrue="1">
      <formula>$A104&lt;&gt;"S"</formula>
    </cfRule>
  </conditionalFormatting>
  <conditionalFormatting sqref="D116:O124 T116:Z124">
    <cfRule type="expression" dxfId="178" priority="196" stopIfTrue="1">
      <formula>OR(ACOMPANHAMENTO="PLE",TIPOORCAMENTO="Proposto",$L116&lt;0,AND($L116&gt;100,RegimeExecucao="Global"),$O116&gt;$I116,$O116&lt;0)</formula>
    </cfRule>
    <cfRule type="expression" dxfId="177" priority="197" stopIfTrue="1">
      <formula>$A116=1</formula>
    </cfRule>
    <cfRule type="expression" dxfId="176" priority="198" stopIfTrue="1">
      <formula>$A116&lt;&gt;"S"</formula>
    </cfRule>
  </conditionalFormatting>
  <conditionalFormatting sqref="Q116:R124 AB116:AM124">
    <cfRule type="expression" dxfId="175" priority="199" stopIfTrue="1">
      <formula>$A116=1</formula>
    </cfRule>
    <cfRule type="expression" dxfId="174" priority="200" stopIfTrue="1">
      <formula>$A116&lt;&gt;"S"</formula>
    </cfRule>
  </conditionalFormatting>
  <conditionalFormatting sqref="D125:O129 T125:Z129 T131:Z134 D131:O134">
    <cfRule type="expression" dxfId="173" priority="191" stopIfTrue="1">
      <formula>OR(ACOMPANHAMENTO="PLE",TIPOORCAMENTO="Proposto",$L125&lt;0,AND($L125&gt;100,RegimeExecucao="Global"),$O125&gt;$I125,$O125&lt;0)</formula>
    </cfRule>
    <cfRule type="expression" dxfId="172" priority="192" stopIfTrue="1">
      <formula>$A125=1</formula>
    </cfRule>
    <cfRule type="expression" dxfId="171" priority="193" stopIfTrue="1">
      <formula>$A125&lt;&gt;"S"</formula>
    </cfRule>
  </conditionalFormatting>
  <conditionalFormatting sqref="Q125:R129 AB125:AM129 AB131:AM134 Q131:R134">
    <cfRule type="expression" dxfId="170" priority="194" stopIfTrue="1">
      <formula>$A125=1</formula>
    </cfRule>
    <cfRule type="expression" dxfId="169" priority="195" stopIfTrue="1">
      <formula>$A125&lt;&gt;"S"</formula>
    </cfRule>
  </conditionalFormatting>
  <conditionalFormatting sqref="T135:Z143 D135:O143">
    <cfRule type="expression" dxfId="168" priority="186" stopIfTrue="1">
      <formula>OR(ACOMPANHAMENTO="PLE",TIPOORCAMENTO="Proposto",$L135&lt;0,AND($L135&gt;100,RegimeExecucao="Global"),$O135&gt;$I135,$O135&lt;0)</formula>
    </cfRule>
    <cfRule type="expression" dxfId="167" priority="187" stopIfTrue="1">
      <formula>$A135=1</formula>
    </cfRule>
    <cfRule type="expression" dxfId="166" priority="188" stopIfTrue="1">
      <formula>$A135&lt;&gt;"S"</formula>
    </cfRule>
  </conditionalFormatting>
  <conditionalFormatting sqref="AB135:AM143 Q135:R143">
    <cfRule type="expression" dxfId="165" priority="189" stopIfTrue="1">
      <formula>$A135=1</formula>
    </cfRule>
    <cfRule type="expression" dxfId="164" priority="190" stopIfTrue="1">
      <formula>$A135&lt;&gt;"S"</formula>
    </cfRule>
  </conditionalFormatting>
  <conditionalFormatting sqref="D144:O147 T144:Z147 T149:Z153 D149:O153">
    <cfRule type="expression" dxfId="163" priority="181" stopIfTrue="1">
      <formula>OR(ACOMPANHAMENTO="PLE",TIPOORCAMENTO="Proposto",$L144&lt;0,AND($L144&gt;100,RegimeExecucao="Global"),$O144&gt;$I144,$O144&lt;0)</formula>
    </cfRule>
    <cfRule type="expression" dxfId="162" priority="182" stopIfTrue="1">
      <formula>$A144=1</formula>
    </cfRule>
    <cfRule type="expression" dxfId="161" priority="183" stopIfTrue="1">
      <formula>$A144&lt;&gt;"S"</formula>
    </cfRule>
  </conditionalFormatting>
  <conditionalFormatting sqref="Q144:R147 AB144:AM147 AB149:AM153 Q149:R153">
    <cfRule type="expression" dxfId="160" priority="184" stopIfTrue="1">
      <formula>$A144=1</formula>
    </cfRule>
    <cfRule type="expression" dxfId="159" priority="185" stopIfTrue="1">
      <formula>$A144&lt;&gt;"S"</formula>
    </cfRule>
  </conditionalFormatting>
  <conditionalFormatting sqref="D154:O157 T154:Z157 T159:Z162 D159:O162 D164:O164 T164:Z164">
    <cfRule type="expression" dxfId="158" priority="176" stopIfTrue="1">
      <formula>OR(ACOMPANHAMENTO="PLE",TIPOORCAMENTO="Proposto",$L154&lt;0,AND($L154&gt;100,RegimeExecucao="Global"),$O154&gt;$I154,$O154&lt;0)</formula>
    </cfRule>
    <cfRule type="expression" dxfId="157" priority="177" stopIfTrue="1">
      <formula>$A154=1</formula>
    </cfRule>
    <cfRule type="expression" dxfId="156" priority="178" stopIfTrue="1">
      <formula>$A154&lt;&gt;"S"</formula>
    </cfRule>
  </conditionalFormatting>
  <conditionalFormatting sqref="Q154:R157 AB154:AM157 AB159:AM162 Q159:R162 Q164:R164 AB164:AM164">
    <cfRule type="expression" dxfId="155" priority="179" stopIfTrue="1">
      <formula>$A154=1</formula>
    </cfRule>
    <cfRule type="expression" dxfId="154" priority="180" stopIfTrue="1">
      <formula>$A154&lt;&gt;"S"</formula>
    </cfRule>
  </conditionalFormatting>
  <conditionalFormatting sqref="D165:O166 T165:Z166 T168:Z173 D168:O173 D177:O177 T177:Z177">
    <cfRule type="expression" dxfId="153" priority="171" stopIfTrue="1">
      <formula>OR(ACOMPANHAMENTO="PLE",TIPOORCAMENTO="Proposto",$L165&lt;0,AND($L165&gt;100,RegimeExecucao="Global"),$O165&gt;$I165,$O165&lt;0)</formula>
    </cfRule>
    <cfRule type="expression" dxfId="152" priority="172" stopIfTrue="1">
      <formula>$A165=1</formula>
    </cfRule>
    <cfRule type="expression" dxfId="151" priority="173" stopIfTrue="1">
      <formula>$A165&lt;&gt;"S"</formula>
    </cfRule>
  </conditionalFormatting>
  <conditionalFormatting sqref="Q165:R166 AB165:AM166 AB168:AM173 Q168:R173 Q177:R177 AB177:AM177">
    <cfRule type="expression" dxfId="150" priority="174" stopIfTrue="1">
      <formula>$A165=1</formula>
    </cfRule>
    <cfRule type="expression" dxfId="149" priority="175" stopIfTrue="1">
      <formula>$A165&lt;&gt;"S"</formula>
    </cfRule>
  </conditionalFormatting>
  <conditionalFormatting sqref="D178:O186 T178:Z186">
    <cfRule type="expression" dxfId="148" priority="166" stopIfTrue="1">
      <formula>OR(ACOMPANHAMENTO="PLE",TIPOORCAMENTO="Proposto",$L178&lt;0,AND($L178&gt;100,RegimeExecucao="Global"),$O178&gt;$I178,$O178&lt;0)</formula>
    </cfRule>
    <cfRule type="expression" dxfId="147" priority="167" stopIfTrue="1">
      <formula>$A178=1</formula>
    </cfRule>
    <cfRule type="expression" dxfId="146" priority="168" stopIfTrue="1">
      <formula>$A178&lt;&gt;"S"</formula>
    </cfRule>
  </conditionalFormatting>
  <conditionalFormatting sqref="Q178:R186 AB178:AM186">
    <cfRule type="expression" dxfId="145" priority="169" stopIfTrue="1">
      <formula>$A178=1</formula>
    </cfRule>
    <cfRule type="expression" dxfId="144" priority="170" stopIfTrue="1">
      <formula>$A178&lt;&gt;"S"</formula>
    </cfRule>
  </conditionalFormatting>
  <conditionalFormatting sqref="D187:O195 T187:Z195">
    <cfRule type="expression" dxfId="143" priority="161" stopIfTrue="1">
      <formula>OR(ACOMPANHAMENTO="PLE",TIPOORCAMENTO="Proposto",$L187&lt;0,AND($L187&gt;100,RegimeExecucao="Global"),$O187&gt;$I187,$O187&lt;0)</formula>
    </cfRule>
    <cfRule type="expression" dxfId="142" priority="162" stopIfTrue="1">
      <formula>$A187=1</formula>
    </cfRule>
    <cfRule type="expression" dxfId="141" priority="163" stopIfTrue="1">
      <formula>$A187&lt;&gt;"S"</formula>
    </cfRule>
  </conditionalFormatting>
  <conditionalFormatting sqref="Q187:R195 AB187:AM195">
    <cfRule type="expression" dxfId="140" priority="164" stopIfTrue="1">
      <formula>$A187=1</formula>
    </cfRule>
    <cfRule type="expression" dxfId="139" priority="165" stopIfTrue="1">
      <formula>$A187&lt;&gt;"S"</formula>
    </cfRule>
  </conditionalFormatting>
  <conditionalFormatting sqref="D196:O204 T196:Z204">
    <cfRule type="expression" dxfId="138" priority="156" stopIfTrue="1">
      <formula>OR(ACOMPANHAMENTO="PLE",TIPOORCAMENTO="Proposto",$L196&lt;0,AND($L196&gt;100,RegimeExecucao="Global"),$O196&gt;$I196,$O196&lt;0)</formula>
    </cfRule>
    <cfRule type="expression" dxfId="137" priority="157" stopIfTrue="1">
      <formula>$A196=1</formula>
    </cfRule>
    <cfRule type="expression" dxfId="136" priority="158" stopIfTrue="1">
      <formula>$A196&lt;&gt;"S"</formula>
    </cfRule>
  </conditionalFormatting>
  <conditionalFormatting sqref="Q196:R204 AB196:AM204">
    <cfRule type="expression" dxfId="135" priority="159" stopIfTrue="1">
      <formula>$A196=1</formula>
    </cfRule>
    <cfRule type="expression" dxfId="134" priority="160" stopIfTrue="1">
      <formula>$A196&lt;&gt;"S"</formula>
    </cfRule>
  </conditionalFormatting>
  <conditionalFormatting sqref="D205:O205 T205:Z205 T210:Z217 D210:O217">
    <cfRule type="expression" dxfId="133" priority="151" stopIfTrue="1">
      <formula>OR(ACOMPANHAMENTO="PLE",TIPOORCAMENTO="Proposto",$L205&lt;0,AND($L205&gt;100,RegimeExecucao="Global"),$O205&gt;$I205,$O205&lt;0)</formula>
    </cfRule>
    <cfRule type="expression" dxfId="132" priority="152" stopIfTrue="1">
      <formula>$A205=1</formula>
    </cfRule>
    <cfRule type="expression" dxfId="131" priority="153" stopIfTrue="1">
      <formula>$A205&lt;&gt;"S"</formula>
    </cfRule>
  </conditionalFormatting>
  <conditionalFormatting sqref="Q205:R205 AB205:AM205 AB210:AM217 Q210:R217">
    <cfRule type="expression" dxfId="130" priority="154" stopIfTrue="1">
      <formula>$A205=1</formula>
    </cfRule>
    <cfRule type="expression" dxfId="129" priority="155" stopIfTrue="1">
      <formula>$A205&lt;&gt;"S"</formula>
    </cfRule>
  </conditionalFormatting>
  <conditionalFormatting sqref="D226:O234 T226:Z234">
    <cfRule type="expression" dxfId="128" priority="141" stopIfTrue="1">
      <formula>OR(ACOMPANHAMENTO="PLE",TIPOORCAMENTO="Proposto",$L226&lt;0,AND($L226&gt;100,RegimeExecucao="Global"),$O226&gt;$I226,$O226&lt;0)</formula>
    </cfRule>
    <cfRule type="expression" dxfId="127" priority="142" stopIfTrue="1">
      <formula>$A226=1</formula>
    </cfRule>
    <cfRule type="expression" dxfId="126" priority="143" stopIfTrue="1">
      <formula>$A226&lt;&gt;"S"</formula>
    </cfRule>
  </conditionalFormatting>
  <conditionalFormatting sqref="Q226:R234 AB226:AM234">
    <cfRule type="expression" dxfId="125" priority="144" stopIfTrue="1">
      <formula>$A226=1</formula>
    </cfRule>
    <cfRule type="expression" dxfId="124" priority="145" stopIfTrue="1">
      <formula>$A226&lt;&gt;"S"</formula>
    </cfRule>
  </conditionalFormatting>
  <conditionalFormatting sqref="D244:O244 T244:Z244 T248:Z255 D248:O255">
    <cfRule type="expression" dxfId="123" priority="131" stopIfTrue="1">
      <formula>OR(ACOMPANHAMENTO="PLE",TIPOORCAMENTO="Proposto",$L244&lt;0,AND($L244&gt;100,RegimeExecucao="Global"),$O244&gt;$I244,$O244&lt;0)</formula>
    </cfRule>
    <cfRule type="expression" dxfId="122" priority="132" stopIfTrue="1">
      <formula>$A244=1</formula>
    </cfRule>
    <cfRule type="expression" dxfId="121" priority="133" stopIfTrue="1">
      <formula>$A244&lt;&gt;"S"</formula>
    </cfRule>
  </conditionalFormatting>
  <conditionalFormatting sqref="Q244:R244 AB244:AM244 AB248:AM255 Q248:R255">
    <cfRule type="expression" dxfId="120" priority="134" stopIfTrue="1">
      <formula>$A244=1</formula>
    </cfRule>
    <cfRule type="expression" dxfId="119" priority="135" stopIfTrue="1">
      <formula>$A244&lt;&gt;"S"</formula>
    </cfRule>
  </conditionalFormatting>
  <conditionalFormatting sqref="D256:O264 T256:Z264">
    <cfRule type="expression" dxfId="118" priority="126" stopIfTrue="1">
      <formula>OR(ACOMPANHAMENTO="PLE",TIPOORCAMENTO="Proposto",$L256&lt;0,AND($L256&gt;100,RegimeExecucao="Global"),$O256&gt;$I256,$O256&lt;0)</formula>
    </cfRule>
    <cfRule type="expression" dxfId="117" priority="127" stopIfTrue="1">
      <formula>$A256=1</formula>
    </cfRule>
    <cfRule type="expression" dxfId="116" priority="128" stopIfTrue="1">
      <formula>$A256&lt;&gt;"S"</formula>
    </cfRule>
  </conditionalFormatting>
  <conditionalFormatting sqref="Q256:R264 AB256:AM264">
    <cfRule type="expression" dxfId="115" priority="129" stopIfTrue="1">
      <formula>$A256=1</formula>
    </cfRule>
    <cfRule type="expression" dxfId="114" priority="130" stopIfTrue="1">
      <formula>$A256&lt;&gt;"S"</formula>
    </cfRule>
  </conditionalFormatting>
  <conditionalFormatting sqref="D265:O273 T265:Z273">
    <cfRule type="expression" dxfId="113" priority="121" stopIfTrue="1">
      <formula>OR(ACOMPANHAMENTO="PLE",TIPOORCAMENTO="Proposto",$L265&lt;0,AND($L265&gt;100,RegimeExecucao="Global"),$O265&gt;$I265,$O265&lt;0)</formula>
    </cfRule>
    <cfRule type="expression" dxfId="112" priority="122" stopIfTrue="1">
      <formula>$A265=1</formula>
    </cfRule>
    <cfRule type="expression" dxfId="111" priority="123" stopIfTrue="1">
      <formula>$A265&lt;&gt;"S"</formula>
    </cfRule>
  </conditionalFormatting>
  <conditionalFormatting sqref="Q265:R273 AB265:AM273">
    <cfRule type="expression" dxfId="110" priority="124" stopIfTrue="1">
      <formula>$A265=1</formula>
    </cfRule>
    <cfRule type="expression" dxfId="109" priority="125" stopIfTrue="1">
      <formula>$A265&lt;&gt;"S"</formula>
    </cfRule>
  </conditionalFormatting>
  <conditionalFormatting sqref="D274:O282 T274:Z282">
    <cfRule type="expression" dxfId="108" priority="116" stopIfTrue="1">
      <formula>OR(ACOMPANHAMENTO="PLE",TIPOORCAMENTO="Proposto",$L274&lt;0,AND($L274&gt;100,RegimeExecucao="Global"),$O274&gt;$I274,$O274&lt;0)</formula>
    </cfRule>
    <cfRule type="expression" dxfId="107" priority="117" stopIfTrue="1">
      <formula>$A274=1</formula>
    </cfRule>
    <cfRule type="expression" dxfId="106" priority="118" stopIfTrue="1">
      <formula>$A274&lt;&gt;"S"</formula>
    </cfRule>
  </conditionalFormatting>
  <conditionalFormatting sqref="Q274:R282 AB274:AM282">
    <cfRule type="expression" dxfId="105" priority="119" stopIfTrue="1">
      <formula>$A274=1</formula>
    </cfRule>
    <cfRule type="expression" dxfId="104" priority="120" stopIfTrue="1">
      <formula>$A274&lt;&gt;"S"</formula>
    </cfRule>
  </conditionalFormatting>
  <conditionalFormatting sqref="D283:O289 T283:Z289">
    <cfRule type="expression" dxfId="103" priority="111" stopIfTrue="1">
      <formula>OR(ACOMPANHAMENTO="PLE",TIPOORCAMENTO="Proposto",$L283&lt;0,AND($L283&gt;100,RegimeExecucao="Global"),$O283&gt;$I283,$O283&lt;0)</formula>
    </cfRule>
    <cfRule type="expression" dxfId="102" priority="112" stopIfTrue="1">
      <formula>$A283=1</formula>
    </cfRule>
    <cfRule type="expression" dxfId="101" priority="113" stopIfTrue="1">
      <formula>$A283&lt;&gt;"S"</formula>
    </cfRule>
  </conditionalFormatting>
  <conditionalFormatting sqref="Q283:R289 AB283:AM289">
    <cfRule type="expression" dxfId="100" priority="114" stopIfTrue="1">
      <formula>$A283=1</formula>
    </cfRule>
    <cfRule type="expression" dxfId="99" priority="115" stopIfTrue="1">
      <formula>$A283&lt;&gt;"S"</formula>
    </cfRule>
  </conditionalFormatting>
  <conditionalFormatting sqref="D61:O61 T61:Z61">
    <cfRule type="expression" dxfId="98" priority="106" stopIfTrue="1">
      <formula>OR(ACOMPANHAMENTO="PLE",TIPOORCAMENTO="Proposto",$L61&lt;0,AND($L61&gt;100,RegimeExecucao="Global"),$O61&gt;$I61,$O61&lt;0)</formula>
    </cfRule>
    <cfRule type="expression" dxfId="97" priority="107" stopIfTrue="1">
      <formula>$A61=1</formula>
    </cfRule>
    <cfRule type="expression" dxfId="96" priority="108" stopIfTrue="1">
      <formula>$A61&lt;&gt;"S"</formula>
    </cfRule>
  </conditionalFormatting>
  <conditionalFormatting sqref="Q61:R61 AB61:AM61">
    <cfRule type="expression" dxfId="95" priority="109" stopIfTrue="1">
      <formula>$A61=1</formula>
    </cfRule>
    <cfRule type="expression" dxfId="94" priority="110" stopIfTrue="1">
      <formula>$A61&lt;&gt;"S"</formula>
    </cfRule>
  </conditionalFormatting>
  <conditionalFormatting sqref="D42:O42 T42:Z42">
    <cfRule type="expression" dxfId="93" priority="101" stopIfTrue="1">
      <formula>OR(ACOMPANHAMENTO="PLE",TIPOORCAMENTO="Proposto",$L42&lt;0,AND($L42&gt;100,RegimeExecucao="Global"),$O42&gt;$I42,$O42&lt;0)</formula>
    </cfRule>
    <cfRule type="expression" dxfId="92" priority="102" stopIfTrue="1">
      <formula>$A42=1</formula>
    </cfRule>
    <cfRule type="expression" dxfId="91" priority="103" stopIfTrue="1">
      <formula>$A42&lt;&gt;"S"</formula>
    </cfRule>
  </conditionalFormatting>
  <conditionalFormatting sqref="Q42:R42 AB42:AM42">
    <cfRule type="expression" dxfId="90" priority="104" stopIfTrue="1">
      <formula>$A42=1</formula>
    </cfRule>
    <cfRule type="expression" dxfId="89" priority="105" stopIfTrue="1">
      <formula>$A42&lt;&gt;"S"</formula>
    </cfRule>
  </conditionalFormatting>
  <conditionalFormatting sqref="D35:O35 T35:Z35">
    <cfRule type="expression" dxfId="88" priority="96" stopIfTrue="1">
      <formula>OR(ACOMPANHAMENTO="PLE",TIPOORCAMENTO="Proposto",$L35&lt;0,AND($L35&gt;100,RegimeExecucao="Global"),$O35&gt;$I35,$O35&lt;0)</formula>
    </cfRule>
    <cfRule type="expression" dxfId="87" priority="97" stopIfTrue="1">
      <formula>$A35=1</formula>
    </cfRule>
    <cfRule type="expression" dxfId="86" priority="98" stopIfTrue="1">
      <formula>$A35&lt;&gt;"S"</formula>
    </cfRule>
  </conditionalFormatting>
  <conditionalFormatting sqref="Q35:R35 AB35:AM35">
    <cfRule type="expression" dxfId="85" priority="99" stopIfTrue="1">
      <formula>$A35=1</formula>
    </cfRule>
    <cfRule type="expression" dxfId="84" priority="100" stopIfTrue="1">
      <formula>$A35&lt;&gt;"S"</formula>
    </cfRule>
  </conditionalFormatting>
  <conditionalFormatting sqref="D36:O36 T36:Z36">
    <cfRule type="expression" dxfId="83" priority="91" stopIfTrue="1">
      <formula>OR(ACOMPANHAMENTO="PLE",TIPOORCAMENTO="Proposto",$L36&lt;0,AND($L36&gt;100,RegimeExecucao="Global"),$O36&gt;$I36,$O36&lt;0)</formula>
    </cfRule>
    <cfRule type="expression" dxfId="82" priority="92" stopIfTrue="1">
      <formula>$A36=1</formula>
    </cfRule>
    <cfRule type="expression" dxfId="81" priority="93" stopIfTrue="1">
      <formula>$A36&lt;&gt;"S"</formula>
    </cfRule>
  </conditionalFormatting>
  <conditionalFormatting sqref="Q36:R36 AB36:AM36">
    <cfRule type="expression" dxfId="80" priority="94" stopIfTrue="1">
      <formula>$A36=1</formula>
    </cfRule>
    <cfRule type="expression" dxfId="79" priority="95" stopIfTrue="1">
      <formula>$A36&lt;&gt;"S"</formula>
    </cfRule>
  </conditionalFormatting>
  <conditionalFormatting sqref="D83:O84 T83:Z84">
    <cfRule type="expression" dxfId="78" priority="81" stopIfTrue="1">
      <formula>OR(ACOMPANHAMENTO="PLE",TIPOORCAMENTO="Proposto",$L83&lt;0,AND($L83&gt;100,RegimeExecucao="Global"),$O83&gt;$I83,$O83&lt;0)</formula>
    </cfRule>
    <cfRule type="expression" dxfId="77" priority="82" stopIfTrue="1">
      <formula>$A83=1</formula>
    </cfRule>
    <cfRule type="expression" dxfId="76" priority="83" stopIfTrue="1">
      <formula>$A83&lt;&gt;"S"</formula>
    </cfRule>
  </conditionalFormatting>
  <conditionalFormatting sqref="Q83:R84 AB83:AM84">
    <cfRule type="expression" dxfId="75" priority="84" stopIfTrue="1">
      <formula>$A83=1</formula>
    </cfRule>
    <cfRule type="expression" dxfId="74" priority="85" stopIfTrue="1">
      <formula>$A83&lt;&gt;"S"</formula>
    </cfRule>
  </conditionalFormatting>
  <conditionalFormatting sqref="D87:O87 T87:Z87">
    <cfRule type="expression" dxfId="73" priority="76" stopIfTrue="1">
      <formula>OR(ACOMPANHAMENTO="PLE",TIPOORCAMENTO="Proposto",$L87&lt;0,AND($L87&gt;100,RegimeExecucao="Global"),$O87&gt;$I87,$O87&lt;0)</formula>
    </cfRule>
    <cfRule type="expression" dxfId="72" priority="77" stopIfTrue="1">
      <formula>$A87=1</formula>
    </cfRule>
    <cfRule type="expression" dxfId="71" priority="78" stopIfTrue="1">
      <formula>$A87&lt;&gt;"S"</formula>
    </cfRule>
  </conditionalFormatting>
  <conditionalFormatting sqref="Q87:R87 AB87:AM87">
    <cfRule type="expression" dxfId="70" priority="79" stopIfTrue="1">
      <formula>$A87=1</formula>
    </cfRule>
    <cfRule type="expression" dxfId="69" priority="80" stopIfTrue="1">
      <formula>$A87&lt;&gt;"S"</formula>
    </cfRule>
  </conditionalFormatting>
  <conditionalFormatting sqref="D111:O113 T111:Z113">
    <cfRule type="expression" dxfId="68" priority="71" stopIfTrue="1">
      <formula>OR(ACOMPANHAMENTO="PLE",TIPOORCAMENTO="Proposto",$L111&lt;0,AND($L111&gt;100,RegimeExecucao="Global"),$O111&gt;$I111,$O111&lt;0)</formula>
    </cfRule>
    <cfRule type="expression" dxfId="67" priority="72" stopIfTrue="1">
      <formula>$A111=1</formula>
    </cfRule>
    <cfRule type="expression" dxfId="66" priority="73" stopIfTrue="1">
      <formula>$A111&lt;&gt;"S"</formula>
    </cfRule>
  </conditionalFormatting>
  <conditionalFormatting sqref="Q111:R113 AB111:AM113">
    <cfRule type="expression" dxfId="65" priority="74" stopIfTrue="1">
      <formula>$A111=1</formula>
    </cfRule>
    <cfRule type="expression" dxfId="64" priority="75" stopIfTrue="1">
      <formula>$A111&lt;&gt;"S"</formula>
    </cfRule>
  </conditionalFormatting>
  <conditionalFormatting sqref="D148:O148 T148:Z148">
    <cfRule type="expression" dxfId="63" priority="61" stopIfTrue="1">
      <formula>OR(ACOMPANHAMENTO="PLE",TIPOORCAMENTO="Proposto",$L148&lt;0,AND($L148&gt;100,RegimeExecucao="Global"),$O148&gt;$I148,$O148&lt;0)</formula>
    </cfRule>
    <cfRule type="expression" dxfId="62" priority="62" stopIfTrue="1">
      <formula>$A148=1</formula>
    </cfRule>
    <cfRule type="expression" dxfId="61" priority="63" stopIfTrue="1">
      <formula>$A148&lt;&gt;"S"</formula>
    </cfRule>
  </conditionalFormatting>
  <conditionalFormatting sqref="Q148:R148 AB148:AM148">
    <cfRule type="expression" dxfId="60" priority="64" stopIfTrue="1">
      <formula>$A148=1</formula>
    </cfRule>
    <cfRule type="expression" dxfId="59" priority="65" stopIfTrue="1">
      <formula>$A148&lt;&gt;"S"</formula>
    </cfRule>
  </conditionalFormatting>
  <conditionalFormatting sqref="D158:O158 T158:Z158">
    <cfRule type="expression" dxfId="58" priority="56" stopIfTrue="1">
      <formula>OR(ACOMPANHAMENTO="PLE",TIPOORCAMENTO="Proposto",$L158&lt;0,AND($L158&gt;100,RegimeExecucao="Global"),$O158&gt;$I158,$O158&lt;0)</formula>
    </cfRule>
    <cfRule type="expression" dxfId="57" priority="57" stopIfTrue="1">
      <formula>$A158=1</formula>
    </cfRule>
    <cfRule type="expression" dxfId="56" priority="58" stopIfTrue="1">
      <formula>$A158&lt;&gt;"S"</formula>
    </cfRule>
  </conditionalFormatting>
  <conditionalFormatting sqref="Q158:R158 AB158:AM158">
    <cfRule type="expression" dxfId="55" priority="59" stopIfTrue="1">
      <formula>$A158=1</formula>
    </cfRule>
    <cfRule type="expression" dxfId="54" priority="60" stopIfTrue="1">
      <formula>$A158&lt;&gt;"S"</formula>
    </cfRule>
  </conditionalFormatting>
  <conditionalFormatting sqref="D167:O167 T167:Z167">
    <cfRule type="expression" dxfId="53" priority="51" stopIfTrue="1">
      <formula>OR(ACOMPANHAMENTO="PLE",TIPOORCAMENTO="Proposto",$L167&lt;0,AND($L167&gt;100,RegimeExecucao="Global"),$O167&gt;$I167,$O167&lt;0)</formula>
    </cfRule>
    <cfRule type="expression" dxfId="52" priority="52" stopIfTrue="1">
      <formula>$A167=1</formula>
    </cfRule>
    <cfRule type="expression" dxfId="51" priority="53" stopIfTrue="1">
      <formula>$A167&lt;&gt;"S"</formula>
    </cfRule>
  </conditionalFormatting>
  <conditionalFormatting sqref="Q167:R167 AB167:AM167">
    <cfRule type="expression" dxfId="50" priority="54" stopIfTrue="1">
      <formula>$A167=1</formula>
    </cfRule>
    <cfRule type="expression" dxfId="49" priority="55" stopIfTrue="1">
      <formula>$A167&lt;&gt;"S"</formula>
    </cfRule>
  </conditionalFormatting>
  <conditionalFormatting sqref="D163:O163 T163:Z163">
    <cfRule type="expression" dxfId="48" priority="46" stopIfTrue="1">
      <formula>OR(ACOMPANHAMENTO="PLE",TIPOORCAMENTO="Proposto",$L163&lt;0,AND($L163&gt;100,RegimeExecucao="Global"),$O163&gt;$I163,$O163&lt;0)</formula>
    </cfRule>
    <cfRule type="expression" dxfId="47" priority="47" stopIfTrue="1">
      <formula>$A163=1</formula>
    </cfRule>
    <cfRule type="expression" dxfId="46" priority="48" stopIfTrue="1">
      <formula>$A163&lt;&gt;"S"</formula>
    </cfRule>
  </conditionalFormatting>
  <conditionalFormatting sqref="Q163:R163 AB163:AM163">
    <cfRule type="expression" dxfId="45" priority="49" stopIfTrue="1">
      <formula>$A163=1</formula>
    </cfRule>
    <cfRule type="expression" dxfId="44" priority="50" stopIfTrue="1">
      <formula>$A163&lt;&gt;"S"</formula>
    </cfRule>
  </conditionalFormatting>
  <conditionalFormatting sqref="D174:O175 T174:Z175">
    <cfRule type="expression" dxfId="43" priority="41" stopIfTrue="1">
      <formula>OR(ACOMPANHAMENTO="PLE",TIPOORCAMENTO="Proposto",$L174&lt;0,AND($L174&gt;100,RegimeExecucao="Global"),$O174&gt;$I174,$O174&lt;0)</formula>
    </cfRule>
    <cfRule type="expression" dxfId="42" priority="42" stopIfTrue="1">
      <formula>$A174=1</formula>
    </cfRule>
    <cfRule type="expression" dxfId="41" priority="43" stopIfTrue="1">
      <formula>$A174&lt;&gt;"S"</formula>
    </cfRule>
  </conditionalFormatting>
  <conditionalFormatting sqref="Q174:R175 AB174:AM175">
    <cfRule type="expression" dxfId="40" priority="44" stopIfTrue="1">
      <formula>$A174=1</formula>
    </cfRule>
    <cfRule type="expression" dxfId="39" priority="45" stopIfTrue="1">
      <formula>$A174&lt;&gt;"S"</formula>
    </cfRule>
  </conditionalFormatting>
  <conditionalFormatting sqref="D176:O176 T176:Z176">
    <cfRule type="expression" dxfId="38" priority="36" stopIfTrue="1">
      <formula>OR(ACOMPANHAMENTO="PLE",TIPOORCAMENTO="Proposto",$L176&lt;0,AND($L176&gt;100,RegimeExecucao="Global"),$O176&gt;$I176,$O176&lt;0)</formula>
    </cfRule>
    <cfRule type="expression" dxfId="37" priority="37" stopIfTrue="1">
      <formula>$A176=1</formula>
    </cfRule>
    <cfRule type="expression" dxfId="36" priority="38" stopIfTrue="1">
      <formula>$A176&lt;&gt;"S"</formula>
    </cfRule>
  </conditionalFormatting>
  <conditionalFormatting sqref="Q176:R176 AB176:AM176">
    <cfRule type="expression" dxfId="35" priority="39" stopIfTrue="1">
      <formula>$A176=1</formula>
    </cfRule>
    <cfRule type="expression" dxfId="34" priority="40" stopIfTrue="1">
      <formula>$A176&lt;&gt;"S"</formula>
    </cfRule>
  </conditionalFormatting>
  <conditionalFormatting sqref="D130:O130 T130:Z130">
    <cfRule type="expression" dxfId="33" priority="31" stopIfTrue="1">
      <formula>OR(ACOMPANHAMENTO="PLE",TIPOORCAMENTO="Proposto",$L130&lt;0,AND($L130&gt;100,RegimeExecucao="Global"),$O130&gt;$I130,$O130&lt;0)</formula>
    </cfRule>
    <cfRule type="expression" dxfId="32" priority="32" stopIfTrue="1">
      <formula>$A130=1</formula>
    </cfRule>
    <cfRule type="expression" dxfId="31" priority="33" stopIfTrue="1">
      <formula>$A130&lt;&gt;"S"</formula>
    </cfRule>
  </conditionalFormatting>
  <conditionalFormatting sqref="Q130:R130 AB130:AM130">
    <cfRule type="expression" dxfId="30" priority="34" stopIfTrue="1">
      <formula>$A130=1</formula>
    </cfRule>
    <cfRule type="expression" dxfId="29" priority="35" stopIfTrue="1">
      <formula>$A130&lt;&gt;"S"</formula>
    </cfRule>
  </conditionalFormatting>
  <conditionalFormatting sqref="D21:O21 T21:Z21">
    <cfRule type="expression" dxfId="28" priority="26" stopIfTrue="1">
      <formula>OR(ACOMPANHAMENTO="PLE",TIPOORCAMENTO="Proposto",$L21&lt;0,AND($L21&gt;100,RegimeExecucao="Global"),$O21&gt;$I21,$O21&lt;0)</formula>
    </cfRule>
    <cfRule type="expression" dxfId="27" priority="27" stopIfTrue="1">
      <formula>$A21=1</formula>
    </cfRule>
    <cfRule type="expression" dxfId="26" priority="28" stopIfTrue="1">
      <formula>$A21&lt;&gt;"S"</formula>
    </cfRule>
  </conditionalFormatting>
  <conditionalFormatting sqref="Q21:R21 AB21:AM21">
    <cfRule type="expression" dxfId="25" priority="29" stopIfTrue="1">
      <formula>$A21=1</formula>
    </cfRule>
    <cfRule type="expression" dxfId="24" priority="30" stopIfTrue="1">
      <formula>$A21&lt;&gt;"S"</formula>
    </cfRule>
  </conditionalFormatting>
  <conditionalFormatting sqref="D206:O206 T206:Z206">
    <cfRule type="expression" dxfId="23" priority="21" stopIfTrue="1">
      <formula>OR(ACOMPANHAMENTO="PLE",TIPOORCAMENTO="Proposto",$L206&lt;0,AND($L206&gt;100,RegimeExecucao="Global"),$O206&gt;$I206,$O206&lt;0)</formula>
    </cfRule>
    <cfRule type="expression" dxfId="22" priority="22" stopIfTrue="1">
      <formula>$A206=1</formula>
    </cfRule>
    <cfRule type="expression" dxfId="21" priority="23" stopIfTrue="1">
      <formula>$A206&lt;&gt;"S"</formula>
    </cfRule>
  </conditionalFormatting>
  <conditionalFormatting sqref="Q206:R206 AB206:AM206">
    <cfRule type="expression" dxfId="20" priority="24" stopIfTrue="1">
      <formula>$A206=1</formula>
    </cfRule>
    <cfRule type="expression" dxfId="19" priority="25" stopIfTrue="1">
      <formula>$A206&lt;&gt;"S"</formula>
    </cfRule>
  </conditionalFormatting>
  <conditionalFormatting sqref="D207:O207 T207:Z207">
    <cfRule type="expression" dxfId="18" priority="16" stopIfTrue="1">
      <formula>OR(ACOMPANHAMENTO="PLE",TIPOORCAMENTO="Proposto",$L207&lt;0,AND($L207&gt;100,RegimeExecucao="Global"),$O207&gt;$I207,$O207&lt;0)</formula>
    </cfRule>
    <cfRule type="expression" dxfId="17" priority="17" stopIfTrue="1">
      <formula>$A207=1</formula>
    </cfRule>
    <cfRule type="expression" dxfId="16" priority="18" stopIfTrue="1">
      <formula>$A207&lt;&gt;"S"</formula>
    </cfRule>
  </conditionalFormatting>
  <conditionalFormatting sqref="Q207:R207 AB207:AM207">
    <cfRule type="expression" dxfId="15" priority="19" stopIfTrue="1">
      <formula>$A207=1</formula>
    </cfRule>
    <cfRule type="expression" dxfId="14" priority="20" stopIfTrue="1">
      <formula>$A207&lt;&gt;"S"</formula>
    </cfRule>
  </conditionalFormatting>
  <conditionalFormatting sqref="D238:O238 T238:Z238">
    <cfRule type="expression" dxfId="13" priority="6" stopIfTrue="1">
      <formula>OR(ACOMPANHAMENTO="PLE",TIPOORCAMENTO="Proposto",$L238&lt;0,AND($L238&gt;100,RegimeExecucao="Global"),$O238&gt;$I238,$O238&lt;0)</formula>
    </cfRule>
    <cfRule type="expression" dxfId="12" priority="7" stopIfTrue="1">
      <formula>$A238=1</formula>
    </cfRule>
    <cfRule type="expression" dxfId="11" priority="8" stopIfTrue="1">
      <formula>$A238&lt;&gt;"S"</formula>
    </cfRule>
  </conditionalFormatting>
  <conditionalFormatting sqref="Q238:R238 AB238:AM238">
    <cfRule type="expression" dxfId="10" priority="9" stopIfTrue="1">
      <formula>$A238=1</formula>
    </cfRule>
    <cfRule type="expression" dxfId="9" priority="10" stopIfTrue="1">
      <formula>$A238&lt;&gt;"S"</formula>
    </cfRule>
  </conditionalFormatting>
  <dataValidations count="4">
    <dataValidation type="list" allowBlank="1" showErrorMessage="1" sqref="Z14 Z16:Z289" xr:uid="{00000000-0002-0000-0B00-000000000000}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289" xr:uid="{00000000-0002-0000-0B00-000001000000}">
      <formula1>0</formula1>
      <formula2>BM.MEDAcumulado</formula2>
    </dataValidation>
    <dataValidation type="whole" operator="greaterThan" allowBlank="1" showInputMessage="1" showErrorMessage="1" sqref="O8" xr:uid="{00000000-0002-0000-0B00-000002000000}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289" xr:uid="{00000000-0002-0000-0B00-000003000000}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">
      <c r="AC2" s="394" t="str">
        <f>J25</f>
        <v>Repasse</v>
      </c>
      <c r="AD2" s="395">
        <f ca="1">AD6-AD4-AD3</f>
        <v>0</v>
      </c>
      <c r="AE2" s="395">
        <f ca="1">AE6-AE4-AE3</f>
        <v>0</v>
      </c>
    </row>
    <row r="3" spans="1:41" x14ac:dyDescent="0.2">
      <c r="E3" s="620" t="s">
        <v>147</v>
      </c>
      <c r="F3" s="620"/>
      <c r="G3" s="620"/>
      <c r="H3" s="620"/>
      <c r="I3" s="583" t="s">
        <v>146</v>
      </c>
      <c r="J3" s="583"/>
      <c r="K3" s="583"/>
      <c r="L3" s="89" t="s">
        <v>443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SUM(T13:OFFSET(T24,-1,0))</f>
        <v>0</v>
      </c>
      <c r="AE3" s="395">
        <f ca="1">IF(OR($O$28&lt;$M$28,$M$26&gt;$AD$3),MIN($M$26,$L$26),MIN($AD$3,$N$28-$N$27+$M$26))</f>
        <v>0</v>
      </c>
    </row>
    <row r="4" spans="1:41" ht="12.75" customHeight="1" x14ac:dyDescent="0.2">
      <c r="E4" s="618" t="str">
        <f>Import.Proponente</f>
        <v>MUNICÍPIO DE RONDINHA</v>
      </c>
      <c r="F4" s="618"/>
      <c r="G4" s="618"/>
      <c r="H4" s="618"/>
      <c r="I4" s="580">
        <f>Import.CR</f>
        <v>0</v>
      </c>
      <c r="J4" s="580"/>
      <c r="K4" s="580"/>
      <c r="L4" s="57">
        <f>Import.TransfereGOV</f>
        <v>0</v>
      </c>
      <c r="M4" s="701" t="s">
        <v>307</v>
      </c>
      <c r="N4" s="702"/>
      <c r="O4" s="703"/>
      <c r="P4" s="397" t="str">
        <f>import.recurso</f>
        <v>OGU</v>
      </c>
      <c r="R4" s="152"/>
      <c r="S4" s="152"/>
      <c r="T4" s="396"/>
      <c r="U4" s="396"/>
      <c r="AC4" s="394" t="s">
        <v>358</v>
      </c>
      <c r="AD4" s="395">
        <f ca="1">SUM(U13:OFFSET(U24,-1,0))</f>
        <v>0</v>
      </c>
      <c r="AE4" s="395">
        <f ca="1">IF(OR($O$28&lt;$M$28,$M$27&gt;$AD$4),MIN($M$27,$L$27),MIN($AD$4,$N$28+$M$27))</f>
        <v>0</v>
      </c>
    </row>
    <row r="5" spans="1:41" ht="5.0999999999999996" customHeight="1" x14ac:dyDescent="0.2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">
      <c r="E6" s="583" t="s">
        <v>202</v>
      </c>
      <c r="F6" s="583"/>
      <c r="G6" s="583"/>
      <c r="H6" s="583"/>
      <c r="I6" s="689" t="s">
        <v>306</v>
      </c>
      <c r="J6" s="689"/>
      <c r="K6" s="689"/>
      <c r="L6" s="689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$O$28</f>
        <v>0</v>
      </c>
      <c r="AE6" s="395">
        <f ca="1">AD6</f>
        <v>0</v>
      </c>
    </row>
    <row r="7" spans="1:41" ht="12.75" customHeight="1" x14ac:dyDescent="0.2">
      <c r="D7" s="609" t="s">
        <v>209</v>
      </c>
      <c r="E7" s="580" t="str">
        <f>Import.Apelido</f>
        <v>PRAÇA PÚBLICA - BAIRRO N. S. APARECIDA</v>
      </c>
      <c r="F7" s="580"/>
      <c r="G7" s="580"/>
      <c r="H7" s="580"/>
      <c r="I7" s="690" t="str">
        <f>Import.Município</f>
        <v>RONDINHA - RS</v>
      </c>
      <c r="J7" s="690"/>
      <c r="K7" s="690"/>
      <c r="L7" s="690"/>
      <c r="M7" s="399">
        <f>Import.Repasse</f>
        <v>0</v>
      </c>
      <c r="N7" s="400">
        <f>Import.Contrapartida</f>
        <v>291001.64</v>
      </c>
      <c r="O7" s="399">
        <f>M7+N7</f>
        <v>291001.64</v>
      </c>
      <c r="P7" s="491">
        <f ca="1">IF(ACOMPANHAMENTO="PLE",PLE.Medicao,BM.medicao)</f>
        <v>1</v>
      </c>
      <c r="R7" s="152"/>
      <c r="S7" s="152"/>
      <c r="T7" s="152"/>
      <c r="U7" s="152"/>
    </row>
    <row r="8" spans="1:41" x14ac:dyDescent="0.2">
      <c r="D8" s="609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">
      <c r="D9" s="609"/>
      <c r="G9" s="691" t="s">
        <v>361</v>
      </c>
      <c r="H9" s="691"/>
      <c r="I9" s="691" t="s">
        <v>362</v>
      </c>
      <c r="J9" s="691"/>
      <c r="K9" s="401"/>
      <c r="L9" s="692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">
      <c r="D10" s="609"/>
      <c r="G10" s="582" t="str">
        <f ca="1">IF(J10="-","-",IF($P$24&lt;J10,"Atrasada",IF($P$24&gt;J10,"Adiantada","Normal")))</f>
        <v>Normal</v>
      </c>
      <c r="H10" s="582"/>
      <c r="I10" s="404">
        <f ca="1">DATE(YEAR($L$35),MONTH($L$35),1)</f>
        <v>45383</v>
      </c>
      <c r="J10" s="405">
        <f ca="1">IF($I$10&lt;DATE(YEAR(CRONO!$T$13),MONTH(CRONO!$T$13),1),0,IF($I$10&gt;CRONO!$AE$13,1,INDEX(CRONO!$S$122:$AG$122,MATCH(RRE!$I$10,CRONO!$S$13:$AG$13,0))))</f>
        <v>0</v>
      </c>
      <c r="K10" s="401"/>
      <c r="L10" s="692"/>
      <c r="M10" s="406">
        <f ca="1">QCI!L10</f>
        <v>0</v>
      </c>
      <c r="N10" s="321">
        <f ca="1">QCI!M10</f>
        <v>0</v>
      </c>
      <c r="P10" s="403"/>
      <c r="R10" s="152"/>
      <c r="S10" s="152"/>
      <c r="T10" s="152"/>
      <c r="U10" s="152"/>
      <c r="AC10" s="693" t="s">
        <v>364</v>
      </c>
      <c r="AD10" s="693"/>
      <c r="AE10" s="693"/>
      <c r="AF10" s="693"/>
      <c r="AG10" s="693"/>
      <c r="AH10" s="693"/>
      <c r="AJ10" s="693" t="s">
        <v>4</v>
      </c>
      <c r="AK10" s="693"/>
      <c r="AL10" s="693"/>
      <c r="AM10" s="693"/>
      <c r="AN10" s="693"/>
      <c r="AO10" s="693"/>
    </row>
    <row r="11" spans="1:41" ht="20.100000000000001" customHeight="1" x14ac:dyDescent="0.2">
      <c r="D11" s="609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411</v>
      </c>
      <c r="Y11" s="694" t="str">
        <f>IF(CAIXA.Modo,"Valores Aferidos (R$)","Valores Medidos (R$)")</f>
        <v>Valores Medidos (R$)</v>
      </c>
      <c r="Z11" s="694"/>
      <c r="AC11" s="695" t="s">
        <v>365</v>
      </c>
      <c r="AD11" s="695"/>
      <c r="AE11" s="695"/>
      <c r="AF11" s="695" t="s">
        <v>366</v>
      </c>
      <c r="AG11" s="695"/>
      <c r="AH11" s="695"/>
      <c r="AJ11" s="695" t="s">
        <v>365</v>
      </c>
      <c r="AK11" s="695"/>
      <c r="AL11" s="695"/>
      <c r="AM11" s="695" t="s">
        <v>366</v>
      </c>
      <c r="AN11" s="695"/>
      <c r="AO11" s="695"/>
    </row>
    <row r="12" spans="1:41" hidden="1" x14ac:dyDescent="0.2">
      <c r="A12" t="e">
        <f ca="1">MATCH(E12,ORÇAMENTO!$E$15:$E$290,0)-1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199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199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0</v>
      </c>
      <c r="AF12" s="199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199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199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0</v>
      </c>
      <c r="AJ12" s="199" t="e">
        <f ca="1">IF(ACOMPANHAMENTO&lt;&gt;"BM",0,SUMPRODUCT(OFFSET(BM!$M$15,$A12,0,$B12)*(OFFSET(BM!$A$15,$A12,0,$B12)="S")*OFFSET(ORÇAMENTO!AA$15,$A12,0,$B12)/(OFFSET(ORÇAMENTO!$X$15,$A12,0,$B12)+10^-12)))</f>
        <v>#N/A</v>
      </c>
      <c r="AK12" s="199" t="e">
        <f ca="1">IF(ACOMPANHAMENTO&lt;&gt;"BM",0,SUMPRODUCT(OFFSET(BM!$M$15,$A12,0,$B12)*(OFFSET(BM!$A$15,$A12,0,$B12)="S")*OFFSET(ORÇAMENTO!AB$15,$A12,0,$B12)/(OFFSET(ORÇAMENTO!$X$15,$A12,0,$B12)+10^-12)))</f>
        <v>#N/A</v>
      </c>
      <c r="AL12" s="199" t="e">
        <f ca="1">IF(ACOMPANHAMENTO&lt;&gt;"BM",0,OFFSET(BM!$M$15,$A12,0))</f>
        <v>#N/A</v>
      </c>
      <c r="AM12" s="199" t="e">
        <f ca="1">IF(ACOMPANHAMENTO&lt;&gt;"BM",0,SUMPRODUCT(OFFSET(BM!$O$15,$A12,0,$B12)*(OFFSET(BM!$A$15,$A12,0,$B12)="S")*OFFSET(ORÇAMENTO!AA$15,$A12,0,$B12)/(OFFSET(ORÇAMENTO!$X$15,$A12,0,$B12)+10^-12)))</f>
        <v>#N/A</v>
      </c>
      <c r="AN12" s="199" t="e">
        <f ca="1">IF(ACOMPANHAMENTO&lt;&gt;"BM",0,SUMPRODUCT(OFFSET(BM!$O$15,$A12,0,$B12)*(OFFSET(BM!$A$15,$A12,0,$B12)="S")*OFFSET(ORÇAMENTO!AB$15,$A12,0,$B12)/(OFFSET(ORÇAMENTO!$X$15,$A12,0,$B12)+10^-12)))</f>
        <v>#N/A</v>
      </c>
      <c r="AO12" s="199" t="e">
        <f ca="1">IF(ACOMPANHAMENTO&lt;&gt;"BM",0,OFFSET(BM!$O$15,$A12,0))</f>
        <v>#N/A</v>
      </c>
    </row>
    <row r="13" spans="1:41" ht="39.950000000000003" customHeight="1" x14ac:dyDescent="0.2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ht="38.25" x14ac:dyDescent="0.2">
      <c r="A14">
        <f ca="1">MATCH(E14,ORÇAMENTO!$E$15:$E$290,0)-1</f>
        <v>1</v>
      </c>
      <c r="B14">
        <f ca="1">IF(ISERROR($A14),NA(),OFFSET(ORÇAMENTO!$D$15,$A14,0))</f>
        <v>274</v>
      </c>
      <c r="C14" t="str">
        <f ca="1">QCI!B14</f>
        <v>Automático</v>
      </c>
      <c r="D14" t="str">
        <f t="shared" ref="D14:D22" ca="1" si="0">IF(L14&gt;0,"F","")</f>
        <v>F</v>
      </c>
      <c r="E14" s="322">
        <f>QCI!D14</f>
        <v>1</v>
      </c>
      <c r="F14" s="408" t="str">
        <f ca="1">QCI!G14</f>
        <v>PRAÇA PÚBLICA - BAIRRO N. S. APARECIDA</v>
      </c>
      <c r="G14" s="409" t="str">
        <f>QCI!H14</f>
        <v>Análise Concluída / A Licitar</v>
      </c>
      <c r="H14" s="287">
        <f>QCI!I14</f>
        <v>1426</v>
      </c>
      <c r="I14" s="323" t="str">
        <f ca="1">QCI!J14</f>
        <v>m²</v>
      </c>
      <c r="J14" s="410" t="str">
        <f ca="1">QCI!K14</f>
        <v>LOTE 1</v>
      </c>
      <c r="K14" s="411">
        <f ca="1">IF($C14="Automático",IF(ACOMPANHAMENTO="BM",BM.medicao,PLE.Medicao),IF(ISBLANK($X14),"",$X14))</f>
        <v>1</v>
      </c>
      <c r="L14" s="327">
        <f ca="1">QCI!$O14</f>
        <v>291001.64</v>
      </c>
      <c r="M14" s="324">
        <f t="shared" ref="M14:M22" ca="1" si="1">ROUND(IF(C14="Automático",AE14+AL14,Y14),2)</f>
        <v>0</v>
      </c>
      <c r="N14" s="325">
        <f t="shared" ref="N14:N22" ca="1" si="2">O14-M14</f>
        <v>0</v>
      </c>
      <c r="O14" s="326">
        <f t="shared" ref="O14:O22" ca="1" si="3">ROUND(IF(C14="Automático",AH14+AO14,Z14),2)</f>
        <v>0</v>
      </c>
      <c r="P14" s="413">
        <f t="shared" ref="P14:P22" ca="1" si="4">O14/(L14+10^-12)</f>
        <v>0</v>
      </c>
      <c r="R14" s="412">
        <f ca="1">ROUND(IF($C14="Automático",AC14+AJ14,$Y14*IF(ISERROR(QCI!$AA14/QCI!$O14),0,QCI!$AA14/QCI!$O14)),2)</f>
        <v>0</v>
      </c>
      <c r="S14" s="412">
        <f ca="1">ROUND(IF($C14="Automático",AD14+AK14,$Y14*IF(ISERROR(QCI!$AB14/QCI!$O14),0,QCI!$AB14/QCI!$O14)),2)</f>
        <v>0</v>
      </c>
      <c r="T14" s="412">
        <f ca="1">ROUND(IF($C14="Automático",AF14+AM14,$Z14*IF(ISERROR(QCI!$AA14/QCI!$O14),0,QCI!$AA14/QCI!$O14)),2)</f>
        <v>0</v>
      </c>
      <c r="U14" s="412">
        <f ca="1"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1</v>
      </c>
      <c r="X14" s="328"/>
      <c r="Y14" s="329"/>
      <c r="Z14" s="331"/>
      <c r="AC14" s="19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9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9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19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9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9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x14ac:dyDescent="0.2">
      <c r="A15" t="e">
        <f ca="1">MATCH(E15,ORÇAMENTO!$E$15:$E$290,0)-1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t="shared" ca="1" si="0"/>
        <v/>
      </c>
      <c r="E15" s="322">
        <f>QCI!D15</f>
        <v>2</v>
      </c>
      <c r="F15" s="408" t="str">
        <f ca="1">QCI!G15</f>
        <v/>
      </c>
      <c r="G15" s="409">
        <f>QCI!H15</f>
        <v>0</v>
      </c>
      <c r="H15" s="287">
        <f>QCI!I15</f>
        <v>0</v>
      </c>
      <c r="I15" s="323" t="str">
        <f ca="1">QCI!J15</f>
        <v/>
      </c>
      <c r="J15" s="410" t="str">
        <f ca="1">QCI!K15</f>
        <v/>
      </c>
      <c r="K15" s="411" t="str">
        <f ca="1">IF($C15="Automático",IF(ACOMPANHAMENTO="BM",BM.medicao,PLE.Medicao),IF(ISBLANK($X15),"",$X15))</f>
        <v/>
      </c>
      <c r="L15" s="327">
        <f ca="1">QCI!$O15</f>
        <v>0</v>
      </c>
      <c r="M15" s="324">
        <f t="shared" ca="1" si="1"/>
        <v>0</v>
      </c>
      <c r="N15" s="325">
        <f t="shared" ca="1" si="2"/>
        <v>0</v>
      </c>
      <c r="O15" s="326">
        <f t="shared" ca="1" si="3"/>
        <v>0</v>
      </c>
      <c r="P15" s="413">
        <f t="shared" ca="1" si="4"/>
        <v>0</v>
      </c>
      <c r="R15" s="412">
        <f ca="1">ROUND(IF($C15="Automático",AC15+AJ15,$Y15*IF(ISERROR(QCI!$AA15/QCI!$O15),0,QCI!$AA15/QCI!$O15)),2)</f>
        <v>0</v>
      </c>
      <c r="S15" s="412">
        <f ca="1">ROUND(IF($C15="Automático",AD15+AK15,$Y15*IF(ISERROR(QCI!$AB15/QCI!$O15),0,QCI!$AB15/QCI!$O15)),2)</f>
        <v>0</v>
      </c>
      <c r="T15" s="412">
        <f ca="1">ROUND(IF($C15="Automático",AF15+AM15,$Z15*IF(ISERROR(QCI!$AA15/QCI!$O15),0,QCI!$AA15/QCI!$O15)),2)</f>
        <v>0</v>
      </c>
      <c r="U15" s="412">
        <f ca="1">ROUND(IF($C15="Automático",AG15+AN15,$Z15*IF(ISERROR(QCI!$AB15/QCI!$O15),0,QCI!$AB15/QCI!$O15)),2)</f>
        <v>0</v>
      </c>
      <c r="V15" s="540">
        <f ca="1">IF(AND($L15&gt;0,$J15&lt;&gt;0,$J15&lt;&gt;"",COUNTIF($J$13:$J15,$J15)=1),OFFSET(V15,-1,0)+1,OFFSET(V15,-1,0))</f>
        <v>1</v>
      </c>
      <c r="X15" s="328"/>
      <c r="Y15" s="329"/>
      <c r="Z15" s="331"/>
      <c r="AC15" s="199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99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99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199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99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99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199" t="e">
        <f ca="1">IF(ACOMPANHAMENTO&lt;&gt;"BM",0,SUMPRODUCT(OFFSET(BM!$M$15,$A15,0,$B15)*(OFFSET(BM!$A$15,$A15,0,$B15)="S")*OFFSET(ORÇAMENTO!AA$15,$A15,0,$B15)/(OFFSET(ORÇAMENTO!$X$15,$A15,0,$B15)+10^-12)))</f>
        <v>#N/A</v>
      </c>
      <c r="AK15" s="199" t="e">
        <f ca="1">IF(ACOMPANHAMENTO&lt;&gt;"BM",0,SUMPRODUCT(OFFSET(BM!$M$15,$A15,0,$B15)*(OFFSET(BM!$A$15,$A15,0,$B15)="S")*OFFSET(ORÇAMENTO!AB$15,$A15,0,$B15)/(OFFSET(ORÇAMENTO!$X$15,$A15,0,$B15)+10^-12)))</f>
        <v>#N/A</v>
      </c>
      <c r="AL15" s="199" t="e">
        <f ca="1">IF(ACOMPANHAMENTO&lt;&gt;"BM",0,OFFSET(BM!$M$15,$A15,0))</f>
        <v>#N/A</v>
      </c>
      <c r="AM15" s="199" t="e">
        <f ca="1">IF(ACOMPANHAMENTO&lt;&gt;"BM",0,SUMPRODUCT(OFFSET(BM!$O$15,$A15,0,$B15)*(OFFSET(BM!$A$15,$A15,0,$B15)="S")*OFFSET(ORÇAMENTO!AA$15,$A15,0,$B15)/(OFFSET(ORÇAMENTO!$X$15,$A15,0,$B15)+10^-12)))</f>
        <v>#N/A</v>
      </c>
      <c r="AN15" s="199" t="e">
        <f ca="1">IF(ACOMPANHAMENTO&lt;&gt;"BM",0,SUMPRODUCT(OFFSET(BM!$O$15,$A15,0,$B15)*(OFFSET(BM!$A$15,$A15,0,$B15)="S")*OFFSET(ORÇAMENTO!AB$15,$A15,0,$B15)/(OFFSET(ORÇAMENTO!$X$15,$A15,0,$B15)+10^-12)))</f>
        <v>#N/A</v>
      </c>
      <c r="AO15" s="199" t="e">
        <f ca="1">IF(ACOMPANHAMENTO&lt;&gt;"BM",0,OFFSET(BM!$O$15,$A15,0))</f>
        <v>#N/A</v>
      </c>
    </row>
    <row r="16" spans="1:41" x14ac:dyDescent="0.2">
      <c r="A16" t="e">
        <f ca="1">MATCH(E16,ORÇAMENTO!$E$15:$E$290,0)-1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t="shared" ca="1" si="0"/>
        <v/>
      </c>
      <c r="E16" s="322">
        <f>QCI!D16</f>
        <v>3</v>
      </c>
      <c r="F16" s="408" t="str">
        <f ca="1">QCI!G16</f>
        <v/>
      </c>
      <c r="G16" s="409">
        <f>QCI!H16</f>
        <v>0</v>
      </c>
      <c r="H16" s="287">
        <f>QCI!I16</f>
        <v>0</v>
      </c>
      <c r="I16" s="323" t="str">
        <f ca="1">QCI!J16</f>
        <v/>
      </c>
      <c r="J16" s="410" t="str">
        <f ca="1">QCI!K16</f>
        <v/>
      </c>
      <c r="K16" s="411" t="str">
        <f ca="1">IF($C16="Automático",IF(ACOMPANHAMENTO="BM",BM.medicao,PLE.Medicao),IF(ISBLANK($X16),"",$X16))</f>
        <v/>
      </c>
      <c r="L16" s="327">
        <f ca="1">QCI!$O16</f>
        <v>0</v>
      </c>
      <c r="M16" s="324">
        <f t="shared" ca="1" si="1"/>
        <v>0</v>
      </c>
      <c r="N16" s="325">
        <f t="shared" ca="1" si="2"/>
        <v>0</v>
      </c>
      <c r="O16" s="326">
        <f t="shared" ca="1" si="3"/>
        <v>0</v>
      </c>
      <c r="P16" s="413">
        <f t="shared" ca="1" si="4"/>
        <v>0</v>
      </c>
      <c r="R16" s="412">
        <f ca="1">ROUND(IF($C16="Automático",AC16+AJ16,$Y16*IF(ISERROR(QCI!$AA16/QCI!$O16),0,QCI!$AA16/QCI!$O16)),2)</f>
        <v>0</v>
      </c>
      <c r="S16" s="412">
        <f ca="1">ROUND(IF($C16="Automático",AD16+AK16,$Y16*IF(ISERROR(QCI!$AB16/QCI!$O16),0,QCI!$AB16/QCI!$O16)),2)</f>
        <v>0</v>
      </c>
      <c r="T16" s="412">
        <f ca="1">ROUND(IF($C16="Automático",AF16+AM16,$Z16*IF(ISERROR(QCI!$AA16/QCI!$O16),0,QCI!$AA16/QCI!$O16)),2)</f>
        <v>0</v>
      </c>
      <c r="U16" s="412">
        <f ca="1">ROUND(IF($C16="Automático",AG16+AN16,$Z16*IF(ISERROR(QCI!$AB16/QCI!$O16),0,QCI!$AB16/QCI!$O16)),2)</f>
        <v>0</v>
      </c>
      <c r="V16" s="540">
        <f ca="1">IF(AND($L16&gt;0,$J16&lt;&gt;0,$J16&lt;&gt;"",COUNTIF($J$13:$J16,$J16)=1),OFFSET(V16,-1,0)+1,OFFSET(V16,-1,0))</f>
        <v>1</v>
      </c>
      <c r="X16" s="328"/>
      <c r="Y16" s="329"/>
      <c r="Z16" s="331"/>
      <c r="AC16" s="199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199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199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0</v>
      </c>
      <c r="AF16" s="199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199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199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0</v>
      </c>
      <c r="AJ16" s="199" t="e">
        <f ca="1">IF(ACOMPANHAMENTO&lt;&gt;"BM",0,SUMPRODUCT(OFFSET(BM!$M$15,$A16,0,$B16)*(OFFSET(BM!$A$15,$A16,0,$B16)="S")*OFFSET(ORÇAMENTO!AA$15,$A16,0,$B16)/(OFFSET(ORÇAMENTO!$X$15,$A16,0,$B16)+10^-12)))</f>
        <v>#N/A</v>
      </c>
      <c r="AK16" s="199" t="e">
        <f ca="1">IF(ACOMPANHAMENTO&lt;&gt;"BM",0,SUMPRODUCT(OFFSET(BM!$M$15,$A16,0,$B16)*(OFFSET(BM!$A$15,$A16,0,$B16)="S")*OFFSET(ORÇAMENTO!AB$15,$A16,0,$B16)/(OFFSET(ORÇAMENTO!$X$15,$A16,0,$B16)+10^-12)))</f>
        <v>#N/A</v>
      </c>
      <c r="AL16" s="199" t="e">
        <f ca="1">IF(ACOMPANHAMENTO&lt;&gt;"BM",0,OFFSET(BM!$M$15,$A16,0))</f>
        <v>#N/A</v>
      </c>
      <c r="AM16" s="199" t="e">
        <f ca="1">IF(ACOMPANHAMENTO&lt;&gt;"BM",0,SUMPRODUCT(OFFSET(BM!$O$15,$A16,0,$B16)*(OFFSET(BM!$A$15,$A16,0,$B16)="S")*OFFSET(ORÇAMENTO!AA$15,$A16,0,$B16)/(OFFSET(ORÇAMENTO!$X$15,$A16,0,$B16)+10^-12)))</f>
        <v>#N/A</v>
      </c>
      <c r="AN16" s="199" t="e">
        <f ca="1">IF(ACOMPANHAMENTO&lt;&gt;"BM",0,SUMPRODUCT(OFFSET(BM!$O$15,$A16,0,$B16)*(OFFSET(BM!$A$15,$A16,0,$B16)="S")*OFFSET(ORÇAMENTO!AB$15,$A16,0,$B16)/(OFFSET(ORÇAMENTO!$X$15,$A16,0,$B16)+10^-12)))</f>
        <v>#N/A</v>
      </c>
      <c r="AO16" s="199" t="e">
        <f ca="1">IF(ACOMPANHAMENTO&lt;&gt;"BM",0,OFFSET(BM!$O$15,$A16,0))</f>
        <v>#N/A</v>
      </c>
    </row>
    <row r="17" spans="1:41" x14ac:dyDescent="0.2">
      <c r="A17" t="e">
        <f ca="1">MATCH(E17,ORÇAMENTO!$E$15:$E$290,0)-1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322">
        <f>QCI!D17</f>
        <v>4</v>
      </c>
      <c r="F17" s="408" t="str">
        <f ca="1">QCI!G17</f>
        <v/>
      </c>
      <c r="G17" s="409">
        <f>QCI!H17</f>
        <v>0</v>
      </c>
      <c r="H17" s="287">
        <f>QCI!I17</f>
        <v>0</v>
      </c>
      <c r="I17" s="323" t="str">
        <f ca="1">QCI!J17</f>
        <v/>
      </c>
      <c r="J17" s="410" t="str">
        <f ca="1">QCI!K17</f>
        <v/>
      </c>
      <c r="K17" s="411" t="str">
        <f ca="1">IF($C17="Automático",IF(ACOMPANHAMENTO="BM",BM.medicao,PLE.Medicao),IF(ISBLANK($X17),"",$X17))</f>
        <v/>
      </c>
      <c r="L17" s="327">
        <f ca="1">QCI!$O17</f>
        <v>0</v>
      </c>
      <c r="M17" s="324">
        <f t="shared" ca="1" si="1"/>
        <v>0</v>
      </c>
      <c r="N17" s="325">
        <f t="shared" ca="1" si="2"/>
        <v>0</v>
      </c>
      <c r="O17" s="326">
        <f t="shared" ca="1" si="3"/>
        <v>0</v>
      </c>
      <c r="P17" s="413">
        <f t="shared" ca="1" si="4"/>
        <v>0</v>
      </c>
      <c r="R17" s="412">
        <f ca="1">ROUND(IF($C17="Automático",AC17+AJ17,$Y17*IF(ISERROR(QCI!$AA17/QCI!$O17),0,QCI!$AA17/QCI!$O17)),2)</f>
        <v>0</v>
      </c>
      <c r="S17" s="412">
        <f ca="1">ROUND(IF($C17="Automático",AD17+AK17,$Y17*IF(ISERROR(QCI!$AB17/QCI!$O17),0,QCI!$AB17/QCI!$O17)),2)</f>
        <v>0</v>
      </c>
      <c r="T17" s="412">
        <f ca="1">ROUND(IF($C17="Automático",AF17+AM17,$Z17*IF(ISERROR(QCI!$AA17/QCI!$O17),0,QCI!$AA17/QCI!$O17)),2)</f>
        <v>0</v>
      </c>
      <c r="U17" s="412">
        <f ca="1">ROUND(IF($C17="Automático",AG17+AN17,$Z17*IF(ISERROR(QCI!$AB17/QCI!$O17),0,QCI!$AB17/QCI!$O17)),2)</f>
        <v>0</v>
      </c>
      <c r="V17" s="540">
        <f ca="1">IF(AND($L17&gt;0,$J17&lt;&gt;0,$J17&lt;&gt;"",COUNTIF($J$13:$J17,$J17)=1),OFFSET(V17,-1,0)+1,OFFSET(V17,-1,0))</f>
        <v>1</v>
      </c>
      <c r="X17" s="328"/>
      <c r="Y17" s="329"/>
      <c r="Z17" s="331"/>
      <c r="AC17" s="199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199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199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0</v>
      </c>
      <c r="AF17" s="199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199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199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0</v>
      </c>
      <c r="AJ17" s="199" t="e">
        <f ca="1">IF(ACOMPANHAMENTO&lt;&gt;"BM",0,SUMPRODUCT(OFFSET(BM!$M$15,$A17,0,$B17)*(OFFSET(BM!$A$15,$A17,0,$B17)="S")*OFFSET(ORÇAMENTO!AA$15,$A17,0,$B17)/(OFFSET(ORÇAMENTO!$X$15,$A17,0,$B17)+10^-12)))</f>
        <v>#N/A</v>
      </c>
      <c r="AK17" s="199" t="e">
        <f ca="1">IF(ACOMPANHAMENTO&lt;&gt;"BM",0,SUMPRODUCT(OFFSET(BM!$M$15,$A17,0,$B17)*(OFFSET(BM!$A$15,$A17,0,$B17)="S")*OFFSET(ORÇAMENTO!AB$15,$A17,0,$B17)/(OFFSET(ORÇAMENTO!$X$15,$A17,0,$B17)+10^-12)))</f>
        <v>#N/A</v>
      </c>
      <c r="AL17" s="199" t="e">
        <f ca="1">IF(ACOMPANHAMENTO&lt;&gt;"BM",0,OFFSET(BM!$M$15,$A17,0))</f>
        <v>#N/A</v>
      </c>
      <c r="AM17" s="199" t="e">
        <f ca="1">IF(ACOMPANHAMENTO&lt;&gt;"BM",0,SUMPRODUCT(OFFSET(BM!$O$15,$A17,0,$B17)*(OFFSET(BM!$A$15,$A17,0,$B17)="S")*OFFSET(ORÇAMENTO!AA$15,$A17,0,$B17)/(OFFSET(ORÇAMENTO!$X$15,$A17,0,$B17)+10^-12)))</f>
        <v>#N/A</v>
      </c>
      <c r="AN17" s="199" t="e">
        <f ca="1">IF(ACOMPANHAMENTO&lt;&gt;"BM",0,SUMPRODUCT(OFFSET(BM!$O$15,$A17,0,$B17)*(OFFSET(BM!$A$15,$A17,0,$B17)="S")*OFFSET(ORÇAMENTO!AB$15,$A17,0,$B17)/(OFFSET(ORÇAMENTO!$X$15,$A17,0,$B17)+10^-12)))</f>
        <v>#N/A</v>
      </c>
      <c r="AO17" s="199" t="e">
        <f ca="1">IF(ACOMPANHAMENTO&lt;&gt;"BM",0,OFFSET(BM!$O$15,$A17,0))</f>
        <v>#N/A</v>
      </c>
    </row>
    <row r="18" spans="1:41" x14ac:dyDescent="0.2">
      <c r="A18" t="e">
        <f ca="1">MATCH(E18,ORÇAMENTO!$E$15:$E$290,0)-1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322">
        <f>QCI!D18</f>
        <v>5</v>
      </c>
      <c r="F18" s="408" t="str">
        <f ca="1">QCI!G18</f>
        <v/>
      </c>
      <c r="G18" s="409">
        <f>QCI!H18</f>
        <v>0</v>
      </c>
      <c r="H18" s="287">
        <f>QCI!I18</f>
        <v>0</v>
      </c>
      <c r="I18" s="323" t="str">
        <f ca="1">QCI!J18</f>
        <v/>
      </c>
      <c r="J18" s="410" t="str">
        <f ca="1">QCI!K18</f>
        <v/>
      </c>
      <c r="K18" s="411" t="str">
        <f ca="1">IF($C18="Automático",IF(ACOMPANHAMENTO="BM",BM.medicao,PLE.Medicao),IF(ISBLANK($X18),"",$X18))</f>
        <v/>
      </c>
      <c r="L18" s="327">
        <f ca="1">QCI!$O18</f>
        <v>0</v>
      </c>
      <c r="M18" s="324">
        <f t="shared" ca="1" si="1"/>
        <v>0</v>
      </c>
      <c r="N18" s="325">
        <f t="shared" ca="1" si="2"/>
        <v>0</v>
      </c>
      <c r="O18" s="326">
        <f t="shared" ca="1" si="3"/>
        <v>0</v>
      </c>
      <c r="P18" s="413">
        <f t="shared" ca="1" si="4"/>
        <v>0</v>
      </c>
      <c r="R18" s="412">
        <f ca="1">ROUND(IF($C18="Automático",AC18+AJ18,$Y18*IF(ISERROR(QCI!$AA18/QCI!$O18),0,QCI!$AA18/QCI!$O18)),2)</f>
        <v>0</v>
      </c>
      <c r="S18" s="412">
        <f ca="1">ROUND(IF($C18="Automático",AD18+AK18,$Y18*IF(ISERROR(QCI!$AB18/QCI!$O18),0,QCI!$AB18/QCI!$O18)),2)</f>
        <v>0</v>
      </c>
      <c r="T18" s="412">
        <f ca="1">ROUND(IF($C18="Automático",AF18+AM18,$Z18*IF(ISERROR(QCI!$AA18/QCI!$O18),0,QCI!$AA18/QCI!$O18)),2)</f>
        <v>0</v>
      </c>
      <c r="U18" s="412">
        <f ca="1">ROUND(IF($C18="Automático",AG18+AN18,$Z18*IF(ISERROR(QCI!$AB18/QCI!$O18),0,QCI!$AB18/QCI!$O18)),2)</f>
        <v>0</v>
      </c>
      <c r="V18" s="540">
        <f ca="1">IF(AND($L18&gt;0,$J18&lt;&gt;0,$J18&lt;&gt;"",COUNTIF($J$13:$J18,$J18)=1),OFFSET(V18,-1,0)+1,OFFSET(V18,-1,0))</f>
        <v>1</v>
      </c>
      <c r="X18" s="328"/>
      <c r="Y18" s="329"/>
      <c r="Z18" s="331"/>
      <c r="AC18" s="199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199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199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0</v>
      </c>
      <c r="AF18" s="199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199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199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0</v>
      </c>
      <c r="AJ18" s="199" t="e">
        <f ca="1">IF(ACOMPANHAMENTO&lt;&gt;"BM",0,SUMPRODUCT(OFFSET(BM!$M$15,$A18,0,$B18)*(OFFSET(BM!$A$15,$A18,0,$B18)="S")*OFFSET(ORÇAMENTO!AA$15,$A18,0,$B18)/(OFFSET(ORÇAMENTO!$X$15,$A18,0,$B18)+10^-12)))</f>
        <v>#N/A</v>
      </c>
      <c r="AK18" s="199" t="e">
        <f ca="1">IF(ACOMPANHAMENTO&lt;&gt;"BM",0,SUMPRODUCT(OFFSET(BM!$M$15,$A18,0,$B18)*(OFFSET(BM!$A$15,$A18,0,$B18)="S")*OFFSET(ORÇAMENTO!AB$15,$A18,0,$B18)/(OFFSET(ORÇAMENTO!$X$15,$A18,0,$B18)+10^-12)))</f>
        <v>#N/A</v>
      </c>
      <c r="AL18" s="199" t="e">
        <f ca="1">IF(ACOMPANHAMENTO&lt;&gt;"BM",0,OFFSET(BM!$M$15,$A18,0))</f>
        <v>#N/A</v>
      </c>
      <c r="AM18" s="199" t="e">
        <f ca="1">IF(ACOMPANHAMENTO&lt;&gt;"BM",0,SUMPRODUCT(OFFSET(BM!$O$15,$A18,0,$B18)*(OFFSET(BM!$A$15,$A18,0,$B18)="S")*OFFSET(ORÇAMENTO!AA$15,$A18,0,$B18)/(OFFSET(ORÇAMENTO!$X$15,$A18,0,$B18)+10^-12)))</f>
        <v>#N/A</v>
      </c>
      <c r="AN18" s="199" t="e">
        <f ca="1">IF(ACOMPANHAMENTO&lt;&gt;"BM",0,SUMPRODUCT(OFFSET(BM!$O$15,$A18,0,$B18)*(OFFSET(BM!$A$15,$A18,0,$B18)="S")*OFFSET(ORÇAMENTO!AB$15,$A18,0,$B18)/(OFFSET(ORÇAMENTO!$X$15,$A18,0,$B18)+10^-12)))</f>
        <v>#N/A</v>
      </c>
      <c r="AO18" s="199" t="e">
        <f ca="1">IF(ACOMPANHAMENTO&lt;&gt;"BM",0,OFFSET(BM!$O$15,$A18,0))</f>
        <v>#N/A</v>
      </c>
    </row>
    <row r="19" spans="1:41" x14ac:dyDescent="0.2">
      <c r="A19" t="e">
        <f ca="1">MATCH(E19,ORÇAMENTO!$E$15:$E$290,0)-1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322">
        <f>QCI!D19</f>
        <v>6</v>
      </c>
      <c r="F19" s="408" t="str">
        <f ca="1">QCI!G19</f>
        <v/>
      </c>
      <c r="G19" s="409">
        <f>QCI!H19</f>
        <v>0</v>
      </c>
      <c r="H19" s="287">
        <f>QCI!I19</f>
        <v>0</v>
      </c>
      <c r="I19" s="323" t="str">
        <f ca="1">QCI!J19</f>
        <v/>
      </c>
      <c r="J19" s="410" t="str">
        <f ca="1">QCI!K19</f>
        <v/>
      </c>
      <c r="K19" s="411" t="str">
        <f ca="1">IF($C19="Automático",IF(ACOMPANHAMENTO="BM",BM.medicao,PLE.Medicao),IF(ISBLANK($X19),"",$X19))</f>
        <v/>
      </c>
      <c r="L19" s="327">
        <f ca="1">QCI!$O19</f>
        <v>0</v>
      </c>
      <c r="M19" s="324">
        <f t="shared" ca="1" si="1"/>
        <v>0</v>
      </c>
      <c r="N19" s="325">
        <f t="shared" ca="1" si="2"/>
        <v>0</v>
      </c>
      <c r="O19" s="326">
        <f t="shared" ca="1" si="3"/>
        <v>0</v>
      </c>
      <c r="P19" s="413">
        <f t="shared" ca="1" si="4"/>
        <v>0</v>
      </c>
      <c r="R19" s="412">
        <f ca="1">ROUND(IF($C19="Automático",AC19+AJ19,$Y19*IF(ISERROR(QCI!$AA19/QCI!$O19),0,QCI!$AA19/QCI!$O19)),2)</f>
        <v>0</v>
      </c>
      <c r="S19" s="412">
        <f ca="1">ROUND(IF($C19="Automático",AD19+AK19,$Y19*IF(ISERROR(QCI!$AB19/QCI!$O19),0,QCI!$AB19/QCI!$O19)),2)</f>
        <v>0</v>
      </c>
      <c r="T19" s="412">
        <f ca="1">ROUND(IF($C19="Automático",AF19+AM19,$Z19*IF(ISERROR(QCI!$AA19/QCI!$O19),0,QCI!$AA19/QCI!$O19)),2)</f>
        <v>0</v>
      </c>
      <c r="U19" s="412">
        <f ca="1">ROUND(IF($C19="Automático",AG19+AN19,$Z19*IF(ISERROR(QCI!$AB19/QCI!$O19),0,QCI!$AB19/QCI!$O19)),2)</f>
        <v>0</v>
      </c>
      <c r="V19" s="540">
        <f ca="1">IF(AND($L19&gt;0,$J19&lt;&gt;0,$J19&lt;&gt;"",COUNTIF($J$13:$J19,$J19)=1),OFFSET(V19,-1,0)+1,OFFSET(V19,-1,0))</f>
        <v>1</v>
      </c>
      <c r="X19" s="328"/>
      <c r="Y19" s="329"/>
      <c r="Z19" s="331"/>
      <c r="AC19" s="199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199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199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0</v>
      </c>
      <c r="AF19" s="199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199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199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0</v>
      </c>
      <c r="AJ19" s="199" t="e">
        <f ca="1">IF(ACOMPANHAMENTO&lt;&gt;"BM",0,SUMPRODUCT(OFFSET(BM!$M$15,$A19,0,$B19)*(OFFSET(BM!$A$15,$A19,0,$B19)="S")*OFFSET(ORÇAMENTO!AA$15,$A19,0,$B19)/(OFFSET(ORÇAMENTO!$X$15,$A19,0,$B19)+10^-12)))</f>
        <v>#N/A</v>
      </c>
      <c r="AK19" s="199" t="e">
        <f ca="1">IF(ACOMPANHAMENTO&lt;&gt;"BM",0,SUMPRODUCT(OFFSET(BM!$M$15,$A19,0,$B19)*(OFFSET(BM!$A$15,$A19,0,$B19)="S")*OFFSET(ORÇAMENTO!AB$15,$A19,0,$B19)/(OFFSET(ORÇAMENTO!$X$15,$A19,0,$B19)+10^-12)))</f>
        <v>#N/A</v>
      </c>
      <c r="AL19" s="199" t="e">
        <f ca="1">IF(ACOMPANHAMENTO&lt;&gt;"BM",0,OFFSET(BM!$M$15,$A19,0))</f>
        <v>#N/A</v>
      </c>
      <c r="AM19" s="199" t="e">
        <f ca="1">IF(ACOMPANHAMENTO&lt;&gt;"BM",0,SUMPRODUCT(OFFSET(BM!$O$15,$A19,0,$B19)*(OFFSET(BM!$A$15,$A19,0,$B19)="S")*OFFSET(ORÇAMENTO!AA$15,$A19,0,$B19)/(OFFSET(ORÇAMENTO!$X$15,$A19,0,$B19)+10^-12)))</f>
        <v>#N/A</v>
      </c>
      <c r="AN19" s="199" t="e">
        <f ca="1">IF(ACOMPANHAMENTO&lt;&gt;"BM",0,SUMPRODUCT(OFFSET(BM!$O$15,$A19,0,$B19)*(OFFSET(BM!$A$15,$A19,0,$B19)="S")*OFFSET(ORÇAMENTO!AB$15,$A19,0,$B19)/(OFFSET(ORÇAMENTO!$X$15,$A19,0,$B19)+10^-12)))</f>
        <v>#N/A</v>
      </c>
      <c r="AO19" s="199" t="e">
        <f ca="1">IF(ACOMPANHAMENTO&lt;&gt;"BM",0,OFFSET(BM!$O$15,$A19,0))</f>
        <v>#N/A</v>
      </c>
    </row>
    <row r="20" spans="1:41" x14ac:dyDescent="0.2">
      <c r="A20" t="e">
        <f ca="1">MATCH(E20,ORÇAMENTO!$E$15:$E$290,0)-1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322">
        <f>QCI!D20</f>
        <v>7</v>
      </c>
      <c r="F20" s="408" t="str">
        <f ca="1">QCI!G20</f>
        <v/>
      </c>
      <c r="G20" s="409">
        <f>QCI!H20</f>
        <v>0</v>
      </c>
      <c r="H20" s="287">
        <f>QCI!I20</f>
        <v>0</v>
      </c>
      <c r="I20" s="323" t="str">
        <f ca="1">QCI!J20</f>
        <v/>
      </c>
      <c r="J20" s="410" t="str">
        <f ca="1">QCI!K20</f>
        <v/>
      </c>
      <c r="K20" s="411" t="str">
        <f ca="1">IF($C20="Automático",IF(ACOMPANHAMENTO="BM",BM.medicao,PLE.Medicao),IF(ISBLANK($X20),"",$X20))</f>
        <v/>
      </c>
      <c r="L20" s="327">
        <f ca="1">QCI!$O20</f>
        <v>0</v>
      </c>
      <c r="M20" s="324">
        <f t="shared" ca="1" si="1"/>
        <v>0</v>
      </c>
      <c r="N20" s="325">
        <f t="shared" ca="1" si="2"/>
        <v>0</v>
      </c>
      <c r="O20" s="326">
        <f t="shared" ca="1" si="3"/>
        <v>0</v>
      </c>
      <c r="P20" s="413">
        <f t="shared" ca="1" si="4"/>
        <v>0</v>
      </c>
      <c r="R20" s="412">
        <f ca="1">ROUND(IF($C20="Automático",AC20+AJ20,$Y20*IF(ISERROR(QCI!$AA20/QCI!$O20),0,QCI!$AA20/QCI!$O20)),2)</f>
        <v>0</v>
      </c>
      <c r="S20" s="412">
        <f ca="1">ROUND(IF($C20="Automático",AD20+AK20,$Y20*IF(ISERROR(QCI!$AB20/QCI!$O20),0,QCI!$AB20/QCI!$O20)),2)</f>
        <v>0</v>
      </c>
      <c r="T20" s="412">
        <f ca="1">ROUND(IF($C20="Automático",AF20+AM20,$Z20*IF(ISERROR(QCI!$AA20/QCI!$O20),0,QCI!$AA20/QCI!$O20)),2)</f>
        <v>0</v>
      </c>
      <c r="U20" s="412">
        <f ca="1">ROUND(IF($C20="Automático",AG20+AN20,$Z20*IF(ISERROR(QCI!$AB20/QCI!$O20),0,QCI!$AB20/QCI!$O20)),2)</f>
        <v>0</v>
      </c>
      <c r="V20" s="540">
        <f ca="1">IF(AND($L20&gt;0,$J20&lt;&gt;0,$J20&lt;&gt;"",COUNTIF($J$13:$J20,$J20)=1),OFFSET(V20,-1,0)+1,OFFSET(V20,-1,0))</f>
        <v>1</v>
      </c>
      <c r="X20" s="328"/>
      <c r="Y20" s="329"/>
      <c r="Z20" s="331"/>
      <c r="AC20" s="199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199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199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0</v>
      </c>
      <c r="AF20" s="199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199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199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0</v>
      </c>
      <c r="AJ20" s="199" t="e">
        <f ca="1">IF(ACOMPANHAMENTO&lt;&gt;"BM",0,SUMPRODUCT(OFFSET(BM!$M$15,$A20,0,$B20)*(OFFSET(BM!$A$15,$A20,0,$B20)="S")*OFFSET(ORÇAMENTO!AA$15,$A20,0,$B20)/(OFFSET(ORÇAMENTO!$X$15,$A20,0,$B20)+10^-12)))</f>
        <v>#N/A</v>
      </c>
      <c r="AK20" s="199" t="e">
        <f ca="1">IF(ACOMPANHAMENTO&lt;&gt;"BM",0,SUMPRODUCT(OFFSET(BM!$M$15,$A20,0,$B20)*(OFFSET(BM!$A$15,$A20,0,$B20)="S")*OFFSET(ORÇAMENTO!AB$15,$A20,0,$B20)/(OFFSET(ORÇAMENTO!$X$15,$A20,0,$B20)+10^-12)))</f>
        <v>#N/A</v>
      </c>
      <c r="AL20" s="199" t="e">
        <f ca="1">IF(ACOMPANHAMENTO&lt;&gt;"BM",0,OFFSET(BM!$M$15,$A20,0))</f>
        <v>#N/A</v>
      </c>
      <c r="AM20" s="199" t="e">
        <f ca="1">IF(ACOMPANHAMENTO&lt;&gt;"BM",0,SUMPRODUCT(OFFSET(BM!$O$15,$A20,0,$B20)*(OFFSET(BM!$A$15,$A20,0,$B20)="S")*OFFSET(ORÇAMENTO!AA$15,$A20,0,$B20)/(OFFSET(ORÇAMENTO!$X$15,$A20,0,$B20)+10^-12)))</f>
        <v>#N/A</v>
      </c>
      <c r="AN20" s="199" t="e">
        <f ca="1">IF(ACOMPANHAMENTO&lt;&gt;"BM",0,SUMPRODUCT(OFFSET(BM!$O$15,$A20,0,$B20)*(OFFSET(BM!$A$15,$A20,0,$B20)="S")*OFFSET(ORÇAMENTO!AB$15,$A20,0,$B20)/(OFFSET(ORÇAMENTO!$X$15,$A20,0,$B20)+10^-12)))</f>
        <v>#N/A</v>
      </c>
      <c r="AO20" s="199" t="e">
        <f ca="1">IF(ACOMPANHAMENTO&lt;&gt;"BM",0,OFFSET(BM!$O$15,$A20,0))</f>
        <v>#N/A</v>
      </c>
    </row>
    <row r="21" spans="1:41" x14ac:dyDescent="0.2">
      <c r="A21" t="e">
        <f ca="1">MATCH(E21,ORÇAMENTO!$E$15:$E$290,0)-1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322">
        <f>QCI!D21</f>
        <v>8</v>
      </c>
      <c r="F21" s="408" t="str">
        <f ca="1">QCI!G21</f>
        <v/>
      </c>
      <c r="G21" s="409">
        <f>QCI!H21</f>
        <v>0</v>
      </c>
      <c r="H21" s="287">
        <f>QCI!I21</f>
        <v>0</v>
      </c>
      <c r="I21" s="323" t="str">
        <f ca="1">QCI!J21</f>
        <v/>
      </c>
      <c r="J21" s="410" t="str">
        <f ca="1">QCI!K21</f>
        <v/>
      </c>
      <c r="K21" s="411" t="str">
        <f ca="1">IF($C21="Automático",IF(ACOMPANHAMENTO="BM",BM.medicao,PLE.Medicao),IF(ISBLANK($X21),"",$X21))</f>
        <v/>
      </c>
      <c r="L21" s="327">
        <f ca="1">QCI!$O21</f>
        <v>0</v>
      </c>
      <c r="M21" s="324">
        <f t="shared" ca="1" si="1"/>
        <v>0</v>
      </c>
      <c r="N21" s="325">
        <f t="shared" ca="1" si="2"/>
        <v>0</v>
      </c>
      <c r="O21" s="326">
        <f t="shared" ca="1" si="3"/>
        <v>0</v>
      </c>
      <c r="P21" s="413">
        <f t="shared" ca="1" si="4"/>
        <v>0</v>
      </c>
      <c r="R21" s="412">
        <f ca="1">ROUND(IF($C21="Automático",AC21+AJ21,$Y21*IF(ISERROR(QCI!$AA21/QCI!$O21),0,QCI!$AA21/QCI!$O21)),2)</f>
        <v>0</v>
      </c>
      <c r="S21" s="412">
        <f ca="1">ROUND(IF($C21="Automático",AD21+AK21,$Y21*IF(ISERROR(QCI!$AB21/QCI!$O21),0,QCI!$AB21/QCI!$O21)),2)</f>
        <v>0</v>
      </c>
      <c r="T21" s="412">
        <f ca="1">ROUND(IF($C21="Automático",AF21+AM21,$Z21*IF(ISERROR(QCI!$AA21/QCI!$O21),0,QCI!$AA21/QCI!$O21)),2)</f>
        <v>0</v>
      </c>
      <c r="U21" s="412">
        <f ca="1">ROUND(IF($C21="Automático",AG21+AN21,$Z21*IF(ISERROR(QCI!$AB21/QCI!$O21),0,QCI!$AB21/QCI!$O21)),2)</f>
        <v>0</v>
      </c>
      <c r="V21" s="540">
        <f ca="1">IF(AND($L21&gt;0,$J21&lt;&gt;0,$J21&lt;&gt;"",COUNTIF($J$13:$J21,$J21)=1),OFFSET(V21,-1,0)+1,OFFSET(V21,-1,0))</f>
        <v>1</v>
      </c>
      <c r="X21" s="328"/>
      <c r="Y21" s="329"/>
      <c r="Z21" s="331"/>
      <c r="AC21" s="199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199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199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0</v>
      </c>
      <c r="AF21" s="199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199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199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0</v>
      </c>
      <c r="AJ21" s="199" t="e">
        <f ca="1">IF(ACOMPANHAMENTO&lt;&gt;"BM",0,SUMPRODUCT(OFFSET(BM!$M$15,$A21,0,$B21)*(OFFSET(BM!$A$15,$A21,0,$B21)="S")*OFFSET(ORÇAMENTO!AA$15,$A21,0,$B21)/(OFFSET(ORÇAMENTO!$X$15,$A21,0,$B21)+10^-12)))</f>
        <v>#N/A</v>
      </c>
      <c r="AK21" s="199" t="e">
        <f ca="1">IF(ACOMPANHAMENTO&lt;&gt;"BM",0,SUMPRODUCT(OFFSET(BM!$M$15,$A21,0,$B21)*(OFFSET(BM!$A$15,$A21,0,$B21)="S")*OFFSET(ORÇAMENTO!AB$15,$A21,0,$B21)/(OFFSET(ORÇAMENTO!$X$15,$A21,0,$B21)+10^-12)))</f>
        <v>#N/A</v>
      </c>
      <c r="AL21" s="199" t="e">
        <f ca="1">IF(ACOMPANHAMENTO&lt;&gt;"BM",0,OFFSET(BM!$M$15,$A21,0))</f>
        <v>#N/A</v>
      </c>
      <c r="AM21" s="199" t="e">
        <f ca="1">IF(ACOMPANHAMENTO&lt;&gt;"BM",0,SUMPRODUCT(OFFSET(BM!$O$15,$A21,0,$B21)*(OFFSET(BM!$A$15,$A21,0,$B21)="S")*OFFSET(ORÇAMENTO!AA$15,$A21,0,$B21)/(OFFSET(ORÇAMENTO!$X$15,$A21,0,$B21)+10^-12)))</f>
        <v>#N/A</v>
      </c>
      <c r="AN21" s="199" t="e">
        <f ca="1">IF(ACOMPANHAMENTO&lt;&gt;"BM",0,SUMPRODUCT(OFFSET(BM!$O$15,$A21,0,$B21)*(OFFSET(BM!$A$15,$A21,0,$B21)="S")*OFFSET(ORÇAMENTO!AB$15,$A21,0,$B21)/(OFFSET(ORÇAMENTO!$X$15,$A21,0,$B21)+10^-12)))</f>
        <v>#N/A</v>
      </c>
      <c r="AO21" s="199" t="e">
        <f ca="1">IF(ACOMPANHAMENTO&lt;&gt;"BM",0,OFFSET(BM!$O$15,$A21,0))</f>
        <v>#N/A</v>
      </c>
    </row>
    <row r="22" spans="1:41" x14ac:dyDescent="0.2">
      <c r="A22" t="e">
        <f ca="1">MATCH(E22,ORÇAMENTO!$E$15:$E$290,0)-1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322">
        <f>QCI!D22</f>
        <v>9</v>
      </c>
      <c r="F22" s="408" t="str">
        <f ca="1">QCI!G22</f>
        <v/>
      </c>
      <c r="G22" s="409">
        <f>QCI!H22</f>
        <v>0</v>
      </c>
      <c r="H22" s="287">
        <f>QCI!I22</f>
        <v>0</v>
      </c>
      <c r="I22" s="323" t="str">
        <f ca="1">QCI!J22</f>
        <v/>
      </c>
      <c r="J22" s="410" t="str">
        <f ca="1">QCI!K22</f>
        <v/>
      </c>
      <c r="K22" s="411" t="str">
        <f ca="1">IF($C22="Automático",IF(ACOMPANHAMENTO="BM",BM.medicao,PLE.Medicao),IF(ISBLANK($X22),"",$X22))</f>
        <v/>
      </c>
      <c r="L22" s="327">
        <f ca="1">QCI!$O22</f>
        <v>0</v>
      </c>
      <c r="M22" s="324">
        <f t="shared" ca="1" si="1"/>
        <v>0</v>
      </c>
      <c r="N22" s="325">
        <f t="shared" ca="1" si="2"/>
        <v>0</v>
      </c>
      <c r="O22" s="326">
        <f t="shared" ca="1" si="3"/>
        <v>0</v>
      </c>
      <c r="P22" s="413">
        <f t="shared" ca="1" si="4"/>
        <v>0</v>
      </c>
      <c r="R22" s="412">
        <f ca="1">ROUND(IF($C22="Automático",AC22+AJ22,$Y22*IF(ISERROR(QCI!$AA22/QCI!$O22),0,QCI!$AA22/QCI!$O22)),2)</f>
        <v>0</v>
      </c>
      <c r="S22" s="412">
        <f ca="1">ROUND(IF($C22="Automático",AD22+AK22,$Y22*IF(ISERROR(QCI!$AB22/QCI!$O22),0,QCI!$AB22/QCI!$O22)),2)</f>
        <v>0</v>
      </c>
      <c r="T22" s="412">
        <f ca="1">ROUND(IF($C22="Automático",AF22+AM22,$Z22*IF(ISERROR(QCI!$AA22/QCI!$O22),0,QCI!$AA22/QCI!$O22)),2)</f>
        <v>0</v>
      </c>
      <c r="U22" s="412">
        <f ca="1">ROUND(IF($C22="Automático",AG22+AN22,$Z22*IF(ISERROR(QCI!$AB22/QCI!$O22),0,QCI!$AB22/QCI!$O22)),2)</f>
        <v>0</v>
      </c>
      <c r="V22" s="540">
        <f ca="1">IF(AND($L22&gt;0,$J22&lt;&gt;0,$J22&lt;&gt;"",COUNTIF($J$13:$J22,$J22)=1),OFFSET(V22,-1,0)+1,OFFSET(V22,-1,0))</f>
        <v>1</v>
      </c>
      <c r="X22" s="328"/>
      <c r="Y22" s="329"/>
      <c r="Z22" s="331"/>
      <c r="AC22" s="199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199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199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0</v>
      </c>
      <c r="AF22" s="199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199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199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0</v>
      </c>
      <c r="AJ22" s="199" t="e">
        <f ca="1">IF(ACOMPANHAMENTO&lt;&gt;"BM",0,SUMPRODUCT(OFFSET(BM!$M$15,$A22,0,$B22)*(OFFSET(BM!$A$15,$A22,0,$B22)="S")*OFFSET(ORÇAMENTO!AA$15,$A22,0,$B22)/(OFFSET(ORÇAMENTO!$X$15,$A22,0,$B22)+10^-12)))</f>
        <v>#N/A</v>
      </c>
      <c r="AK22" s="199" t="e">
        <f ca="1">IF(ACOMPANHAMENTO&lt;&gt;"BM",0,SUMPRODUCT(OFFSET(BM!$M$15,$A22,0,$B22)*(OFFSET(BM!$A$15,$A22,0,$B22)="S")*OFFSET(ORÇAMENTO!AB$15,$A22,0,$B22)/(OFFSET(ORÇAMENTO!$X$15,$A22,0,$B22)+10^-12)))</f>
        <v>#N/A</v>
      </c>
      <c r="AL22" s="199" t="e">
        <f ca="1">IF(ACOMPANHAMENTO&lt;&gt;"BM",0,OFFSET(BM!$M$15,$A22,0))</f>
        <v>#N/A</v>
      </c>
      <c r="AM22" s="199" t="e">
        <f ca="1">IF(ACOMPANHAMENTO&lt;&gt;"BM",0,SUMPRODUCT(OFFSET(BM!$O$15,$A22,0,$B22)*(OFFSET(BM!$A$15,$A22,0,$B22)="S")*OFFSET(ORÇAMENTO!AA$15,$A22,0,$B22)/(OFFSET(ORÇAMENTO!$X$15,$A22,0,$B22)+10^-12)))</f>
        <v>#N/A</v>
      </c>
      <c r="AN22" s="199" t="e">
        <f ca="1">IF(ACOMPANHAMENTO&lt;&gt;"BM",0,SUMPRODUCT(OFFSET(BM!$O$15,$A22,0,$B22)*(OFFSET(BM!$A$15,$A22,0,$B22)="S")*OFFSET(ORÇAMENTO!AB$15,$A22,0,$B22)/(OFFSET(ORÇAMENTO!$X$15,$A22,0,$B22)+10^-12)))</f>
        <v>#N/A</v>
      </c>
      <c r="AO22" s="199" t="e">
        <f ca="1">IF(ACOMPANHAMENTO&lt;&gt;"BM",0,OFFSET(BM!$O$15,$A22,0))</f>
        <v>#N/A</v>
      </c>
    </row>
    <row r="23" spans="1:41" x14ac:dyDescent="0.2">
      <c r="A23" t="e">
        <f ca="1">MATCH(E23,ORÇAMENTO!$E$15:$E$290,0)-1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322">
        <f>QCI!D23</f>
        <v>10</v>
      </c>
      <c r="F23" s="408" t="str">
        <f ca="1">QCI!G23</f>
        <v/>
      </c>
      <c r="G23" s="409">
        <f>QCI!H23</f>
        <v>0</v>
      </c>
      <c r="H23" s="287">
        <f>QCI!I23</f>
        <v>0</v>
      </c>
      <c r="I23" s="323" t="str">
        <f ca="1">QCI!J23</f>
        <v/>
      </c>
      <c r="J23" s="410" t="str">
        <f ca="1">QCI!K23</f>
        <v/>
      </c>
      <c r="K23" s="411" t="str">
        <f ca="1">IF($C23="Automático",IF(ACOMPANHAMENTO="BM",BM.medicao,PLE.Medicao),IF(ISBLANK($X23),"",$X23))</f>
        <v/>
      </c>
      <c r="L23" s="327">
        <f ca="1">QCI!$O23</f>
        <v>0</v>
      </c>
      <c r="M23" s="324">
        <f ca="1">ROUND(IF(C23="Automático",AE23+AL23,Y23),2)</f>
        <v>0</v>
      </c>
      <c r="N23" s="325">
        <f ca="1">O23-M23</f>
        <v>0</v>
      </c>
      <c r="O23" s="326">
        <f ca="1">ROUND(IF(C23="Automático",AH23+AO23,Z23),2)</f>
        <v>0</v>
      </c>
      <c r="P23" s="413">
        <f ca="1">O23/(L23+10^-12)</f>
        <v>0</v>
      </c>
      <c r="R23" s="412">
        <f ca="1">ROUND(IF($C23="Automático",AC23+AJ23,$Y23*IF(ISERROR(QCI!$AA23/QCI!$O23),0,QCI!$AA23/QCI!$O23)),2)</f>
        <v>0</v>
      </c>
      <c r="S23" s="412">
        <f ca="1">ROUND(IF($C23="Automático",AD23+AK23,$Y23*IF(ISERROR(QCI!$AB23/QCI!$O23),0,QCI!$AB23/QCI!$O23)),2)</f>
        <v>0</v>
      </c>
      <c r="T23" s="412">
        <f ca="1">ROUND(IF($C23="Automático",AF23+AM23,$Z23*IF(ISERROR(QCI!$AA23/QCI!$O23),0,QCI!$AA23/QCI!$O23)),2)</f>
        <v>0</v>
      </c>
      <c r="U23" s="412">
        <f ca="1">ROUND(IF($C23="Automático",AG23+AN23,$Z23*IF(ISERROR(QCI!$AB23/QCI!$O23),0,QCI!$AB23/QCI!$O23)),2)</f>
        <v>0</v>
      </c>
      <c r="V23" s="540">
        <f ca="1">IF(AND($L23&gt;0,$J23&lt;&gt;0,$J23&lt;&gt;"",COUNTIF($J$13:$J23,$J23)=1),OFFSET(V23,-1,0)+1,OFFSET(V23,-1,0))</f>
        <v>1</v>
      </c>
      <c r="X23" s="328"/>
      <c r="Y23" s="329"/>
      <c r="Z23" s="331"/>
      <c r="AC23" s="199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199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199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0</v>
      </c>
      <c r="AF23" s="199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199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199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0</v>
      </c>
      <c r="AJ23" s="199" t="e">
        <f ca="1">IF(ACOMPANHAMENTO&lt;&gt;"BM",0,SUMPRODUCT(OFFSET(BM!$M$15,$A23,0,$B23)*(OFFSET(BM!$A$15,$A23,0,$B23)="S")*OFFSET(ORÇAMENTO!AA$15,$A23,0,$B23)/(OFFSET(ORÇAMENTO!$X$15,$A23,0,$B23)+10^-12)))</f>
        <v>#N/A</v>
      </c>
      <c r="AK23" s="199" t="e">
        <f ca="1">IF(ACOMPANHAMENTO&lt;&gt;"BM",0,SUMPRODUCT(OFFSET(BM!$M$15,$A23,0,$B23)*(OFFSET(BM!$A$15,$A23,0,$B23)="S")*OFFSET(ORÇAMENTO!AB$15,$A23,0,$B23)/(OFFSET(ORÇAMENTO!$X$15,$A23,0,$B23)+10^-12)))</f>
        <v>#N/A</v>
      </c>
      <c r="AL23" s="199" t="e">
        <f ca="1">IF(ACOMPANHAMENTO&lt;&gt;"BM",0,OFFSET(BM!$M$15,$A23,0))</f>
        <v>#N/A</v>
      </c>
      <c r="AM23" s="199" t="e">
        <f ca="1">IF(ACOMPANHAMENTO&lt;&gt;"BM",0,SUMPRODUCT(OFFSET(BM!$O$15,$A23,0,$B23)*(OFFSET(BM!$A$15,$A23,0,$B23)="S")*OFFSET(ORÇAMENTO!AA$15,$A23,0,$B23)/(OFFSET(ORÇAMENTO!$X$15,$A23,0,$B23)+10^-12)))</f>
        <v>#N/A</v>
      </c>
      <c r="AN23" s="199" t="e">
        <f ca="1">IF(ACOMPANHAMENTO&lt;&gt;"BM",0,SUMPRODUCT(OFFSET(BM!$O$15,$A23,0,$B23)*(OFFSET(BM!$A$15,$A23,0,$B23)="S")*OFFSET(ORÇAMENTO!AB$15,$A23,0,$B23)/(OFFSET(ORÇAMENTO!$X$15,$A23,0,$B23)+10^-12)))</f>
        <v>#N/A</v>
      </c>
      <c r="AO23" s="199" t="e">
        <f ca="1">IF(ACOMPANHAMENTO&lt;&gt;"BM",0,OFFSET(BM!$O$15,$A23,0))</f>
        <v>#N/A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710" t="s">
        <v>376</v>
      </c>
      <c r="K24" s="711"/>
      <c r="L24" s="415">
        <f ca="1">IF(ISERROR(L28/$L28),0,ROUND(L28/$L28,4))</f>
        <v>1</v>
      </c>
      <c r="M24" s="417">
        <f ca="1">IF(ISERROR(M28/$L28),0,ROUND(M28/$L28,4))</f>
        <v>0</v>
      </c>
      <c r="N24" s="416">
        <f ca="1">IF(ISERROR(N28/$L28),0,ROUND(N28/$L28,4))</f>
        <v>0</v>
      </c>
      <c r="O24" s="418">
        <f ca="1">IF(ISERROR(O28/$L28),0,ROUND(O28/$L28,4))</f>
        <v>0</v>
      </c>
      <c r="P24" s="712">
        <f ca="1">O28/(L28+10^-12)</f>
        <v>0</v>
      </c>
      <c r="X24" s="347"/>
      <c r="Y24" s="349"/>
      <c r="Z24" s="350"/>
    </row>
    <row r="25" spans="1:41" ht="12.95" customHeight="1" x14ac:dyDescent="0.2">
      <c r="D25" t="s">
        <v>246</v>
      </c>
      <c r="I25" s="4"/>
      <c r="J25" s="713" t="str">
        <f>IF(import.recurso="FGTS","Financiamento","Repasse")</f>
        <v>Repasse</v>
      </c>
      <c r="K25" s="714"/>
      <c r="L25" s="327">
        <f ca="1">QCI!L24</f>
        <v>0</v>
      </c>
      <c r="M25" s="324">
        <f ca="1">M28-M27-M26</f>
        <v>0</v>
      </c>
      <c r="N25" s="325">
        <f ca="1">O25-M25</f>
        <v>0</v>
      </c>
      <c r="O25" s="326">
        <f ca="1">O28-O27-O26</f>
        <v>0</v>
      </c>
      <c r="P25" s="712"/>
      <c r="X25" s="419"/>
      <c r="Y25" s="420" t="s">
        <v>377</v>
      </c>
      <c r="Z25" s="421" t="s">
        <v>378</v>
      </c>
      <c r="AC25" s="422" t="s">
        <v>379</v>
      </c>
      <c r="AD25" s="422" t="s">
        <v>380</v>
      </c>
    </row>
    <row r="26" spans="1:41" ht="12.95" customHeight="1" x14ac:dyDescent="0.2">
      <c r="D26" t="s">
        <v>246</v>
      </c>
      <c r="I26" s="4"/>
      <c r="J26" s="715" t="s">
        <v>381</v>
      </c>
      <c r="K26" s="716"/>
      <c r="L26" s="423">
        <f ca="1">QCI!M24</f>
        <v>291001.64</v>
      </c>
      <c r="M26" s="424">
        <f ca="1">ROUND(IF(OFFSET($X$26,0,1)&lt;&gt;"",OFFSET($X$26,0,1),SUM(R13:OFFSET(R24,-1,0))),2)</f>
        <v>0</v>
      </c>
      <c r="N26" s="425">
        <f ca="1">O26-M26</f>
        <v>0</v>
      </c>
      <c r="O26" s="426">
        <f ca="1">IF(OFFSET($X$26,0,2)&lt;&gt;"",OFFSET($X$26,0,2),$AE$3)</f>
        <v>0</v>
      </c>
      <c r="P26" s="712"/>
      <c r="X26" s="427" t="s">
        <v>169</v>
      </c>
      <c r="Y26" s="535"/>
      <c r="Z26" s="536"/>
      <c r="AC26" s="428">
        <f ca="1">MIN($L26,$O$28-OFFSET($X$27,0,1))</f>
        <v>0</v>
      </c>
      <c r="AD26" s="428">
        <f ca="1">MIN($L26,$O$28-OFFSET($X$27,0,2))</f>
        <v>0</v>
      </c>
    </row>
    <row r="27" spans="1:41" ht="12.95" customHeight="1" x14ac:dyDescent="0.2">
      <c r="D27" t="s">
        <v>246</v>
      </c>
      <c r="I27" s="4"/>
      <c r="J27" s="696" t="s">
        <v>358</v>
      </c>
      <c r="K27" s="697"/>
      <c r="L27" s="429">
        <f ca="1">QCI!N24</f>
        <v>0</v>
      </c>
      <c r="M27" s="430">
        <f ca="1">ROUND(IF(OFFSET($X$27,0,1)&lt;&gt;"",OFFSET($X$27,0,1),SUM(S13:OFFSET(S24,-1,0))),2)</f>
        <v>0</v>
      </c>
      <c r="N27" s="431">
        <f ca="1">O27-M27</f>
        <v>0</v>
      </c>
      <c r="O27" s="432">
        <f ca="1">IF(OFFSET($X$27,0,2)&lt;&gt;"",OFFSET($X$27,0,2),$AE$4)</f>
        <v>0</v>
      </c>
      <c r="P27" s="712"/>
      <c r="X27" s="433" t="s">
        <v>278</v>
      </c>
      <c r="Y27" s="537"/>
      <c r="Z27" s="538"/>
      <c r="AC27" s="428">
        <f ca="1">MIN($L27,$O$28-OFFSET($X$26,0,1))</f>
        <v>0</v>
      </c>
      <c r="AD27" s="428">
        <f ca="1">MIN($L27,$O$28-OFFSET($X$26,0,2))</f>
        <v>0</v>
      </c>
    </row>
    <row r="28" spans="1:41" ht="15" x14ac:dyDescent="0.2">
      <c r="D28" t="s">
        <v>246</v>
      </c>
      <c r="I28" s="4"/>
      <c r="J28" s="698" t="s">
        <v>360</v>
      </c>
      <c r="K28" s="699"/>
      <c r="L28" s="434">
        <f ca="1">SUM(L13:OFFSET(L24,-1,0))</f>
        <v>291001.64</v>
      </c>
      <c r="M28" s="435">
        <f ca="1">ROUND(SUM(M13:OFFSET(M24,-1,0)),2)</f>
        <v>0</v>
      </c>
      <c r="N28" s="436">
        <f ca="1">O28-M28</f>
        <v>0</v>
      </c>
      <c r="O28" s="437">
        <f ca="1">SUM(O13:OFFSET(O24,-1,0))</f>
        <v>0</v>
      </c>
      <c r="P28" s="712"/>
      <c r="X28" s="359"/>
      <c r="Y28" s="361"/>
      <c r="Z28" s="362"/>
    </row>
    <row r="29" spans="1:41" x14ac:dyDescent="0.2">
      <c r="O29" s="700" t="str">
        <f ca="1">"Acumulado Anterior:  "&amp;TEXT($M$28/($L$28+10^-12),"0,00%")</f>
        <v>Acumulado Anterior:  0,00%</v>
      </c>
      <c r="P29" s="700"/>
    </row>
    <row r="30" spans="1:41" ht="14.25" x14ac:dyDescent="0.2">
      <c r="E30" s="141" t="s">
        <v>187</v>
      </c>
      <c r="P30" s="476"/>
    </row>
    <row r="31" spans="1:41" ht="12.75" customHeight="1" x14ac:dyDescent="0.2">
      <c r="E31" s="704"/>
      <c r="F31" s="705"/>
      <c r="G31" s="705"/>
      <c r="H31" s="705"/>
      <c r="I31" s="705"/>
      <c r="J31" s="705"/>
      <c r="K31" s="705"/>
      <c r="L31" s="705"/>
      <c r="M31" s="705"/>
      <c r="N31" s="705"/>
      <c r="O31" s="705"/>
      <c r="P31" s="706"/>
    </row>
    <row r="32" spans="1:41" ht="12.75" customHeight="1" x14ac:dyDescent="0.2">
      <c r="E32" s="704"/>
      <c r="F32" s="705"/>
      <c r="G32" s="705"/>
      <c r="H32" s="705"/>
      <c r="I32" s="705"/>
      <c r="J32" s="705"/>
      <c r="K32" s="705"/>
      <c r="L32" s="705"/>
      <c r="M32" s="705"/>
      <c r="N32" s="705"/>
      <c r="O32" s="705"/>
      <c r="P32" s="706"/>
      <c r="Y32" s="438"/>
      <c r="Z32" s="438"/>
    </row>
    <row r="33" spans="5:16" ht="12.75" customHeight="1" x14ac:dyDescent="0.2">
      <c r="E33" s="707"/>
      <c r="F33" s="708"/>
      <c r="G33" s="708"/>
      <c r="H33" s="708"/>
      <c r="I33" s="708"/>
      <c r="J33" s="708"/>
      <c r="K33" s="708"/>
      <c r="L33" s="708"/>
      <c r="M33" s="708"/>
      <c r="N33" s="708"/>
      <c r="O33" s="708"/>
      <c r="P33" s="709"/>
    </row>
    <row r="35" spans="5:16" ht="15" x14ac:dyDescent="0.2">
      <c r="E35" s="615" t="str">
        <f>Import.Município</f>
        <v>RONDINHA - RS</v>
      </c>
      <c r="F35" s="615"/>
      <c r="G35" s="615"/>
      <c r="I35" s="439"/>
      <c r="L35" s="638">
        <f ca="1">DADOS!$F$25</f>
        <v>45412</v>
      </c>
      <c r="M35" s="638"/>
      <c r="N35" s="638"/>
      <c r="O35" s="638"/>
    </row>
    <row r="36" spans="5:16" x14ac:dyDescent="0.2">
      <c r="E36" s="10" t="s">
        <v>188</v>
      </c>
      <c r="L36" s="10" t="s">
        <v>189</v>
      </c>
    </row>
    <row r="38" spans="5:16" x14ac:dyDescent="0.2">
      <c r="E38" s="194"/>
      <c r="F38" s="194"/>
      <c r="G38" s="194"/>
      <c r="L38" s="194"/>
      <c r="M38" s="194"/>
      <c r="N38" s="194"/>
      <c r="O38" s="194"/>
    </row>
    <row r="39" spans="5:16" x14ac:dyDescent="0.2">
      <c r="E39" s="440" t="str">
        <f>IF(CAIXA.Modo,"Responsável Gerencial CAIXA","Representante Tomador")</f>
        <v>Representante Tomador</v>
      </c>
      <c r="F39" s="7"/>
      <c r="L39" s="440" t="str">
        <f>IF(CAIXA.Modo,"Responsável Técnico CAIXA","Responsável Técnico pela Fiscalização")</f>
        <v>Responsável Técnico pela Fiscalização</v>
      </c>
    </row>
    <row r="40" spans="5:16" x14ac:dyDescent="0.2">
      <c r="E40" s="78" t="s">
        <v>108</v>
      </c>
      <c r="F40" s="312" t="str">
        <f>IF(CAIXA.Modo,DADOS!F60,DADOS!F28)</f>
        <v>ALDOMIR LUIZ CANTONI</v>
      </c>
      <c r="L40" s="78" t="s">
        <v>108</v>
      </c>
      <c r="M40" s="687" t="str">
        <f>IF(CAIXA.Modo,BM!X302,DADOS!F51)</f>
        <v>MARCELO SETTI</v>
      </c>
      <c r="N40" s="687"/>
      <c r="O40" s="687"/>
    </row>
    <row r="41" spans="5:16" x14ac:dyDescent="0.2">
      <c r="E41" s="78" t="str">
        <f>IF(CAIXA.Modo,"Função:","Cargo:")</f>
        <v>Cargo:</v>
      </c>
      <c r="F41" s="312" t="str">
        <f>IF(CAIXA.Modo,DADOS!F61,DADOS!F29)</f>
        <v>PREFEITO MUNICIPAL</v>
      </c>
      <c r="L41" s="78" t="str">
        <f>IF(CAIXA.Modo,"Matrícula:","Profissão:")</f>
        <v>Profissão:</v>
      </c>
      <c r="M41" s="687" t="str">
        <f>IF(CAIXA.Modo,BM!X303,DADOS!F52)</f>
        <v>ENGENHEIRO CIVIL</v>
      </c>
      <c r="N41" s="687"/>
      <c r="O41" s="687"/>
    </row>
    <row r="42" spans="5:16" x14ac:dyDescent="0.2">
      <c r="L42" s="78" t="s">
        <v>109</v>
      </c>
      <c r="M42" s="687" t="str">
        <f>IF(CAIXA.Modo,BM!X304,DADOS!F53)</f>
        <v>CREA/RS 226290</v>
      </c>
      <c r="N42" s="687"/>
      <c r="O42" s="687"/>
    </row>
    <row r="43" spans="5:16" x14ac:dyDescent="0.2">
      <c r="L43" s="78" t="str">
        <f>IF(CAIXA.Modo,"","ART/RRT:")</f>
        <v>ART/RRT:</v>
      </c>
      <c r="M43" s="13" t="str">
        <f>IF(CAIXA.Modo,"",DADOS!F54)</f>
        <v>13152333</v>
      </c>
    </row>
    <row r="45" spans="5:16" x14ac:dyDescent="0.2">
      <c r="E45" s="194"/>
      <c r="F45" s="194"/>
      <c r="G45" s="194"/>
      <c r="L45" s="194"/>
      <c r="M45" s="194"/>
      <c r="N45" s="194"/>
      <c r="O45" s="194"/>
    </row>
    <row r="46" spans="5:16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6" x14ac:dyDescent="0.2">
      <c r="E47" s="78" t="s">
        <v>108</v>
      </c>
      <c r="F47" s="686"/>
      <c r="G47" s="686"/>
      <c r="L47" s="78" t="s">
        <v>108</v>
      </c>
      <c r="M47" s="686"/>
      <c r="N47" s="686"/>
      <c r="O47" s="686"/>
    </row>
    <row r="48" spans="5:16" x14ac:dyDescent="0.2">
      <c r="E48" s="78" t="str">
        <f>IF(CAIXA.Modo,"Função:","Cargo:")</f>
        <v>Cargo:</v>
      </c>
      <c r="F48" s="686"/>
      <c r="G48" s="686"/>
      <c r="L48" s="78" t="str">
        <f>IF(CAIXA.Modo,"Função:","Cargo:")</f>
        <v>Cargo:</v>
      </c>
      <c r="M48" s="686"/>
      <c r="N48" s="686"/>
      <c r="O48" s="686"/>
    </row>
    <row r="49" spans="5:15" x14ac:dyDescent="0.2">
      <c r="E49" s="78" t="str">
        <f>IF(CAIXA.Modo,"Matr:","")</f>
        <v/>
      </c>
      <c r="F49" s="686"/>
      <c r="G49" s="686"/>
      <c r="L49" s="78" t="str">
        <f>IF(CAIXA.Modo,"Matrícula:","")</f>
        <v/>
      </c>
      <c r="M49" s="686"/>
      <c r="N49" s="686"/>
      <c r="O49" s="686"/>
    </row>
  </sheetData>
  <sheetProtection algorithmName="SHA-512" hashValue="I6ui0OAbI/I6mThkHzSiOMiN8nUu01QJUCVX9Lf+cPsFBZSWV+lOeqm0JNiXIJqHSOtfxCUZzQWR3ahPkury6Q==" saltValue="EaSx+KXwPUiUa7L/4awxLg==" spinCount="100000" sheet="1" objects="1" scenarios="1" autoFilter="0"/>
  <autoFilter ref="D13:D30" xr:uid="{00000000-0009-0000-0000-00000C000000}"/>
  <mergeCells count="40"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  <mergeCell ref="J27:K27"/>
    <mergeCell ref="J28:K28"/>
    <mergeCell ref="O29:P29"/>
    <mergeCell ref="M48:O48"/>
    <mergeCell ref="AC10:AH10"/>
    <mergeCell ref="AJ10:AO10"/>
    <mergeCell ref="Y11:Z11"/>
    <mergeCell ref="AC11:AE11"/>
    <mergeCell ref="AF11:AH11"/>
    <mergeCell ref="AJ11:AL11"/>
    <mergeCell ref="AM11:AO11"/>
    <mergeCell ref="D7:D11"/>
    <mergeCell ref="E7:H7"/>
    <mergeCell ref="I7:L7"/>
    <mergeCell ref="G9:H9"/>
    <mergeCell ref="I9:J9"/>
    <mergeCell ref="L9:L10"/>
    <mergeCell ref="G10:H10"/>
    <mergeCell ref="E6:H6"/>
    <mergeCell ref="I6:L6"/>
    <mergeCell ref="E3:H3"/>
    <mergeCell ref="I3:K3"/>
    <mergeCell ref="E4:H4"/>
    <mergeCell ref="I4:K4"/>
  </mergeCells>
  <phoneticPr fontId="38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 xr:uid="{00000000-0002-0000-0C00-000000000000}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 xr:uid="{00000000-0002-0000-0C00-000001000000}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 xr:uid="{00000000-0002-0000-0C00-000002000000}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 xr:uid="{00000000-0002-0000-0C00-000003000000}">
      <formula1>0</formula1>
      <formula2>RRE.MaxOUAcum</formula2>
    </dataValidation>
    <dataValidation type="decimal" allowBlank="1" showInputMessage="1" showErrorMessage="1" sqref="Y12:Z12 Y14:Z23" xr:uid="{00000000-0002-0000-0C00-000004000000}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12"/>
  <dimension ref="B1:Q56"/>
  <sheetViews>
    <sheetView showGridLines="0" zoomScale="90" zoomScaleNormal="90" zoomScaleSheetLayoutView="100" workbookViewId="0"/>
  </sheetViews>
  <sheetFormatPr defaultRowHeight="12.75" x14ac:dyDescent="0.2"/>
  <cols>
    <col min="1" max="1" width="2" customWidth="1"/>
    <col min="2" max="2" width="15.7109375" customWidth="1"/>
    <col min="3" max="3" width="6.7109375" customWidth="1"/>
    <col min="4" max="5" width="20.7109375" customWidth="1"/>
    <col min="6" max="6" width="8.7109375" customWidth="1"/>
    <col min="7" max="7" width="12.7109375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722"/>
      <c r="C1" s="722"/>
      <c r="D1" s="50"/>
      <c r="E1" s="50"/>
      <c r="F1" s="50"/>
      <c r="G1" s="53" t="s">
        <v>140</v>
      </c>
    </row>
    <row r="2" spans="2:17" x14ac:dyDescent="0.2">
      <c r="B2" s="722"/>
      <c r="C2" s="722"/>
      <c r="D2" s="50"/>
      <c r="E2" s="50"/>
      <c r="F2" s="50"/>
      <c r="G2" s="12" t="s">
        <v>382</v>
      </c>
    </row>
    <row r="3" spans="2:17" ht="26.1" customHeight="1" thickBot="1" x14ac:dyDescent="0.25">
      <c r="B3" s="722"/>
      <c r="C3" s="722"/>
      <c r="D3" s="50"/>
      <c r="E3" s="50"/>
      <c r="F3" s="50"/>
      <c r="G3" s="441"/>
      <c r="I3" s="442" t="s">
        <v>383</v>
      </c>
    </row>
    <row r="4" spans="2:17" ht="12.75" customHeight="1" x14ac:dyDescent="0.2">
      <c r="B4" s="722"/>
      <c r="C4" s="722"/>
      <c r="D4" s="50"/>
      <c r="E4" s="50"/>
      <c r="F4" s="50"/>
      <c r="G4" s="50"/>
      <c r="I4" s="723" t="s">
        <v>384</v>
      </c>
      <c r="J4" s="725" t="s">
        <v>385</v>
      </c>
      <c r="K4" s="725" t="s">
        <v>386</v>
      </c>
      <c r="L4" s="717" t="s">
        <v>387</v>
      </c>
    </row>
    <row r="5" spans="2:17" x14ac:dyDescent="0.2">
      <c r="I5" s="724"/>
      <c r="J5" s="726"/>
      <c r="K5" s="726"/>
      <c r="L5" s="718"/>
    </row>
    <row r="6" spans="2:17" x14ac:dyDescent="0.2">
      <c r="B6" s="443" t="s">
        <v>388</v>
      </c>
      <c r="C6" s="719"/>
      <c r="D6" s="719"/>
      <c r="E6" s="443"/>
      <c r="F6" s="443"/>
      <c r="G6" s="50"/>
      <c r="I6" s="523" t="str">
        <f ca="1">IF(ROW(I6)-ROW(L$5)&gt;MAX(RRE!$V$13:$V$24),"",INDEX(RRE!$J$13:$J$24,MATCH(ROW(I6)-ROW(I$5),RRE!$V$13:$V$24,0)))</f>
        <v>LOTE 1</v>
      </c>
      <c r="J6" s="524">
        <f ca="1">IF(I6="","",SUMIF(RRE!$J$13:$J$24,OFÍCIO!$I6,RRE!$L$13:$L$24))</f>
        <v>291001.64</v>
      </c>
      <c r="K6" s="524">
        <f ca="1">IF(J6="","",SUMIF(RRE!$J$13:$J$24,OFÍCIO!$I6,RRE!$N$13:$N$24))</f>
        <v>0</v>
      </c>
      <c r="L6" s="525">
        <f ca="1">IF(K6="","",SUMIF(RRE!$J$13:$J$24,OFÍCIO!$I6,RRE!$O$13:$O$24))</f>
        <v>0</v>
      </c>
      <c r="N6" s="10"/>
    </row>
    <row r="7" spans="2:17" x14ac:dyDescent="0.2">
      <c r="B7" s="50"/>
      <c r="C7" s="50"/>
      <c r="D7" s="50"/>
      <c r="E7" s="50"/>
      <c r="F7" s="50"/>
      <c r="G7" s="50"/>
      <c r="I7" s="517" t="str">
        <f ca="1">IF(ROW(I7)-ROW(L$5)&gt;MAX(RRE!$V$13:$V$24),"",INDEX(RRE!$J$13:$J$24,MATCH(ROW(I7)-ROW(I$5),RRE!$V$13:$V$24,0)))</f>
        <v/>
      </c>
      <c r="J7" s="518" t="str">
        <f ca="1">IF(I7="","",SUMIF(RRE!$J$13:$J$24,OFÍCIO!$I7,RRE!$L$13:$L$24))</f>
        <v/>
      </c>
      <c r="K7" s="518" t="str">
        <f ca="1">IF(J7="","",SUMIF(RRE!$J$13:$J$24,OFÍCIO!$I7,RRE!$N$13:$N$24))</f>
        <v/>
      </c>
      <c r="L7" s="519" t="str">
        <f ca="1">IF(K7="","",SUMIF(RRE!$J$13:$J$24,OFÍCIO!$I7,RRE!$O$13:$O$24))</f>
        <v/>
      </c>
    </row>
    <row r="8" spans="2:17" x14ac:dyDescent="0.2">
      <c r="B8" s="720" t="str">
        <f ca="1">CONCATENATE(RRE!$E$35,", ",TEXT(RRE!$L$35,"dd"" de ""mmmm"" de ""aaaa"))</f>
        <v>RONDINHA - RS, 30 de abril de 2024</v>
      </c>
      <c r="C8" s="720"/>
      <c r="D8" s="720"/>
      <c r="E8" s="720"/>
      <c r="F8" s="720"/>
      <c r="G8" s="720"/>
      <c r="H8" s="444"/>
      <c r="I8" s="517" t="str">
        <f ca="1">IF(ROW(I8)-ROW(L$5)&gt;MAX(RRE!$V$13:$V$24),"",INDEX(RRE!$J$13:$J$24,MATCH(ROW(I8)-ROW(I$5),RRE!$V$13:$V$24,0)))</f>
        <v/>
      </c>
      <c r="J8" s="518" t="str">
        <f ca="1">IF(I8="","",SUMIF(RRE!$J$13:$J$24,OFÍCIO!$I8,RRE!$L$13:$L$24))</f>
        <v/>
      </c>
      <c r="K8" s="518" t="str">
        <f ca="1">IF(J8="","",SUMIF(RRE!$J$13:$J$24,OFÍCIO!$I8,RRE!$N$13:$N$24))</f>
        <v/>
      </c>
      <c r="L8" s="519" t="str">
        <f ca="1">IF(K8="","",SUMIF(RRE!$J$13:$J$24,OFÍCIO!$I8,RRE!$O$13:$O$24))</f>
        <v/>
      </c>
      <c r="N8" s="444"/>
      <c r="O8" s="444"/>
      <c r="P8" s="444"/>
      <c r="Q8" s="444"/>
    </row>
    <row r="9" spans="2:17" x14ac:dyDescent="0.2">
      <c r="B9" s="445" t="s">
        <v>389</v>
      </c>
      <c r="C9" s="50"/>
      <c r="D9" s="50"/>
      <c r="G9" s="50"/>
      <c r="H9" s="444"/>
      <c r="I9" s="517" t="str">
        <f ca="1">IF(ROW(I9)-ROW(L$5)&gt;MAX(RRE!$V$13:$V$24),"",INDEX(RRE!$J$13:$J$24,MATCH(ROW(I9)-ROW(I$5),RRE!$V$13:$V$24,0)))</f>
        <v/>
      </c>
      <c r="J9" s="518" t="str">
        <f ca="1">IF(I9="","",SUMIF(RRE!$J$13:$J$24,OFÍCIO!$I9,RRE!$L$13:$L$24))</f>
        <v/>
      </c>
      <c r="K9" s="518" t="str">
        <f ca="1">IF(J9="","",SUMIF(RRE!$J$13:$J$24,OFÍCIO!$I9,RRE!$N$13:$N$24))</f>
        <v/>
      </c>
      <c r="L9" s="519" t="str">
        <f ca="1">IF(K9="","",SUMIF(RRE!$J$13:$J$24,OFÍCIO!$I9,RRE!$O$13:$O$24))</f>
        <v/>
      </c>
      <c r="N9" s="444"/>
      <c r="O9" s="444"/>
      <c r="P9" s="444"/>
      <c r="Q9" s="444"/>
    </row>
    <row r="10" spans="2:17" x14ac:dyDescent="0.2">
      <c r="B10" s="721" t="s">
        <v>390</v>
      </c>
      <c r="C10" s="721"/>
      <c r="D10" s="721"/>
      <c r="G10" s="50"/>
      <c r="H10" s="444"/>
      <c r="I10" s="517" t="str">
        <f ca="1">IF(ROW(I10)-ROW(L$5)&gt;MAX(RRE!$V$13:$V$24),"",INDEX(RRE!$J$13:$J$24,MATCH(ROW(I10)-ROW(I$5),RRE!$V$13:$V$24,0)))</f>
        <v/>
      </c>
      <c r="J10" s="518" t="str">
        <f ca="1">IF(I10="","",SUMIF(RRE!$J$13:$J$24,OFÍCIO!$I10,RRE!$L$13:$L$24))</f>
        <v/>
      </c>
      <c r="K10" s="518" t="str">
        <f ca="1">IF(J10="","",SUMIF(RRE!$J$13:$J$24,OFÍCIO!$I10,RRE!$N$13:$N$24))</f>
        <v/>
      </c>
      <c r="L10" s="519" t="str">
        <f ca="1">IF(K10="","",SUMIF(RRE!$J$13:$J$24,OFÍCIO!$I10,RRE!$O$13:$O$24))</f>
        <v/>
      </c>
      <c r="N10" s="444"/>
      <c r="O10" s="444"/>
      <c r="P10" s="444"/>
      <c r="Q10" s="444"/>
    </row>
    <row r="11" spans="2:17" x14ac:dyDescent="0.2">
      <c r="B11" s="446" t="s">
        <v>410</v>
      </c>
      <c r="C11" s="686"/>
      <c r="D11" s="686"/>
      <c r="G11" s="50"/>
      <c r="H11" s="444"/>
      <c r="I11" s="517" t="str">
        <f ca="1">IF(ROW(I11)-ROW(L$5)&gt;MAX(RRE!$V$13:$V$24),"",INDEX(RRE!$J$13:$J$24,MATCH(ROW(I11)-ROW(I$5),RRE!$V$13:$V$24,0)))</f>
        <v/>
      </c>
      <c r="J11" s="518" t="str">
        <f ca="1">IF(I11="","",SUMIF(RRE!$J$13:$J$24,OFÍCIO!$I11,RRE!$L$13:$L$24))</f>
        <v/>
      </c>
      <c r="K11" s="518" t="str">
        <f ca="1">IF(J11="","",SUMIF(RRE!$J$13:$J$24,OFÍCIO!$I11,RRE!$N$13:$N$24))</f>
        <v/>
      </c>
      <c r="L11" s="519" t="str">
        <f ca="1">IF(K11="","",SUMIF(RRE!$J$13:$J$24,OFÍCIO!$I11,RRE!$O$13:$O$24))</f>
        <v/>
      </c>
      <c r="N11" s="444"/>
      <c r="O11" s="444"/>
      <c r="P11" s="444"/>
      <c r="Q11" s="444"/>
    </row>
    <row r="12" spans="2:17" x14ac:dyDescent="0.2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IF(ROW(I12)-ROW(L$5)&gt;MAX(RRE!$V$13:$V$24),"",INDEX(RRE!$J$13:$J$24,MATCH(ROW(I12)-ROW(I$5),RRE!$V$13:$V$24,0)))</f>
        <v/>
      </c>
      <c r="J12" s="518" t="str">
        <f ca="1">IF(I12="","",SUMIF(RRE!$J$13:$J$24,OFÍCIO!$I12,RRE!$L$13:$L$24))</f>
        <v/>
      </c>
      <c r="K12" s="518" t="str">
        <f ca="1">IF(J12="","",SUMIF(RRE!$J$13:$J$24,OFÍCIO!$I12,RRE!$N$13:$N$24))</f>
        <v/>
      </c>
      <c r="L12" s="519" t="str">
        <f ca="1">IF(K12="","",SUMIF(RRE!$J$13:$J$24,OFÍCIO!$I12,RRE!$O$13:$O$24))</f>
        <v/>
      </c>
      <c r="N12" s="444"/>
      <c r="O12" s="444"/>
      <c r="P12" s="444"/>
      <c r="Q12" s="444"/>
    </row>
    <row r="13" spans="2:17" x14ac:dyDescent="0.2">
      <c r="B13" s="50"/>
      <c r="C13" s="50"/>
      <c r="D13" s="50"/>
      <c r="E13" s="50"/>
      <c r="F13" s="50"/>
      <c r="G13" s="50"/>
      <c r="I13" s="517" t="str">
        <f ca="1">IF(ROW(I13)-ROW(L$5)&gt;MAX(RRE!$V$13:$V$24),"",INDEX(RRE!$J$13:$J$24,MATCH(ROW(I13)-ROW(I$5),RRE!$V$13:$V$24,0)))</f>
        <v/>
      </c>
      <c r="J13" s="518" t="str">
        <f ca="1">IF(I13="","",SUMIF(RRE!$J$13:$J$24,OFÍCIO!$I13,RRE!$L$13:$L$24))</f>
        <v/>
      </c>
      <c r="K13" s="518" t="str">
        <f ca="1">IF(J13="","",SUMIF(RRE!$J$13:$J$24,OFÍCIO!$I13,RRE!$N$13:$N$24))</f>
        <v/>
      </c>
      <c r="L13" s="519" t="str">
        <f ca="1">IF(K13="","",SUMIF(RRE!$J$13:$J$24,OFÍCIO!$I13,RRE!$O$13:$O$24))</f>
        <v/>
      </c>
    </row>
    <row r="14" spans="2:17" x14ac:dyDescent="0.2">
      <c r="B14" s="445" t="s">
        <v>391</v>
      </c>
      <c r="C14" s="721" t="str">
        <f ca="1">CONCATENATE(RRE.Numero,"ª"," Solicitação de ",IF(import.recurso="OGU","Desbloqueio","Desembolso")," de Recursos.")</f>
        <v>1ª Solicitação de Desbloqueio de Recursos.</v>
      </c>
      <c r="D14" s="721"/>
      <c r="E14" s="721"/>
      <c r="F14" s="721"/>
      <c r="G14" s="721"/>
      <c r="I14" s="517" t="str">
        <f ca="1">IF(ROW(I14)-ROW(L$5)&gt;MAX(RRE!$V$13:$V$24),"",INDEX(RRE!$J$13:$J$24,MATCH(ROW(I14)-ROW(I$5),RRE!$V$13:$V$24,0)))</f>
        <v/>
      </c>
      <c r="J14" s="518" t="str">
        <f ca="1">IF(I14="","",SUMIF(RRE!$J$13:$J$24,OFÍCIO!$I14,RRE!$L$13:$L$24))</f>
        <v/>
      </c>
      <c r="K14" s="518" t="str">
        <f ca="1">IF(J14="","",SUMIF(RRE!$J$13:$J$24,OFÍCIO!$I14,RRE!$N$13:$N$24))</f>
        <v/>
      </c>
      <c r="L14" s="519" t="str">
        <f ca="1">IF(K14="","",SUMIF(RRE!$J$13:$J$24,OFÍCIO!$I14,RRE!$O$13:$O$24))</f>
        <v/>
      </c>
    </row>
    <row r="15" spans="2:17" ht="12.75" customHeight="1" x14ac:dyDescent="0.2">
      <c r="B15" s="445" t="s">
        <v>392</v>
      </c>
      <c r="C15" s="731" t="str">
        <f>CONCATENATE("Contrato de ",IF(import.recurso="OGU","Repasse","Financiamento")," - Operação nº ",Import.CR,IF(Import.TransfereGOV="","",CONCATENATE(" - TransfereGOV nº ",Import.TransfereGOV)))</f>
        <v xml:space="preserve">Contrato de Repasse - Operação nº </v>
      </c>
      <c r="D15" s="731"/>
      <c r="E15" s="731"/>
      <c r="F15" s="731"/>
      <c r="G15" s="731"/>
      <c r="I15" s="517" t="str">
        <f ca="1">IF(ROW(I15)-ROW(L$5)&gt;MAX(RRE!$V$13:$V$24),"",INDEX(RRE!$J$13:$J$24,MATCH(ROW(I15)-ROW(I$5),RRE!$V$13:$V$24,0)))</f>
        <v/>
      </c>
      <c r="J15" s="518" t="str">
        <f ca="1">IF(I15="","",SUMIF(RRE!$J$13:$J$24,OFÍCIO!$I15,RRE!$L$13:$L$24))</f>
        <v/>
      </c>
      <c r="K15" s="518" t="str">
        <f ca="1">IF(J15="","",SUMIF(RRE!$J$13:$J$24,OFÍCIO!$I15,RRE!$N$13:$N$24))</f>
        <v/>
      </c>
      <c r="L15" s="519" t="str">
        <f ca="1">IF(K15="","",SUMIF(RRE!$J$13:$J$24,OFÍCIO!$I15,RRE!$O$13:$O$24))</f>
        <v/>
      </c>
    </row>
    <row r="16" spans="2:17" x14ac:dyDescent="0.2">
      <c r="B16" s="445"/>
      <c r="C16" s="731"/>
      <c r="D16" s="731"/>
      <c r="E16" s="731"/>
      <c r="F16" s="731"/>
      <c r="G16" s="731"/>
      <c r="I16" s="517" t="str">
        <f ca="1">IF(ROW(I16)-ROW(L$5)&gt;MAX(RRE!$V$13:$V$24),"",INDEX(RRE!$J$13:$J$24,MATCH(ROW(I16)-ROW(I$5),RRE!$V$13:$V$24,0)))</f>
        <v/>
      </c>
      <c r="J16" s="518" t="str">
        <f ca="1">IF(I16="","",SUMIF(RRE!$J$13:$J$24,OFÍCIO!$I16,RRE!$L$13:$L$24))</f>
        <v/>
      </c>
      <c r="K16" s="518" t="str">
        <f ca="1">IF(J16="","",SUMIF(RRE!$J$13:$J$24,OFÍCIO!$I16,RRE!$N$13:$N$24))</f>
        <v/>
      </c>
      <c r="L16" s="519" t="str">
        <f ca="1">IF(K16="","",SUMIF(RRE!$J$13:$J$24,OFÍCIO!$I16,RRE!$O$13:$O$24))</f>
        <v/>
      </c>
    </row>
    <row r="17" spans="2:12" x14ac:dyDescent="0.2">
      <c r="B17" s="50"/>
      <c r="C17" s="50"/>
      <c r="D17" s="50"/>
      <c r="E17" s="50"/>
      <c r="F17" s="50"/>
      <c r="G17" s="50"/>
      <c r="I17" s="517" t="str">
        <f ca="1">IF(ROW(I17)-ROW(L$5)&gt;MAX(RRE!$V$13:$V$24),"",INDEX(RRE!$J$13:$J$24,MATCH(ROW(I17)-ROW(I$5),RRE!$V$13:$V$24,0)))</f>
        <v/>
      </c>
      <c r="J17" s="518" t="str">
        <f ca="1">IF(I17="","",SUMIF(RRE!$J$13:$J$24,OFÍCIO!$I17,RRE!$L$13:$L$24))</f>
        <v/>
      </c>
      <c r="K17" s="518" t="str">
        <f ca="1">IF(J17="","",SUMIF(RRE!$J$13:$J$24,OFÍCIO!$I17,RRE!$N$13:$N$24))</f>
        <v/>
      </c>
      <c r="L17" s="519" t="str">
        <f ca="1">IF(K17="","",SUMIF(RRE!$J$13:$J$24,OFÍCIO!$I17,RRE!$O$13:$O$24))</f>
        <v/>
      </c>
    </row>
    <row r="18" spans="2:12" ht="12.75" customHeight="1" x14ac:dyDescent="0.2">
      <c r="B18" s="312" t="s">
        <v>393</v>
      </c>
      <c r="C18" s="727" t="str">
        <f>Import.DescLote</f>
        <v>PRAÇA PÚBLICA - BAIRRO N. S. APARECIDA</v>
      </c>
      <c r="D18" s="727"/>
      <c r="E18" s="727"/>
      <c r="F18" s="727"/>
      <c r="G18" s="727"/>
      <c r="I18" s="517" t="str">
        <f ca="1">IF(ROW(I18)-ROW(L$5)&gt;MAX(RRE!$V$13:$V$24),"",INDEX(RRE!$J$13:$J$24,MATCH(ROW(I18)-ROW(I$5),RRE!$V$13:$V$24,0)))</f>
        <v/>
      </c>
      <c r="J18" s="518" t="str">
        <f ca="1">IF(I18="","",SUMIF(RRE!$J$13:$J$24,OFÍCIO!$I18,RRE!$L$13:$L$24))</f>
        <v/>
      </c>
      <c r="K18" s="518" t="str">
        <f ca="1">IF(J18="","",SUMIF(RRE!$J$13:$J$24,OFÍCIO!$I18,RRE!$N$13:$N$24))</f>
        <v/>
      </c>
      <c r="L18" s="519" t="str">
        <f ca="1">IF(K18="","",SUMIF(RRE!$J$13:$J$24,OFÍCIO!$I18,RRE!$O$13:$O$24))</f>
        <v/>
      </c>
    </row>
    <row r="19" spans="2:12" ht="12.75" customHeight="1" x14ac:dyDescent="0.2">
      <c r="B19" s="729" t="s">
        <v>394</v>
      </c>
      <c r="C19" s="730" t="str">
        <f>Import.Proponente</f>
        <v>MUNICÍPIO DE RONDINHA</v>
      </c>
      <c r="D19" s="730"/>
      <c r="E19" s="730"/>
      <c r="F19" s="730"/>
      <c r="G19" s="730"/>
      <c r="I19" s="517" t="str">
        <f ca="1">IF(ROW(I19)-ROW(L$5)&gt;MAX(RRE!$V$13:$V$24),"",INDEX(RRE!$J$13:$J$24,MATCH(ROW(I19)-ROW(I$5),RRE!$V$13:$V$24,0)))</f>
        <v/>
      </c>
      <c r="J19" s="518" t="str">
        <f ca="1">IF(I19="","",SUMIF(RRE!$J$13:$J$24,OFÍCIO!$I19,RRE!$L$13:$L$24))</f>
        <v/>
      </c>
      <c r="K19" s="518" t="str">
        <f ca="1">IF(J19="","",SUMIF(RRE!$J$13:$J$24,OFÍCIO!$I19,RRE!$N$13:$N$24))</f>
        <v/>
      </c>
      <c r="L19" s="519" t="str">
        <f ca="1">IF(K19="","",SUMIF(RRE!$J$13:$J$24,OFÍCIO!$I19,RRE!$O$13:$O$24))</f>
        <v/>
      </c>
    </row>
    <row r="20" spans="2:12" x14ac:dyDescent="0.2">
      <c r="B20" s="729"/>
      <c r="C20" s="730"/>
      <c r="D20" s="730"/>
      <c r="E20" s="730"/>
      <c r="F20" s="730"/>
      <c r="G20" s="730"/>
      <c r="I20" s="517" t="str">
        <f ca="1">IF(ROW(I20)-ROW(L$5)&gt;MAX(RRE!$V$13:$V$24),"",INDEX(RRE!$J$13:$J$24,MATCH(ROW(I20)-ROW(I$5),RRE!$V$13:$V$24,0)))</f>
        <v/>
      </c>
      <c r="J20" s="518" t="str">
        <f ca="1">IF(I20="","",SUMIF(RRE!$J$13:$J$24,OFÍCIO!$I20,RRE!$L$13:$L$24))</f>
        <v/>
      </c>
      <c r="K20" s="518" t="str">
        <f ca="1">IF(J20="","",SUMIF(RRE!$J$13:$J$24,OFÍCIO!$I20,RRE!$N$13:$N$24))</f>
        <v/>
      </c>
      <c r="L20" s="519" t="str">
        <f ca="1">IF(K20="","",SUMIF(RRE!$J$13:$J$24,OFÍCIO!$I20,RRE!$O$13:$O$24))</f>
        <v/>
      </c>
    </row>
    <row r="21" spans="2:12" x14ac:dyDescent="0.2">
      <c r="B21" s="50"/>
      <c r="C21" s="50"/>
      <c r="D21" s="50"/>
      <c r="E21" s="50"/>
      <c r="F21" s="50"/>
      <c r="G21" s="50"/>
      <c r="I21" s="517" t="str">
        <f ca="1">IF(ROW(I21)-ROW(L$5)&gt;MAX(RRE!$V$13:$V$24),"",INDEX(RRE!$J$13:$J$24,MATCH(ROW(I21)-ROW(I$5),RRE!$V$13:$V$24,0)))</f>
        <v/>
      </c>
      <c r="J21" s="518" t="str">
        <f ca="1">IF(I21="","",SUMIF(RRE!$J$13:$J$24,OFÍCIO!$I21,RRE!$L$13:$L$24))</f>
        <v/>
      </c>
      <c r="K21" s="518" t="str">
        <f ca="1">IF(J21="","",SUMIF(RRE!$J$13:$J$24,OFÍCIO!$I21,RRE!$N$13:$N$24))</f>
        <v/>
      </c>
      <c r="L21" s="519" t="str">
        <f ca="1">IF(K21="","",SUMIF(RRE!$J$13:$J$24,OFÍCIO!$I21,RRE!$O$13:$O$24))</f>
        <v/>
      </c>
    </row>
    <row r="22" spans="2:12" x14ac:dyDescent="0.2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IF(ROW(I22)-ROW(L$5)&gt;MAX(RRE!$V$13:$V$24),"",INDEX(RRE!$J$13:$J$24,MATCH(ROW(I22)-ROW(I$5),RRE!$V$13:$V$24,0)))</f>
        <v/>
      </c>
      <c r="J22" s="518" t="str">
        <f ca="1">IF(I22="","",SUMIF(RRE!$J$13:$J$24,OFÍCIO!$I22,RRE!$L$13:$L$24))</f>
        <v/>
      </c>
      <c r="K22" s="518" t="str">
        <f ca="1">IF(J22="","",SUMIF(RRE!$J$13:$J$24,OFÍCIO!$I22,RRE!$N$13:$N$24))</f>
        <v/>
      </c>
      <c r="L22" s="519" t="str">
        <f ca="1">IF(K22="","",SUMIF(RRE!$J$13:$J$24,OFÍCIO!$I22,RRE!$O$13:$O$24))</f>
        <v/>
      </c>
    </row>
    <row r="23" spans="2:12" x14ac:dyDescent="0.2">
      <c r="B23" s="50"/>
      <c r="C23" s="50"/>
      <c r="D23" s="50"/>
      <c r="E23" s="50"/>
      <c r="F23" s="50"/>
      <c r="G23" s="50"/>
      <c r="I23" s="517" t="str">
        <f ca="1">IF(ROW(I23)-ROW(L$5)&gt;MAX(RRE!$V$13:$V$24),"",INDEX(RRE!$J$13:$J$24,MATCH(ROW(I23)-ROW(I$5),RRE!$V$13:$V$24,0)))</f>
        <v/>
      </c>
      <c r="J23" s="518" t="str">
        <f ca="1">IF(I23="","",SUMIF(RRE!$J$13:$J$24,OFÍCIO!$I23,RRE!$L$13:$L$24))</f>
        <v/>
      </c>
      <c r="K23" s="518" t="str">
        <f ca="1">IF(J23="","",SUMIF(RRE!$J$13:$J$24,OFÍCIO!$I23,RRE!$N$13:$N$24))</f>
        <v/>
      </c>
      <c r="L23" s="519" t="str">
        <f ca="1">IF(K23="","",SUMIF(RRE!$J$13:$J$24,OFÍCIO!$I23,RRE!$O$13:$O$24))</f>
        <v/>
      </c>
    </row>
    <row r="24" spans="2:12" ht="12.75" customHeight="1" x14ac:dyDescent="0.2">
      <c r="B24" s="727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727"/>
      <c r="D24" s="727"/>
      <c r="E24" s="727"/>
      <c r="F24" s="727"/>
      <c r="G24" s="727"/>
      <c r="I24" s="517" t="str">
        <f ca="1">IF(ROW(I24)-ROW(L$5)&gt;MAX(RRE!$V$13:$V$24),"",INDEX(RRE!$J$13:$J$24,MATCH(ROW(I24)-ROW(I$5),RRE!$V$13:$V$24,0)))</f>
        <v/>
      </c>
      <c r="J24" s="518" t="str">
        <f ca="1">IF(I24="","",SUMIF(RRE!$J$13:$J$24,OFÍCIO!$I24,RRE!$L$13:$L$24))</f>
        <v/>
      </c>
      <c r="K24" s="518" t="str">
        <f ca="1">IF(J24="","",SUMIF(RRE!$J$13:$J$24,OFÍCIO!$I24,RRE!$N$13:$N$24))</f>
        <v/>
      </c>
      <c r="L24" s="519" t="str">
        <f ca="1">IF(K24="","",SUMIF(RRE!$J$13:$J$24,OFÍCIO!$I24,RRE!$O$13:$O$24))</f>
        <v/>
      </c>
    </row>
    <row r="25" spans="2:12" x14ac:dyDescent="0.2">
      <c r="B25" s="727"/>
      <c r="C25" s="727"/>
      <c r="D25" s="727"/>
      <c r="E25" s="727"/>
      <c r="F25" s="727"/>
      <c r="G25" s="727"/>
      <c r="I25" s="517" t="str">
        <f ca="1">IF(ROW(I25)-ROW(L$5)&gt;MAX(RRE!$V$13:$V$24),"",INDEX(RRE!$J$13:$J$24,MATCH(ROW(I25)-ROW(I$5),RRE!$V$13:$V$24,0)))</f>
        <v/>
      </c>
      <c r="J25" s="518" t="str">
        <f ca="1">IF(I25="","",SUMIF(RRE!$J$13:$J$24,OFÍCIO!$I25,RRE!$L$13:$L$24))</f>
        <v/>
      </c>
      <c r="K25" s="518" t="str">
        <f ca="1">IF(J25="","",SUMIF(RRE!$J$13:$J$24,OFÍCIO!$I25,RRE!$N$13:$N$24))</f>
        <v/>
      </c>
      <c r="L25" s="519" t="str">
        <f ca="1">IF(K25="","",SUMIF(RRE!$J$13:$J$24,OFÍCIO!$I25,RRE!$O$13:$O$24))</f>
        <v/>
      </c>
    </row>
    <row r="26" spans="2:12" x14ac:dyDescent="0.2">
      <c r="B26" s="727"/>
      <c r="C26" s="727"/>
      <c r="D26" s="727"/>
      <c r="E26" s="727"/>
      <c r="F26" s="727"/>
      <c r="G26" s="727"/>
      <c r="I26" s="517" t="str">
        <f ca="1">IF(ROW(I26)-ROW(L$5)&gt;MAX(RRE!$V$13:$V$24),"",INDEX(RRE!$J$13:$J$24,MATCH(ROW(I26)-ROW(I$5),RRE!$V$13:$V$24,0)))</f>
        <v/>
      </c>
      <c r="J26" s="518" t="str">
        <f ca="1">IF(I26="","",SUMIF(RRE!$J$13:$J$24,OFÍCIO!$I26,RRE!$L$13:$L$24))</f>
        <v/>
      </c>
      <c r="K26" s="518" t="str">
        <f ca="1">IF(J26="","",SUMIF(RRE!$J$13:$J$24,OFÍCIO!$I26,RRE!$N$13:$N$24))</f>
        <v/>
      </c>
      <c r="L26" s="519" t="str">
        <f ca="1">IF(K26="","",SUMIF(RRE!$J$13:$J$24,OFÍCIO!$I26,RRE!$O$13:$O$24))</f>
        <v/>
      </c>
    </row>
    <row r="27" spans="2:12" x14ac:dyDescent="0.2">
      <c r="B27" s="50"/>
      <c r="C27" s="50"/>
      <c r="D27" s="50"/>
      <c r="E27" s="50"/>
      <c r="F27" s="50"/>
      <c r="G27" s="50"/>
      <c r="I27" s="517" t="str">
        <f ca="1">IF(ROW(I27)-ROW(L$5)&gt;MAX(RRE!$V$13:$V$24),"",INDEX(RRE!$J$13:$J$24,MATCH(ROW(I27)-ROW(I$5),RRE!$V$13:$V$24,0)))</f>
        <v/>
      </c>
      <c r="J27" s="518" t="str">
        <f ca="1">IF(I27="","",SUMIF(RRE!$J$13:$J$24,OFÍCIO!$I27,RRE!$L$13:$L$24))</f>
        <v/>
      </c>
      <c r="K27" s="518" t="str">
        <f ca="1">IF(J27="","",SUMIF(RRE!$J$13:$J$24,OFÍCIO!$I27,RRE!$N$13:$N$24))</f>
        <v/>
      </c>
      <c r="L27" s="519" t="str">
        <f ca="1">IF(K27="","",SUMIF(RRE!$J$13:$J$24,OFÍCIO!$I27,RRE!$O$13:$O$24))</f>
        <v/>
      </c>
    </row>
    <row r="28" spans="2:12" ht="12.75" customHeight="1" x14ac:dyDescent="0.2">
      <c r="B28" s="728"/>
      <c r="C28" s="728"/>
      <c r="D28" s="732" t="s">
        <v>395</v>
      </c>
      <c r="E28" s="732" t="str">
        <f ca="1">"Evolução da "&amp;RRE.Numero&amp;"ª Medição"</f>
        <v>Evolução da 1ª Medição</v>
      </c>
      <c r="F28" s="733" t="s">
        <v>396</v>
      </c>
      <c r="G28" s="733"/>
      <c r="I28" s="517" t="str">
        <f ca="1">IF(ROW(I28)-ROW(L$5)&gt;MAX(RRE!$V$13:$V$24),"",INDEX(RRE!$J$13:$J$24,MATCH(ROW(I28)-ROW(I$5),RRE!$V$13:$V$24,0)))</f>
        <v/>
      </c>
      <c r="J28" s="518" t="str">
        <f ca="1">IF(I28="","",SUMIF(RRE!$J$13:$J$24,OFÍCIO!$I28,RRE!$L$13:$L$24))</f>
        <v/>
      </c>
      <c r="K28" s="518" t="str">
        <f ca="1">IF(J28="","",SUMIF(RRE!$J$13:$J$24,OFÍCIO!$I28,RRE!$N$13:$N$24))</f>
        <v/>
      </c>
      <c r="L28" s="519" t="str">
        <f ca="1">IF(K28="","",SUMIF(RRE!$J$13:$J$24,OFÍCIO!$I28,RRE!$O$13:$O$24))</f>
        <v/>
      </c>
    </row>
    <row r="29" spans="2:12" x14ac:dyDescent="0.2">
      <c r="B29" s="728"/>
      <c r="C29" s="728"/>
      <c r="D29" s="732"/>
      <c r="E29" s="732"/>
      <c r="F29" s="733"/>
      <c r="G29" s="733"/>
      <c r="I29" s="517" t="str">
        <f ca="1">IF(ROW(I29)-ROW(L$5)&gt;MAX(RRE!$V$13:$V$24),"",INDEX(RRE!$J$13:$J$24,MATCH(ROW(I29)-ROW(I$5),RRE!$V$13:$V$24,0)))</f>
        <v/>
      </c>
      <c r="J29" s="518" t="str">
        <f ca="1">IF(I29="","",SUMIF(RRE!$J$13:$J$24,OFÍCIO!$I29,RRE!$L$13:$L$24))</f>
        <v/>
      </c>
      <c r="K29" s="518" t="str">
        <f ca="1">IF(J29="","",SUMIF(RRE!$J$13:$J$24,OFÍCIO!$I29,RRE!$N$13:$N$24))</f>
        <v/>
      </c>
      <c r="L29" s="519" t="str">
        <f ca="1">IF(K29="","",SUMIF(RRE!$J$13:$J$24,OFÍCIO!$I29,RRE!$O$13:$O$24))</f>
        <v/>
      </c>
    </row>
    <row r="30" spans="2:12" x14ac:dyDescent="0.2">
      <c r="B30" s="734" t="str">
        <f>IF(import.recurso="FGTS","Financiamento:","Repasse:")</f>
        <v>Repasse:</v>
      </c>
      <c r="C30" s="734"/>
      <c r="D30" s="448">
        <f ca="1">RRE!L25</f>
        <v>0</v>
      </c>
      <c r="E30" s="448">
        <f ca="1">RRE!N25</f>
        <v>0</v>
      </c>
      <c r="F30" s="735">
        <f ca="1">RRE!O25</f>
        <v>0</v>
      </c>
      <c r="G30" s="735"/>
      <c r="I30" s="517" t="str">
        <f ca="1">IF(ROW(I30)-ROW(L$5)&gt;MAX(RRE!$V$13:$V$24),"",INDEX(RRE!$J$13:$J$24,MATCH(ROW(I30)-ROW(I$5),RRE!$V$13:$V$24,0)))</f>
        <v/>
      </c>
      <c r="J30" s="518" t="str">
        <f ca="1">IF(I30="","",SUMIF(RRE!$J$13:$J$24,OFÍCIO!$I30,RRE!$L$13:$L$24))</f>
        <v/>
      </c>
      <c r="K30" s="518" t="str">
        <f ca="1">IF(J30="","",SUMIF(RRE!$J$13:$J$24,OFÍCIO!$I30,RRE!$N$13:$N$24))</f>
        <v/>
      </c>
      <c r="L30" s="519" t="str">
        <f ca="1">IF(K30="","",SUMIF(RRE!$J$13:$J$24,OFÍCIO!$I30,RRE!$O$13:$O$24))</f>
        <v/>
      </c>
    </row>
    <row r="31" spans="2:12" x14ac:dyDescent="0.2">
      <c r="B31" s="734" t="s">
        <v>397</v>
      </c>
      <c r="C31" s="734"/>
      <c r="D31" s="448">
        <f ca="1">RRE!L26</f>
        <v>291001.64</v>
      </c>
      <c r="E31" s="448">
        <f ca="1">RRE!N26</f>
        <v>0</v>
      </c>
      <c r="F31" s="735">
        <f ca="1">RRE!O26</f>
        <v>0</v>
      </c>
      <c r="G31" s="735"/>
      <c r="I31" s="517" t="str">
        <f ca="1">IF(ROW(I31)-ROW(L$5)&gt;MAX(RRE!$V$13:$V$24),"",INDEX(RRE!$J$13:$J$24,MATCH(ROW(I31)-ROW(I$5),RRE!$V$13:$V$24,0)))</f>
        <v/>
      </c>
      <c r="J31" s="518" t="str">
        <f ca="1">IF(I31="","",SUMIF(RRE!$J$13:$J$24,OFÍCIO!$I31,RRE!$L$13:$L$24))</f>
        <v/>
      </c>
      <c r="K31" s="518" t="str">
        <f ca="1">IF(J31="","",SUMIF(RRE!$J$13:$J$24,OFÍCIO!$I31,RRE!$N$13:$N$24))</f>
        <v/>
      </c>
      <c r="L31" s="519" t="str">
        <f ca="1">IF(K31="","",SUMIF(RRE!$J$13:$J$24,OFÍCIO!$I31,RRE!$O$13:$O$24))</f>
        <v/>
      </c>
    </row>
    <row r="32" spans="2:12" x14ac:dyDescent="0.2">
      <c r="B32" s="734" t="s">
        <v>285</v>
      </c>
      <c r="C32" s="734"/>
      <c r="D32" s="448">
        <f ca="1">RRE!L27</f>
        <v>0</v>
      </c>
      <c r="E32" s="448">
        <f ca="1">RRE!N27</f>
        <v>0</v>
      </c>
      <c r="F32" s="735">
        <f ca="1">RRE!O27</f>
        <v>0</v>
      </c>
      <c r="G32" s="735"/>
      <c r="I32" s="517" t="str">
        <f ca="1">IF(ROW(I32)-ROW(L$5)&gt;MAX(RRE!$V$13:$V$24),"",INDEX(RRE!$J$13:$J$24,MATCH(ROW(I32)-ROW(I$5),RRE!$V$13:$V$24,0)))</f>
        <v/>
      </c>
      <c r="J32" s="518" t="str">
        <f ca="1">IF(I32="","",SUMIF(RRE!$J$13:$J$24,OFÍCIO!$I32,RRE!$L$13:$L$24))</f>
        <v/>
      </c>
      <c r="K32" s="518" t="str">
        <f ca="1">IF(J32="","",SUMIF(RRE!$J$13:$J$24,OFÍCIO!$I32,RRE!$N$13:$N$24))</f>
        <v/>
      </c>
      <c r="L32" s="519" t="str">
        <f ca="1">IF(K32="","",SUMIF(RRE!$J$13:$J$24,OFÍCIO!$I32,RRE!$O$13:$O$24))</f>
        <v/>
      </c>
    </row>
    <row r="33" spans="2:12" x14ac:dyDescent="0.2">
      <c r="B33" s="734" t="s">
        <v>286</v>
      </c>
      <c r="C33" s="734"/>
      <c r="D33" s="448">
        <f ca="1">RRE!L28</f>
        <v>291001.64</v>
      </c>
      <c r="E33" s="448">
        <f ca="1">RRE!N28</f>
        <v>0</v>
      </c>
      <c r="F33" s="735">
        <f ca="1">RRE!O28</f>
        <v>0</v>
      </c>
      <c r="G33" s="735"/>
      <c r="I33" s="517" t="str">
        <f ca="1">IF(ROW(I33)-ROW(L$5)&gt;MAX(RRE!$V$13:$V$24),"",INDEX(RRE!$J$13:$J$24,MATCH(ROW(I33)-ROW(I$5),RRE!$V$13:$V$24,0)))</f>
        <v/>
      </c>
      <c r="J33" s="518" t="str">
        <f ca="1">IF(I33="","",SUMIF(RRE!$J$13:$J$24,OFÍCIO!$I33,RRE!$L$13:$L$24))</f>
        <v/>
      </c>
      <c r="K33" s="518" t="str">
        <f ca="1">IF(J33="","",SUMIF(RRE!$J$13:$J$24,OFÍCIO!$I33,RRE!$N$13:$N$24))</f>
        <v/>
      </c>
      <c r="L33" s="519" t="str">
        <f ca="1">IF(K33="","",SUMIF(RRE!$J$13:$J$24,OFÍCIO!$I33,RRE!$O$13:$O$24))</f>
        <v/>
      </c>
    </row>
    <row r="34" spans="2:12" x14ac:dyDescent="0.2">
      <c r="B34" s="738" t="s">
        <v>398</v>
      </c>
      <c r="C34" s="738"/>
      <c r="D34" s="449" t="s">
        <v>166</v>
      </c>
      <c r="E34" s="450">
        <f ca="1">RRE!$N$28/(RRE!$L$28+10^-12)</f>
        <v>0</v>
      </c>
      <c r="F34" s="739">
        <f ca="1">RRE!P24</f>
        <v>0</v>
      </c>
      <c r="G34" s="739"/>
      <c r="I34" s="517" t="str">
        <f ca="1">IF(ROW(I34)-ROW(L$5)&gt;MAX(RRE!$V$13:$V$24),"",INDEX(RRE!$J$13:$J$24,MATCH(ROW(I34)-ROW(I$5),RRE!$V$13:$V$24,0)))</f>
        <v/>
      </c>
      <c r="J34" s="518" t="str">
        <f ca="1">IF(I34="","",SUMIF(RRE!$J$13:$J$24,OFÍCIO!$I34,RRE!$L$13:$L$24))</f>
        <v/>
      </c>
      <c r="K34" s="518" t="str">
        <f ca="1">IF(J34="","",SUMIF(RRE!$J$13:$J$24,OFÍCIO!$I34,RRE!$N$13:$N$24))</f>
        <v/>
      </c>
      <c r="L34" s="519" t="str">
        <f ca="1">IF(K34="","",SUMIF(RRE!$J$13:$J$24,OFÍCIO!$I34,RRE!$O$13:$O$24))</f>
        <v/>
      </c>
    </row>
    <row r="35" spans="2:12" x14ac:dyDescent="0.2">
      <c r="B35" s="195"/>
      <c r="C35" s="50"/>
      <c r="D35" s="50"/>
      <c r="E35" s="50"/>
      <c r="F35" s="50"/>
      <c r="G35" s="50"/>
      <c r="I35" s="517" t="str">
        <f ca="1">IF(ROW(I35)-ROW(L$5)&gt;MAX(RRE!$V$13:$V$24),"",INDEX(RRE!$J$13:$J$24,MATCH(ROW(I35)-ROW(I$5),RRE!$V$13:$V$24,0)))</f>
        <v/>
      </c>
      <c r="J35" s="518" t="str">
        <f ca="1">IF(I35="","",SUMIF(RRE!$J$13:$J$24,OFÍCIO!$I35,RRE!$L$13:$L$24))</f>
        <v/>
      </c>
      <c r="K35" s="518" t="str">
        <f ca="1">IF(J35="","",SUMIF(RRE!$J$13:$J$24,OFÍCIO!$I35,RRE!$N$13:$N$24))</f>
        <v/>
      </c>
      <c r="L35" s="519" t="str">
        <f ca="1">IF(K35="","",SUMIF(RRE!$J$13:$J$24,OFÍCIO!$I35,RRE!$O$13:$O$24))</f>
        <v/>
      </c>
    </row>
    <row r="36" spans="2:12" x14ac:dyDescent="0.2">
      <c r="B36" s="195"/>
      <c r="C36" s="195"/>
      <c r="D36" s="195"/>
      <c r="E36" s="195"/>
      <c r="F36" s="195"/>
      <c r="G36" s="50"/>
      <c r="I36" s="517" t="str">
        <f ca="1">IF(ROW(I36)-ROW(L$5)&gt;MAX(RRE!$V$13:$V$24),"",INDEX(RRE!$J$13:$J$24,MATCH(ROW(I36)-ROW(I$5),RRE!$V$13:$V$24,0)))</f>
        <v/>
      </c>
      <c r="J36" s="518" t="str">
        <f ca="1">IF(I36="","",SUMIF(RRE!$J$13:$J$24,OFÍCIO!$I36,RRE!$L$13:$L$24))</f>
        <v/>
      </c>
      <c r="K36" s="518" t="str">
        <f ca="1">IF(J36="","",SUMIF(RRE!$J$13:$J$24,OFÍCIO!$I36,RRE!$N$13:$N$24))</f>
        <v/>
      </c>
      <c r="L36" s="519" t="str">
        <f ca="1">IF(K36="","",SUMIF(RRE!$J$13:$J$24,OFÍCIO!$I36,RRE!$O$13:$O$24))</f>
        <v/>
      </c>
    </row>
    <row r="37" spans="2:12" x14ac:dyDescent="0.2">
      <c r="B37" s="740" t="str">
        <f ca="1">IF(RRE.Numero&gt;1,"2. Encaminhamos ainda a documentação relativa à prestação de contas da etapa físico-financeira anterior.","")</f>
        <v/>
      </c>
      <c r="C37" s="740"/>
      <c r="D37" s="740"/>
      <c r="E37" s="740"/>
      <c r="F37" s="740"/>
      <c r="G37" s="740"/>
      <c r="I37" s="517" t="str">
        <f ca="1">IF(ROW(I37)-ROW(L$5)&gt;MAX(RRE!$V$13:$V$24),"",INDEX(RRE!$J$13:$J$24,MATCH(ROW(I37)-ROW(I$5),RRE!$V$13:$V$24,0)))</f>
        <v/>
      </c>
      <c r="J37" s="518" t="str">
        <f ca="1">IF(I37="","",SUMIF(RRE!$J$13:$J$24,OFÍCIO!$I37,RRE!$L$13:$L$24))</f>
        <v/>
      </c>
      <c r="K37" s="518" t="str">
        <f ca="1">IF(J37="","",SUMIF(RRE!$J$13:$J$24,OFÍCIO!$I37,RRE!$N$13:$N$24))</f>
        <v/>
      </c>
      <c r="L37" s="519" t="str">
        <f ca="1">IF(K37="","",SUMIF(RRE!$J$13:$J$24,OFÍCIO!$I37,RRE!$O$13:$O$24))</f>
        <v/>
      </c>
    </row>
    <row r="38" spans="2:12" x14ac:dyDescent="0.2">
      <c r="B38" s="740"/>
      <c r="C38" s="740"/>
      <c r="D38" s="740"/>
      <c r="E38" s="740"/>
      <c r="F38" s="740"/>
      <c r="G38" s="740"/>
      <c r="I38" s="517" t="str">
        <f ca="1">IF(ROW(I38)-ROW(L$5)&gt;MAX(RRE!$V$13:$V$24),"",INDEX(RRE!$J$13:$J$24,MATCH(ROW(I38)-ROW(I$5),RRE!$V$13:$V$24,0)))</f>
        <v/>
      </c>
      <c r="J38" s="518" t="str">
        <f ca="1">IF(I38="","",SUMIF(RRE!$J$13:$J$24,OFÍCIO!$I38,RRE!$L$13:$L$24))</f>
        <v/>
      </c>
      <c r="K38" s="518" t="str">
        <f ca="1">IF(J38="","",SUMIF(RRE!$J$13:$J$24,OFÍCIO!$I38,RRE!$N$13:$N$24))</f>
        <v/>
      </c>
      <c r="L38" s="519" t="str">
        <f ca="1">IF(K38="","",SUMIF(RRE!$J$13:$J$24,OFÍCIO!$I38,RRE!$O$13:$O$24))</f>
        <v/>
      </c>
    </row>
    <row r="39" spans="2:12" ht="12.75" customHeight="1" x14ac:dyDescent="0.2">
      <c r="B39" s="740" t="str">
        <f ca="1">IF(AND(RRE.Numero&gt;1,NOT(ISBLANK(Import.TransfereGOV))),"3. Na oportunidade, informamos que a execução financeira da parcela anterior está devidamente comprovada no TransfereGOV.","")</f>
        <v/>
      </c>
      <c r="C39" s="740"/>
      <c r="D39" s="740"/>
      <c r="E39" s="740"/>
      <c r="F39" s="740"/>
      <c r="G39" s="740"/>
      <c r="I39" s="517" t="str">
        <f ca="1">IF(ROW(I39)-ROW(L$5)&gt;MAX(RRE!$V$13:$V$24),"",INDEX(RRE!$J$13:$J$24,MATCH(ROW(I39)-ROW(I$5),RRE!$V$13:$V$24,0)))</f>
        <v/>
      </c>
      <c r="J39" s="518" t="str">
        <f ca="1">IF(I39="","",SUMIF(RRE!$J$13:$J$24,OFÍCIO!$I39,RRE!$L$13:$L$24))</f>
        <v/>
      </c>
      <c r="K39" s="518" t="str">
        <f ca="1">IF(J39="","",SUMIF(RRE!$J$13:$J$24,OFÍCIO!$I39,RRE!$N$13:$N$24))</f>
        <v/>
      </c>
      <c r="L39" s="519" t="str">
        <f ca="1">IF(K39="","",SUMIF(RRE!$J$13:$J$24,OFÍCIO!$I39,RRE!$O$13:$O$24))</f>
        <v/>
      </c>
    </row>
    <row r="40" spans="2:12" x14ac:dyDescent="0.2">
      <c r="B40" s="740"/>
      <c r="C40" s="740"/>
      <c r="D40" s="740"/>
      <c r="E40" s="740"/>
      <c r="F40" s="740"/>
      <c r="G40" s="740"/>
      <c r="I40" s="517" t="str">
        <f ca="1">IF(ROW(I40)-ROW(L$5)&gt;MAX(RRE!$V$13:$V$24),"",INDEX(RRE!$J$13:$J$24,MATCH(ROW(I40)-ROW(I$5),RRE!$V$13:$V$24,0)))</f>
        <v/>
      </c>
      <c r="J40" s="518" t="str">
        <f ca="1">IF(I40="","",SUMIF(RRE!$J$13:$J$24,OFÍCIO!$I40,RRE!$L$13:$L$24))</f>
        <v/>
      </c>
      <c r="K40" s="518" t="str">
        <f ca="1">IF(J40="","",SUMIF(RRE!$J$13:$J$24,OFÍCIO!$I40,RRE!$N$13:$N$24))</f>
        <v/>
      </c>
      <c r="L40" s="519" t="str">
        <f ca="1">IF(K40="","",SUMIF(RRE!$J$13:$J$24,OFÍCIO!$I40,RRE!$O$13:$O$24))</f>
        <v/>
      </c>
    </row>
    <row r="41" spans="2:12" x14ac:dyDescent="0.2">
      <c r="B41" s="451"/>
      <c r="C41" s="446"/>
      <c r="D41" s="446"/>
      <c r="E41" s="446"/>
      <c r="F41" s="446"/>
      <c r="G41" s="446"/>
      <c r="I41" s="517" t="str">
        <f ca="1">IF(ROW(I41)-ROW(L$5)&gt;MAX(RRE!$V$13:$V$24),"",INDEX(RRE!$J$13:$J$24,MATCH(ROW(I41)-ROW(I$5),RRE!$V$13:$V$24,0)))</f>
        <v/>
      </c>
      <c r="J41" s="518" t="str">
        <f ca="1">IF(I41="","",SUMIF(RRE!$J$13:$J$24,OFÍCIO!$I41,RRE!$L$13:$L$24))</f>
        <v/>
      </c>
      <c r="K41" s="518" t="str">
        <f ca="1">IF(J41="","",SUMIF(RRE!$J$13:$J$24,OFÍCIO!$I41,RRE!$N$13:$N$24))</f>
        <v/>
      </c>
      <c r="L41" s="519" t="str">
        <f ca="1">IF(K41="","",SUMIF(RRE!$J$13:$J$24,OFÍCIO!$I41,RRE!$O$13:$O$24))</f>
        <v/>
      </c>
    </row>
    <row r="42" spans="2:12" ht="12.75" customHeight="1" x14ac:dyDescent="0.2">
      <c r="B42" s="740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40"/>
      <c r="D42" s="740"/>
      <c r="E42" s="740"/>
      <c r="F42" s="740"/>
      <c r="G42" s="740"/>
      <c r="I42" s="517" t="str">
        <f ca="1">IF(ROW(I42)-ROW(L$5)&gt;MAX(RRE!$V$13:$V$24),"",INDEX(RRE!$J$13:$J$24,MATCH(ROW(I42)-ROW(I$5),RRE!$V$13:$V$24,0)))</f>
        <v/>
      </c>
      <c r="J42" s="518" t="str">
        <f ca="1">IF(I42="","",SUMIF(RRE!$J$13:$J$24,OFÍCIO!$I42,RRE!$L$13:$L$24))</f>
        <v/>
      </c>
      <c r="K42" s="518" t="str">
        <f ca="1">IF(J42="","",SUMIF(RRE!$J$13:$J$24,OFÍCIO!$I42,RRE!$N$13:$N$24))</f>
        <v/>
      </c>
      <c r="L42" s="519" t="str">
        <f ca="1">IF(K42="","",SUMIF(RRE!$J$13:$J$24,OFÍCIO!$I42,RRE!$O$13:$O$24))</f>
        <v/>
      </c>
    </row>
    <row r="43" spans="2:12" x14ac:dyDescent="0.2">
      <c r="B43" s="740"/>
      <c r="C43" s="740"/>
      <c r="D43" s="740"/>
      <c r="E43" s="740"/>
      <c r="F43" s="740"/>
      <c r="G43" s="740"/>
      <c r="I43" s="517" t="str">
        <f ca="1">IF(ROW(I43)-ROW(L$5)&gt;MAX(RRE!$V$13:$V$24),"",INDEX(RRE!$J$13:$J$24,MATCH(ROW(I43)-ROW(I$5),RRE!$V$13:$V$24,0)))</f>
        <v/>
      </c>
      <c r="J43" s="518" t="str">
        <f ca="1">IF(I43="","",SUMIF(RRE!$J$13:$J$24,OFÍCIO!$I43,RRE!$L$13:$L$24))</f>
        <v/>
      </c>
      <c r="K43" s="518" t="str">
        <f ca="1">IF(J43="","",SUMIF(RRE!$J$13:$J$24,OFÍCIO!$I43,RRE!$N$13:$N$24))</f>
        <v/>
      </c>
      <c r="L43" s="519" t="str">
        <f ca="1">IF(K43="","",SUMIF(RRE!$J$13:$J$24,OFÍCIO!$I43,RRE!$O$13:$O$24))</f>
        <v/>
      </c>
    </row>
    <row r="44" spans="2:12" x14ac:dyDescent="0.2">
      <c r="B44" s="740"/>
      <c r="C44" s="740"/>
      <c r="D44" s="740"/>
      <c r="E44" s="740"/>
      <c r="F44" s="740"/>
      <c r="G44" s="740"/>
      <c r="I44" s="517" t="str">
        <f ca="1">IF(ROW(I44)-ROW(L$5)&gt;MAX(RRE!$V$13:$V$24),"",INDEX(RRE!$J$13:$J$24,MATCH(ROW(I44)-ROW(I$5),RRE!$V$13:$V$24,0)))</f>
        <v/>
      </c>
      <c r="J44" s="518" t="str">
        <f ca="1">IF(I44="","",SUMIF(RRE!$J$13:$J$24,OFÍCIO!$I44,RRE!$L$13:$L$24))</f>
        <v/>
      </c>
      <c r="K44" s="518" t="str">
        <f ca="1">IF(J44="","",SUMIF(RRE!$J$13:$J$24,OFÍCIO!$I44,RRE!$N$13:$N$24))</f>
        <v/>
      </c>
      <c r="L44" s="519" t="str">
        <f ca="1">IF(K44="","",SUMIF(RRE!$J$13:$J$24,OFÍCIO!$I44,RRE!$O$13:$O$24))</f>
        <v/>
      </c>
    </row>
    <row r="45" spans="2:12" x14ac:dyDescent="0.2">
      <c r="B45" s="740"/>
      <c r="C45" s="740"/>
      <c r="D45" s="740"/>
      <c r="E45" s="740"/>
      <c r="F45" s="740"/>
      <c r="G45" s="740"/>
      <c r="I45" s="517" t="str">
        <f ca="1">IF(ROW(I45)-ROW(L$5)&gt;MAX(RRE!$V$13:$V$24),"",INDEX(RRE!$J$13:$J$24,MATCH(ROW(I45)-ROW(I$5),RRE!$V$13:$V$24,0)))</f>
        <v/>
      </c>
      <c r="J45" s="518" t="str">
        <f ca="1">IF(I45="","",SUMIF(RRE!$J$13:$J$24,OFÍCIO!$I45,RRE!$L$13:$L$24))</f>
        <v/>
      </c>
      <c r="K45" s="518" t="str">
        <f ca="1">IF(J45="","",SUMIF(RRE!$J$13:$J$24,OFÍCIO!$I45,RRE!$N$13:$N$24))</f>
        <v/>
      </c>
      <c r="L45" s="519" t="str">
        <f ca="1">IF(K45="","",SUMIF(RRE!$J$13:$J$24,OFÍCIO!$I45,RRE!$O$13:$O$24))</f>
        <v/>
      </c>
    </row>
    <row r="46" spans="2:12" ht="13.5" thickBot="1" x14ac:dyDescent="0.25">
      <c r="B46" s="740"/>
      <c r="C46" s="740"/>
      <c r="D46" s="740"/>
      <c r="E46" s="740"/>
      <c r="F46" s="740"/>
      <c r="G46" s="740"/>
      <c r="I46" s="520" t="str">
        <f ca="1">IF(ROW(I46)-ROW(L$5)&gt;MAX(RRE!$V$13:$V$24),"",INDEX(RRE!$J$13:$J$24,MATCH(ROW(I46)-ROW(I$5),RRE!$V$13:$V$24,0)))</f>
        <v/>
      </c>
      <c r="J46" s="521" t="str">
        <f ca="1">IF(I46="","",SUMIF(RRE!$J$13:$J$24,OFÍCIO!$I46,RRE!$L$13:$L$24))</f>
        <v/>
      </c>
      <c r="K46" s="521" t="str">
        <f ca="1">IF(J46="","",SUMIF(RRE!$J$13:$J$24,OFÍCIO!$I46,RRE!$N$13:$N$24))</f>
        <v/>
      </c>
      <c r="L46" s="522" t="str">
        <f ca="1">IF(K46="","",SUMIF(RRE!$J$13:$J$24,OFÍCIO!$I46,RRE!$O$13:$O$24))</f>
        <v/>
      </c>
    </row>
    <row r="47" spans="2:12" x14ac:dyDescent="0.2">
      <c r="G47" s="318"/>
    </row>
    <row r="48" spans="2:12" x14ac:dyDescent="0.2">
      <c r="G48" s="318"/>
    </row>
    <row r="49" spans="2:7" x14ac:dyDescent="0.2">
      <c r="B49" s="50" t="s">
        <v>399</v>
      </c>
      <c r="G49" s="318"/>
    </row>
    <row r="50" spans="2:7" x14ac:dyDescent="0.2">
      <c r="B50" s="318"/>
      <c r="C50" s="318"/>
      <c r="D50" s="318"/>
      <c r="E50" s="318"/>
      <c r="F50" s="318"/>
      <c r="G50" s="318"/>
    </row>
    <row r="51" spans="2:7" x14ac:dyDescent="0.2">
      <c r="B51" s="50"/>
      <c r="C51" s="50"/>
      <c r="D51" s="50"/>
      <c r="E51" s="50"/>
      <c r="F51" s="50"/>
      <c r="G51" s="50"/>
    </row>
    <row r="52" spans="2:7" x14ac:dyDescent="0.2">
      <c r="B52" s="50"/>
      <c r="C52" s="50"/>
      <c r="D52" s="50"/>
      <c r="E52" s="50"/>
      <c r="F52" s="50"/>
      <c r="G52" s="50"/>
    </row>
    <row r="53" spans="2:7" x14ac:dyDescent="0.2">
      <c r="B53" s="452"/>
      <c r="C53" s="452"/>
      <c r="D53" s="452"/>
      <c r="E53" s="50"/>
      <c r="F53" s="50"/>
      <c r="G53" s="50"/>
    </row>
    <row r="54" spans="2:7" x14ac:dyDescent="0.2">
      <c r="B54" s="736" t="str">
        <f>DADOS!$F$28</f>
        <v>ALDOMIR LUIZ CANTONI</v>
      </c>
      <c r="C54" s="736"/>
      <c r="D54" s="736"/>
      <c r="E54" s="736"/>
      <c r="F54" s="736"/>
      <c r="G54" s="736"/>
    </row>
    <row r="55" spans="2:7" x14ac:dyDescent="0.2">
      <c r="B55" s="736" t="str">
        <f>DADOS!$F$29</f>
        <v>PREFEITO MUNICIPAL</v>
      </c>
      <c r="C55" s="736"/>
      <c r="D55" s="736"/>
      <c r="E55" s="736"/>
      <c r="F55" s="736"/>
      <c r="G55" s="736"/>
    </row>
    <row r="56" spans="2:7" x14ac:dyDescent="0.2">
      <c r="B56" s="737"/>
      <c r="C56" s="737"/>
      <c r="D56" s="737"/>
      <c r="E56" s="737"/>
      <c r="F56" s="737"/>
      <c r="G56" s="737"/>
    </row>
  </sheetData>
  <sheetProtection algorithmName="SHA-512" hashValue="YjMpdP9dKpnIqsVwTsTIA5x706cY8tKJvN7tE5lyTjtIcQSlcjNYzn6xcO0VKi49G5iTMh9nnmrNB7ZnZ/SpZg==" saltValue="QTskv9jCpvOmE7LhXhCtgw==" spinCount="100000" sheet="1" objects="1" scenarios="1" autoFilter="0"/>
  <mergeCells count="34">
    <mergeCell ref="B55:G56"/>
    <mergeCell ref="B33:C33"/>
    <mergeCell ref="F33:G33"/>
    <mergeCell ref="B34:C34"/>
    <mergeCell ref="F34:G34"/>
    <mergeCell ref="B37:G38"/>
    <mergeCell ref="B39:G40"/>
    <mergeCell ref="B42:G46"/>
    <mergeCell ref="B31:C31"/>
    <mergeCell ref="F31:G31"/>
    <mergeCell ref="B30:C30"/>
    <mergeCell ref="F30:G30"/>
    <mergeCell ref="B54:G54"/>
    <mergeCell ref="B32:C32"/>
    <mergeCell ref="F32:G32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L4:L5"/>
    <mergeCell ref="C6:D6"/>
    <mergeCell ref="B8:G8"/>
    <mergeCell ref="B10:D10"/>
    <mergeCell ref="B1:C4"/>
    <mergeCell ref="I4:I5"/>
    <mergeCell ref="J4:J5"/>
    <mergeCell ref="K4:K5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 xr:uid="{00000000-0002-0000-0D00-000000000000}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ENGENHARIA</cp:lastModifiedBy>
  <cp:revision>5</cp:revision>
  <cp:lastPrinted>2024-04-25T17:31:16Z</cp:lastPrinted>
  <dcterms:created xsi:type="dcterms:W3CDTF">1997-01-10T22:22:50Z</dcterms:created>
  <dcterms:modified xsi:type="dcterms:W3CDTF">2024-04-30T13:14:35Z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