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Meus Documentos\Documents\BALANCO 2018 PREFEITURA E CAMARA\CONTAS DE GESTAO\ARTIGO 2 RESOLUCAO 1099-2018\a) relatório circunstanciado do Prefeito sobre sua gestão\"/>
    </mc:Choice>
  </mc:AlternateContent>
  <bookViews>
    <workbookView xWindow="120" yWindow="60" windowWidth="19095" windowHeight="8445"/>
  </bookViews>
  <sheets>
    <sheet name="RELATORIO CIRCUNSTANCIADO" sheetId="2" r:id="rId1"/>
    <sheet name="Plan3" sheetId="3" r:id="rId2"/>
  </sheets>
  <calcPr calcId="152511"/>
</workbook>
</file>

<file path=xl/calcChain.xml><?xml version="1.0" encoding="utf-8"?>
<calcChain xmlns="http://schemas.openxmlformats.org/spreadsheetml/2006/main">
  <c r="G308" i="2" l="1"/>
  <c r="F237" i="2"/>
  <c r="F276" i="2"/>
  <c r="G305" i="2" l="1"/>
  <c r="G306" i="2" s="1"/>
  <c r="F241" i="2"/>
  <c r="E205" i="2" l="1"/>
  <c r="F343" i="2" l="1"/>
  <c r="F351" i="2" s="1"/>
  <c r="F337" i="2"/>
  <c r="F293" i="2"/>
  <c r="B297" i="2"/>
  <c r="B296" i="2"/>
  <c r="B295" i="2"/>
  <c r="B294" i="2"/>
  <c r="F288" i="2"/>
  <c r="F291" i="2" s="1"/>
  <c r="F281" i="2"/>
  <c r="F274" i="2"/>
  <c r="F277" i="2"/>
  <c r="F278" i="2"/>
  <c r="F279" i="2"/>
  <c r="F280" i="2"/>
  <c r="E256" i="2"/>
  <c r="H262" i="2"/>
  <c r="H261" i="2"/>
  <c r="F256" i="2"/>
  <c r="G264" i="2"/>
  <c r="G265" i="2"/>
  <c r="G266" i="2"/>
  <c r="G267" i="2"/>
  <c r="G268" i="2"/>
  <c r="G263" i="2"/>
  <c r="F268" i="2"/>
  <c r="F267" i="2"/>
  <c r="F266" i="2"/>
  <c r="F265" i="2"/>
  <c r="F264" i="2"/>
  <c r="F263" i="2"/>
  <c r="B268" i="2"/>
  <c r="B267" i="2"/>
  <c r="B266" i="2"/>
  <c r="B265" i="2"/>
  <c r="B264" i="2"/>
  <c r="B263" i="2"/>
  <c r="G254" i="2"/>
  <c r="G253" i="2"/>
  <c r="F236" i="2"/>
  <c r="F231" i="2"/>
  <c r="E158" i="2"/>
  <c r="F157" i="2"/>
  <c r="D94" i="2"/>
  <c r="F93" i="2"/>
  <c r="F49" i="2"/>
  <c r="H51" i="2"/>
  <c r="G51" i="2"/>
  <c r="E49" i="2"/>
  <c r="G34" i="2"/>
  <c r="F32" i="2"/>
  <c r="G32" i="2"/>
  <c r="F31" i="2"/>
  <c r="G31" i="2"/>
  <c r="F17" i="2"/>
  <c r="F19" i="2"/>
  <c r="G33" i="2" s="1"/>
  <c r="F14" i="2"/>
  <c r="F33" i="2" s="1"/>
  <c r="F298" i="2" l="1"/>
  <c r="F275" i="2"/>
  <c r="F284" i="2" s="1"/>
  <c r="F285" i="2" s="1"/>
  <c r="F242" i="2"/>
  <c r="G269" i="2"/>
  <c r="F269" i="2"/>
  <c r="F21" i="2"/>
  <c r="G252" i="2"/>
  <c r="H267" i="2" l="1"/>
  <c r="H264" i="2"/>
  <c r="H265" i="2"/>
  <c r="H266" i="2"/>
  <c r="H119" i="2"/>
  <c r="F122" i="2"/>
  <c r="F118" i="2"/>
  <c r="E92" i="2"/>
  <c r="D92" i="2"/>
  <c r="G75" i="2"/>
  <c r="G74" i="2"/>
  <c r="F20" i="2"/>
  <c r="F22" i="2" s="1"/>
  <c r="H269" i="2" l="1"/>
  <c r="F92" i="2"/>
  <c r="G93" i="2" s="1"/>
  <c r="F128" i="2"/>
  <c r="F374" i="2"/>
  <c r="E374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F155" i="2" l="1"/>
  <c r="F66" i="2"/>
  <c r="E91" i="2"/>
  <c r="F91" i="2" s="1"/>
  <c r="G92" i="2" s="1"/>
  <c r="F23" i="2" l="1"/>
  <c r="H359" i="2" l="1"/>
  <c r="H360" i="2"/>
  <c r="H362" i="2"/>
  <c r="H364" i="2"/>
  <c r="H366" i="2"/>
  <c r="H368" i="2"/>
  <c r="H370" i="2"/>
  <c r="H372" i="2"/>
  <c r="H361" i="2"/>
  <c r="H363" i="2"/>
  <c r="H365" i="2"/>
  <c r="H367" i="2"/>
  <c r="H369" i="2"/>
  <c r="H371" i="2"/>
  <c r="H373" i="2"/>
  <c r="G374" i="2"/>
  <c r="G89" i="2" l="1"/>
  <c r="G83" i="2"/>
  <c r="G82" i="2"/>
  <c r="G81" i="2"/>
  <c r="G80" i="2"/>
  <c r="G79" i="2"/>
  <c r="G78" i="2"/>
  <c r="G77" i="2"/>
  <c r="G76" i="2"/>
  <c r="G147" i="2"/>
  <c r="G146" i="2"/>
  <c r="G145" i="2"/>
  <c r="G144" i="2"/>
  <c r="G143" i="2"/>
  <c r="G142" i="2"/>
  <c r="G141" i="2"/>
  <c r="G140" i="2"/>
  <c r="G139" i="2"/>
  <c r="G138" i="2"/>
  <c r="F154" i="2"/>
  <c r="G155" i="2" s="1"/>
  <c r="D118" i="2"/>
  <c r="G121" i="2"/>
  <c r="E90" i="2"/>
  <c r="F90" i="2" s="1"/>
  <c r="H50" i="2"/>
  <c r="G90" i="2" l="1"/>
  <c r="G91" i="2"/>
  <c r="F336" i="2"/>
  <c r="F334" i="2" s="1"/>
  <c r="F245" i="2"/>
  <c r="F246" i="2" s="1"/>
  <c r="F228" i="2"/>
  <c r="F226" i="2" s="1"/>
  <c r="F153" i="2" l="1"/>
  <c r="G154" i="2" l="1"/>
  <c r="G63" i="2"/>
  <c r="G62" i="2"/>
  <c r="G61" i="2"/>
  <c r="G60" i="2"/>
  <c r="G59" i="2"/>
  <c r="G57" i="2"/>
  <c r="G56" i="2"/>
  <c r="G55" i="2"/>
  <c r="G54" i="2"/>
  <c r="G53" i="2"/>
  <c r="G52" i="2"/>
  <c r="G50" i="2"/>
  <c r="G49" i="2" l="1"/>
  <c r="F152" i="2"/>
  <c r="G153" i="2" l="1"/>
  <c r="H31" i="2"/>
  <c r="G180" i="2"/>
  <c r="G178" i="2"/>
  <c r="G251" i="2"/>
  <c r="G183" i="2"/>
  <c r="G182" i="2"/>
  <c r="G181" i="2"/>
  <c r="F151" i="2"/>
  <c r="F150" i="2"/>
  <c r="F149" i="2"/>
  <c r="F148" i="2"/>
  <c r="G148" i="2" s="1"/>
  <c r="C122" i="2"/>
  <c r="C118" i="2"/>
  <c r="G127" i="2"/>
  <c r="G126" i="2"/>
  <c r="H125" i="2"/>
  <c r="G125" i="2"/>
  <c r="G124" i="2"/>
  <c r="H123" i="2"/>
  <c r="G123" i="2"/>
  <c r="E122" i="2"/>
  <c r="D122" i="2"/>
  <c r="H121" i="2"/>
  <c r="H120" i="2"/>
  <c r="G120" i="2"/>
  <c r="G119" i="2"/>
  <c r="E118" i="2"/>
  <c r="E87" i="2"/>
  <c r="F87" i="2" s="1"/>
  <c r="E86" i="2"/>
  <c r="D86" i="2"/>
  <c r="D85" i="2"/>
  <c r="E85" i="2" s="1"/>
  <c r="F85" i="2" s="1"/>
  <c r="D84" i="2"/>
  <c r="E84" i="2" s="1"/>
  <c r="F84" i="2" s="1"/>
  <c r="G84" i="2" s="1"/>
  <c r="H52" i="2"/>
  <c r="H55" i="2"/>
  <c r="H56" i="2"/>
  <c r="H66" i="2" s="1"/>
  <c r="H57" i="2"/>
  <c r="E58" i="2"/>
  <c r="F58" i="2"/>
  <c r="H61" i="2"/>
  <c r="H62" i="2"/>
  <c r="H63" i="2"/>
  <c r="H36" i="2"/>
  <c r="H35" i="2"/>
  <c r="H34" i="2"/>
  <c r="G37" i="2"/>
  <c r="G184" i="2"/>
  <c r="G179" i="2"/>
  <c r="D158" i="2" l="1"/>
  <c r="F158" i="2" s="1"/>
  <c r="G158" i="2" s="1"/>
  <c r="H130" i="2"/>
  <c r="F64" i="2"/>
  <c r="E94" i="2" s="1"/>
  <c r="F156" i="2"/>
  <c r="G157" i="2" s="1"/>
  <c r="E128" i="2"/>
  <c r="G151" i="2"/>
  <c r="G88" i="2"/>
  <c r="G149" i="2"/>
  <c r="G85" i="2"/>
  <c r="C128" i="2"/>
  <c r="G177" i="2" s="1"/>
  <c r="G150" i="2"/>
  <c r="G152" i="2"/>
  <c r="H49" i="2"/>
  <c r="H374" i="2"/>
  <c r="F37" i="2"/>
  <c r="H37" i="2" s="1"/>
  <c r="D128" i="2"/>
  <c r="G256" i="2"/>
  <c r="F86" i="2"/>
  <c r="G86" i="2" s="1"/>
  <c r="H118" i="2"/>
  <c r="G122" i="2"/>
  <c r="H122" i="2"/>
  <c r="G58" i="2"/>
  <c r="E64" i="2"/>
  <c r="G190" i="2" s="1"/>
  <c r="H58" i="2"/>
  <c r="H33" i="2"/>
  <c r="H32" i="2"/>
  <c r="F94" i="2" l="1"/>
  <c r="G94" i="2" s="1"/>
  <c r="I51" i="2"/>
  <c r="I128" i="2"/>
  <c r="I125" i="2"/>
  <c r="I121" i="2"/>
  <c r="I124" i="2"/>
  <c r="I120" i="2"/>
  <c r="I127" i="2"/>
  <c r="I123" i="2"/>
  <c r="I119" i="2"/>
  <c r="I126" i="2"/>
  <c r="I122" i="2"/>
  <c r="G156" i="2"/>
  <c r="E204" i="2"/>
  <c r="G87" i="2"/>
  <c r="I118" i="2"/>
  <c r="D131" i="2" s="1"/>
  <c r="G187" i="2"/>
  <c r="I49" i="2"/>
  <c r="E206" i="2"/>
  <c r="G191" i="2"/>
  <c r="G186" i="2"/>
  <c r="G64" i="2"/>
  <c r="G128" i="2"/>
  <c r="H128" i="2"/>
  <c r="I63" i="2"/>
  <c r="I60" i="2"/>
  <c r="I55" i="2"/>
  <c r="I50" i="2"/>
  <c r="I64" i="2"/>
  <c r="I61" i="2"/>
  <c r="I56" i="2"/>
  <c r="I52" i="2"/>
  <c r="I62" i="2"/>
  <c r="I57" i="2"/>
  <c r="I53" i="2"/>
  <c r="I58" i="2"/>
  <c r="I59" i="2"/>
  <c r="I54" i="2"/>
  <c r="H64" i="2"/>
  <c r="G188" i="2" l="1"/>
  <c r="G192" i="2"/>
  <c r="G193" i="2"/>
  <c r="G195" i="2" s="1"/>
  <c r="G198" i="2" s="1"/>
  <c r="E208" i="2"/>
</calcChain>
</file>

<file path=xl/sharedStrings.xml><?xml version="1.0" encoding="utf-8"?>
<sst xmlns="http://schemas.openxmlformats.org/spreadsheetml/2006/main" count="284" uniqueCount="256">
  <si>
    <t xml:space="preserve">  (-) REDUÇÕES</t>
  </si>
  <si>
    <t>CRÉDITOS ESPECIAIS:</t>
  </si>
  <si>
    <t xml:space="preserve">    Transferidos do ex. anterior</t>
  </si>
  <si>
    <t xml:space="preserve">    Abertos no exercício</t>
  </si>
  <si>
    <t xml:space="preserve">    (-) Diferidos</t>
  </si>
  <si>
    <t xml:space="preserve">    (-) REDUÇÕES</t>
  </si>
  <si>
    <t>CREDITOS ADICIONAIS ABERTOS</t>
  </si>
  <si>
    <t xml:space="preserve">(-)REDUÇÕES </t>
  </si>
  <si>
    <t>(=) CREDITOS ADICIONAIS LIQUIDOS</t>
  </si>
  <si>
    <t xml:space="preserve">DESPESA AUTORIZADA </t>
  </si>
  <si>
    <t xml:space="preserve">Fontes </t>
  </si>
  <si>
    <t>Créditos</t>
  </si>
  <si>
    <t>Especificação</t>
  </si>
  <si>
    <t>Suplementar</t>
  </si>
  <si>
    <t>Especial</t>
  </si>
  <si>
    <t>Total Geral</t>
  </si>
  <si>
    <t>Superávit Financeiro</t>
  </si>
  <si>
    <t xml:space="preserve">Excesso de arrecadação </t>
  </si>
  <si>
    <t>Anulação de Dotações</t>
  </si>
  <si>
    <t>Auxílios e Convênios</t>
  </si>
  <si>
    <t>Crédito Especial ( Operação de Crédito)</t>
  </si>
  <si>
    <t>Créditos Reabertos</t>
  </si>
  <si>
    <t>TOTAL</t>
  </si>
  <si>
    <t>TITULOS</t>
  </si>
  <si>
    <t>RECEITAS CORRENTES</t>
  </si>
  <si>
    <t xml:space="preserve">   Receita Tributária</t>
  </si>
  <si>
    <t xml:space="preserve">   Receita Patrimonial</t>
  </si>
  <si>
    <t xml:space="preserve">   Receita Industrial</t>
  </si>
  <si>
    <t xml:space="preserve">   Receita Agropecuária</t>
  </si>
  <si>
    <t xml:space="preserve">   Receita de Serviços</t>
  </si>
  <si>
    <t xml:space="preserve">   Transf. Correntes</t>
  </si>
  <si>
    <t xml:space="preserve">   Receitas Diversas</t>
  </si>
  <si>
    <t>RECEITAS DE CAPITAL</t>
  </si>
  <si>
    <t xml:space="preserve">   Operação de Crédito</t>
  </si>
  <si>
    <t xml:space="preserve">   Alienação de Bens Móveis e Imóveis</t>
  </si>
  <si>
    <t xml:space="preserve">   Transf. de Capital</t>
  </si>
  <si>
    <t xml:space="preserve">   Outras Receitas de Capital</t>
  </si>
  <si>
    <t>Dedução da Receita</t>
  </si>
  <si>
    <t xml:space="preserve"> TOTAL</t>
  </si>
  <si>
    <t>DIFERENÇA</t>
  </si>
  <si>
    <t>RELATÓRIO CIRCUNSTANCIADO DO PODER EXECUTIVO</t>
  </si>
  <si>
    <t>1.1 ORÇAMENTO</t>
  </si>
  <si>
    <t>1. EXECUÇÃO ORÇAMENTÁRIA</t>
  </si>
  <si>
    <t>1.2 CRÉDITOS ADICIONAIS</t>
  </si>
  <si>
    <t>1.3 ANÁLISES DA RECEITA</t>
  </si>
  <si>
    <t xml:space="preserve">, correspondo a </t>
  </si>
  <si>
    <t>da previsão de arrecadação.</t>
  </si>
  <si>
    <t xml:space="preserve">da </t>
  </si>
  <si>
    <t>QUADRO DE AVALIAÇÃO ANUAL DE ARRECADAÇÃO</t>
  </si>
  <si>
    <t>RECEITA REALIZADA</t>
  </si>
  <si>
    <t>EXERCÍCIOS</t>
  </si>
  <si>
    <t>PRÓPRIAS</t>
  </si>
  <si>
    <t>TRANSFERÊNCIAS</t>
  </si>
  <si>
    <t>% Em Relação a ex. Anteriores</t>
  </si>
  <si>
    <t>1.4 ANÁLISES DA DESPESA</t>
  </si>
  <si>
    <t>ATUALIZADA</t>
  </si>
  <si>
    <t>REALIZADA</t>
  </si>
  <si>
    <t>ORÇADA</t>
  </si>
  <si>
    <t>DESPESAS CORRENTES</t>
  </si>
  <si>
    <t>DESPESAS DE CAPITAL</t>
  </si>
  <si>
    <t>Reserva de Contingência</t>
  </si>
  <si>
    <t>Pessoal e Encargos Sociais</t>
  </si>
  <si>
    <t>Juros e Encargos da Dívida</t>
  </si>
  <si>
    <t>Outras Desp. Correntes</t>
  </si>
  <si>
    <t>Investimentos</t>
  </si>
  <si>
    <t>Inversões Financeiras</t>
  </si>
  <si>
    <t>Amortização da Dívida</t>
  </si>
  <si>
    <t>Transf. De Capital</t>
  </si>
  <si>
    <t>da despesa realizada.</t>
  </si>
  <si>
    <t>CORRENTES</t>
  </si>
  <si>
    <t>CAPITAL</t>
  </si>
  <si>
    <t>% Em Relação a Exerc. Ant.</t>
  </si>
  <si>
    <t>HISTORICO DE DESPESAS REALIZADAS</t>
  </si>
  <si>
    <t>1.5 CONFRONTOS DA RECEITA E DESPESA</t>
  </si>
  <si>
    <t>A execução orçamentária alcançou as cifras seguintes:</t>
  </si>
  <si>
    <t>DESPESA</t>
  </si>
  <si>
    <t>VALOR</t>
  </si>
  <si>
    <t>DESPESA FIXADA</t>
  </si>
  <si>
    <t>CRÉDITOS SUPLEMENTARES</t>
  </si>
  <si>
    <t>( - ) REDUÇÕES</t>
  </si>
  <si>
    <t>CRÉDITOS ESPECIAIS</t>
  </si>
  <si>
    <t>TRANSF. DO EXERC. ANTERIOR</t>
  </si>
  <si>
    <t>ABERTOS NO EXERCÍCIO</t>
  </si>
  <si>
    <t>( - ) DIFERIDOS</t>
  </si>
  <si>
    <t>CRÉDITOS EXTRAORDINÁRIOS</t>
  </si>
  <si>
    <t>DESPESA REALIZADA</t>
  </si>
  <si>
    <t>DESPESA A MENOR</t>
  </si>
  <si>
    <t>RECEITA</t>
  </si>
  <si>
    <t xml:space="preserve"> VALOR </t>
  </si>
  <si>
    <t>RECEITA PREVISTA</t>
  </si>
  <si>
    <t>RECEITA ARRECADADA</t>
  </si>
  <si>
    <t>( + ) SALDO FINANCEIRO EXERC. ANT.</t>
  </si>
  <si>
    <t xml:space="preserve">SUPERÁVIT/DÉFICIT  FINANCEIRO DO EXERCÍCIO </t>
  </si>
  <si>
    <t>DESPESA AUTORIZADA</t>
  </si>
  <si>
    <t>.</t>
  </si>
  <si>
    <t>2. GESTÃO FINANCEIRA E ECONÔMICA</t>
  </si>
  <si>
    <t>Demonstrativo de Gastos com Educação</t>
  </si>
  <si>
    <t>Origem</t>
  </si>
  <si>
    <t>Previsão</t>
  </si>
  <si>
    <t>Arrecadação</t>
  </si>
  <si>
    <t>% Arrec. /Prev.</t>
  </si>
  <si>
    <t>TOTAL GERAL</t>
  </si>
  <si>
    <t>Valor</t>
  </si>
  <si>
    <t>Conclusão</t>
  </si>
  <si>
    <t>(-) Despesa Liquidada com Rendimentos das ASPS</t>
  </si>
  <si>
    <t>DEMONSTARTIVO DE RECURSOS A DISPOSIÇÃO DA SAÚDE</t>
  </si>
  <si>
    <t>RECEITAS ARRECADADAS</t>
  </si>
  <si>
    <t>ORÇADO</t>
  </si>
  <si>
    <t>ARRECADADO</t>
  </si>
  <si>
    <t>Total:</t>
  </si>
  <si>
    <t>CONCLUSÃO:</t>
  </si>
  <si>
    <t xml:space="preserve">             CONSIDERAÇÕES FINAIS</t>
  </si>
  <si>
    <t>PREFEITO MUNICIPAL</t>
  </si>
  <si>
    <t xml:space="preserve">  CRÉDITOS SUPLEMENTARES:</t>
  </si>
  <si>
    <t>DESPESA FIXADA :</t>
  </si>
  <si>
    <t>4.1. INFORMAÇÕES FINANCEIRAS</t>
  </si>
  <si>
    <t>1 - RECEITA ARRECADADA</t>
  </si>
  <si>
    <t>2 - SALDO FINANCEIRO EXERCICIO ANTERIOR</t>
  </si>
  <si>
    <t>3 - DESPESA REALIZADA</t>
  </si>
  <si>
    <t>4 - DIVIDA CONSOLIDADA</t>
  </si>
  <si>
    <t xml:space="preserve">5 - RESULTADO ECONOMICO </t>
  </si>
  <si>
    <t xml:space="preserve">                                          As transferências Correntes, atingiram o valor de</t>
  </si>
  <si>
    <t xml:space="preserve">                                           A maior concentração de dispêndio deu-se em despesas de Correntes no valor de</t>
  </si>
  <si>
    <t>, que representam um percentual de</t>
  </si>
  <si>
    <t xml:space="preserve">                                           O comportamento das despesas realizadas nos últimos exercícios, destacando-se as Despesas de</t>
  </si>
  <si>
    <t xml:space="preserve"> Capital, foi o seguinte:</t>
  </si>
  <si>
    <t xml:space="preserve">%             </t>
  </si>
  <si>
    <t>Arrecadao/ orçado</t>
  </si>
  <si>
    <t>Arrec/Total Arrecadação</t>
  </si>
  <si>
    <t>3. DAS METAS PREVISTAS NO PLANO PLURIANUAL – PPA E LEI DE DIRETRIZES ORÇAMENTÁRIAS - LDO</t>
  </si>
  <si>
    <t>4. DEMONSTRAÇÃO DA APLICAÇÃO NA MANUTENÇÃO E DESENVOLVIMENTO DO ENSINO - MDE/FUNDEB</t>
  </si>
  <si>
    <t>4.3. INFORMAÇÕES FÍSICAS</t>
  </si>
  <si>
    <t>5. DEMONSTRAÇÃO DA APLICAÇÃO DE RECURSOS NA SAÚDE:</t>
  </si>
  <si>
    <t>5.1. INFORMAÇÕES FINANCEIRAS</t>
  </si>
  <si>
    <t>5.2. INFORMAÇÕES FÍSICAS</t>
  </si>
  <si>
    <t>1 - Prevista</t>
  </si>
  <si>
    <t>2 - Arrecada</t>
  </si>
  <si>
    <t>Diferença           ( 1 - 2)</t>
  </si>
  <si>
    <t>RECEITAS</t>
  </si>
  <si>
    <t xml:space="preserve">Receita Educação (MDE + FUNDEB) - 25% da Receita </t>
  </si>
  <si>
    <t xml:space="preserve">TOTAL DAS RECEITAS  </t>
  </si>
  <si>
    <t xml:space="preserve">  Mínimo  a  Aplicar em   M D E  (25%)</t>
  </si>
  <si>
    <t>Cálculo da Despesa Constitucional com Educação (MDE + FUNDEB)</t>
  </si>
  <si>
    <t>DESPESAS LIQUIDADAS</t>
  </si>
  <si>
    <t>TOTAL DAS DESPESAS</t>
  </si>
  <si>
    <t>(-) Despesas Liquidadas com Plus do FUNDEB</t>
  </si>
  <si>
    <t>(-) Rendimentos de Aplicações Financeiras</t>
  </si>
  <si>
    <t>TOTAL DAS DESPESAS COM ENSINO</t>
  </si>
  <si>
    <t>PERCENTUAL APLICADO</t>
  </si>
  <si>
    <t>RECEITAS ARRECADADAS EDUCAÇÃO</t>
  </si>
  <si>
    <t>Receita Saúde (ASPS) - 15% da Receita</t>
  </si>
  <si>
    <t>Mínimo  a  Aplicar em   ASPS  (15%)</t>
  </si>
  <si>
    <t>Cálculo da Despesa Constitucional com Saúde (ASPS)</t>
  </si>
  <si>
    <t xml:space="preserve">Despesa Liquidada no Período </t>
  </si>
  <si>
    <t xml:space="preserve">QUADRO – RECEITAS E DESPESAS VINCULADAS A AÇÕES E SERVIÇOS PÚBLICOS DE SAÚDE
</t>
  </si>
  <si>
    <t>Até o Período</t>
  </si>
  <si>
    <t xml:space="preserve">                                                                 Além das receitas acima demonstradas, também foram destinados ao Município para aplicação na Saúde, os seguintes recursos:</t>
  </si>
  <si>
    <t>%    Arrec. /Total</t>
  </si>
  <si>
    <t>RECEITA A MENOR</t>
  </si>
  <si>
    <t>SUPERÁVIT/DÉFICIT (R - D) DO EXERCÍCIO</t>
  </si>
  <si>
    <t xml:space="preserve">anterior com  a  despesa  realizada no exercício obtivemos um Superávit Financeiro de </t>
  </si>
  <si>
    <t>DIABETES MELLITUS</t>
  </si>
  <si>
    <t>PROG. SAUDE MENTAL</t>
  </si>
  <si>
    <t>SAÚDE DA FAMÍLIA</t>
  </si>
  <si>
    <t>EPIDEMIOLOGIA</t>
  </si>
  <si>
    <t>REGIONALIZAÇÃO - REFORMA DE UBS</t>
  </si>
  <si>
    <t>CADASTRO SUS - GESTAO DO SUS</t>
  </si>
  <si>
    <t>CONSTRUÇÃO OU AMPLIAÇÃO DE UBS OU UPA.</t>
  </si>
  <si>
    <t xml:space="preserve">                                          A Receita Orçamentária efetivamente arrecadada foi de R$16.168.690,10, verificando-se uma arrecadação menor de R$1.331.309,90. O comportamento da receita no exercício considerado traduz-se no quadro abaixo:</t>
  </si>
  <si>
    <t>DEMONSTRATIVO DA DESPESA REALIZADA (Empenhada)</t>
  </si>
  <si>
    <t>Empenhada</t>
  </si>
  <si>
    <t>Liquidada</t>
  </si>
  <si>
    <t>% Emp./Atualiz.</t>
  </si>
  <si>
    <t>% Liq./Total</t>
  </si>
  <si>
    <t xml:space="preserve">Despesas MDE </t>
  </si>
  <si>
    <t>Despesas FUNDEB</t>
  </si>
  <si>
    <t>JOEL SANTOS SUBDA</t>
  </si>
  <si>
    <t>%    Prev./Arrec</t>
  </si>
  <si>
    <t>Foras às receitas destinadas constitucionalmente para este Município, também foram arrecadados as seguintes:</t>
  </si>
  <si>
    <t>Recursos/Descrição</t>
  </si>
  <si>
    <t xml:space="preserve">                                           Tenho a satisfação de apresentar a Vossa Excelência o Relatório Circunstanciado da Administração Direta do Município de Chuvisca, relativo ao exercício de 2018, acompanhado da presente exposição que visa demonstrar a situação econômico-financeira do Município, na forma do disposto no art. 2º, inciso III, letra “a”  da Resolução 1099/2018, do Tribunal de Contas do Estado do Rio Grande do Sul.</t>
  </si>
  <si>
    <t xml:space="preserve">                                          A Lei de Meios para o exercício de 2018, de nº. 1122 de  27 dezembro de 2017, estimou em R$18.223.000,00 e fixou a despesa em R$18.223.000,00. Entretanto, a abertura de créditos adicionais no correr do exercício, como também a transferência de créditos especiais, veio alterar estas cifras, como demonstra o quadro que segue:</t>
  </si>
  <si>
    <t xml:space="preserve">                                           No exercício  foram autorizados créditos adicionais Suplementares que somaram R$6.766.138,97, e Créditos  especiais que totalizaram R$173.369,98, e utilizados os recursos abaixo discriminados, de acordo com o art. 43, da Lei 4320, de 17 de março de 1964:</t>
  </si>
  <si>
    <t xml:space="preserve">   Receita de Contribuições</t>
  </si>
  <si>
    <t xml:space="preserve">                                           A despesa inicialmente autorizada em R$18.223.000,00, foi alterada conforme os créditos adicionais já citados para R$20.186.068,78, a despesa realizada (Empenhada) alcançou R$16.082.566,31, e a despesa realizada (Liquidada) alcançou a importância de R$15.171.287,18, importâncias  que, distribuíram-se da forma seguinte:</t>
  </si>
  <si>
    <t xml:space="preserve">                                           Confrontando a receita arrecadada no exercício de 2018, somado o saldo financeiro do  exercício </t>
  </si>
  <si>
    <t xml:space="preserve">                                           O resultado econômico e financeiro obtido pelo Município no valor de R$1.186.643,92, que foi obtido pela comparação da receita arrecadada e saldo financeiro anterior em relação a despesa realizada e divida consolidada, o que significa que houve controle e equilíbrio financeiro e orçamentário, conforme quadro demonstrativo a seguir:</t>
  </si>
  <si>
    <t xml:space="preserve">                                           As metas previstas no PPA 2013/2017 foram realizadas na maioria de acordo com o previsto. No que diz respeito em específico ao exercício de 2018, grande parte das ações foram executadas em conformidade com o disposto na LDO. Foram poucas aquelas executadas parcialmente ou não executadas Naturalmente, a regra foi a execução de acordo com o planejamento, sendo que as execuções parciais ou não execuções, foram apenas algumas exceções, pois é notório que dificilmente a mencionada execução se dá na plenitude em acordo com a previsão da LDO, pois no transcorrer do exercício, para o qual a LDO se refere, na maioria das vezes surgem situações supervenientes que alteram as metas e prioridades dos serviços públicos, o que ocasiona a modificação, ou até o adiamento de alguns projetos para outro exercício financeiro.
                                          Quanto ao cumprimento dos programas de governo e suas ações, estas alcançaram, no exercício que se encerrou em 31-12-2018 a execução orçamentária conforme vimos acima na execução da despesa. Observa-se que para alguns programas não houve registros de gastos, o que se deve ao fato de serem programas criados para o registro de despesas com recursos de transferência do Estado e da União, recursos que não foram repassados ao Município no exercício de 2010 a 2018, não havendo também investimentos para estes programas. Para os demais houve o desenvolvimento de ações, executadas de forma a promover o atendimento à comunidade nas diversas áreas, de acordo com os indicadores de desempenho propostos conforme anexo 6 - programa de trabalho de Governo. </t>
  </si>
  <si>
    <t>Administracao Geral</t>
  </si>
  <si>
    <t>Ensino Fundamental</t>
  </si>
  <si>
    <t>Educação Infantil</t>
  </si>
  <si>
    <t>Transporte Rodoviario</t>
  </si>
  <si>
    <t>Educação de Jovens e Adultos</t>
  </si>
  <si>
    <t>Educação Especial</t>
  </si>
  <si>
    <t>1008 - PDDE - PROG. DINHEIRO DIRETO NA ESCOLA</t>
  </si>
  <si>
    <t>1172 - TRANSFERENCIAS MP 815/2017</t>
  </si>
  <si>
    <t>1049 - P.N.A.T.E.- PROG. NAC. APOIO TRANSP. ESC</t>
  </si>
  <si>
    <t>1013 - PEATE/RS - PROG. EST. APOIO TRANSP. ESC.</t>
  </si>
  <si>
    <t>1011 - Q.S.E. - QUOTA SALÁRIO EDUCAÇÃO</t>
  </si>
  <si>
    <t>1009 - P.N.A.E. - PROG. NAC. DE ALIM. ESCOLAR</t>
  </si>
  <si>
    <t>020 - MDE</t>
  </si>
  <si>
    <t>031 - FUNDEB</t>
  </si>
  <si>
    <t>4.2. GASTOS CONSTITUCIONAIS COM O FUNDO DE MANUTENÇÃO E DESENVOLVIMENTO DA EDUCAÇÃO BASICA E DE VALORIZAÇÃO DOS PROFISSIONAIS DA EDUCAÇÃO - FUNDEB</t>
  </si>
  <si>
    <t>(-) Desp. Liq. com Recursos do PLUS do FUNDEB</t>
  </si>
  <si>
    <t>(-) Desp. Liq. com Rend. do FUNDEB</t>
  </si>
  <si>
    <t>Despesas Aplicadas com Recursos do FUNDEB</t>
  </si>
  <si>
    <t>II - Despesas Realizadas</t>
  </si>
  <si>
    <t>I - Receitas de Transferências do FUNDEB</t>
  </si>
  <si>
    <t>III - Dedução Recursos do Plus e Rendimentos do FUNDEB</t>
  </si>
  <si>
    <t>IV - Total de Gastos Constitucionais com FUNDEB = (II - III)</t>
  </si>
  <si>
    <t>V - Percentual Aplicado = (IV/I)</t>
  </si>
  <si>
    <t>Cálculo da Proporção dos 60% dos Recursos do Fundeb( Art. 60, XII do ADCT)</t>
  </si>
  <si>
    <t>Base de Calculo</t>
  </si>
  <si>
    <t>Aplicação no Exercício de 2018</t>
  </si>
  <si>
    <t>% a Aplicar</t>
  </si>
  <si>
    <t xml:space="preserve">% Aplicado </t>
  </si>
  <si>
    <t xml:space="preserve">                                           Durante o exercício de 2018, dentre os principais investimentos realizados pela administração em Educação destacam-se os seguintes: </t>
  </si>
  <si>
    <t>Receitas Arrecadadas (ASPS)</t>
  </si>
  <si>
    <t>Receita Tributária</t>
  </si>
  <si>
    <t>Transferências Correntes</t>
  </si>
  <si>
    <t>(-) Deduções da Receita Tributária</t>
  </si>
  <si>
    <t>Administração Geral</t>
  </si>
  <si>
    <t>Atenção Básica</t>
  </si>
  <si>
    <t>Assistência Hospitalar e Ambulatorial</t>
  </si>
  <si>
    <t>Sporte Profilático e Terapeutico</t>
  </si>
  <si>
    <t>Alimentação e Nutrição</t>
  </si>
  <si>
    <t>Período: Janeiro a Dezembro/2018</t>
  </si>
  <si>
    <t xml:space="preserve"> P.I.E.S. - PISO DE INCENT. ATENÇ. BASIC</t>
  </si>
  <si>
    <t>ASSIST.FARM. BÁSICA</t>
  </si>
  <si>
    <t>APOIO À REDE HOSPITALAR</t>
  </si>
  <si>
    <t>P.A.B. FIXO</t>
  </si>
  <si>
    <t>P.A.B. VARIAVEL - VIG. SANITARIA</t>
  </si>
  <si>
    <t>ASSIST. FARM. BASICA</t>
  </si>
  <si>
    <t>AQUIS. DE EQUIP. E MAT. PERMANENTE</t>
  </si>
  <si>
    <t>AÇÕES E SERV. PÚBLICOS DE SAÚDE - ASPS</t>
  </si>
  <si>
    <t xml:space="preserve">                                                                Durante o exercício de 2018,  também foram comprados medicamentos, material de consumo, de ambulatório, peças para veículos, foram consertados veículos, a aquisição e manutenção de equipamentos de informática, ampliação, manutenção e reparos do posto de saúde, bem como, exames e consultas para pacientes e outras despesas afins.  </t>
  </si>
  <si>
    <t xml:space="preserve">                                                             Tendo em vista o exposto, e considerados os dados extraídos dos demonstrativos contábeis do Município, tem-se que o valor mínimo a ser aplicado em A S P S, de acordo com as normas constitucionais e legais referidas, era de R$1.992.014,05. Em relação à aplicação obrigatória de 15% o Município efetuou investimentos superiores a este no valor de R$3.471.709,39 que representa um percentual de 26,14%, confrontado com a receita da arrecadação de impostos municipais e das transferências constitucionais, no exercício de 2018, apresentando uma aplicação a maior de 11,14%.</t>
  </si>
  <si>
    <t xml:space="preserve">                                                               Foram ressaltados neste relatório os principais aspectos da gestão financeira e econômica do exercício de 2018, na necessidade de quaisquer esclarecimentos estamos à sua disposição para esclarecimentos que forem necessários.</t>
  </si>
  <si>
    <t>Remuneracao de Depositos Bancarios de Recursos Vinculados - FUNDEB</t>
  </si>
  <si>
    <t>Transferencias de Recursos do FUNDEB</t>
  </si>
  <si>
    <r>
      <t xml:space="preserve">Calculo da base de verificação do </t>
    </r>
    <r>
      <rPr>
        <b/>
        <sz val="12"/>
        <color theme="1"/>
        <rFont val="Calibri"/>
        <family val="2"/>
      </rPr>
      <t>§</t>
    </r>
    <r>
      <rPr>
        <b/>
        <sz val="12"/>
        <color theme="1"/>
        <rFont val="Arial"/>
        <family val="2"/>
      </rPr>
      <t xml:space="preserve"> 2 do artigo 21 da lei do FUNDEB</t>
    </r>
  </si>
  <si>
    <t>Base de Calculo  do Superávit do FUNDEB - Exercício Anterior</t>
  </si>
  <si>
    <t>Rendimentos do FUNDEB - Exercício de 2017</t>
  </si>
  <si>
    <t>Plus do FUNDEB - Exercício de 2017</t>
  </si>
  <si>
    <t>Total</t>
  </si>
  <si>
    <t>Limite para Aplicação no 1º Trimestre do Exercício Seguinte: 5%</t>
  </si>
  <si>
    <t>Despesas Liquidadas com Recursos do Superávit do FUNDEB (§ 2º do art. 21 da Lei do FUNDEB) - Exercício de 2018(Janeiro - Dezembro).</t>
  </si>
  <si>
    <t xml:space="preserve">                                          Tendo em vista o exposto, em que considerados os dados extraídos dos demonstrativos contábeis do Município, tem-se que o valor mínimo a ser aplicado em M.D.E., de acordo com as normas constitucionais e legais referidas, era de R$3.748.657,96, montante que, confrontado com a receita da arrecadação de impostos municipais e das transferências constitucionais, atingiu o percentual de 28,23%.
</t>
  </si>
  <si>
    <t xml:space="preserve">                                                                 Como é possível verificar, foi colocado à disposição da Secretaria da Saúde, com a soma da arrecadação constitucional mais as transferências de convênios o total de R$3.771.198,36. E referente ao recursos obrigatórios em Ações e Serviços Públicos em Saúde foi colocado a disposição R$1.992.032,81, e foi aplicado o total de R$3.471.709,39,  totalizando 26,14% , representando com isso 11,14% a mais que a aplicação obrigatória de 15% em saúde.</t>
  </si>
  <si>
    <t xml:space="preserve">                                          Desta forma, concluímos que o total efetivo de recursos colocados à disposição da Secretaria de Educação foi de R$5.828.380,10, conforme quadro a seguir:</t>
  </si>
  <si>
    <t>• AQUISIÇÃO DE VEICULO PARA TRANSPORTE ESCOLAR.</t>
  </si>
  <si>
    <t>• ANDAMENTO DA CONERTURA DE QUADRA ESPORTIVA EMEF SANTA LUZIA</t>
  </si>
  <si>
    <t xml:space="preserve">• AQUISIÇÃO DE EQUIPAMENTOS </t>
  </si>
  <si>
    <t>• AQUISIÇÃO DE VEICULO TIPO VAN;</t>
  </si>
  <si>
    <t>• AQUISIÇÃO DE 02 VEICULOS</t>
  </si>
  <si>
    <t>• AQUISIÇÃO DE EQUIPAMENTOS.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</si>
</sst>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 &quot;#,##0.00"/>
    <numFmt numFmtId="165" formatCode="&quot;R$&quot;\ #,##0.00"/>
    <numFmt numFmtId="166" formatCode="0;0\-;\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Microsoft Sans Serif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>
        <bgColor rgb="FFF2F2F2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1" fillId="0" borderId="0">
      <alignment vertical="top"/>
    </xf>
  </cellStyleXfs>
  <cellXfs count="436">
    <xf numFmtId="0" fontId="0" fillId="0" borderId="0" xfId="0"/>
    <xf numFmtId="0" fontId="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/>
    <xf numFmtId="0" fontId="3" fillId="0" borderId="0" xfId="0" applyNumberFormat="1" applyFont="1" applyAlignment="1">
      <alignment horizontal="justify" vertical="justify" wrapText="1"/>
    </xf>
    <xf numFmtId="0" fontId="10" fillId="0" borderId="1" xfId="0" applyFont="1" applyBorder="1"/>
    <xf numFmtId="0" fontId="3" fillId="0" borderId="0" xfId="0" applyFont="1" applyBorder="1"/>
    <xf numFmtId="40" fontId="16" fillId="0" borderId="1" xfId="0" applyNumberFormat="1" applyFont="1" applyBorder="1"/>
    <xf numFmtId="40" fontId="17" fillId="0" borderId="1" xfId="0" applyNumberFormat="1" applyFont="1" applyBorder="1"/>
    <xf numFmtId="8" fontId="16" fillId="0" borderId="1" xfId="0" applyNumberFormat="1" applyFont="1" applyBorder="1" applyAlignment="1">
      <alignment horizontal="right"/>
    </xf>
    <xf numFmtId="8" fontId="17" fillId="0" borderId="1" xfId="0" applyNumberFormat="1" applyFont="1" applyBorder="1" applyAlignment="1">
      <alignment horizontal="right"/>
    </xf>
    <xf numFmtId="10" fontId="16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justify" vertical="top" wrapText="1"/>
    </xf>
    <xf numFmtId="164" fontId="1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8" fontId="16" fillId="0" borderId="1" xfId="0" applyNumberFormat="1" applyFont="1" applyBorder="1" applyAlignment="1"/>
    <xf numFmtId="8" fontId="17" fillId="0" borderId="1" xfId="0" applyNumberFormat="1" applyFont="1" applyBorder="1" applyAlignment="1"/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/>
    </xf>
    <xf numFmtId="8" fontId="17" fillId="0" borderId="0" xfId="0" applyNumberFormat="1" applyFont="1" applyAlignment="1">
      <alignment horizontal="left"/>
    </xf>
    <xf numFmtId="8" fontId="1" fillId="0" borderId="0" xfId="0" applyNumberFormat="1" applyFont="1" applyAlignment="1"/>
    <xf numFmtId="0" fontId="6" fillId="0" borderId="0" xfId="0" applyFont="1"/>
    <xf numFmtId="0" fontId="10" fillId="0" borderId="0" xfId="0" applyFont="1"/>
    <xf numFmtId="0" fontId="7" fillId="0" borderId="0" xfId="0" applyFont="1"/>
    <xf numFmtId="0" fontId="19" fillId="0" borderId="0" xfId="0" applyFont="1"/>
    <xf numFmtId="0" fontId="10" fillId="0" borderId="0" xfId="0" applyFont="1" applyAlignment="1"/>
    <xf numFmtId="0" fontId="19" fillId="0" borderId="0" xfId="0" applyFont="1" applyAlignme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10" fontId="21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3" fillId="0" borderId="0" xfId="0" applyNumberFormat="1" applyFont="1" applyAlignment="1">
      <alignment horizontal="justify" vertical="justify" wrapText="1"/>
    </xf>
    <xf numFmtId="164" fontId="2" fillId="0" borderId="19" xfId="0" applyNumberFormat="1" applyFont="1" applyBorder="1" applyAlignment="1">
      <alignment horizontal="left"/>
    </xf>
    <xf numFmtId="10" fontId="16" fillId="0" borderId="1" xfId="0" applyNumberFormat="1" applyFont="1" applyBorder="1" applyAlignment="1">
      <alignment horizontal="right"/>
    </xf>
    <xf numFmtId="10" fontId="16" fillId="0" borderId="28" xfId="0" applyNumberFormat="1" applyFont="1" applyBorder="1" applyAlignment="1">
      <alignment horizontal="right"/>
    </xf>
    <xf numFmtId="10" fontId="17" fillId="0" borderId="1" xfId="0" applyNumberFormat="1" applyFont="1" applyBorder="1" applyAlignment="1">
      <alignment horizontal="right"/>
    </xf>
    <xf numFmtId="10" fontId="17" fillId="0" borderId="28" xfId="0" applyNumberFormat="1" applyFont="1" applyBorder="1" applyAlignment="1">
      <alignment horizontal="right"/>
    </xf>
    <xf numFmtId="10" fontId="18" fillId="0" borderId="1" xfId="0" applyNumberFormat="1" applyFont="1" applyBorder="1" applyAlignment="1">
      <alignment horizontal="right"/>
    </xf>
    <xf numFmtId="10" fontId="18" fillId="0" borderId="28" xfId="0" applyNumberFormat="1" applyFont="1" applyBorder="1" applyAlignment="1">
      <alignment horizontal="right"/>
    </xf>
    <xf numFmtId="10" fontId="16" fillId="0" borderId="30" xfId="0" applyNumberFormat="1" applyFont="1" applyBorder="1" applyAlignment="1">
      <alignment horizontal="right"/>
    </xf>
    <xf numFmtId="10" fontId="16" fillId="0" borderId="31" xfId="0" applyNumberFormat="1" applyFont="1" applyBorder="1" applyAlignment="1">
      <alignment horizontal="right"/>
    </xf>
    <xf numFmtId="10" fontId="3" fillId="0" borderId="0" xfId="0" applyNumberFormat="1" applyFont="1"/>
    <xf numFmtId="0" fontId="16" fillId="0" borderId="22" xfId="0" applyFont="1" applyBorder="1" applyAlignment="1">
      <alignment horizontal="left" vertical="top" wrapText="1"/>
    </xf>
    <xf numFmtId="10" fontId="16" fillId="0" borderId="15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top" wrapText="1"/>
    </xf>
    <xf numFmtId="10" fontId="17" fillId="0" borderId="15" xfId="0" applyNumberFormat="1" applyFont="1" applyBorder="1" applyAlignment="1">
      <alignment horizontal="center"/>
    </xf>
    <xf numFmtId="0" fontId="2" fillId="0" borderId="23" xfId="0" applyFont="1" applyBorder="1" applyAlignment="1">
      <alignment horizontal="justify" vertical="top" wrapText="1"/>
    </xf>
    <xf numFmtId="40" fontId="16" fillId="0" borderId="19" xfId="0" applyNumberFormat="1" applyFont="1" applyBorder="1"/>
    <xf numFmtId="8" fontId="16" fillId="0" borderId="19" xfId="0" applyNumberFormat="1" applyFont="1" applyBorder="1" applyAlignment="1"/>
    <xf numFmtId="8" fontId="16" fillId="0" borderId="19" xfId="0" applyNumberFormat="1" applyFont="1" applyBorder="1" applyAlignment="1">
      <alignment horizontal="right"/>
    </xf>
    <xf numFmtId="10" fontId="16" fillId="0" borderId="19" xfId="0" applyNumberFormat="1" applyFont="1" applyBorder="1" applyAlignment="1">
      <alignment horizontal="center"/>
    </xf>
    <xf numFmtId="10" fontId="16" fillId="0" borderId="2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0" fontId="10" fillId="0" borderId="0" xfId="0" applyNumberFormat="1" applyFont="1" applyBorder="1"/>
    <xf numFmtId="10" fontId="10" fillId="0" borderId="0" xfId="0" applyNumberFormat="1" applyFont="1" applyBorder="1"/>
    <xf numFmtId="10" fontId="3" fillId="0" borderId="15" xfId="0" applyNumberFormat="1" applyFont="1" applyBorder="1"/>
    <xf numFmtId="10" fontId="10" fillId="0" borderId="20" xfId="0" applyNumberFormat="1" applyFont="1" applyBorder="1"/>
    <xf numFmtId="10" fontId="21" fillId="0" borderId="15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165" fontId="25" fillId="0" borderId="15" xfId="0" applyNumberFormat="1" applyFont="1" applyBorder="1" applyAlignment="1">
      <alignment vertical="top" wrapText="1"/>
    </xf>
    <xf numFmtId="165" fontId="26" fillId="0" borderId="15" xfId="0" applyNumberFormat="1" applyFont="1" applyBorder="1" applyAlignment="1">
      <alignment vertical="top" wrapText="1"/>
    </xf>
    <xf numFmtId="0" fontId="25" fillId="2" borderId="15" xfId="0" applyFont="1" applyFill="1" applyBorder="1" applyAlignment="1">
      <alignment horizontal="center" vertical="top" wrapText="1"/>
    </xf>
    <xf numFmtId="10" fontId="26" fillId="0" borderId="20" xfId="0" applyNumberFormat="1" applyFont="1" applyBorder="1" applyAlignment="1">
      <alignment vertical="top" wrapText="1"/>
    </xf>
    <xf numFmtId="0" fontId="16" fillId="0" borderId="22" xfId="0" applyFont="1" applyBorder="1" applyAlignment="1"/>
    <xf numFmtId="0" fontId="2" fillId="0" borderId="15" xfId="0" applyFont="1" applyBorder="1" applyAlignment="1">
      <alignment wrapText="1"/>
    </xf>
    <xf numFmtId="10" fontId="17" fillId="0" borderId="15" xfId="0" applyNumberFormat="1" applyFont="1" applyBorder="1" applyAlignment="1">
      <alignment horizontal="center" vertical="top"/>
    </xf>
    <xf numFmtId="10" fontId="17" fillId="0" borderId="20" xfId="0" applyNumberFormat="1" applyFont="1" applyBorder="1" applyAlignment="1">
      <alignment horizontal="center" vertical="top"/>
    </xf>
    <xf numFmtId="0" fontId="16" fillId="0" borderId="1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65" fontId="16" fillId="0" borderId="13" xfId="0" applyNumberFormat="1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165" fontId="16" fillId="0" borderId="15" xfId="0" applyNumberFormat="1" applyFont="1" applyBorder="1" applyAlignment="1">
      <alignment horizontal="left"/>
    </xf>
    <xf numFmtId="165" fontId="18" fillId="0" borderId="15" xfId="0" applyNumberFormat="1" applyFont="1" applyBorder="1" applyAlignment="1">
      <alignment horizontal="left"/>
    </xf>
    <xf numFmtId="165" fontId="16" fillId="0" borderId="20" xfId="0" applyNumberFormat="1" applyFont="1" applyBorder="1" applyAlignment="1">
      <alignment horizontal="left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7" xfId="0" applyBorder="1" applyAlignment="1">
      <alignment vertical="center"/>
    </xf>
    <xf numFmtId="165" fontId="3" fillId="0" borderId="0" xfId="0" applyNumberFormat="1" applyFont="1"/>
    <xf numFmtId="10" fontId="20" fillId="0" borderId="46" xfId="0" applyNumberFormat="1" applyFont="1" applyBorder="1" applyAlignment="1">
      <alignment vertical="center"/>
    </xf>
    <xf numFmtId="10" fontId="20" fillId="0" borderId="47" xfId="0" applyNumberFormat="1" applyFont="1" applyBorder="1" applyAlignment="1">
      <alignment horizontal="center" vertical="center"/>
    </xf>
    <xf numFmtId="44" fontId="16" fillId="0" borderId="15" xfId="1" applyFont="1" applyBorder="1"/>
    <xf numFmtId="44" fontId="17" fillId="0" borderId="15" xfId="1" applyFont="1" applyBorder="1"/>
    <xf numFmtId="44" fontId="16" fillId="0" borderId="20" xfId="1" applyFont="1" applyBorder="1"/>
    <xf numFmtId="44" fontId="17" fillId="0" borderId="1" xfId="1" applyFont="1" applyBorder="1" applyAlignment="1">
      <alignment horizontal="right" vertical="top" wrapText="1"/>
    </xf>
    <xf numFmtId="44" fontId="17" fillId="0" borderId="1" xfId="1" applyFont="1" applyBorder="1" applyAlignment="1">
      <alignment horizontal="right" vertical="top"/>
    </xf>
    <xf numFmtId="44" fontId="17" fillId="0" borderId="19" xfId="1" applyFont="1" applyBorder="1" applyAlignment="1">
      <alignment horizontal="right" vertical="top"/>
    </xf>
    <xf numFmtId="0" fontId="17" fillId="0" borderId="22" xfId="0" applyFont="1" applyBorder="1" applyAlignment="1">
      <alignment horizontal="center" vertical="top"/>
    </xf>
    <xf numFmtId="0" fontId="17" fillId="0" borderId="23" xfId="0" applyFont="1" applyBorder="1" applyAlignment="1">
      <alignment horizontal="center" vertical="top"/>
    </xf>
    <xf numFmtId="0" fontId="1" fillId="0" borderId="33" xfId="0" applyFont="1" applyBorder="1" applyAlignment="1">
      <alignment horizontal="center"/>
    </xf>
    <xf numFmtId="44" fontId="14" fillId="0" borderId="5" xfId="1" applyFont="1" applyBorder="1" applyAlignment="1">
      <alignment horizontal="right" vertical="top" wrapText="1"/>
    </xf>
    <xf numFmtId="44" fontId="14" fillId="0" borderId="5" xfId="1" applyFont="1" applyBorder="1" applyAlignment="1">
      <alignment horizontal="center" vertical="top" wrapText="1"/>
    </xf>
    <xf numFmtId="44" fontId="17" fillId="0" borderId="5" xfId="1" applyFont="1" applyBorder="1" applyAlignment="1">
      <alignment horizontal="right"/>
    </xf>
    <xf numFmtId="0" fontId="1" fillId="0" borderId="22" xfId="0" applyFont="1" applyBorder="1" applyAlignment="1">
      <alignment horizontal="center"/>
    </xf>
    <xf numFmtId="44" fontId="14" fillId="0" borderId="1" xfId="1" applyFont="1" applyBorder="1" applyAlignment="1">
      <alignment horizontal="right" vertical="top" wrapText="1"/>
    </xf>
    <xf numFmtId="44" fontId="14" fillId="0" borderId="1" xfId="1" applyFont="1" applyBorder="1" applyAlignment="1">
      <alignment horizontal="center" vertical="top" wrapText="1"/>
    </xf>
    <xf numFmtId="44" fontId="17" fillId="0" borderId="1" xfId="1" applyFont="1" applyBorder="1" applyAlignment="1">
      <alignment horizontal="right"/>
    </xf>
    <xf numFmtId="44" fontId="17" fillId="0" borderId="1" xfId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44" fontId="14" fillId="0" borderId="6" xfId="1" applyFont="1" applyBorder="1" applyAlignment="1">
      <alignment horizontal="right" vertical="top" wrapText="1"/>
    </xf>
    <xf numFmtId="44" fontId="17" fillId="0" borderId="6" xfId="1" applyFont="1" applyBorder="1" applyAlignment="1">
      <alignment horizontal="center"/>
    </xf>
    <xf numFmtId="44" fontId="17" fillId="0" borderId="6" xfId="1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44" fontId="14" fillId="0" borderId="19" xfId="1" applyFont="1" applyBorder="1" applyAlignment="1">
      <alignment horizontal="right" vertical="top" wrapText="1"/>
    </xf>
    <xf numFmtId="44" fontId="20" fillId="0" borderId="46" xfId="1" applyFont="1" applyBorder="1" applyAlignment="1">
      <alignment vertical="center"/>
    </xf>
    <xf numFmtId="4" fontId="20" fillId="0" borderId="19" xfId="0" applyNumberFormat="1" applyFont="1" applyBorder="1" applyAlignment="1">
      <alignment horizontal="center" vertical="center"/>
    </xf>
    <xf numFmtId="10" fontId="20" fillId="0" borderId="19" xfId="0" applyNumberFormat="1" applyFont="1" applyBorder="1" applyAlignment="1">
      <alignment vertical="center" wrapText="1"/>
    </xf>
    <xf numFmtId="10" fontId="20" fillId="0" borderId="20" xfId="0" applyNumberFormat="1" applyFont="1" applyBorder="1" applyAlignment="1">
      <alignment vertical="center" wrapText="1"/>
    </xf>
    <xf numFmtId="44" fontId="29" fillId="0" borderId="1" xfId="1" applyFont="1" applyBorder="1" applyAlignment="1">
      <alignment vertical="top"/>
    </xf>
    <xf numFmtId="166" fontId="29" fillId="0" borderId="22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4" fontId="14" fillId="0" borderId="0" xfId="1" applyFont="1" applyBorder="1" applyAlignment="1">
      <alignment horizontal="right" vertical="top" wrapText="1"/>
    </xf>
    <xf numFmtId="44" fontId="17" fillId="0" borderId="0" xfId="1" applyFont="1" applyBorder="1" applyAlignment="1">
      <alignment horizontal="center"/>
    </xf>
    <xf numFmtId="44" fontId="17" fillId="0" borderId="0" xfId="1" applyFont="1" applyBorder="1" applyAlignment="1">
      <alignment horizontal="right"/>
    </xf>
    <xf numFmtId="10" fontId="17" fillId="0" borderId="0" xfId="0" applyNumberFormat="1" applyFont="1" applyBorder="1" applyAlignment="1">
      <alignment horizontal="center" vertical="top"/>
    </xf>
    <xf numFmtId="8" fontId="17" fillId="0" borderId="19" xfId="1" applyNumberFormat="1" applyFont="1" applyBorder="1" applyAlignment="1">
      <alignment horizontal="center"/>
    </xf>
    <xf numFmtId="8" fontId="17" fillId="0" borderId="19" xfId="1" applyNumberFormat="1" applyFont="1" applyBorder="1" applyAlignment="1">
      <alignment horizontal="right"/>
    </xf>
    <xf numFmtId="8" fontId="16" fillId="0" borderId="0" xfId="0" applyNumberFormat="1" applyFont="1" applyBorder="1" applyAlignment="1"/>
    <xf numFmtId="0" fontId="16" fillId="0" borderId="2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4" fontId="17" fillId="0" borderId="0" xfId="0" applyNumberFormat="1" applyFont="1" applyAlignment="1"/>
    <xf numFmtId="0" fontId="24" fillId="0" borderId="13" xfId="0" applyFont="1" applyBorder="1" applyAlignment="1">
      <alignment horizontal="center" vertical="center" wrapText="1"/>
    </xf>
    <xf numFmtId="44" fontId="30" fillId="0" borderId="1" xfId="1" applyFont="1" applyBorder="1"/>
    <xf numFmtId="44" fontId="24" fillId="0" borderId="19" xfId="1" applyFont="1" applyBorder="1"/>
    <xf numFmtId="10" fontId="30" fillId="0" borderId="15" xfId="0" applyNumberFormat="1" applyFont="1" applyBorder="1"/>
    <xf numFmtId="10" fontId="24" fillId="0" borderId="20" xfId="0" applyNumberFormat="1" applyFont="1" applyBorder="1"/>
    <xf numFmtId="0" fontId="6" fillId="0" borderId="0" xfId="0" applyFont="1" applyBorder="1" applyAlignment="1">
      <alignment horizontal="center"/>
    </xf>
    <xf numFmtId="10" fontId="6" fillId="0" borderId="0" xfId="0" applyNumberFormat="1" applyFont="1" applyBorder="1" applyAlignment="1"/>
    <xf numFmtId="0" fontId="10" fillId="0" borderId="0" xfId="0" applyFont="1" applyAlignment="1">
      <alignment horizontal="left" wrapText="1"/>
    </xf>
    <xf numFmtId="0" fontId="24" fillId="0" borderId="12" xfId="0" applyFont="1" applyBorder="1" applyAlignment="1">
      <alignment horizontal="center" vertical="center"/>
    </xf>
    <xf numFmtId="8" fontId="3" fillId="0" borderId="0" xfId="0" applyNumberFormat="1" applyFont="1"/>
    <xf numFmtId="0" fontId="17" fillId="0" borderId="42" xfId="0" applyFont="1" applyBorder="1" applyAlignment="1">
      <alignment horizontal="center" vertical="top"/>
    </xf>
    <xf numFmtId="44" fontId="17" fillId="0" borderId="6" xfId="1" applyFont="1" applyBorder="1" applyAlignment="1">
      <alignment horizontal="right" vertical="top"/>
    </xf>
    <xf numFmtId="8" fontId="17" fillId="0" borderId="6" xfId="1" applyNumberFormat="1" applyFont="1" applyBorder="1" applyAlignment="1">
      <alignment horizontal="right" vertical="top"/>
    </xf>
    <xf numFmtId="44" fontId="25" fillId="3" borderId="41" xfId="1" applyFont="1" applyFill="1" applyBorder="1" applyAlignment="1">
      <alignment vertical="center" wrapText="1"/>
    </xf>
    <xf numFmtId="44" fontId="2" fillId="0" borderId="15" xfId="1" applyFont="1" applyBorder="1" applyAlignment="1"/>
    <xf numFmtId="44" fontId="27" fillId="0" borderId="15" xfId="1" applyFont="1" applyBorder="1" applyAlignment="1">
      <alignment vertical="top" wrapText="1"/>
    </xf>
    <xf numFmtId="44" fontId="26" fillId="0" borderId="15" xfId="1" applyFont="1" applyBorder="1" applyAlignment="1">
      <alignment vertical="top" wrapText="1"/>
    </xf>
    <xf numFmtId="0" fontId="0" fillId="0" borderId="37" xfId="0" applyBorder="1" applyAlignment="1">
      <alignment vertical="center" wrapText="1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4" fontId="26" fillId="3" borderId="41" xfId="1" applyFont="1" applyFill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3" fillId="0" borderId="57" xfId="0" applyFont="1" applyBorder="1"/>
    <xf numFmtId="4" fontId="0" fillId="0" borderId="57" xfId="0" applyNumberFormat="1" applyBorder="1" applyAlignment="1">
      <alignment vertical="center" wrapText="1"/>
    </xf>
    <xf numFmtId="44" fontId="30" fillId="0" borderId="58" xfId="1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3" fillId="0" borderId="23" xfId="0" applyFont="1" applyBorder="1"/>
    <xf numFmtId="0" fontId="31" fillId="0" borderId="0" xfId="0" applyFont="1" applyAlignment="1">
      <alignment horizontal="left" vertical="center" wrapText="1"/>
    </xf>
    <xf numFmtId="44" fontId="19" fillId="0" borderId="0" xfId="1" applyFont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44" fontId="0" fillId="0" borderId="0" xfId="1" applyFont="1" applyAlignment="1">
      <alignment horizontal="center" vertical="center" wrapText="1"/>
    </xf>
    <xf numFmtId="44" fontId="29" fillId="0" borderId="5" xfId="1" applyFont="1" applyBorder="1" applyAlignment="1">
      <alignment vertical="top"/>
    </xf>
    <xf numFmtId="44" fontId="29" fillId="0" borderId="6" xfId="1" applyFont="1" applyBorder="1" applyAlignment="1">
      <alignment vertical="top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0" fontId="10" fillId="0" borderId="0" xfId="2" applyNumberFormat="1" applyFont="1" applyBorder="1" applyAlignment="1">
      <alignment horizontal="center"/>
    </xf>
    <xf numFmtId="0" fontId="10" fillId="0" borderId="0" xfId="0" applyFont="1" applyBorder="1" applyAlignment="1"/>
    <xf numFmtId="44" fontId="10" fillId="0" borderId="0" xfId="1" applyFont="1" applyBorder="1" applyAlignment="1">
      <alignment horizontal="center"/>
    </xf>
    <xf numFmtId="0" fontId="0" fillId="0" borderId="0" xfId="0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0" fontId="24" fillId="0" borderId="0" xfId="2" applyNumberFormat="1" applyFont="1" applyBorder="1" applyAlignment="1">
      <alignment horizontal="center"/>
    </xf>
    <xf numFmtId="44" fontId="24" fillId="0" borderId="0" xfId="1" applyFont="1" applyBorder="1" applyAlignment="1">
      <alignment horizontal="center"/>
    </xf>
    <xf numFmtId="0" fontId="30" fillId="0" borderId="0" xfId="0" applyFont="1"/>
    <xf numFmtId="166" fontId="29" fillId="0" borderId="33" xfId="3" applyNumberFormat="1" applyFont="1" applyBorder="1" applyAlignment="1">
      <alignment vertical="top"/>
    </xf>
    <xf numFmtId="166" fontId="29" fillId="0" borderId="22" xfId="3" applyNumberFormat="1" applyFont="1" applyBorder="1" applyAlignment="1">
      <alignment vertical="top"/>
    </xf>
    <xf numFmtId="166" fontId="29" fillId="0" borderId="42" xfId="3" applyNumberFormat="1" applyFont="1" applyBorder="1" applyAlignment="1">
      <alignment vertical="top"/>
    </xf>
    <xf numFmtId="166" fontId="29" fillId="0" borderId="55" xfId="3" applyNumberFormat="1" applyFont="1" applyBorder="1" applyAlignment="1">
      <alignment vertical="top"/>
    </xf>
    <xf numFmtId="8" fontId="16" fillId="0" borderId="1" xfId="0" applyNumberFormat="1" applyFont="1" applyBorder="1" applyAlignment="1">
      <alignment horizontal="left"/>
    </xf>
    <xf numFmtId="8" fontId="17" fillId="0" borderId="1" xfId="0" applyNumberFormat="1" applyFont="1" applyBorder="1" applyAlignment="1">
      <alignment horizontal="left"/>
    </xf>
    <xf numFmtId="8" fontId="18" fillId="0" borderId="1" xfId="0" applyNumberFormat="1" applyFont="1" applyBorder="1" applyAlignment="1">
      <alignment horizontal="left"/>
    </xf>
    <xf numFmtId="8" fontId="16" fillId="0" borderId="30" xfId="0" applyNumberFormat="1" applyFont="1" applyBorder="1" applyAlignment="1">
      <alignment horizontal="left"/>
    </xf>
    <xf numFmtId="0" fontId="24" fillId="0" borderId="66" xfId="0" applyFont="1" applyBorder="1" applyAlignment="1">
      <alignment horizontal="left"/>
    </xf>
    <xf numFmtId="0" fontId="24" fillId="0" borderId="67" xfId="0" applyFont="1" applyBorder="1" applyAlignment="1">
      <alignment horizontal="left"/>
    </xf>
    <xf numFmtId="44" fontId="24" fillId="0" borderId="67" xfId="1" applyFont="1" applyBorder="1" applyAlignment="1">
      <alignment horizontal="center"/>
    </xf>
    <xf numFmtId="44" fontId="24" fillId="0" borderId="68" xfId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24" fillId="0" borderId="69" xfId="0" applyFont="1" applyBorder="1" applyAlignment="1">
      <alignment horizontal="left" vertical="top" wrapText="1"/>
    </xf>
    <xf numFmtId="0" fontId="24" fillId="0" borderId="70" xfId="0" applyFont="1" applyBorder="1" applyAlignment="1">
      <alignment horizontal="left" vertical="top" wrapText="1"/>
    </xf>
    <xf numFmtId="44" fontId="24" fillId="0" borderId="70" xfId="1" applyFont="1" applyBorder="1" applyAlignment="1">
      <alignment horizontal="center" vertical="center"/>
    </xf>
    <xf numFmtId="44" fontId="24" fillId="0" borderId="71" xfId="1" applyFont="1" applyBorder="1" applyAlignment="1">
      <alignment horizontal="center" vertical="center"/>
    </xf>
    <xf numFmtId="0" fontId="0" fillId="0" borderId="6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4" fontId="30" fillId="0" borderId="1" xfId="1" applyFont="1" applyBorder="1" applyAlignment="1">
      <alignment horizontal="center"/>
    </xf>
    <xf numFmtId="44" fontId="30" fillId="0" borderId="65" xfId="1" applyFont="1" applyBorder="1" applyAlignment="1">
      <alignment horizontal="center"/>
    </xf>
    <xf numFmtId="0" fontId="30" fillId="0" borderId="64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24" fillId="0" borderId="64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44" fontId="24" fillId="0" borderId="1" xfId="1" applyFont="1" applyBorder="1" applyAlignment="1">
      <alignment horizontal="center"/>
    </xf>
    <xf numFmtId="44" fontId="24" fillId="0" borderId="65" xfId="1" applyFont="1" applyBorder="1" applyAlignment="1">
      <alignment horizontal="center"/>
    </xf>
    <xf numFmtId="0" fontId="29" fillId="0" borderId="6" xfId="3" applyFont="1" applyBorder="1" applyAlignment="1">
      <alignment horizontal="left" vertical="top"/>
    </xf>
    <xf numFmtId="0" fontId="29" fillId="0" borderId="0" xfId="3" applyFont="1" applyBorder="1" applyAlignment="1">
      <alignment horizontal="left" vertical="top"/>
    </xf>
    <xf numFmtId="0" fontId="29" fillId="0" borderId="5" xfId="3" applyFont="1" applyBorder="1" applyAlignment="1">
      <alignment horizontal="left" vertical="top"/>
    </xf>
    <xf numFmtId="0" fontId="29" fillId="0" borderId="1" xfId="3" applyFont="1" applyBorder="1" applyAlignment="1">
      <alignment horizontal="left" vertical="top"/>
    </xf>
    <xf numFmtId="44" fontId="25" fillId="3" borderId="48" xfId="1" applyFont="1" applyFill="1" applyBorder="1" applyAlignment="1">
      <alignment horizontal="left" vertical="top" wrapText="1"/>
    </xf>
    <xf numFmtId="44" fontId="25" fillId="3" borderId="60" xfId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0" fontId="10" fillId="0" borderId="19" xfId="2" applyNumberFormat="1" applyFont="1" applyBorder="1" applyAlignment="1">
      <alignment horizontal="center"/>
    </xf>
    <xf numFmtId="10" fontId="10" fillId="0" borderId="20" xfId="2" applyNumberFormat="1" applyFont="1" applyBorder="1" applyAlignment="1">
      <alignment horizontal="center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44" fontId="25" fillId="0" borderId="48" xfId="1" applyFont="1" applyBorder="1" applyAlignment="1">
      <alignment horizontal="left" vertical="top" wrapText="1"/>
    </xf>
    <xf numFmtId="44" fontId="25" fillId="0" borderId="60" xfId="1" applyFont="1" applyBorder="1" applyAlignment="1">
      <alignment horizontal="left" vertical="top" wrapText="1"/>
    </xf>
    <xf numFmtId="44" fontId="26" fillId="0" borderId="48" xfId="1" applyFont="1" applyBorder="1" applyAlignment="1">
      <alignment horizontal="center" vertical="top" wrapText="1"/>
    </xf>
    <xf numFmtId="44" fontId="26" fillId="0" borderId="60" xfId="1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5" fillId="0" borderId="22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44" fontId="25" fillId="0" borderId="1" xfId="1" applyFont="1" applyBorder="1" applyAlignment="1">
      <alignment horizontal="left" vertical="top" wrapText="1"/>
    </xf>
    <xf numFmtId="44" fontId="25" fillId="0" borderId="15" xfId="1" applyFont="1" applyBorder="1" applyAlignment="1">
      <alignment horizontal="left" vertical="top" wrapText="1"/>
    </xf>
    <xf numFmtId="0" fontId="25" fillId="3" borderId="14" xfId="0" applyFont="1" applyFill="1" applyBorder="1" applyAlignment="1">
      <alignment horizontal="left" vertical="top" wrapText="1"/>
    </xf>
    <xf numFmtId="0" fontId="25" fillId="3" borderId="2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left" vertical="top" wrapText="1"/>
    </xf>
    <xf numFmtId="0" fontId="24" fillId="0" borderId="2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44" fontId="24" fillId="0" borderId="12" xfId="1" applyFont="1" applyBorder="1" applyAlignment="1">
      <alignment horizontal="center" vertical="center" wrapText="1"/>
    </xf>
    <xf numFmtId="44" fontId="24" fillId="0" borderId="13" xfId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4" fontId="30" fillId="0" borderId="1" xfId="1" applyFont="1" applyBorder="1" applyAlignment="1">
      <alignment horizontal="center" vertical="center" wrapText="1"/>
    </xf>
    <xf numFmtId="44" fontId="30" fillId="0" borderId="15" xfId="1" applyFont="1" applyBorder="1" applyAlignment="1">
      <alignment horizontal="center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44" fontId="10" fillId="0" borderId="1" xfId="1" applyFont="1" applyBorder="1" applyAlignment="1">
      <alignment horizontal="center"/>
    </xf>
    <xf numFmtId="44" fontId="10" fillId="0" borderId="15" xfId="1" applyFont="1" applyBorder="1" applyAlignment="1">
      <alignment horizontal="center"/>
    </xf>
    <xf numFmtId="44" fontId="8" fillId="3" borderId="1" xfId="1" applyFont="1" applyFill="1" applyBorder="1" applyAlignment="1">
      <alignment horizontal="center" vertical="center" wrapText="1"/>
    </xf>
    <xf numFmtId="44" fontId="8" fillId="3" borderId="15" xfId="1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 wrapText="1"/>
    </xf>
    <xf numFmtId="44" fontId="9" fillId="3" borderId="15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/>
    </xf>
    <xf numFmtId="44" fontId="3" fillId="0" borderId="15" xfId="1" applyFont="1" applyBorder="1" applyAlignment="1">
      <alignment horizontal="center"/>
    </xf>
    <xf numFmtId="0" fontId="2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0" fillId="0" borderId="22" xfId="0" applyFont="1" applyBorder="1" applyAlignment="1">
      <alignment horizontal="left"/>
    </xf>
    <xf numFmtId="0" fontId="13" fillId="0" borderId="2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27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/>
    </xf>
    <xf numFmtId="0" fontId="17" fillId="0" borderId="2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26" fillId="2" borderId="1" xfId="0" applyFont="1" applyFill="1" applyBorder="1" applyAlignment="1">
      <alignment horizontal="center" vertical="top" wrapText="1"/>
    </xf>
    <xf numFmtId="0" fontId="26" fillId="2" borderId="15" xfId="0" applyFont="1" applyFill="1" applyBorder="1" applyAlignment="1">
      <alignment horizontal="center" vertical="top" wrapText="1"/>
    </xf>
    <xf numFmtId="0" fontId="27" fillId="0" borderId="14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4" fillId="0" borderId="23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justify" wrapText="1"/>
    </xf>
    <xf numFmtId="0" fontId="24" fillId="0" borderId="19" xfId="0" applyFont="1" applyBorder="1" applyAlignment="1">
      <alignment horizontal="left"/>
    </xf>
    <xf numFmtId="0" fontId="25" fillId="2" borderId="35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6" fillId="0" borderId="16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left" vertical="top" wrapText="1"/>
    </xf>
    <xf numFmtId="0" fontId="2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 vertical="justify" wrapText="1"/>
    </xf>
    <xf numFmtId="8" fontId="1" fillId="0" borderId="0" xfId="0" applyNumberFormat="1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 shrinkToFit="1"/>
    </xf>
    <xf numFmtId="0" fontId="10" fillId="0" borderId="28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3" fillId="0" borderId="23" xfId="0" applyFont="1" applyFill="1" applyBorder="1" applyAlignment="1">
      <alignment horizontal="left"/>
    </xf>
    <xf numFmtId="0" fontId="23" fillId="0" borderId="19" xfId="0" applyFont="1" applyFill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8" fontId="3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0" borderId="19" xfId="0" applyNumberFormat="1" applyFont="1" applyBorder="1" applyAlignment="1">
      <alignment horizontal="left"/>
    </xf>
    <xf numFmtId="164" fontId="2" fillId="0" borderId="20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justify" vertical="justify" wrapText="1"/>
    </xf>
    <xf numFmtId="0" fontId="7" fillId="0" borderId="0" xfId="0" applyFont="1" applyAlignment="1">
      <alignment horizontal="center"/>
    </xf>
    <xf numFmtId="0" fontId="10" fillId="0" borderId="2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44" fontId="10" fillId="0" borderId="19" xfId="1" applyFont="1" applyBorder="1" applyAlignment="1">
      <alignment horizontal="center"/>
    </xf>
    <xf numFmtId="44" fontId="10" fillId="0" borderId="20" xfId="1" applyFont="1" applyBorder="1" applyAlignment="1">
      <alignment horizontal="center"/>
    </xf>
    <xf numFmtId="44" fontId="10" fillId="0" borderId="12" xfId="1" applyFont="1" applyBorder="1" applyAlignment="1">
      <alignment horizontal="center"/>
    </xf>
    <xf numFmtId="44" fontId="10" fillId="0" borderId="13" xfId="1" applyFont="1" applyBorder="1" applyAlignment="1">
      <alignment horizontal="center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4" fontId="20" fillId="0" borderId="12" xfId="0" applyNumberFormat="1" applyFont="1" applyBorder="1" applyAlignment="1">
      <alignment horizontal="center" vertical="center"/>
    </xf>
    <xf numFmtId="10" fontId="20" fillId="0" borderId="12" xfId="0" applyNumberFormat="1" applyFont="1" applyBorder="1" applyAlignment="1">
      <alignment horizontal="center" vertical="center" wrapText="1"/>
    </xf>
    <xf numFmtId="10" fontId="20" fillId="0" borderId="13" xfId="0" applyNumberFormat="1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23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6" fillId="2" borderId="2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top" wrapText="1"/>
    </xf>
    <xf numFmtId="0" fontId="26" fillId="2" borderId="13" xfId="0" applyFont="1" applyFill="1" applyBorder="1" applyAlignment="1">
      <alignment horizontal="center" vertical="top" wrapText="1"/>
    </xf>
    <xf numFmtId="44" fontId="25" fillId="0" borderId="1" xfId="1" applyFont="1" applyBorder="1" applyAlignment="1">
      <alignment horizontal="center" vertical="top" wrapText="1"/>
    </xf>
    <xf numFmtId="44" fontId="25" fillId="0" borderId="15" xfId="1" applyFont="1" applyBorder="1" applyAlignment="1">
      <alignment horizontal="center" vertical="top" wrapText="1"/>
    </xf>
    <xf numFmtId="0" fontId="26" fillId="0" borderId="22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44" fontId="26" fillId="0" borderId="1" xfId="1" applyFont="1" applyBorder="1" applyAlignment="1">
      <alignment horizontal="center" vertical="top" wrapText="1"/>
    </xf>
    <xf numFmtId="44" fontId="26" fillId="0" borderId="15" xfId="1" applyFont="1" applyBorder="1" applyAlignment="1">
      <alignment horizontal="center" vertical="top" wrapText="1"/>
    </xf>
    <xf numFmtId="0" fontId="26" fillId="3" borderId="22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44" fontId="26" fillId="3" borderId="1" xfId="1" applyFont="1" applyFill="1" applyBorder="1" applyAlignment="1">
      <alignment horizontal="left" vertical="top" wrapText="1"/>
    </xf>
    <xf numFmtId="44" fontId="26" fillId="3" borderId="15" xfId="1" applyFont="1" applyFill="1" applyBorder="1" applyAlignment="1">
      <alignment horizontal="left" vertical="top" wrapText="1"/>
    </xf>
    <xf numFmtId="0" fontId="26" fillId="2" borderId="23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10" fontId="26" fillId="0" borderId="19" xfId="0" applyNumberFormat="1" applyFont="1" applyBorder="1" applyAlignment="1">
      <alignment horizontal="center" vertical="top" wrapText="1"/>
    </xf>
    <xf numFmtId="10" fontId="26" fillId="0" borderId="20" xfId="0" applyNumberFormat="1" applyFont="1" applyBorder="1" applyAlignment="1">
      <alignment horizontal="center" vertical="top" wrapText="1"/>
    </xf>
    <xf numFmtId="44" fontId="10" fillId="0" borderId="1" xfId="0" applyNumberFormat="1" applyFont="1" applyBorder="1" applyAlignment="1">
      <alignment horizontal="center"/>
    </xf>
    <xf numFmtId="0" fontId="24" fillId="0" borderId="23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44" fontId="24" fillId="0" borderId="19" xfId="1" applyFont="1" applyBorder="1" applyAlignment="1">
      <alignment horizontal="left" vertical="center" wrapText="1"/>
    </xf>
    <xf numFmtId="44" fontId="24" fillId="0" borderId="20" xfId="1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44" fontId="10" fillId="0" borderId="5" xfId="0" applyNumberFormat="1" applyFont="1" applyBorder="1" applyAlignment="1">
      <alignment horizontal="center" wrapText="1"/>
    </xf>
    <xf numFmtId="0" fontId="10" fillId="0" borderId="72" xfId="0" applyFont="1" applyBorder="1" applyAlignment="1">
      <alignment horizontal="center" wrapText="1"/>
    </xf>
    <xf numFmtId="0" fontId="19" fillId="0" borderId="53" xfId="0" applyFont="1" applyBorder="1" applyAlignment="1">
      <alignment horizontal="center" wrapText="1"/>
    </xf>
  </cellXfs>
  <cellStyles count="4">
    <cellStyle name="Moeda" xfId="1" builtinId="4"/>
    <cellStyle name="Normal" xfId="0" builtinId="0"/>
    <cellStyle name="Normal 2" xfId="3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'RELATORIO CIRCUNSTANCIADO'!$C$72</c:f>
              <c:strCache>
                <c:ptCount val="1"/>
                <c:pt idx="0">
                  <c:v>EXERCÍCIOS</c:v>
                </c:pt>
              </c:strCache>
            </c:strRef>
          </c:tx>
          <c:invertIfNegative val="0"/>
          <c:val>
            <c:numRef>
              <c:f>'RELATORIO CIRCUNSTANCIADO'!$C$73:$C$94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val>
        </c:ser>
        <c:ser>
          <c:idx val="1"/>
          <c:order val="1"/>
          <c:tx>
            <c:strRef>
              <c:f>'RELATORIO CIRCUNSTANCIADO'!$D$72</c:f>
              <c:strCache>
                <c:ptCount val="1"/>
                <c:pt idx="0">
                  <c:v>PRÓPRIAS</c:v>
                </c:pt>
              </c:strCache>
            </c:strRef>
          </c:tx>
          <c:invertIfNegative val="0"/>
          <c:val>
            <c:numRef>
              <c:f>'RELATORIO CIRCUNSTANCIADO'!$D$73:$D$94</c:f>
              <c:numCache>
                <c:formatCode>_("R$"* #,##0.00_);_("R$"* \(#,##0.00\);_("R$"* "-"??_);_(@_)</c:formatCode>
                <c:ptCount val="22"/>
                <c:pt idx="0">
                  <c:v>161559.22</c:v>
                </c:pt>
                <c:pt idx="1">
                  <c:v>219033.31</c:v>
                </c:pt>
                <c:pt idx="2">
                  <c:v>150049.41</c:v>
                </c:pt>
                <c:pt idx="3">
                  <c:v>110458.14</c:v>
                </c:pt>
                <c:pt idx="4">
                  <c:v>167119.74</c:v>
                </c:pt>
                <c:pt idx="5">
                  <c:v>297742.61</c:v>
                </c:pt>
                <c:pt idx="6">
                  <c:v>182821.96</c:v>
                </c:pt>
                <c:pt idx="7">
                  <c:v>132405.63</c:v>
                </c:pt>
                <c:pt idx="8">
                  <c:v>118685.17</c:v>
                </c:pt>
                <c:pt idx="9">
                  <c:v>172813.6</c:v>
                </c:pt>
                <c:pt idx="10">
                  <c:v>147606.07</c:v>
                </c:pt>
                <c:pt idx="11">
                  <c:v>351076.71</c:v>
                </c:pt>
                <c:pt idx="12">
                  <c:v>217796.62000000002</c:v>
                </c:pt>
                <c:pt idx="13">
                  <c:v>288712.5</c:v>
                </c:pt>
                <c:pt idx="14">
                  <c:v>215089.18</c:v>
                </c:pt>
                <c:pt idx="15">
                  <c:v>440449.13</c:v>
                </c:pt>
                <c:pt idx="16">
                  <c:v>579850.34</c:v>
                </c:pt>
                <c:pt idx="17">
                  <c:v>492598.84</c:v>
                </c:pt>
                <c:pt idx="18">
                  <c:v>447876.13</c:v>
                </c:pt>
                <c:pt idx="19">
                  <c:v>676947.91</c:v>
                </c:pt>
                <c:pt idx="20">
                  <c:v>816626.56</c:v>
                </c:pt>
                <c:pt idx="21">
                  <c:v>889627.83</c:v>
                </c:pt>
              </c:numCache>
            </c:numRef>
          </c:val>
        </c:ser>
        <c:ser>
          <c:idx val="2"/>
          <c:order val="2"/>
          <c:tx>
            <c:strRef>
              <c:f>'RELATORIO CIRCUNSTANCIADO'!$E$72</c:f>
              <c:strCache>
                <c:ptCount val="1"/>
                <c:pt idx="0">
                  <c:v>TRANSFERÊNCIAS</c:v>
                </c:pt>
              </c:strCache>
            </c:strRef>
          </c:tx>
          <c:invertIfNegative val="0"/>
          <c:val>
            <c:numRef>
              <c:f>'RELATORIO CIRCUNSTANCIADO'!$E$73:$E$94</c:f>
              <c:numCache>
                <c:formatCode>_("R$"* #,##0.00_);_("R$"* \(#,##0.00\);_("R$"* "-"??_);_(@_)</c:formatCode>
                <c:ptCount val="22"/>
                <c:pt idx="0">
                  <c:v>1343290.21</c:v>
                </c:pt>
                <c:pt idx="1">
                  <c:v>1884391.64</c:v>
                </c:pt>
                <c:pt idx="2">
                  <c:v>2014874</c:v>
                </c:pt>
                <c:pt idx="3">
                  <c:v>2214657.4900000002</c:v>
                </c:pt>
                <c:pt idx="4">
                  <c:v>2533521.09</c:v>
                </c:pt>
                <c:pt idx="5">
                  <c:v>2938257.63</c:v>
                </c:pt>
                <c:pt idx="6">
                  <c:v>3464133.82</c:v>
                </c:pt>
                <c:pt idx="7">
                  <c:v>4061464.9</c:v>
                </c:pt>
                <c:pt idx="8">
                  <c:v>4934427.08</c:v>
                </c:pt>
                <c:pt idx="9">
                  <c:v>5704195.9500000002</c:v>
                </c:pt>
                <c:pt idx="10">
                  <c:v>6455422.3799999999</c:v>
                </c:pt>
                <c:pt idx="11">
                  <c:v>7886024.7199999997</c:v>
                </c:pt>
                <c:pt idx="12">
                  <c:v>8009751.3200000003</c:v>
                </c:pt>
                <c:pt idx="13">
                  <c:v>10019671.1</c:v>
                </c:pt>
                <c:pt idx="14">
                  <c:v>11422335.130000001</c:v>
                </c:pt>
                <c:pt idx="15">
                  <c:v>11318616.51</c:v>
                </c:pt>
                <c:pt idx="16">
                  <c:v>11756031.75</c:v>
                </c:pt>
                <c:pt idx="17">
                  <c:v>13019843.390000001</c:v>
                </c:pt>
                <c:pt idx="18">
                  <c:v>13441021.09</c:v>
                </c:pt>
                <c:pt idx="19">
                  <c:v>14752079.58</c:v>
                </c:pt>
                <c:pt idx="20">
                  <c:v>15352063.539999999</c:v>
                </c:pt>
                <c:pt idx="21" formatCode="&quot;R$&quot;#,##0.00_);[Red]\(&quot;R$&quot;#,##0.00\)">
                  <c:v>16319439.990000004</c:v>
                </c:pt>
              </c:numCache>
            </c:numRef>
          </c:val>
        </c:ser>
        <c:ser>
          <c:idx val="3"/>
          <c:order val="3"/>
          <c:tx>
            <c:strRef>
              <c:f>'RELATORIO CIRCUNSTANCIADO'!$F$72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'RELATORIO CIRCUNSTANCIADO'!$F$73:$F$94</c:f>
              <c:numCache>
                <c:formatCode>_("R$"* #,##0.00_);_("R$"* \(#,##0.00\);_("R$"* "-"??_);_(@_)</c:formatCode>
                <c:ptCount val="22"/>
                <c:pt idx="0">
                  <c:v>1504849.43</c:v>
                </c:pt>
                <c:pt idx="1">
                  <c:v>2103424.9500000002</c:v>
                </c:pt>
                <c:pt idx="2">
                  <c:v>2164923.41</c:v>
                </c:pt>
                <c:pt idx="3">
                  <c:v>2325115.63</c:v>
                </c:pt>
                <c:pt idx="4">
                  <c:v>2700640.83</c:v>
                </c:pt>
                <c:pt idx="5">
                  <c:v>3236000.24</c:v>
                </c:pt>
                <c:pt idx="6">
                  <c:v>3646955.78</c:v>
                </c:pt>
                <c:pt idx="7">
                  <c:v>4193870.53</c:v>
                </c:pt>
                <c:pt idx="8">
                  <c:v>5053112.25</c:v>
                </c:pt>
                <c:pt idx="9">
                  <c:v>5877009.5499999998</c:v>
                </c:pt>
                <c:pt idx="10">
                  <c:v>6603028.4500000002</c:v>
                </c:pt>
                <c:pt idx="11">
                  <c:v>8237101.4299999997</c:v>
                </c:pt>
                <c:pt idx="12">
                  <c:v>8227547.9400000004</c:v>
                </c:pt>
                <c:pt idx="13">
                  <c:v>10308383.6</c:v>
                </c:pt>
                <c:pt idx="14">
                  <c:v>11637424.310000001</c:v>
                </c:pt>
                <c:pt idx="15">
                  <c:v>11749065.640000001</c:v>
                </c:pt>
                <c:pt idx="16">
                  <c:v>12335882.09</c:v>
                </c:pt>
                <c:pt idx="17">
                  <c:v>13512442.23</c:v>
                </c:pt>
                <c:pt idx="18">
                  <c:v>13888897.220000001</c:v>
                </c:pt>
                <c:pt idx="19">
                  <c:v>15429027.49</c:v>
                </c:pt>
                <c:pt idx="20">
                  <c:v>16168690.1</c:v>
                </c:pt>
                <c:pt idx="21" formatCode="&quot;R$&quot;#,##0.00_);[Red]\(&quot;R$&quot;#,##0.00\)">
                  <c:v>17209067.820000004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1910024"/>
        <c:axId val="282087664"/>
        <c:axId val="0"/>
      </c:bar3DChart>
      <c:catAx>
        <c:axId val="271910024"/>
        <c:scaling>
          <c:orientation val="minMax"/>
        </c:scaling>
        <c:delete val="0"/>
        <c:axPos val="b"/>
        <c:majorTickMark val="out"/>
        <c:minorTickMark val="none"/>
        <c:tickLblPos val="nextTo"/>
        <c:crossAx val="282087664"/>
        <c:crosses val="autoZero"/>
        <c:auto val="1"/>
        <c:lblAlgn val="ctr"/>
        <c:lblOffset val="100"/>
        <c:noMultiLvlLbl val="0"/>
      </c:catAx>
      <c:valAx>
        <c:axId val="28208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1910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'RELATORIO CIRCUNSTANCIADO'!$C$136</c:f>
              <c:strCache>
                <c:ptCount val="1"/>
                <c:pt idx="0">
                  <c:v>EXERCÍCIOS</c:v>
                </c:pt>
              </c:strCache>
            </c:strRef>
          </c:tx>
          <c:invertIfNegative val="0"/>
          <c:val>
            <c:numRef>
              <c:f>'RELATORIO CIRCUNSTANCIADO'!$C$137:$C$158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val>
        </c:ser>
        <c:ser>
          <c:idx val="1"/>
          <c:order val="1"/>
          <c:tx>
            <c:strRef>
              <c:f>'RELATORIO CIRCUNSTANCIADO'!$D$136</c:f>
              <c:strCache>
                <c:ptCount val="1"/>
                <c:pt idx="0">
                  <c:v>CORRENTES</c:v>
                </c:pt>
              </c:strCache>
            </c:strRef>
          </c:tx>
          <c:invertIfNegative val="0"/>
          <c:val>
            <c:numRef>
              <c:f>'RELATORIO CIRCUNSTANCIADO'!$D$137:$D$158</c:f>
              <c:numCache>
                <c:formatCode>_("R$"* #,##0.00_);_("R$"* \(#,##0.00\);_("R$"* "-"??_);_(@_)</c:formatCode>
                <c:ptCount val="22"/>
                <c:pt idx="0">
                  <c:v>909701.94</c:v>
                </c:pt>
                <c:pt idx="1">
                  <c:v>1735142.46</c:v>
                </c:pt>
                <c:pt idx="2">
                  <c:v>1973132.22</c:v>
                </c:pt>
                <c:pt idx="3">
                  <c:v>2094971.41</c:v>
                </c:pt>
                <c:pt idx="4">
                  <c:v>2221408.83</c:v>
                </c:pt>
                <c:pt idx="5">
                  <c:v>2651552.35</c:v>
                </c:pt>
                <c:pt idx="6">
                  <c:v>3484939.7</c:v>
                </c:pt>
                <c:pt idx="7">
                  <c:v>3766956.72</c:v>
                </c:pt>
                <c:pt idx="8">
                  <c:v>4265321.8499999996</c:v>
                </c:pt>
                <c:pt idx="9">
                  <c:v>5182324.76</c:v>
                </c:pt>
                <c:pt idx="10">
                  <c:v>5624481.3399999999</c:v>
                </c:pt>
                <c:pt idx="11">
                  <c:v>6883676.6799999997</c:v>
                </c:pt>
                <c:pt idx="12">
                  <c:v>7378334.1500000004</c:v>
                </c:pt>
                <c:pt idx="13">
                  <c:v>8255018.0899999999</c:v>
                </c:pt>
                <c:pt idx="14">
                  <c:v>9515273.0999999996</c:v>
                </c:pt>
                <c:pt idx="15">
                  <c:v>10173827.32</c:v>
                </c:pt>
                <c:pt idx="16">
                  <c:v>12291244.32</c:v>
                </c:pt>
                <c:pt idx="17">
                  <c:v>12455554.67</c:v>
                </c:pt>
                <c:pt idx="18">
                  <c:v>12255258.67</c:v>
                </c:pt>
                <c:pt idx="19">
                  <c:v>14089928</c:v>
                </c:pt>
                <c:pt idx="20">
                  <c:v>14418254.779999999</c:v>
                </c:pt>
                <c:pt idx="21">
                  <c:v>16280223.15</c:v>
                </c:pt>
              </c:numCache>
            </c:numRef>
          </c:val>
        </c:ser>
        <c:ser>
          <c:idx val="2"/>
          <c:order val="2"/>
          <c:tx>
            <c:strRef>
              <c:f>'RELATORIO CIRCUNSTANCIADO'!$E$136</c:f>
              <c:strCache>
                <c:ptCount val="1"/>
                <c:pt idx="0">
                  <c:v>CAPITAL</c:v>
                </c:pt>
              </c:strCache>
            </c:strRef>
          </c:tx>
          <c:invertIfNegative val="0"/>
          <c:val>
            <c:numRef>
              <c:f>'RELATORIO CIRCUNSTANCIADO'!$E$137:$E$158</c:f>
              <c:numCache>
                <c:formatCode>_("R$"* #,##0.00_);_("R$"* \(#,##0.00\);_("R$"* "-"??_);_(@_)</c:formatCode>
                <c:ptCount val="22"/>
                <c:pt idx="0">
                  <c:v>485407.82</c:v>
                </c:pt>
                <c:pt idx="1">
                  <c:v>415562.17</c:v>
                </c:pt>
                <c:pt idx="2">
                  <c:v>343039.16</c:v>
                </c:pt>
                <c:pt idx="3">
                  <c:v>318469.48</c:v>
                </c:pt>
                <c:pt idx="4">
                  <c:v>347968.35</c:v>
                </c:pt>
                <c:pt idx="5">
                  <c:v>468257.63</c:v>
                </c:pt>
                <c:pt idx="6">
                  <c:v>348007.19</c:v>
                </c:pt>
                <c:pt idx="7">
                  <c:v>173129.79</c:v>
                </c:pt>
                <c:pt idx="8">
                  <c:v>614403.75</c:v>
                </c:pt>
                <c:pt idx="9">
                  <c:v>673665.9</c:v>
                </c:pt>
                <c:pt idx="10">
                  <c:v>481029.61</c:v>
                </c:pt>
                <c:pt idx="11">
                  <c:v>1362477.54</c:v>
                </c:pt>
                <c:pt idx="12">
                  <c:v>835730.67</c:v>
                </c:pt>
                <c:pt idx="13">
                  <c:v>2274199.04</c:v>
                </c:pt>
                <c:pt idx="14">
                  <c:v>954965.63</c:v>
                </c:pt>
                <c:pt idx="15">
                  <c:v>1254504.02</c:v>
                </c:pt>
                <c:pt idx="16">
                  <c:v>617698.75</c:v>
                </c:pt>
                <c:pt idx="17">
                  <c:v>960620.66</c:v>
                </c:pt>
                <c:pt idx="18">
                  <c:v>599742.68999999994</c:v>
                </c:pt>
                <c:pt idx="19">
                  <c:v>557443</c:v>
                </c:pt>
                <c:pt idx="20" formatCode="&quot;R$&quot;#,##0.00_);[Red]\(&quot;R$&quot;#,##0.00\)">
                  <c:v>1612036.89</c:v>
                </c:pt>
                <c:pt idx="21">
                  <c:v>1221235.07</c:v>
                </c:pt>
              </c:numCache>
            </c:numRef>
          </c:val>
        </c:ser>
        <c:ser>
          <c:idx val="3"/>
          <c:order val="3"/>
          <c:tx>
            <c:strRef>
              <c:f>'RELATORIO CIRCUNSTANCIADO'!$F$136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'RELATORIO CIRCUNSTANCIADO'!$F$137:$F$158</c:f>
              <c:numCache>
                <c:formatCode>_("R$"* #,##0.00_);_("R$"* \(#,##0.00\);_("R$"* "-"??_);_(@_)</c:formatCode>
                <c:ptCount val="22"/>
                <c:pt idx="0">
                  <c:v>1395109.76</c:v>
                </c:pt>
                <c:pt idx="1">
                  <c:v>2150704.63</c:v>
                </c:pt>
                <c:pt idx="2">
                  <c:v>2316171.38</c:v>
                </c:pt>
                <c:pt idx="3">
                  <c:v>2413440.89</c:v>
                </c:pt>
                <c:pt idx="4">
                  <c:v>2569377.1800000002</c:v>
                </c:pt>
                <c:pt idx="5">
                  <c:v>3119809.98</c:v>
                </c:pt>
                <c:pt idx="6">
                  <c:v>3832946.89</c:v>
                </c:pt>
                <c:pt idx="7">
                  <c:v>3940086.51</c:v>
                </c:pt>
                <c:pt idx="8">
                  <c:v>4879725.5999999996</c:v>
                </c:pt>
                <c:pt idx="9">
                  <c:v>5855990.6600000001</c:v>
                </c:pt>
                <c:pt idx="10">
                  <c:v>6105510.9500000002</c:v>
                </c:pt>
                <c:pt idx="11">
                  <c:v>8246154.2199999997</c:v>
                </c:pt>
                <c:pt idx="12">
                  <c:v>8214064.8200000003</c:v>
                </c:pt>
                <c:pt idx="13">
                  <c:v>10529217.129999999</c:v>
                </c:pt>
                <c:pt idx="14">
                  <c:v>10470238.73</c:v>
                </c:pt>
                <c:pt idx="15">
                  <c:v>11428331.34</c:v>
                </c:pt>
                <c:pt idx="16">
                  <c:v>12908943.07</c:v>
                </c:pt>
                <c:pt idx="17">
                  <c:v>13416175.33</c:v>
                </c:pt>
                <c:pt idx="18">
                  <c:v>12855001.359999999</c:v>
                </c:pt>
                <c:pt idx="19">
                  <c:v>14647371</c:v>
                </c:pt>
                <c:pt idx="20">
                  <c:v>16030291.67</c:v>
                </c:pt>
                <c:pt idx="21">
                  <c:v>17501458.219999999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53876288"/>
        <c:axId val="353876680"/>
        <c:axId val="0"/>
      </c:bar3DChart>
      <c:catAx>
        <c:axId val="353876288"/>
        <c:scaling>
          <c:orientation val="minMax"/>
        </c:scaling>
        <c:delete val="0"/>
        <c:axPos val="b"/>
        <c:majorTickMark val="out"/>
        <c:minorTickMark val="none"/>
        <c:tickLblPos val="nextTo"/>
        <c:crossAx val="353876680"/>
        <c:crosses val="autoZero"/>
        <c:auto val="1"/>
        <c:lblAlgn val="ctr"/>
        <c:lblOffset val="100"/>
        <c:noMultiLvlLbl val="0"/>
      </c:catAx>
      <c:valAx>
        <c:axId val="353876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3876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95</xdr:row>
      <xdr:rowOff>133351</xdr:rowOff>
    </xdr:from>
    <xdr:to>
      <xdr:col>7</xdr:col>
      <xdr:colOff>257176</xdr:colOff>
      <xdr:row>107</xdr:row>
      <xdr:rowOff>85725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638175</xdr:colOff>
      <xdr:row>159</xdr:row>
      <xdr:rowOff>1</xdr:rowOff>
    </xdr:from>
    <xdr:to>
      <xdr:col>7</xdr:col>
      <xdr:colOff>752475</xdr:colOff>
      <xdr:row>170</xdr:row>
      <xdr:rowOff>114300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J401"/>
  <sheetViews>
    <sheetView tabSelected="1" topLeftCell="A309" zoomScaleNormal="100" workbookViewId="0">
      <selection activeCell="G320" sqref="G320"/>
    </sheetView>
  </sheetViews>
  <sheetFormatPr defaultRowHeight="15" x14ac:dyDescent="0.2"/>
  <cols>
    <col min="1" max="1" width="1.28515625" style="4" customWidth="1"/>
    <col min="2" max="2" width="23.140625" style="4" customWidth="1"/>
    <col min="3" max="3" width="12.85546875" style="4" customWidth="1"/>
    <col min="4" max="4" width="24.7109375" style="4" customWidth="1"/>
    <col min="5" max="5" width="18.5703125" style="4" customWidth="1"/>
    <col min="6" max="6" width="17.5703125" style="4" customWidth="1"/>
    <col min="7" max="7" width="17.28515625" style="4" customWidth="1"/>
    <col min="8" max="8" width="12.85546875" style="4" customWidth="1"/>
    <col min="9" max="9" width="12.140625" style="4" customWidth="1"/>
    <col min="10" max="14" width="9.140625" style="4" customWidth="1"/>
    <col min="15" max="16384" width="9.140625" style="4"/>
  </cols>
  <sheetData>
    <row r="1" spans="2:9" ht="18" x14ac:dyDescent="0.25">
      <c r="B1" s="376" t="s">
        <v>40</v>
      </c>
      <c r="C1" s="376"/>
      <c r="D1" s="376"/>
      <c r="E1" s="376"/>
      <c r="F1" s="376"/>
      <c r="G1" s="376"/>
      <c r="H1" s="376"/>
      <c r="I1" s="376"/>
    </row>
    <row r="2" spans="2:9" ht="20.25" customHeight="1" x14ac:dyDescent="0.2"/>
    <row r="3" spans="2:9" ht="64.5" customHeight="1" x14ac:dyDescent="0.2">
      <c r="B3" s="375" t="s">
        <v>180</v>
      </c>
      <c r="C3" s="375"/>
      <c r="D3" s="375"/>
      <c r="E3" s="375"/>
      <c r="F3" s="375"/>
      <c r="G3" s="375"/>
      <c r="H3" s="375"/>
      <c r="I3" s="375"/>
    </row>
    <row r="4" spans="2:9" ht="26.25" customHeight="1" x14ac:dyDescent="0.2">
      <c r="B4" s="34"/>
      <c r="C4" s="34"/>
      <c r="D4" s="34"/>
      <c r="E4" s="34"/>
      <c r="F4" s="34"/>
      <c r="G4" s="34"/>
      <c r="H4" s="34"/>
      <c r="I4" s="34"/>
    </row>
    <row r="5" spans="2:9" ht="15" customHeight="1" x14ac:dyDescent="0.2">
      <c r="B5" s="5"/>
      <c r="C5" s="5"/>
      <c r="D5" s="5"/>
      <c r="E5" s="5"/>
      <c r="F5" s="5"/>
      <c r="G5" s="5"/>
      <c r="H5" s="5"/>
      <c r="I5" s="5"/>
    </row>
    <row r="6" spans="2:9" ht="18" x14ac:dyDescent="0.25">
      <c r="B6" s="28" t="s">
        <v>42</v>
      </c>
      <c r="C6" s="27"/>
      <c r="D6" s="27"/>
      <c r="E6" s="27"/>
      <c r="F6" s="27"/>
      <c r="G6" s="27"/>
      <c r="H6" s="27"/>
      <c r="I6" s="27"/>
    </row>
    <row r="7" spans="2:9" ht="30" customHeight="1" x14ac:dyDescent="0.25">
      <c r="B7" s="3"/>
      <c r="C7" s="3"/>
      <c r="D7" s="3"/>
      <c r="E7" s="3"/>
      <c r="F7" s="3"/>
      <c r="G7" s="3"/>
      <c r="H7" s="3"/>
      <c r="I7" s="3"/>
    </row>
    <row r="8" spans="2:9" ht="15" customHeight="1" x14ac:dyDescent="0.25">
      <c r="B8" s="27" t="s">
        <v>41</v>
      </c>
      <c r="C8" s="27"/>
      <c r="D8" s="27"/>
      <c r="E8" s="27"/>
      <c r="F8" s="27"/>
      <c r="G8" s="27"/>
      <c r="H8" s="27"/>
      <c r="I8" s="27"/>
    </row>
    <row r="9" spans="2:9" ht="29.25" customHeight="1" x14ac:dyDescent="0.2"/>
    <row r="10" spans="2:9" ht="55.5" customHeight="1" x14ac:dyDescent="0.2">
      <c r="B10" s="313" t="s">
        <v>181</v>
      </c>
      <c r="C10" s="313"/>
      <c r="D10" s="313"/>
      <c r="E10" s="313"/>
      <c r="F10" s="313"/>
      <c r="G10" s="313"/>
      <c r="H10" s="313"/>
      <c r="I10" s="313"/>
    </row>
    <row r="11" spans="2:9" ht="15" customHeight="1" thickBot="1" x14ac:dyDescent="0.25"/>
    <row r="12" spans="2:9" ht="15" customHeight="1" x14ac:dyDescent="0.25">
      <c r="C12" s="383" t="s">
        <v>114</v>
      </c>
      <c r="D12" s="384"/>
      <c r="E12" s="385"/>
      <c r="F12" s="381">
        <v>18223000</v>
      </c>
      <c r="G12" s="382"/>
    </row>
    <row r="13" spans="2:9" ht="15" customHeight="1" x14ac:dyDescent="0.25">
      <c r="C13" s="351" t="s">
        <v>113</v>
      </c>
      <c r="D13" s="352"/>
      <c r="E13" s="353"/>
      <c r="F13" s="248">
        <v>6766138.9699999997</v>
      </c>
      <c r="G13" s="249"/>
    </row>
    <row r="14" spans="2:9" ht="15" customHeight="1" x14ac:dyDescent="0.2">
      <c r="C14" s="354" t="s">
        <v>0</v>
      </c>
      <c r="D14" s="355"/>
      <c r="E14" s="356"/>
      <c r="F14" s="254">
        <f>4976440.17-80900-1301.53</f>
        <v>4894238.6399999997</v>
      </c>
      <c r="G14" s="255"/>
    </row>
    <row r="15" spans="2:9" ht="15" customHeight="1" x14ac:dyDescent="0.25">
      <c r="C15" s="351" t="s">
        <v>1</v>
      </c>
      <c r="D15" s="352"/>
      <c r="E15" s="353"/>
      <c r="F15" s="248">
        <v>173369.98</v>
      </c>
      <c r="G15" s="249"/>
    </row>
    <row r="16" spans="2:9" ht="15" customHeight="1" x14ac:dyDescent="0.2">
      <c r="C16" s="354" t="s">
        <v>2</v>
      </c>
      <c r="D16" s="355"/>
      <c r="E16" s="356"/>
      <c r="F16" s="254">
        <v>0</v>
      </c>
      <c r="G16" s="255"/>
    </row>
    <row r="17" spans="2:9" ht="15" customHeight="1" x14ac:dyDescent="0.25">
      <c r="C17" s="351" t="s">
        <v>3</v>
      </c>
      <c r="D17" s="352"/>
      <c r="E17" s="353"/>
      <c r="F17" s="248">
        <f>F15</f>
        <v>173369.98</v>
      </c>
      <c r="G17" s="249"/>
    </row>
    <row r="18" spans="2:9" ht="15" customHeight="1" x14ac:dyDescent="0.2">
      <c r="C18" s="354" t="s">
        <v>4</v>
      </c>
      <c r="D18" s="355"/>
      <c r="E18" s="356"/>
      <c r="F18" s="254">
        <v>0</v>
      </c>
      <c r="G18" s="255"/>
    </row>
    <row r="19" spans="2:9" ht="15" customHeight="1" x14ac:dyDescent="0.2">
      <c r="C19" s="354" t="s">
        <v>5</v>
      </c>
      <c r="D19" s="355"/>
      <c r="E19" s="356"/>
      <c r="F19" s="254">
        <f>80900+1301.53</f>
        <v>82201.53</v>
      </c>
      <c r="G19" s="255"/>
    </row>
    <row r="20" spans="2:9" ht="15" customHeight="1" x14ac:dyDescent="0.25">
      <c r="C20" s="351" t="s">
        <v>6</v>
      </c>
      <c r="D20" s="352"/>
      <c r="E20" s="353"/>
      <c r="F20" s="248">
        <f>F13+F17</f>
        <v>6939508.9500000002</v>
      </c>
      <c r="G20" s="249"/>
    </row>
    <row r="21" spans="2:9" ht="15" customHeight="1" x14ac:dyDescent="0.2">
      <c r="C21" s="354" t="s">
        <v>7</v>
      </c>
      <c r="D21" s="355"/>
      <c r="E21" s="356"/>
      <c r="F21" s="254">
        <f>F14+F19</f>
        <v>4976440.17</v>
      </c>
      <c r="G21" s="255"/>
    </row>
    <row r="22" spans="2:9" ht="15" customHeight="1" x14ac:dyDescent="0.25">
      <c r="C22" s="351" t="s">
        <v>8</v>
      </c>
      <c r="D22" s="352"/>
      <c r="E22" s="353"/>
      <c r="F22" s="248">
        <f>F20-F21</f>
        <v>1963068.7800000003</v>
      </c>
      <c r="G22" s="249"/>
    </row>
    <row r="23" spans="2:9" ht="15" customHeight="1" thickBot="1" x14ac:dyDescent="0.3">
      <c r="C23" s="368" t="s">
        <v>9</v>
      </c>
      <c r="D23" s="369"/>
      <c r="E23" s="370"/>
      <c r="F23" s="379">
        <f>F12+F22</f>
        <v>20186068.780000001</v>
      </c>
      <c r="G23" s="380"/>
    </row>
    <row r="24" spans="2:9" ht="32.25" customHeight="1" x14ac:dyDescent="0.2"/>
    <row r="25" spans="2:9" ht="15.75" x14ac:dyDescent="0.25">
      <c r="B25" s="27" t="s">
        <v>43</v>
      </c>
      <c r="C25" s="27"/>
      <c r="D25" s="27"/>
      <c r="E25" s="27"/>
      <c r="G25" s="27"/>
      <c r="H25" s="27"/>
      <c r="I25" s="27"/>
    </row>
    <row r="26" spans="2:9" ht="22.5" customHeight="1" x14ac:dyDescent="0.2"/>
    <row r="27" spans="2:9" ht="51" customHeight="1" x14ac:dyDescent="0.2">
      <c r="B27" s="313" t="s">
        <v>182</v>
      </c>
      <c r="C27" s="313"/>
      <c r="D27" s="313"/>
      <c r="E27" s="313"/>
      <c r="F27" s="313"/>
      <c r="G27" s="313"/>
      <c r="H27" s="313"/>
      <c r="I27" s="313"/>
    </row>
    <row r="28" spans="2:9" ht="15.75" thickBot="1" x14ac:dyDescent="0.25"/>
    <row r="29" spans="2:9" ht="15" customHeight="1" x14ac:dyDescent="0.25">
      <c r="B29" s="377" t="s">
        <v>10</v>
      </c>
      <c r="C29" s="378"/>
      <c r="D29" s="378"/>
      <c r="E29" s="378"/>
      <c r="F29" s="366" t="s">
        <v>11</v>
      </c>
      <c r="G29" s="366"/>
      <c r="H29" s="366"/>
      <c r="I29" s="367"/>
    </row>
    <row r="30" spans="2:9" ht="15" customHeight="1" x14ac:dyDescent="0.25">
      <c r="B30" s="359" t="s">
        <v>12</v>
      </c>
      <c r="C30" s="360"/>
      <c r="D30" s="360"/>
      <c r="E30" s="360"/>
      <c r="F30" s="33" t="s">
        <v>13</v>
      </c>
      <c r="G30" s="6" t="s">
        <v>14</v>
      </c>
      <c r="H30" s="336" t="s">
        <v>15</v>
      </c>
      <c r="I30" s="337"/>
    </row>
    <row r="31" spans="2:9" ht="15" customHeight="1" x14ac:dyDescent="0.25">
      <c r="B31" s="340" t="s">
        <v>16</v>
      </c>
      <c r="C31" s="341"/>
      <c r="D31" s="341"/>
      <c r="E31" s="341"/>
      <c r="F31" s="15">
        <f>1124138.4-11796</f>
        <v>1112342.3999999999</v>
      </c>
      <c r="G31" s="15">
        <f>9100+2696</f>
        <v>11796</v>
      </c>
      <c r="H31" s="338">
        <f t="shared" ref="H31:H35" si="0">F31+G31</f>
        <v>1124138.3999999999</v>
      </c>
      <c r="I31" s="339"/>
    </row>
    <row r="32" spans="2:9" ht="15" customHeight="1" x14ac:dyDescent="0.25">
      <c r="B32" s="340" t="s">
        <v>17</v>
      </c>
      <c r="C32" s="341"/>
      <c r="D32" s="341"/>
      <c r="E32" s="341"/>
      <c r="F32" s="16">
        <f>758870.38-48872.45</f>
        <v>709997.93</v>
      </c>
      <c r="G32" s="15">
        <f>47671.98+1200.47</f>
        <v>48872.450000000004</v>
      </c>
      <c r="H32" s="338">
        <f t="shared" si="0"/>
        <v>758870.38</v>
      </c>
      <c r="I32" s="339"/>
    </row>
    <row r="33" spans="2:9" ht="15" customHeight="1" x14ac:dyDescent="0.25">
      <c r="B33" s="340" t="s">
        <v>18</v>
      </c>
      <c r="C33" s="341"/>
      <c r="D33" s="341"/>
      <c r="E33" s="341"/>
      <c r="F33" s="16">
        <f>F14</f>
        <v>4894238.6399999997</v>
      </c>
      <c r="G33" s="15">
        <f>F19</f>
        <v>82201.53</v>
      </c>
      <c r="H33" s="338">
        <f t="shared" si="0"/>
        <v>4976440.17</v>
      </c>
      <c r="I33" s="339"/>
    </row>
    <row r="34" spans="2:9" ht="15" customHeight="1" x14ac:dyDescent="0.25">
      <c r="B34" s="340" t="s">
        <v>19</v>
      </c>
      <c r="C34" s="341"/>
      <c r="D34" s="341"/>
      <c r="E34" s="341"/>
      <c r="F34" s="16">
        <v>49560</v>
      </c>
      <c r="G34" s="15">
        <f>1500+29000</f>
        <v>30500</v>
      </c>
      <c r="H34" s="338">
        <f t="shared" si="0"/>
        <v>80060</v>
      </c>
      <c r="I34" s="339"/>
    </row>
    <row r="35" spans="2:9" ht="15" customHeight="1" x14ac:dyDescent="0.25">
      <c r="B35" s="363" t="s">
        <v>20</v>
      </c>
      <c r="C35" s="364"/>
      <c r="D35" s="364"/>
      <c r="E35" s="365"/>
      <c r="F35" s="15">
        <v>0</v>
      </c>
      <c r="G35" s="15">
        <v>0</v>
      </c>
      <c r="H35" s="338">
        <f t="shared" si="0"/>
        <v>0</v>
      </c>
      <c r="I35" s="339"/>
    </row>
    <row r="36" spans="2:9" ht="15" customHeight="1" x14ac:dyDescent="0.25">
      <c r="B36" s="340" t="s">
        <v>21</v>
      </c>
      <c r="C36" s="341"/>
      <c r="D36" s="341"/>
      <c r="E36" s="341"/>
      <c r="F36" s="15">
        <v>0</v>
      </c>
      <c r="G36" s="15">
        <v>0</v>
      </c>
      <c r="H36" s="338">
        <f>SUM(F36:G36)</f>
        <v>0</v>
      </c>
      <c r="I36" s="339"/>
    </row>
    <row r="37" spans="2:9" s="24" customFormat="1" ht="15" customHeight="1" thickBot="1" x14ac:dyDescent="0.3">
      <c r="B37" s="361" t="s">
        <v>22</v>
      </c>
      <c r="C37" s="362"/>
      <c r="D37" s="362"/>
      <c r="E37" s="362"/>
      <c r="F37" s="35">
        <f>SUM(F31:F36)</f>
        <v>6766138.9699999997</v>
      </c>
      <c r="G37" s="35">
        <f>SUM(G31:G36)</f>
        <v>173369.98</v>
      </c>
      <c r="H37" s="373">
        <f>F37+G37</f>
        <v>6939508.9500000002</v>
      </c>
      <c r="I37" s="374"/>
    </row>
    <row r="38" spans="2:9" x14ac:dyDescent="0.2">
      <c r="H38" s="342"/>
      <c r="I38" s="342"/>
    </row>
    <row r="40" spans="2:9" x14ac:dyDescent="0.2">
      <c r="G40" s="61"/>
    </row>
    <row r="42" spans="2:9" ht="15.75" x14ac:dyDescent="0.25">
      <c r="B42" s="332" t="s">
        <v>44</v>
      </c>
      <c r="C42" s="332"/>
      <c r="D42" s="332"/>
      <c r="E42" s="332"/>
      <c r="F42" s="332"/>
      <c r="G42" s="332"/>
      <c r="H42" s="332"/>
      <c r="I42" s="332"/>
    </row>
    <row r="44" spans="2:9" ht="33" customHeight="1" x14ac:dyDescent="0.2">
      <c r="B44" s="313" t="s">
        <v>168</v>
      </c>
      <c r="C44" s="313"/>
      <c r="D44" s="313"/>
      <c r="E44" s="313"/>
      <c r="F44" s="313"/>
      <c r="G44" s="313"/>
      <c r="H44" s="313"/>
      <c r="I44" s="313"/>
    </row>
    <row r="46" spans="2:9" ht="15.75" thickBot="1" x14ac:dyDescent="0.25"/>
    <row r="47" spans="2:9" ht="34.5" customHeight="1" thickTop="1" x14ac:dyDescent="0.2">
      <c r="B47" s="309" t="s">
        <v>23</v>
      </c>
      <c r="C47" s="310"/>
      <c r="D47" s="310"/>
      <c r="E47" s="343" t="s">
        <v>135</v>
      </c>
      <c r="F47" s="343" t="s">
        <v>136</v>
      </c>
      <c r="G47" s="345" t="s">
        <v>137</v>
      </c>
      <c r="H47" s="347" t="s">
        <v>177</v>
      </c>
      <c r="I47" s="349" t="s">
        <v>157</v>
      </c>
    </row>
    <row r="48" spans="2:9" ht="30" customHeight="1" x14ac:dyDescent="0.2">
      <c r="B48" s="311"/>
      <c r="C48" s="312"/>
      <c r="D48" s="312"/>
      <c r="E48" s="344"/>
      <c r="F48" s="344"/>
      <c r="G48" s="346"/>
      <c r="H48" s="348"/>
      <c r="I48" s="350"/>
    </row>
    <row r="49" spans="2:9" ht="15" customHeight="1" x14ac:dyDescent="0.2">
      <c r="B49" s="263" t="s">
        <v>24</v>
      </c>
      <c r="C49" s="264"/>
      <c r="D49" s="264"/>
      <c r="E49" s="178">
        <f>SUM(E50:E57)</f>
        <v>18486713.359999999</v>
      </c>
      <c r="F49" s="178">
        <f>SUM(F50:F57)</f>
        <v>19268101.940000001</v>
      </c>
      <c r="G49" s="178">
        <f>SUM(G50:G57)</f>
        <v>781388.5800000024</v>
      </c>
      <c r="H49" s="36">
        <f>F49/E49</f>
        <v>1.0422675769772416</v>
      </c>
      <c r="I49" s="37">
        <f>F49/F$64</f>
        <v>1.1196482076505638</v>
      </c>
    </row>
    <row r="50" spans="2:9" ht="15" customHeight="1" x14ac:dyDescent="0.2">
      <c r="B50" s="265" t="s">
        <v>25</v>
      </c>
      <c r="C50" s="266"/>
      <c r="D50" s="266"/>
      <c r="E50" s="179">
        <v>718851.66</v>
      </c>
      <c r="F50" s="179">
        <v>696677.96</v>
      </c>
      <c r="G50" s="179">
        <f t="shared" ref="G50:G57" si="1">F50-E50</f>
        <v>-22173.70000000007</v>
      </c>
      <c r="H50" s="38">
        <f>F50/E50</f>
        <v>0.96915399764118226</v>
      </c>
      <c r="I50" s="39">
        <f>F50/F$64</f>
        <v>4.0483189867514847E-2</v>
      </c>
    </row>
    <row r="51" spans="2:9" ht="15" customHeight="1" x14ac:dyDescent="0.2">
      <c r="B51" s="265" t="s">
        <v>183</v>
      </c>
      <c r="C51" s="266"/>
      <c r="D51" s="266"/>
      <c r="E51" s="179">
        <v>26256.55</v>
      </c>
      <c r="F51" s="179">
        <v>22007.64</v>
      </c>
      <c r="G51" s="179">
        <f t="shared" ref="G51" si="2">F51-E51</f>
        <v>-4248.91</v>
      </c>
      <c r="H51" s="38">
        <f t="shared" ref="H51" si="3">F51/E51</f>
        <v>0.83817714056111714</v>
      </c>
      <c r="I51" s="39">
        <f t="shared" ref="I51" si="4">F51/F$64</f>
        <v>1.2788397506588473E-3</v>
      </c>
    </row>
    <row r="52" spans="2:9" ht="15" customHeight="1" x14ac:dyDescent="0.2">
      <c r="B52" s="265" t="s">
        <v>26</v>
      </c>
      <c r="C52" s="266"/>
      <c r="D52" s="266"/>
      <c r="E52" s="179">
        <v>167687.15</v>
      </c>
      <c r="F52" s="179">
        <v>89838.11</v>
      </c>
      <c r="G52" s="179">
        <f t="shared" si="1"/>
        <v>-77849.039999999994</v>
      </c>
      <c r="H52" s="38">
        <f t="shared" ref="H52" si="5">F52/E52</f>
        <v>0.53574832657123694</v>
      </c>
      <c r="I52" s="39">
        <f t="shared" ref="I52:I57" si="6">F52/F$64</f>
        <v>5.2203937447205659E-3</v>
      </c>
    </row>
    <row r="53" spans="2:9" ht="15" customHeight="1" x14ac:dyDescent="0.2">
      <c r="B53" s="265" t="s">
        <v>27</v>
      </c>
      <c r="C53" s="266"/>
      <c r="D53" s="266"/>
      <c r="E53" s="179">
        <v>0</v>
      </c>
      <c r="F53" s="179">
        <v>0</v>
      </c>
      <c r="G53" s="179">
        <f t="shared" si="1"/>
        <v>0</v>
      </c>
      <c r="H53" s="38">
        <v>0</v>
      </c>
      <c r="I53" s="39">
        <f t="shared" si="6"/>
        <v>0</v>
      </c>
    </row>
    <row r="54" spans="2:9" ht="15" customHeight="1" x14ac:dyDescent="0.2">
      <c r="B54" s="265" t="s">
        <v>28</v>
      </c>
      <c r="C54" s="266"/>
      <c r="D54" s="266"/>
      <c r="E54" s="179">
        <v>0</v>
      </c>
      <c r="F54" s="179">
        <v>0</v>
      </c>
      <c r="G54" s="179">
        <f t="shared" si="1"/>
        <v>0</v>
      </c>
      <c r="H54" s="38">
        <v>0</v>
      </c>
      <c r="I54" s="39">
        <f t="shared" si="6"/>
        <v>0</v>
      </c>
    </row>
    <row r="55" spans="2:9" ht="15" customHeight="1" x14ac:dyDescent="0.2">
      <c r="B55" s="265" t="s">
        <v>29</v>
      </c>
      <c r="C55" s="266"/>
      <c r="D55" s="266"/>
      <c r="E55" s="179">
        <v>77281.14</v>
      </c>
      <c r="F55" s="179">
        <v>81104.12</v>
      </c>
      <c r="G55" s="179">
        <f t="shared" si="1"/>
        <v>3822.9799999999959</v>
      </c>
      <c r="H55" s="38">
        <f t="shared" ref="H55:H57" si="7">F55/E55</f>
        <v>1.0494684731617572</v>
      </c>
      <c r="I55" s="39">
        <f t="shared" si="6"/>
        <v>4.71287119374023E-3</v>
      </c>
    </row>
    <row r="56" spans="2:9" ht="15" customHeight="1" x14ac:dyDescent="0.2">
      <c r="B56" s="265" t="s">
        <v>30</v>
      </c>
      <c r="C56" s="266"/>
      <c r="D56" s="266"/>
      <c r="E56" s="179">
        <v>17140425.859999999</v>
      </c>
      <c r="F56" s="179">
        <v>18154336.420000002</v>
      </c>
      <c r="G56" s="179">
        <f t="shared" si="1"/>
        <v>1013910.5600000024</v>
      </c>
      <c r="H56" s="38">
        <f t="shared" si="7"/>
        <v>1.0591531720554348</v>
      </c>
      <c r="I56" s="39">
        <f t="shared" si="6"/>
        <v>1.0549285184931068</v>
      </c>
    </row>
    <row r="57" spans="2:9" ht="15" customHeight="1" x14ac:dyDescent="0.2">
      <c r="B57" s="265" t="s">
        <v>31</v>
      </c>
      <c r="C57" s="266"/>
      <c r="D57" s="266"/>
      <c r="E57" s="179">
        <v>356211</v>
      </c>
      <c r="F57" s="179">
        <v>224137.69</v>
      </c>
      <c r="G57" s="179">
        <f t="shared" si="1"/>
        <v>-132073.31</v>
      </c>
      <c r="H57" s="38">
        <f t="shared" si="7"/>
        <v>0.62922731190221526</v>
      </c>
      <c r="I57" s="39">
        <f t="shared" si="6"/>
        <v>1.3024394600822716E-2</v>
      </c>
    </row>
    <row r="58" spans="2:9" ht="15" customHeight="1" x14ac:dyDescent="0.2">
      <c r="B58" s="263" t="s">
        <v>32</v>
      </c>
      <c r="C58" s="264"/>
      <c r="D58" s="264"/>
      <c r="E58" s="178">
        <f>SUM(E59:E62)</f>
        <v>2027038.87</v>
      </c>
      <c r="F58" s="178">
        <f t="shared" ref="F58:G58" si="8">SUM(F59:F62)</f>
        <v>351628.28</v>
      </c>
      <c r="G58" s="178">
        <f t="shared" si="8"/>
        <v>-1675410.59</v>
      </c>
      <c r="H58" s="36">
        <f>F58/E58</f>
        <v>0.17346893796861429</v>
      </c>
      <c r="I58" s="37">
        <f>F58/F$64</f>
        <v>2.0432732538327572E-2</v>
      </c>
    </row>
    <row r="59" spans="2:9" ht="15" customHeight="1" x14ac:dyDescent="0.2">
      <c r="B59" s="265" t="s">
        <v>33</v>
      </c>
      <c r="C59" s="266"/>
      <c r="D59" s="266"/>
      <c r="E59" s="179">
        <v>2.2799999999999998</v>
      </c>
      <c r="F59" s="179">
        <v>0</v>
      </c>
      <c r="G59" s="179">
        <f>F59-E59</f>
        <v>-2.2799999999999998</v>
      </c>
      <c r="H59" s="38">
        <v>0</v>
      </c>
      <c r="I59" s="39">
        <f t="shared" ref="I59:I62" si="9">F59/F$64</f>
        <v>0</v>
      </c>
    </row>
    <row r="60" spans="2:9" ht="15" customHeight="1" x14ac:dyDescent="0.2">
      <c r="B60" s="265" t="s">
        <v>34</v>
      </c>
      <c r="C60" s="266"/>
      <c r="D60" s="266"/>
      <c r="E60" s="179">
        <v>4.5599999999999996</v>
      </c>
      <c r="F60" s="179">
        <v>0</v>
      </c>
      <c r="G60" s="179">
        <f>F60-E60</f>
        <v>-4.5599999999999996</v>
      </c>
      <c r="H60" s="38">
        <v>0</v>
      </c>
      <c r="I60" s="39">
        <f t="shared" si="9"/>
        <v>0</v>
      </c>
    </row>
    <row r="61" spans="2:9" ht="15" customHeight="1" x14ac:dyDescent="0.2">
      <c r="B61" s="265" t="s">
        <v>35</v>
      </c>
      <c r="C61" s="266"/>
      <c r="D61" s="266"/>
      <c r="E61" s="179">
        <v>2021705</v>
      </c>
      <c r="F61" s="179">
        <v>339891.09</v>
      </c>
      <c r="G61" s="179">
        <f>F61-E61</f>
        <v>-1681813.91</v>
      </c>
      <c r="H61" s="38">
        <f t="shared" ref="H61:H64" si="10">F61/E61</f>
        <v>0.16812101172030539</v>
      </c>
      <c r="I61" s="39">
        <f t="shared" si="9"/>
        <v>1.9750697339049706E-2</v>
      </c>
    </row>
    <row r="62" spans="2:9" ht="15" customHeight="1" x14ac:dyDescent="0.2">
      <c r="B62" s="265" t="s">
        <v>36</v>
      </c>
      <c r="C62" s="266"/>
      <c r="D62" s="266"/>
      <c r="E62" s="179">
        <v>5327.03</v>
      </c>
      <c r="F62" s="179">
        <v>11737.19</v>
      </c>
      <c r="G62" s="179">
        <f>F62-E62</f>
        <v>6410.1600000000008</v>
      </c>
      <c r="H62" s="38">
        <f t="shared" si="10"/>
        <v>2.2033271823135969</v>
      </c>
      <c r="I62" s="39">
        <f t="shared" si="9"/>
        <v>6.8203519927786526E-4</v>
      </c>
    </row>
    <row r="63" spans="2:9" ht="15" customHeight="1" x14ac:dyDescent="0.2">
      <c r="B63" s="269" t="s">
        <v>37</v>
      </c>
      <c r="C63" s="270"/>
      <c r="D63" s="270"/>
      <c r="E63" s="180">
        <v>2290752.23</v>
      </c>
      <c r="F63" s="180">
        <v>2410662.4</v>
      </c>
      <c r="G63" s="179">
        <f>F63-E63</f>
        <v>119910.16999999993</v>
      </c>
      <c r="H63" s="40">
        <f t="shared" si="10"/>
        <v>1.0523453250114265</v>
      </c>
      <c r="I63" s="41">
        <f>F63/F$64</f>
        <v>0.14008094018889161</v>
      </c>
    </row>
    <row r="64" spans="2:9" ht="15" customHeight="1" thickBot="1" x14ac:dyDescent="0.25">
      <c r="B64" s="271" t="s">
        <v>38</v>
      </c>
      <c r="C64" s="272"/>
      <c r="D64" s="272"/>
      <c r="E64" s="181">
        <f>E49+E58-E63</f>
        <v>18223000</v>
      </c>
      <c r="F64" s="181">
        <f>F49+F58-F63</f>
        <v>17209067.820000004</v>
      </c>
      <c r="G64" s="181">
        <f t="shared" ref="G64" si="11">G49+G58-G63</f>
        <v>-1013932.1799999976</v>
      </c>
      <c r="H64" s="42">
        <f t="shared" si="10"/>
        <v>0.94435975525434912</v>
      </c>
      <c r="I64" s="43">
        <f>F64/F$64</f>
        <v>1</v>
      </c>
    </row>
    <row r="65" spans="2:9" ht="16.5" customHeight="1" thickTop="1" x14ac:dyDescent="0.2">
      <c r="E65" s="371"/>
      <c r="F65" s="371"/>
      <c r="G65" s="371"/>
      <c r="H65" s="371"/>
    </row>
    <row r="66" spans="2:9" x14ac:dyDescent="0.2">
      <c r="B66" s="372" t="s">
        <v>121</v>
      </c>
      <c r="C66" s="372"/>
      <c r="D66" s="372"/>
      <c r="E66" s="372"/>
      <c r="F66" s="21">
        <f>F56</f>
        <v>18154336.420000002</v>
      </c>
      <c r="G66" s="1" t="s">
        <v>45</v>
      </c>
      <c r="H66" s="19">
        <f>H56</f>
        <v>1.0591531720554348</v>
      </c>
      <c r="I66" s="20" t="s">
        <v>47</v>
      </c>
    </row>
    <row r="67" spans="2:9" x14ac:dyDescent="0.2">
      <c r="B67" s="273" t="s">
        <v>46</v>
      </c>
      <c r="C67" s="273"/>
      <c r="D67" s="273"/>
      <c r="E67" s="273"/>
      <c r="F67" s="273"/>
      <c r="G67" s="273"/>
      <c r="H67" s="273"/>
      <c r="I67" s="273"/>
    </row>
    <row r="68" spans="2:9" x14ac:dyDescent="0.2">
      <c r="E68" s="138"/>
    </row>
    <row r="69" spans="2:9" x14ac:dyDescent="0.2">
      <c r="B69" s="291" t="s">
        <v>48</v>
      </c>
      <c r="C69" s="291"/>
      <c r="D69" s="291"/>
      <c r="E69" s="291"/>
      <c r="F69" s="291"/>
      <c r="G69" s="291"/>
      <c r="H69" s="291"/>
      <c r="I69" s="291"/>
    </row>
    <row r="70" spans="2:9" ht="15.75" thickBot="1" x14ac:dyDescent="0.25"/>
    <row r="71" spans="2:9" ht="16.5" customHeight="1" x14ac:dyDescent="0.2">
      <c r="C71" s="395" t="s">
        <v>49</v>
      </c>
      <c r="D71" s="396"/>
      <c r="E71" s="396"/>
      <c r="F71" s="396"/>
      <c r="G71" s="397"/>
      <c r="H71" s="124"/>
    </row>
    <row r="72" spans="2:9" ht="30" x14ac:dyDescent="0.25">
      <c r="C72" s="70" t="s">
        <v>50</v>
      </c>
      <c r="D72" s="62" t="s">
        <v>51</v>
      </c>
      <c r="E72" s="62" t="s">
        <v>52</v>
      </c>
      <c r="F72" s="62" t="s">
        <v>22</v>
      </c>
      <c r="G72" s="71" t="s">
        <v>53</v>
      </c>
      <c r="H72" s="7"/>
    </row>
    <row r="73" spans="2:9" x14ac:dyDescent="0.2">
      <c r="C73" s="95">
        <v>1997</v>
      </c>
      <c r="D73" s="96">
        <v>161559.22</v>
      </c>
      <c r="E73" s="97">
        <v>1343290.21</v>
      </c>
      <c r="F73" s="98">
        <v>1504849.43</v>
      </c>
      <c r="G73" s="72">
        <v>0</v>
      </c>
      <c r="H73" s="44"/>
    </row>
    <row r="74" spans="2:9" x14ac:dyDescent="0.2">
      <c r="C74" s="99">
        <v>1998</v>
      </c>
      <c r="D74" s="100">
        <v>219033.31</v>
      </c>
      <c r="E74" s="101">
        <v>1884391.64</v>
      </c>
      <c r="F74" s="102">
        <v>2103424.9500000002</v>
      </c>
      <c r="G74" s="72">
        <f>(F$74/F73)-100%</f>
        <v>0.39776439294660881</v>
      </c>
      <c r="H74" s="44"/>
    </row>
    <row r="75" spans="2:9" x14ac:dyDescent="0.2">
      <c r="C75" s="99">
        <v>1999</v>
      </c>
      <c r="D75" s="100">
        <v>150049.41</v>
      </c>
      <c r="E75" s="101">
        <v>2014874</v>
      </c>
      <c r="F75" s="102">
        <v>2164923.41</v>
      </c>
      <c r="G75" s="72">
        <f>(F75/F74)-100%</f>
        <v>2.9237297009337082E-2</v>
      </c>
    </row>
    <row r="76" spans="2:9" x14ac:dyDescent="0.2">
      <c r="C76" s="99">
        <v>2000</v>
      </c>
      <c r="D76" s="100">
        <v>110458.14</v>
      </c>
      <c r="E76" s="101">
        <v>2214657.4900000002</v>
      </c>
      <c r="F76" s="102">
        <v>2325115.63</v>
      </c>
      <c r="G76" s="72">
        <f t="shared" ref="G76:G89" si="12">(F76/F75)-100%</f>
        <v>7.3994405187756573E-2</v>
      </c>
    </row>
    <row r="77" spans="2:9" x14ac:dyDescent="0.2">
      <c r="C77" s="99">
        <v>2001</v>
      </c>
      <c r="D77" s="100">
        <v>167119.74</v>
      </c>
      <c r="E77" s="101">
        <v>2533521.09</v>
      </c>
      <c r="F77" s="102">
        <v>2700640.83</v>
      </c>
      <c r="G77" s="72">
        <f t="shared" si="12"/>
        <v>0.16150818271347656</v>
      </c>
    </row>
    <row r="78" spans="2:9" x14ac:dyDescent="0.2">
      <c r="C78" s="99">
        <v>2002</v>
      </c>
      <c r="D78" s="100">
        <v>297742.61</v>
      </c>
      <c r="E78" s="101">
        <v>2938257.63</v>
      </c>
      <c r="F78" s="102">
        <v>3236000.24</v>
      </c>
      <c r="G78" s="72">
        <f t="shared" si="12"/>
        <v>0.19823421317376733</v>
      </c>
    </row>
    <row r="79" spans="2:9" x14ac:dyDescent="0.2">
      <c r="C79" s="99">
        <v>2003</v>
      </c>
      <c r="D79" s="100">
        <v>182821.96</v>
      </c>
      <c r="E79" s="101">
        <v>3464133.82</v>
      </c>
      <c r="F79" s="102">
        <v>3646955.78</v>
      </c>
      <c r="G79" s="72">
        <f t="shared" si="12"/>
        <v>0.12699490405476599</v>
      </c>
    </row>
    <row r="80" spans="2:9" x14ac:dyDescent="0.2">
      <c r="C80" s="99">
        <v>2004</v>
      </c>
      <c r="D80" s="100">
        <v>132405.63</v>
      </c>
      <c r="E80" s="101">
        <v>4061464.9</v>
      </c>
      <c r="F80" s="102">
        <v>4193870.53</v>
      </c>
      <c r="G80" s="72">
        <f t="shared" si="12"/>
        <v>0.14996473305195934</v>
      </c>
    </row>
    <row r="81" spans="3:7" x14ac:dyDescent="0.2">
      <c r="C81" s="99">
        <v>2005</v>
      </c>
      <c r="D81" s="100">
        <v>118685.17</v>
      </c>
      <c r="E81" s="103">
        <v>4934427.08</v>
      </c>
      <c r="F81" s="102">
        <v>5053112.25</v>
      </c>
      <c r="G81" s="72">
        <f t="shared" si="12"/>
        <v>0.20488036381991037</v>
      </c>
    </row>
    <row r="82" spans="3:7" x14ac:dyDescent="0.2">
      <c r="C82" s="99">
        <v>2006</v>
      </c>
      <c r="D82" s="100">
        <v>172813.6</v>
      </c>
      <c r="E82" s="103">
        <v>5704195.9500000002</v>
      </c>
      <c r="F82" s="102">
        <v>5877009.5499999998</v>
      </c>
      <c r="G82" s="72">
        <f t="shared" si="12"/>
        <v>0.16304749612478919</v>
      </c>
    </row>
    <row r="83" spans="3:7" x14ac:dyDescent="0.2">
      <c r="C83" s="99">
        <v>2007</v>
      </c>
      <c r="D83" s="100">
        <v>147606.07</v>
      </c>
      <c r="E83" s="103">
        <v>6455422.3799999999</v>
      </c>
      <c r="F83" s="102">
        <v>6603028.4500000002</v>
      </c>
      <c r="G83" s="72">
        <f t="shared" si="12"/>
        <v>0.12353542968123987</v>
      </c>
    </row>
    <row r="84" spans="3:7" x14ac:dyDescent="0.2">
      <c r="C84" s="99">
        <v>2008</v>
      </c>
      <c r="D84" s="100">
        <f>203896.67+48469.55+95285.74+2075.3+1349.45</f>
        <v>351076.71</v>
      </c>
      <c r="E84" s="103">
        <f>8237101.43-D84</f>
        <v>7886024.7199999997</v>
      </c>
      <c r="F84" s="102">
        <f>E84+D84</f>
        <v>8237101.4299999997</v>
      </c>
      <c r="G84" s="72">
        <f t="shared" si="12"/>
        <v>0.24747326054607566</v>
      </c>
    </row>
    <row r="85" spans="3:7" x14ac:dyDescent="0.2">
      <c r="C85" s="99">
        <v>2009</v>
      </c>
      <c r="D85" s="100">
        <f>176259.2+12739.42+25180.71+3195.26+422.03</f>
        <v>217796.62000000002</v>
      </c>
      <c r="E85" s="103">
        <f>8227547.94-D85</f>
        <v>8009751.3200000003</v>
      </c>
      <c r="F85" s="102">
        <f>E85+D85</f>
        <v>8227547.9400000004</v>
      </c>
      <c r="G85" s="72">
        <f t="shared" si="12"/>
        <v>-1.1598121112367243E-3</v>
      </c>
    </row>
    <row r="86" spans="3:7" x14ac:dyDescent="0.2">
      <c r="C86" s="99">
        <v>2010</v>
      </c>
      <c r="D86" s="100">
        <f>209647.84+430.66+78634</f>
        <v>288712.5</v>
      </c>
      <c r="E86" s="103">
        <f>10308383.6-288712.5</f>
        <v>10019671.1</v>
      </c>
      <c r="F86" s="102">
        <f>E86+D86</f>
        <v>10308383.6</v>
      </c>
      <c r="G86" s="72">
        <f t="shared" si="12"/>
        <v>0.25291079130436511</v>
      </c>
    </row>
    <row r="87" spans="3:7" x14ac:dyDescent="0.2">
      <c r="C87" s="99">
        <v>2011</v>
      </c>
      <c r="D87" s="100">
        <v>215089.18</v>
      </c>
      <c r="E87" s="103">
        <f>11637424.31-D87</f>
        <v>11422335.130000001</v>
      </c>
      <c r="F87" s="102">
        <f>E87+D87</f>
        <v>11637424.310000001</v>
      </c>
      <c r="G87" s="72">
        <f t="shared" si="12"/>
        <v>0.12892813864629571</v>
      </c>
    </row>
    <row r="88" spans="3:7" x14ac:dyDescent="0.2">
      <c r="C88" s="99">
        <v>2012</v>
      </c>
      <c r="D88" s="100">
        <v>440449.13</v>
      </c>
      <c r="E88" s="103">
        <v>11318616.51</v>
      </c>
      <c r="F88" s="102">
        <v>11749065.640000001</v>
      </c>
      <c r="G88" s="72">
        <f t="shared" si="12"/>
        <v>9.593302351626587E-3</v>
      </c>
    </row>
    <row r="89" spans="3:7" x14ac:dyDescent="0.2">
      <c r="C89" s="99">
        <v>2013</v>
      </c>
      <c r="D89" s="100">
        <v>579850.34</v>
      </c>
      <c r="E89" s="103">
        <v>11756031.75</v>
      </c>
      <c r="F89" s="102">
        <v>12335882.09</v>
      </c>
      <c r="G89" s="72">
        <f t="shared" si="12"/>
        <v>4.9945797221709887E-2</v>
      </c>
    </row>
    <row r="90" spans="3:7" x14ac:dyDescent="0.2">
      <c r="C90" s="104">
        <v>2014</v>
      </c>
      <c r="D90" s="105">
        <v>492598.84</v>
      </c>
      <c r="E90" s="106">
        <f>13512442.23-492598.84</f>
        <v>13019843.390000001</v>
      </c>
      <c r="F90" s="107">
        <f>E90+D90</f>
        <v>13512442.23</v>
      </c>
      <c r="G90" s="72">
        <f>(F90/F89)-100%</f>
        <v>9.5377057871992132E-2</v>
      </c>
    </row>
    <row r="91" spans="3:7" x14ac:dyDescent="0.2">
      <c r="C91" s="104">
        <v>2015</v>
      </c>
      <c r="D91" s="105">
        <v>447876.13</v>
      </c>
      <c r="E91" s="106">
        <f>13888897.22-D91</f>
        <v>13441021.09</v>
      </c>
      <c r="F91" s="107">
        <f>E91+D91</f>
        <v>13888897.220000001</v>
      </c>
      <c r="G91" s="72">
        <f>(F91/F90)-100%</f>
        <v>2.785987785125954E-2</v>
      </c>
    </row>
    <row r="92" spans="3:7" x14ac:dyDescent="0.2">
      <c r="C92" s="104">
        <v>2016</v>
      </c>
      <c r="D92" s="105">
        <f>582466.98+19810.68+74670.25</f>
        <v>676947.91</v>
      </c>
      <c r="E92" s="106">
        <f>15429027.49-676947.91</f>
        <v>14752079.58</v>
      </c>
      <c r="F92" s="107">
        <f>E92+D92</f>
        <v>15429027.49</v>
      </c>
      <c r="G92" s="72">
        <f>(F92/F91)-100%</f>
        <v>0.1108893129241546</v>
      </c>
    </row>
    <row r="93" spans="3:7" x14ac:dyDescent="0.2">
      <c r="C93" s="104">
        <v>2017</v>
      </c>
      <c r="D93" s="105">
        <v>816626.56</v>
      </c>
      <c r="E93" s="106">
        <v>15352063.539999999</v>
      </c>
      <c r="F93" s="107">
        <f>E93+D93</f>
        <v>16168690.1</v>
      </c>
      <c r="G93" s="72">
        <f>(F93/F92)-100%</f>
        <v>4.7939678017904663E-2</v>
      </c>
    </row>
    <row r="94" spans="3:7" ht="15.75" thickBot="1" x14ac:dyDescent="0.25">
      <c r="C94" s="108">
        <v>2018</v>
      </c>
      <c r="D94" s="109">
        <f>F50+F51+F52+F55</f>
        <v>889627.83</v>
      </c>
      <c r="E94" s="122">
        <f>F64-D94</f>
        <v>16319439.990000004</v>
      </c>
      <c r="F94" s="123">
        <f>E94+D94</f>
        <v>17209067.820000004</v>
      </c>
      <c r="G94" s="73">
        <f>(F94/F93)-100%</f>
        <v>6.4345207531685267E-2</v>
      </c>
    </row>
    <row r="95" spans="3:7" x14ac:dyDescent="0.2">
      <c r="C95" s="117"/>
      <c r="D95" s="118"/>
      <c r="E95" s="119"/>
      <c r="F95" s="120"/>
      <c r="G95" s="121"/>
    </row>
    <row r="110" spans="2:9" ht="15.75" x14ac:dyDescent="0.25">
      <c r="B110" s="332" t="s">
        <v>54</v>
      </c>
      <c r="C110" s="332"/>
      <c r="D110" s="332"/>
      <c r="E110" s="332"/>
      <c r="F110" s="332"/>
      <c r="G110" s="332"/>
      <c r="H110" s="332"/>
      <c r="I110" s="332"/>
    </row>
    <row r="111" spans="2:9" ht="15.75" x14ac:dyDescent="0.25">
      <c r="D111" s="27"/>
    </row>
    <row r="112" spans="2:9" ht="48.75" customHeight="1" x14ac:dyDescent="0.2">
      <c r="B112" s="335" t="s">
        <v>184</v>
      </c>
      <c r="C112" s="335"/>
      <c r="D112" s="335"/>
      <c r="E112" s="335"/>
      <c r="F112" s="335"/>
      <c r="G112" s="335"/>
      <c r="H112" s="335"/>
      <c r="I112" s="335"/>
    </row>
    <row r="113" spans="2:9" ht="15" customHeight="1" x14ac:dyDescent="0.2">
      <c r="B113" s="14"/>
      <c r="C113" s="14"/>
      <c r="D113" s="14"/>
      <c r="E113" s="14"/>
      <c r="F113" s="14"/>
      <c r="G113" s="14"/>
      <c r="H113" s="14"/>
      <c r="I113" s="14"/>
    </row>
    <row r="114" spans="2:9" ht="16.5" customHeight="1" thickBot="1" x14ac:dyDescent="0.3">
      <c r="B114" s="294" t="s">
        <v>169</v>
      </c>
      <c r="C114" s="186"/>
      <c r="D114" s="186"/>
      <c r="E114" s="186"/>
      <c r="F114" s="186"/>
      <c r="G114" s="186"/>
      <c r="H114" s="186"/>
      <c r="I114" s="186"/>
    </row>
    <row r="115" spans="2:9" ht="15" customHeight="1" x14ac:dyDescent="0.2">
      <c r="B115" s="292" t="s">
        <v>23</v>
      </c>
      <c r="C115" s="274" t="s">
        <v>57</v>
      </c>
      <c r="D115" s="274" t="s">
        <v>55</v>
      </c>
      <c r="E115" s="274" t="s">
        <v>56</v>
      </c>
      <c r="F115" s="274"/>
      <c r="G115" s="274" t="s">
        <v>39</v>
      </c>
      <c r="H115" s="274" t="s">
        <v>172</v>
      </c>
      <c r="I115" s="276" t="s">
        <v>173</v>
      </c>
    </row>
    <row r="116" spans="2:9" ht="15" customHeight="1" x14ac:dyDescent="0.2">
      <c r="B116" s="293"/>
      <c r="C116" s="275"/>
      <c r="D116" s="275"/>
      <c r="E116" s="275"/>
      <c r="F116" s="275"/>
      <c r="G116" s="275"/>
      <c r="H116" s="275"/>
      <c r="I116" s="277"/>
    </row>
    <row r="117" spans="2:9" ht="15" customHeight="1" x14ac:dyDescent="0.2">
      <c r="B117" s="293"/>
      <c r="C117" s="275"/>
      <c r="D117" s="275"/>
      <c r="E117" s="116" t="s">
        <v>170</v>
      </c>
      <c r="F117" s="116" t="s">
        <v>171</v>
      </c>
      <c r="G117" s="275"/>
      <c r="H117" s="275"/>
      <c r="I117" s="277"/>
    </row>
    <row r="118" spans="2:9" ht="15" customHeight="1" x14ac:dyDescent="0.2">
      <c r="B118" s="45" t="s">
        <v>58</v>
      </c>
      <c r="C118" s="8">
        <f>SUM(C119:C121)</f>
        <v>15365690.040000003</v>
      </c>
      <c r="D118" s="17">
        <f>SUM(D119:D121)</f>
        <v>17064527.52</v>
      </c>
      <c r="E118" s="10">
        <f>SUM(E119:E121)</f>
        <v>16280223.15</v>
      </c>
      <c r="F118" s="10">
        <f>SUM(F119:F121)</f>
        <v>16067196.220000001</v>
      </c>
      <c r="G118" s="10">
        <v>1622213.67</v>
      </c>
      <c r="H118" s="12">
        <f t="shared" ref="H118:H123" si="13">E118/D118</f>
        <v>0.95403890502794308</v>
      </c>
      <c r="I118" s="46">
        <f>(E118/E$128)</f>
        <v>0.93022095332579668</v>
      </c>
    </row>
    <row r="119" spans="2:9" ht="15" customHeight="1" x14ac:dyDescent="0.2">
      <c r="B119" s="47" t="s">
        <v>61</v>
      </c>
      <c r="C119" s="9">
        <v>9601689.9700000007</v>
      </c>
      <c r="D119" s="18">
        <v>10152721.710000001</v>
      </c>
      <c r="E119" s="11">
        <v>9997023.9100000001</v>
      </c>
      <c r="F119" s="11">
        <v>9951822.0700000003</v>
      </c>
      <c r="G119" s="11">
        <f t="shared" ref="G119:G128" si="14">D119-E119</f>
        <v>155697.80000000075</v>
      </c>
      <c r="H119" s="13">
        <f t="shared" si="13"/>
        <v>0.98466442748581939</v>
      </c>
      <c r="I119" s="48">
        <f t="shared" ref="I119:I128" si="15">(D119/E$128)</f>
        <v>0.58010718777695092</v>
      </c>
    </row>
    <row r="120" spans="2:9" ht="15" customHeight="1" x14ac:dyDescent="0.2">
      <c r="B120" s="47" t="s">
        <v>62</v>
      </c>
      <c r="C120" s="9">
        <v>2.21</v>
      </c>
      <c r="D120" s="18">
        <v>1.01</v>
      </c>
      <c r="E120" s="11">
        <v>0</v>
      </c>
      <c r="F120" s="11">
        <v>0</v>
      </c>
      <c r="G120" s="11">
        <f t="shared" si="14"/>
        <v>1.01</v>
      </c>
      <c r="H120" s="13">
        <f t="shared" si="13"/>
        <v>0</v>
      </c>
      <c r="I120" s="48">
        <f t="shared" si="15"/>
        <v>5.7709476964942869E-8</v>
      </c>
    </row>
    <row r="121" spans="2:9" ht="15" customHeight="1" x14ac:dyDescent="0.2">
      <c r="B121" s="47" t="s">
        <v>63</v>
      </c>
      <c r="C121" s="9">
        <v>5763997.8600000003</v>
      </c>
      <c r="D121" s="18">
        <v>6911804.7999999998</v>
      </c>
      <c r="E121" s="11">
        <v>6283199.2400000002</v>
      </c>
      <c r="F121" s="11">
        <v>6115374.1500000004</v>
      </c>
      <c r="G121" s="11">
        <f t="shared" si="14"/>
        <v>628605.55999999959</v>
      </c>
      <c r="H121" s="13">
        <f t="shared" si="13"/>
        <v>0.90905334016377315</v>
      </c>
      <c r="I121" s="48">
        <f t="shared" si="15"/>
        <v>0.39492736622948671</v>
      </c>
    </row>
    <row r="122" spans="2:9" ht="15" customHeight="1" x14ac:dyDescent="0.2">
      <c r="B122" s="45" t="s">
        <v>59</v>
      </c>
      <c r="C122" s="8">
        <f>SUM(C123:C126)</f>
        <v>2539568.5099999998</v>
      </c>
      <c r="D122" s="17">
        <f>SUM(D123:D126)</f>
        <v>3121541.25</v>
      </c>
      <c r="E122" s="10">
        <f>SUM(E123:E126)</f>
        <v>1221235.07</v>
      </c>
      <c r="F122" s="10">
        <f>SUM(F123:F126)</f>
        <v>1026196.13</v>
      </c>
      <c r="G122" s="10">
        <f t="shared" si="14"/>
        <v>1900306.18</v>
      </c>
      <c r="H122" s="12">
        <f t="shared" si="13"/>
        <v>0.39122823380918004</v>
      </c>
      <c r="I122" s="46">
        <f t="shared" si="15"/>
        <v>0.1783589236257366</v>
      </c>
    </row>
    <row r="123" spans="2:9" ht="15" customHeight="1" x14ac:dyDescent="0.2">
      <c r="B123" s="47" t="s">
        <v>64</v>
      </c>
      <c r="C123" s="9">
        <v>2539566.2999999998</v>
      </c>
      <c r="D123" s="18">
        <v>3121540.24</v>
      </c>
      <c r="E123" s="11">
        <v>1221235.07</v>
      </c>
      <c r="F123" s="11">
        <v>1026196.13</v>
      </c>
      <c r="G123" s="11">
        <f t="shared" si="14"/>
        <v>1900305.1700000002</v>
      </c>
      <c r="H123" s="13">
        <f t="shared" si="13"/>
        <v>0.39122836039429049</v>
      </c>
      <c r="I123" s="48">
        <f t="shared" si="15"/>
        <v>0.17835886591625966</v>
      </c>
    </row>
    <row r="124" spans="2:9" ht="15" customHeight="1" x14ac:dyDescent="0.2">
      <c r="B124" s="47" t="s">
        <v>65</v>
      </c>
      <c r="C124" s="9">
        <v>0</v>
      </c>
      <c r="D124" s="18">
        <v>0</v>
      </c>
      <c r="E124" s="11">
        <v>0</v>
      </c>
      <c r="F124" s="11">
        <v>0</v>
      </c>
      <c r="G124" s="11">
        <f t="shared" si="14"/>
        <v>0</v>
      </c>
      <c r="H124" s="13">
        <v>0</v>
      </c>
      <c r="I124" s="48">
        <f t="shared" si="15"/>
        <v>0</v>
      </c>
    </row>
    <row r="125" spans="2:9" ht="15" customHeight="1" x14ac:dyDescent="0.2">
      <c r="B125" s="47" t="s">
        <v>66</v>
      </c>
      <c r="C125" s="9">
        <v>2.21</v>
      </c>
      <c r="D125" s="18">
        <v>1.01</v>
      </c>
      <c r="E125" s="11">
        <v>0</v>
      </c>
      <c r="F125" s="11">
        <v>0</v>
      </c>
      <c r="G125" s="11">
        <f t="shared" si="14"/>
        <v>1.01</v>
      </c>
      <c r="H125" s="13">
        <f>E125/D125</f>
        <v>0</v>
      </c>
      <c r="I125" s="48">
        <f t="shared" si="15"/>
        <v>5.7709476964942869E-8</v>
      </c>
    </row>
    <row r="126" spans="2:9" ht="15" customHeight="1" x14ac:dyDescent="0.2">
      <c r="B126" s="47" t="s">
        <v>67</v>
      </c>
      <c r="C126" s="9">
        <v>0</v>
      </c>
      <c r="D126" s="18">
        <v>0</v>
      </c>
      <c r="E126" s="11">
        <v>0</v>
      </c>
      <c r="F126" s="11">
        <v>0</v>
      </c>
      <c r="G126" s="11">
        <f t="shared" si="14"/>
        <v>0</v>
      </c>
      <c r="H126" s="13">
        <v>0</v>
      </c>
      <c r="I126" s="48">
        <f t="shared" si="15"/>
        <v>0</v>
      </c>
    </row>
    <row r="127" spans="2:9" ht="15" customHeight="1" x14ac:dyDescent="0.2">
      <c r="B127" s="45" t="s">
        <v>60</v>
      </c>
      <c r="C127" s="8">
        <v>317741.45</v>
      </c>
      <c r="D127" s="17">
        <v>0.01</v>
      </c>
      <c r="E127" s="10">
        <v>0</v>
      </c>
      <c r="F127" s="10">
        <v>0</v>
      </c>
      <c r="G127" s="10">
        <f t="shared" si="14"/>
        <v>0.01</v>
      </c>
      <c r="H127" s="12">
        <v>0</v>
      </c>
      <c r="I127" s="46">
        <f t="shared" si="15"/>
        <v>5.7138096004893929E-10</v>
      </c>
    </row>
    <row r="128" spans="2:9" ht="15" customHeight="1" thickBot="1" x14ac:dyDescent="0.25">
      <c r="B128" s="49" t="s">
        <v>22</v>
      </c>
      <c r="C128" s="50">
        <f>C118+C122+C127</f>
        <v>18223000.000000004</v>
      </c>
      <c r="D128" s="51">
        <f>D118+D122+D127</f>
        <v>20186068.780000001</v>
      </c>
      <c r="E128" s="52">
        <f>E118+E122+E127</f>
        <v>17501458.219999999</v>
      </c>
      <c r="F128" s="52">
        <f>F118+F122+F127</f>
        <v>17093392.350000001</v>
      </c>
      <c r="G128" s="52">
        <f t="shared" si="14"/>
        <v>2684610.5600000024</v>
      </c>
      <c r="H128" s="53">
        <f>E128/D128</f>
        <v>0.86700676643587649</v>
      </c>
      <c r="I128" s="54">
        <f t="shared" si="15"/>
        <v>1.1533935359130323</v>
      </c>
    </row>
    <row r="130" spans="2:9" x14ac:dyDescent="0.2">
      <c r="B130" s="1" t="s">
        <v>122</v>
      </c>
      <c r="C130" s="1"/>
      <c r="D130" s="1"/>
      <c r="E130" s="1"/>
      <c r="H130" s="334">
        <f>E118</f>
        <v>16280223.15</v>
      </c>
      <c r="I130" s="334"/>
    </row>
    <row r="131" spans="2:9" x14ac:dyDescent="0.2">
      <c r="B131" s="1" t="s">
        <v>123</v>
      </c>
      <c r="D131" s="19">
        <f>I118</f>
        <v>0.93022095332579668</v>
      </c>
      <c r="E131" s="4" t="s">
        <v>68</v>
      </c>
    </row>
    <row r="133" spans="2:9" x14ac:dyDescent="0.2">
      <c r="B133" s="4" t="s">
        <v>124</v>
      </c>
    </row>
    <row r="134" spans="2:9" ht="15.75" thickBot="1" x14ac:dyDescent="0.25">
      <c r="B134" s="4" t="s">
        <v>125</v>
      </c>
    </row>
    <row r="135" spans="2:9" x14ac:dyDescent="0.2">
      <c r="C135" s="395" t="s">
        <v>72</v>
      </c>
      <c r="D135" s="396"/>
      <c r="E135" s="396"/>
      <c r="F135" s="396"/>
      <c r="G135" s="397"/>
    </row>
    <row r="136" spans="2:9" ht="25.5" x14ac:dyDescent="0.2">
      <c r="C136" s="125" t="s">
        <v>50</v>
      </c>
      <c r="D136" s="126" t="s">
        <v>69</v>
      </c>
      <c r="E136" s="126" t="s">
        <v>70</v>
      </c>
      <c r="F136" s="126" t="s">
        <v>22</v>
      </c>
      <c r="G136" s="127" t="s">
        <v>71</v>
      </c>
    </row>
    <row r="137" spans="2:9" x14ac:dyDescent="0.2">
      <c r="C137" s="93">
        <v>1997</v>
      </c>
      <c r="D137" s="90">
        <v>909701.94</v>
      </c>
      <c r="E137" s="90">
        <v>485407.82</v>
      </c>
      <c r="F137" s="90">
        <v>1395109.76</v>
      </c>
      <c r="G137" s="72">
        <v>0</v>
      </c>
    </row>
    <row r="138" spans="2:9" x14ac:dyDescent="0.2">
      <c r="C138" s="93">
        <v>1998</v>
      </c>
      <c r="D138" s="90">
        <v>1735142.46</v>
      </c>
      <c r="E138" s="90">
        <v>415562.17</v>
      </c>
      <c r="F138" s="90">
        <v>2150704.63</v>
      </c>
      <c r="G138" s="72">
        <f>(F$138/F137)-100%</f>
        <v>0.5416024542757123</v>
      </c>
    </row>
    <row r="139" spans="2:9" x14ac:dyDescent="0.2">
      <c r="C139" s="93">
        <v>1999</v>
      </c>
      <c r="D139" s="90">
        <v>1973132.22</v>
      </c>
      <c r="E139" s="90">
        <v>343039.16</v>
      </c>
      <c r="F139" s="90">
        <v>2316171.38</v>
      </c>
      <c r="G139" s="72">
        <f t="shared" ref="G139:G154" si="16">(F139/F138)-100%</f>
        <v>7.6936064437635121E-2</v>
      </c>
    </row>
    <row r="140" spans="2:9" x14ac:dyDescent="0.2">
      <c r="C140" s="93">
        <v>2000</v>
      </c>
      <c r="D140" s="90">
        <v>2094971.41</v>
      </c>
      <c r="E140" s="90">
        <v>318469.48</v>
      </c>
      <c r="F140" s="90">
        <v>2413440.89</v>
      </c>
      <c r="G140" s="72">
        <f t="shared" si="16"/>
        <v>4.1995817252521439E-2</v>
      </c>
    </row>
    <row r="141" spans="2:9" x14ac:dyDescent="0.2">
      <c r="C141" s="93">
        <v>2001</v>
      </c>
      <c r="D141" s="90">
        <v>2221408.83</v>
      </c>
      <c r="E141" s="90">
        <v>347968.35</v>
      </c>
      <c r="F141" s="90">
        <v>2569377.1800000002</v>
      </c>
      <c r="G141" s="72">
        <f t="shared" si="16"/>
        <v>6.4611605217312684E-2</v>
      </c>
    </row>
    <row r="142" spans="2:9" x14ac:dyDescent="0.2">
      <c r="C142" s="93">
        <v>2002</v>
      </c>
      <c r="D142" s="90">
        <v>2651552.35</v>
      </c>
      <c r="E142" s="90">
        <v>468257.63</v>
      </c>
      <c r="F142" s="90">
        <v>3119809.98</v>
      </c>
      <c r="G142" s="72">
        <f t="shared" si="16"/>
        <v>0.21422810332580289</v>
      </c>
    </row>
    <row r="143" spans="2:9" x14ac:dyDescent="0.2">
      <c r="C143" s="93">
        <v>2003</v>
      </c>
      <c r="D143" s="90">
        <v>3484939.7</v>
      </c>
      <c r="E143" s="90">
        <v>348007.19</v>
      </c>
      <c r="F143" s="90">
        <v>3832946.89</v>
      </c>
      <c r="G143" s="72">
        <f t="shared" si="16"/>
        <v>0.22858344404680708</v>
      </c>
    </row>
    <row r="144" spans="2:9" x14ac:dyDescent="0.2">
      <c r="C144" s="93">
        <v>2004</v>
      </c>
      <c r="D144" s="91">
        <v>3766956.72</v>
      </c>
      <c r="E144" s="91">
        <v>173129.79</v>
      </c>
      <c r="F144" s="90">
        <v>3940086.51</v>
      </c>
      <c r="G144" s="72">
        <f t="shared" si="16"/>
        <v>2.7952283993165183E-2</v>
      </c>
    </row>
    <row r="145" spans="3:7" x14ac:dyDescent="0.2">
      <c r="C145" s="93">
        <v>2005</v>
      </c>
      <c r="D145" s="91">
        <v>4265321.8499999996</v>
      </c>
      <c r="E145" s="91">
        <v>614403.75</v>
      </c>
      <c r="F145" s="91">
        <v>4879725.5999999996</v>
      </c>
      <c r="G145" s="72">
        <f t="shared" si="16"/>
        <v>0.23848184236949654</v>
      </c>
    </row>
    <row r="146" spans="3:7" x14ac:dyDescent="0.2">
      <c r="C146" s="93">
        <v>2006</v>
      </c>
      <c r="D146" s="91">
        <v>5182324.76</v>
      </c>
      <c r="E146" s="91">
        <v>673665.9</v>
      </c>
      <c r="F146" s="91">
        <v>5855990.6600000001</v>
      </c>
      <c r="G146" s="72">
        <f t="shared" si="16"/>
        <v>0.20006556516210683</v>
      </c>
    </row>
    <row r="147" spans="3:7" x14ac:dyDescent="0.2">
      <c r="C147" s="93">
        <v>2007</v>
      </c>
      <c r="D147" s="91">
        <v>5624481.3399999999</v>
      </c>
      <c r="E147" s="91">
        <v>481029.61</v>
      </c>
      <c r="F147" s="91">
        <v>6105510.9500000002</v>
      </c>
      <c r="G147" s="72">
        <f t="shared" si="16"/>
        <v>4.2609407099020169E-2</v>
      </c>
    </row>
    <row r="148" spans="3:7" x14ac:dyDescent="0.2">
      <c r="C148" s="93">
        <v>2008</v>
      </c>
      <c r="D148" s="91">
        <v>6883676.6799999997</v>
      </c>
      <c r="E148" s="91">
        <v>1362477.54</v>
      </c>
      <c r="F148" s="91">
        <f t="shared" ref="F148:F156" si="17">D148+E148</f>
        <v>8246154.2199999997</v>
      </c>
      <c r="G148" s="72">
        <f t="shared" si="16"/>
        <v>0.35060837455381177</v>
      </c>
    </row>
    <row r="149" spans="3:7" x14ac:dyDescent="0.2">
      <c r="C149" s="93">
        <v>2009</v>
      </c>
      <c r="D149" s="91">
        <v>7378334.1500000004</v>
      </c>
      <c r="E149" s="91">
        <v>835730.67</v>
      </c>
      <c r="F149" s="91">
        <f t="shared" si="17"/>
        <v>8214064.8200000003</v>
      </c>
      <c r="G149" s="72">
        <f t="shared" si="16"/>
        <v>-3.891438256414248E-3</v>
      </c>
    </row>
    <row r="150" spans="3:7" x14ac:dyDescent="0.2">
      <c r="C150" s="93">
        <v>2010</v>
      </c>
      <c r="D150" s="91">
        <v>8255018.0899999999</v>
      </c>
      <c r="E150" s="91">
        <v>2274199.04</v>
      </c>
      <c r="F150" s="91">
        <f t="shared" si="17"/>
        <v>10529217.129999999</v>
      </c>
      <c r="G150" s="72">
        <f t="shared" si="16"/>
        <v>0.28185220846601489</v>
      </c>
    </row>
    <row r="151" spans="3:7" x14ac:dyDescent="0.2">
      <c r="C151" s="93">
        <v>2011</v>
      </c>
      <c r="D151" s="91">
        <v>9515273.0999999996</v>
      </c>
      <c r="E151" s="91">
        <v>954965.63</v>
      </c>
      <c r="F151" s="91">
        <f t="shared" si="17"/>
        <v>10470238.73</v>
      </c>
      <c r="G151" s="72">
        <f t="shared" si="16"/>
        <v>-5.601404099831564E-3</v>
      </c>
    </row>
    <row r="152" spans="3:7" x14ac:dyDescent="0.2">
      <c r="C152" s="93">
        <v>2012</v>
      </c>
      <c r="D152" s="91">
        <v>10173827.32</v>
      </c>
      <c r="E152" s="91">
        <v>1254504.02</v>
      </c>
      <c r="F152" s="91">
        <f t="shared" si="17"/>
        <v>11428331.34</v>
      </c>
      <c r="G152" s="72">
        <f t="shared" si="16"/>
        <v>9.1506281251716892E-2</v>
      </c>
    </row>
    <row r="153" spans="3:7" x14ac:dyDescent="0.2">
      <c r="C153" s="93">
        <v>2013</v>
      </c>
      <c r="D153" s="91">
        <v>12291244.32</v>
      </c>
      <c r="E153" s="91">
        <v>617698.75</v>
      </c>
      <c r="F153" s="91">
        <f t="shared" si="17"/>
        <v>12908943.07</v>
      </c>
      <c r="G153" s="72">
        <f t="shared" si="16"/>
        <v>0.12955624806027033</v>
      </c>
    </row>
    <row r="154" spans="3:7" x14ac:dyDescent="0.2">
      <c r="C154" s="93">
        <v>2014</v>
      </c>
      <c r="D154" s="91">
        <v>12455554.67</v>
      </c>
      <c r="E154" s="91">
        <v>960620.66</v>
      </c>
      <c r="F154" s="91">
        <f t="shared" si="17"/>
        <v>13416175.33</v>
      </c>
      <c r="G154" s="72">
        <f t="shared" si="16"/>
        <v>3.9293089856348606E-2</v>
      </c>
    </row>
    <row r="155" spans="3:7" x14ac:dyDescent="0.2">
      <c r="C155" s="93">
        <v>2015</v>
      </c>
      <c r="D155" s="91">
        <v>12255258.67</v>
      </c>
      <c r="E155" s="91">
        <v>599742.68999999994</v>
      </c>
      <c r="F155" s="91">
        <f t="shared" ref="F155" si="18">D155+E155</f>
        <v>12855001.359999999</v>
      </c>
      <c r="G155" s="72">
        <f>(F155/F154)-100%</f>
        <v>-4.1828163108837413E-2</v>
      </c>
    </row>
    <row r="156" spans="3:7" x14ac:dyDescent="0.2">
      <c r="C156" s="93">
        <v>2016</v>
      </c>
      <c r="D156" s="91">
        <v>14089928</v>
      </c>
      <c r="E156" s="91">
        <v>557443</v>
      </c>
      <c r="F156" s="91">
        <f t="shared" si="17"/>
        <v>14647371</v>
      </c>
      <c r="G156" s="72">
        <f>(F156/F155)-100%</f>
        <v>0.13942975109883626</v>
      </c>
    </row>
    <row r="157" spans="3:7" x14ac:dyDescent="0.2">
      <c r="C157" s="139">
        <v>2017</v>
      </c>
      <c r="D157" s="140">
        <v>14418254.779999999</v>
      </c>
      <c r="E157" s="141">
        <v>1612036.89</v>
      </c>
      <c r="F157" s="91">
        <f t="shared" ref="F157" si="19">D157+E157</f>
        <v>16030291.67</v>
      </c>
      <c r="G157" s="72">
        <f>(F157/F156)-100%</f>
        <v>9.4414258367593762E-2</v>
      </c>
    </row>
    <row r="158" spans="3:7" ht="15.75" thickBot="1" x14ac:dyDescent="0.25">
      <c r="C158" s="94">
        <v>2018</v>
      </c>
      <c r="D158" s="92">
        <f>E118</f>
        <v>16280223.15</v>
      </c>
      <c r="E158" s="92">
        <f>E123</f>
        <v>1221235.07</v>
      </c>
      <c r="F158" s="92">
        <f t="shared" ref="F158" si="20">D158+E158</f>
        <v>17501458.219999999</v>
      </c>
      <c r="G158" s="73">
        <f>(F158/F157)-100%</f>
        <v>9.1774159839725478E-2</v>
      </c>
    </row>
    <row r="172" spans="2:9" ht="15.75" x14ac:dyDescent="0.25">
      <c r="B172" s="332" t="s">
        <v>73</v>
      </c>
      <c r="C172" s="332"/>
      <c r="D172" s="332"/>
      <c r="E172" s="332"/>
      <c r="F172" s="332"/>
      <c r="G172" s="332"/>
      <c r="H172" s="332"/>
      <c r="I172" s="332"/>
    </row>
    <row r="173" spans="2:9" ht="15.75" x14ac:dyDescent="0.25">
      <c r="B173" s="3"/>
      <c r="C173" s="3"/>
      <c r="D173" s="3"/>
      <c r="E173" s="3"/>
      <c r="F173" s="3"/>
      <c r="G173" s="3"/>
      <c r="H173" s="3"/>
      <c r="I173" s="3"/>
    </row>
    <row r="174" spans="2:9" ht="15.75" x14ac:dyDescent="0.25">
      <c r="B174" s="332" t="s">
        <v>74</v>
      </c>
      <c r="C174" s="332"/>
      <c r="D174" s="332"/>
      <c r="E174" s="332"/>
      <c r="F174" s="332"/>
      <c r="G174" s="332"/>
      <c r="H174" s="332"/>
      <c r="I174" s="332"/>
    </row>
    <row r="175" spans="2:9" ht="15.75" thickBot="1" x14ac:dyDescent="0.25"/>
    <row r="176" spans="2:9" x14ac:dyDescent="0.2">
      <c r="C176" s="357" t="s">
        <v>75</v>
      </c>
      <c r="D176" s="358"/>
      <c r="E176" s="358"/>
      <c r="F176" s="358"/>
      <c r="G176" s="74" t="s">
        <v>76</v>
      </c>
    </row>
    <row r="177" spans="3:7" x14ac:dyDescent="0.2">
      <c r="C177" s="267" t="s">
        <v>77</v>
      </c>
      <c r="D177" s="268"/>
      <c r="E177" s="268"/>
      <c r="F177" s="268"/>
      <c r="G177" s="87">
        <f>C128</f>
        <v>18223000.000000004</v>
      </c>
    </row>
    <row r="178" spans="3:7" x14ac:dyDescent="0.2">
      <c r="C178" s="267" t="s">
        <v>78</v>
      </c>
      <c r="D178" s="268"/>
      <c r="E178" s="268"/>
      <c r="F178" s="268"/>
      <c r="G178" s="87">
        <f t="shared" ref="G178:G184" si="21">F13</f>
        <v>6766138.9699999997</v>
      </c>
    </row>
    <row r="179" spans="3:7" x14ac:dyDescent="0.2">
      <c r="C179" s="295" t="s">
        <v>79</v>
      </c>
      <c r="D179" s="296"/>
      <c r="E179" s="296"/>
      <c r="F179" s="296"/>
      <c r="G179" s="88">
        <f t="shared" si="21"/>
        <v>4894238.6399999997</v>
      </c>
    </row>
    <row r="180" spans="3:7" x14ac:dyDescent="0.2">
      <c r="C180" s="267" t="s">
        <v>80</v>
      </c>
      <c r="D180" s="268"/>
      <c r="E180" s="268"/>
      <c r="F180" s="268"/>
      <c r="G180" s="87">
        <f t="shared" si="21"/>
        <v>173369.98</v>
      </c>
    </row>
    <row r="181" spans="3:7" x14ac:dyDescent="0.2">
      <c r="C181" s="295" t="s">
        <v>81</v>
      </c>
      <c r="D181" s="296"/>
      <c r="E181" s="296"/>
      <c r="F181" s="296"/>
      <c r="G181" s="88">
        <f t="shared" si="21"/>
        <v>0</v>
      </c>
    </row>
    <row r="182" spans="3:7" x14ac:dyDescent="0.2">
      <c r="C182" s="267" t="s">
        <v>82</v>
      </c>
      <c r="D182" s="268"/>
      <c r="E182" s="268"/>
      <c r="F182" s="268"/>
      <c r="G182" s="87">
        <f t="shared" si="21"/>
        <v>173369.98</v>
      </c>
    </row>
    <row r="183" spans="3:7" x14ac:dyDescent="0.2">
      <c r="C183" s="295" t="s">
        <v>83</v>
      </c>
      <c r="D183" s="296"/>
      <c r="E183" s="296"/>
      <c r="F183" s="296"/>
      <c r="G183" s="88">
        <f t="shared" si="21"/>
        <v>0</v>
      </c>
    </row>
    <row r="184" spans="3:7" x14ac:dyDescent="0.2">
      <c r="C184" s="295" t="s">
        <v>79</v>
      </c>
      <c r="D184" s="296"/>
      <c r="E184" s="296"/>
      <c r="F184" s="296"/>
      <c r="G184" s="88">
        <f t="shared" si="21"/>
        <v>82201.53</v>
      </c>
    </row>
    <row r="185" spans="3:7" x14ac:dyDescent="0.2">
      <c r="C185" s="295" t="s">
        <v>84</v>
      </c>
      <c r="D185" s="296"/>
      <c r="E185" s="296"/>
      <c r="F185" s="296"/>
      <c r="G185" s="88">
        <v>0</v>
      </c>
    </row>
    <row r="186" spans="3:7" x14ac:dyDescent="0.2">
      <c r="C186" s="267" t="s">
        <v>93</v>
      </c>
      <c r="D186" s="268"/>
      <c r="E186" s="268"/>
      <c r="F186" s="268"/>
      <c r="G186" s="87">
        <f>G177+G178+G182-G179-G184</f>
        <v>20186068.780000001</v>
      </c>
    </row>
    <row r="187" spans="3:7" x14ac:dyDescent="0.2">
      <c r="C187" s="267" t="s">
        <v>85</v>
      </c>
      <c r="D187" s="268"/>
      <c r="E187" s="268"/>
      <c r="F187" s="268"/>
      <c r="G187" s="87">
        <f>E128</f>
        <v>17501458.219999999</v>
      </c>
    </row>
    <row r="188" spans="3:7" x14ac:dyDescent="0.2">
      <c r="C188" s="267" t="s">
        <v>86</v>
      </c>
      <c r="D188" s="268"/>
      <c r="E188" s="268"/>
      <c r="F188" s="268"/>
      <c r="G188" s="87">
        <f>G186-G187</f>
        <v>2684610.5600000024</v>
      </c>
    </row>
    <row r="189" spans="3:7" x14ac:dyDescent="0.2">
      <c r="C189" s="267" t="s">
        <v>87</v>
      </c>
      <c r="D189" s="268"/>
      <c r="E189" s="268"/>
      <c r="F189" s="268"/>
      <c r="G189" s="75" t="s">
        <v>88</v>
      </c>
    </row>
    <row r="190" spans="3:7" x14ac:dyDescent="0.2">
      <c r="C190" s="267" t="s">
        <v>89</v>
      </c>
      <c r="D190" s="268"/>
      <c r="E190" s="268"/>
      <c r="F190" s="268"/>
      <c r="G190" s="87">
        <f>E64</f>
        <v>18223000</v>
      </c>
    </row>
    <row r="191" spans="3:7" x14ac:dyDescent="0.2">
      <c r="C191" s="267" t="s">
        <v>90</v>
      </c>
      <c r="D191" s="268"/>
      <c r="E191" s="268"/>
      <c r="F191" s="268"/>
      <c r="G191" s="87">
        <f>F64</f>
        <v>17209067.820000004</v>
      </c>
    </row>
    <row r="192" spans="3:7" x14ac:dyDescent="0.2">
      <c r="C192" s="295" t="s">
        <v>158</v>
      </c>
      <c r="D192" s="296"/>
      <c r="E192" s="296"/>
      <c r="F192" s="296"/>
      <c r="G192" s="88">
        <f>G191-G190</f>
        <v>-1013932.179999996</v>
      </c>
    </row>
    <row r="193" spans="2:9" x14ac:dyDescent="0.2">
      <c r="C193" s="267" t="s">
        <v>159</v>
      </c>
      <c r="D193" s="268"/>
      <c r="E193" s="268"/>
      <c r="F193" s="268"/>
      <c r="G193" s="87">
        <f>G191-G187</f>
        <v>-292390.39999999478</v>
      </c>
    </row>
    <row r="194" spans="2:9" x14ac:dyDescent="0.2">
      <c r="C194" s="267" t="s">
        <v>91</v>
      </c>
      <c r="D194" s="268"/>
      <c r="E194" s="268"/>
      <c r="F194" s="268"/>
      <c r="G194" s="87">
        <v>1479159.38</v>
      </c>
    </row>
    <row r="195" spans="2:9" ht="15.75" thickBot="1" x14ac:dyDescent="0.25">
      <c r="C195" s="398" t="s">
        <v>92</v>
      </c>
      <c r="D195" s="399"/>
      <c r="E195" s="399"/>
      <c r="F195" s="399"/>
      <c r="G195" s="89">
        <f>G194+G193</f>
        <v>1186768.9800000051</v>
      </c>
    </row>
    <row r="197" spans="2:9" ht="15" customHeight="1" x14ac:dyDescent="0.2">
      <c r="B197" s="335" t="s">
        <v>185</v>
      </c>
      <c r="C197" s="335"/>
      <c r="D197" s="335"/>
      <c r="E197" s="335"/>
      <c r="F197" s="335"/>
      <c r="G197" s="335"/>
      <c r="H197" s="335"/>
      <c r="I197" s="335"/>
    </row>
    <row r="198" spans="2:9" x14ac:dyDescent="0.2">
      <c r="B198" s="291" t="s">
        <v>160</v>
      </c>
      <c r="C198" s="291"/>
      <c r="D198" s="291"/>
      <c r="E198" s="291"/>
      <c r="F198" s="291"/>
      <c r="G198" s="128">
        <f>G195</f>
        <v>1186768.9800000051</v>
      </c>
      <c r="H198" s="22" t="s">
        <v>94</v>
      </c>
    </row>
    <row r="201" spans="2:9" ht="15.75" x14ac:dyDescent="0.25">
      <c r="B201" s="27" t="s">
        <v>95</v>
      </c>
      <c r="C201" s="27"/>
      <c r="D201" s="27"/>
      <c r="E201" s="27"/>
      <c r="F201" s="27"/>
      <c r="G201" s="27"/>
      <c r="H201" s="27"/>
      <c r="I201" s="27"/>
    </row>
    <row r="202" spans="2:9" ht="15.75" x14ac:dyDescent="0.25">
      <c r="B202" s="3"/>
      <c r="C202" s="3"/>
      <c r="D202" s="3"/>
      <c r="E202" s="3"/>
      <c r="F202" s="3"/>
      <c r="G202" s="3"/>
      <c r="H202" s="3"/>
      <c r="I202" s="3"/>
    </row>
    <row r="203" spans="2:9" ht="56.25" customHeight="1" thickBot="1" x14ac:dyDescent="0.25">
      <c r="B203" s="335" t="s">
        <v>186</v>
      </c>
      <c r="C203" s="335"/>
      <c r="D203" s="335"/>
      <c r="E203" s="335"/>
      <c r="F203" s="335"/>
      <c r="G203" s="335"/>
      <c r="H203" s="335"/>
      <c r="I203" s="335"/>
    </row>
    <row r="204" spans="2:9" x14ac:dyDescent="0.2">
      <c r="B204" s="279" t="s">
        <v>116</v>
      </c>
      <c r="C204" s="280"/>
      <c r="D204" s="281"/>
      <c r="E204" s="76">
        <f>F64</f>
        <v>17209067.820000004</v>
      </c>
      <c r="F204" s="29"/>
      <c r="G204" s="29"/>
      <c r="H204" s="29"/>
      <c r="I204" s="29"/>
    </row>
    <row r="205" spans="2:9" x14ac:dyDescent="0.2">
      <c r="B205" s="77" t="s">
        <v>117</v>
      </c>
      <c r="C205" s="63"/>
      <c r="D205" s="63"/>
      <c r="E205" s="78">
        <f>G194</f>
        <v>1479159.38</v>
      </c>
      <c r="F205" s="29"/>
      <c r="G205" s="29"/>
      <c r="H205" s="29"/>
      <c r="I205" s="29"/>
    </row>
    <row r="206" spans="2:9" x14ac:dyDescent="0.2">
      <c r="B206" s="282" t="s">
        <v>118</v>
      </c>
      <c r="C206" s="283"/>
      <c r="D206" s="284"/>
      <c r="E206" s="78">
        <f>E128</f>
        <v>17501458.219999999</v>
      </c>
      <c r="F206" s="29"/>
      <c r="G206" s="29"/>
      <c r="H206" s="29"/>
      <c r="I206" s="29"/>
    </row>
    <row r="207" spans="2:9" s="31" customFormat="1" x14ac:dyDescent="0.2">
      <c r="B207" s="285" t="s">
        <v>119</v>
      </c>
      <c r="C207" s="286"/>
      <c r="D207" s="287"/>
      <c r="E207" s="79">
        <v>0</v>
      </c>
      <c r="F207" s="30"/>
      <c r="G207" s="30"/>
      <c r="H207" s="30"/>
      <c r="I207" s="30"/>
    </row>
    <row r="208" spans="2:9" ht="15.75" thickBot="1" x14ac:dyDescent="0.25">
      <c r="B208" s="288" t="s">
        <v>120</v>
      </c>
      <c r="C208" s="289"/>
      <c r="D208" s="290"/>
      <c r="E208" s="80">
        <f>E204+E205-E206-E207</f>
        <v>1186768.9800000042</v>
      </c>
      <c r="F208" s="29"/>
      <c r="G208" s="29"/>
      <c r="H208" s="29"/>
      <c r="I208" s="29"/>
    </row>
    <row r="211" spans="2:9" ht="15.75" x14ac:dyDescent="0.25">
      <c r="B211" s="332" t="s">
        <v>129</v>
      </c>
      <c r="C211" s="332"/>
      <c r="D211" s="332"/>
      <c r="E211" s="332"/>
      <c r="F211" s="332"/>
      <c r="G211" s="332"/>
      <c r="H211" s="332"/>
      <c r="I211" s="332"/>
    </row>
    <row r="212" spans="2:9" ht="221.25" customHeight="1" x14ac:dyDescent="0.2">
      <c r="B212" s="333" t="s">
        <v>187</v>
      </c>
      <c r="C212" s="333"/>
      <c r="D212" s="333"/>
      <c r="E212" s="333"/>
      <c r="F212" s="333"/>
      <c r="G212" s="333"/>
      <c r="H212" s="333"/>
      <c r="I212" s="333"/>
    </row>
    <row r="218" spans="2:9" ht="19.5" customHeight="1" x14ac:dyDescent="0.25">
      <c r="B218" s="278" t="s">
        <v>130</v>
      </c>
      <c r="C218" s="278"/>
      <c r="D218" s="278"/>
      <c r="E218" s="278"/>
      <c r="F218" s="278"/>
      <c r="G218" s="278"/>
      <c r="H218" s="278"/>
      <c r="I218" s="278"/>
    </row>
    <row r="220" spans="2:9" ht="15.75" x14ac:dyDescent="0.25">
      <c r="B220" s="24" t="s">
        <v>115</v>
      </c>
    </row>
    <row r="222" spans="2:9" ht="15.75" x14ac:dyDescent="0.25">
      <c r="B222" s="331" t="s">
        <v>96</v>
      </c>
      <c r="C222" s="331"/>
      <c r="D222" s="331"/>
      <c r="E222" s="331"/>
      <c r="F222" s="331"/>
      <c r="G222" s="331"/>
    </row>
    <row r="223" spans="2:9" ht="16.5" thickBot="1" x14ac:dyDescent="0.3">
      <c r="D223" s="23"/>
      <c r="F223" s="327"/>
      <c r="G223" s="327"/>
    </row>
    <row r="224" spans="2:9" x14ac:dyDescent="0.2">
      <c r="B224" s="315" t="s">
        <v>138</v>
      </c>
      <c r="C224" s="316"/>
      <c r="D224" s="316"/>
      <c r="E224" s="317"/>
      <c r="F224" s="64" t="s">
        <v>99</v>
      </c>
      <c r="G224" s="7"/>
    </row>
    <row r="225" spans="2:6" ht="15" customHeight="1" x14ac:dyDescent="0.2">
      <c r="B225" s="318"/>
      <c r="C225" s="319"/>
      <c r="D225" s="319"/>
      <c r="E225" s="320"/>
      <c r="F225" s="65" t="s">
        <v>155</v>
      </c>
    </row>
    <row r="226" spans="2:6" ht="15" customHeight="1" x14ac:dyDescent="0.2">
      <c r="B226" s="217" t="s">
        <v>139</v>
      </c>
      <c r="C226" s="218"/>
      <c r="D226" s="218"/>
      <c r="E226" s="219"/>
      <c r="F226" s="66">
        <f>F228</f>
        <v>3320054.6749999998</v>
      </c>
    </row>
    <row r="227" spans="2:6" x14ac:dyDescent="0.2">
      <c r="B227" s="217" t="s">
        <v>140</v>
      </c>
      <c r="C227" s="218"/>
      <c r="D227" s="218"/>
      <c r="E227" s="219"/>
      <c r="F227" s="66">
        <v>13280218.699999999</v>
      </c>
    </row>
    <row r="228" spans="2:6" ht="15" customHeight="1" x14ac:dyDescent="0.2">
      <c r="B228" s="302" t="s">
        <v>141</v>
      </c>
      <c r="C228" s="303"/>
      <c r="D228" s="303"/>
      <c r="E228" s="304"/>
      <c r="F228" s="67">
        <f>F227*25%</f>
        <v>3320054.6749999998</v>
      </c>
    </row>
    <row r="229" spans="2:6" ht="15" customHeight="1" x14ac:dyDescent="0.2">
      <c r="B229" s="321" t="s">
        <v>142</v>
      </c>
      <c r="C229" s="322"/>
      <c r="D229" s="322"/>
      <c r="E229" s="323"/>
      <c r="F229" s="68" t="s">
        <v>143</v>
      </c>
    </row>
    <row r="230" spans="2:6" ht="15" customHeight="1" x14ac:dyDescent="0.2">
      <c r="B230" s="324"/>
      <c r="C230" s="325"/>
      <c r="D230" s="325"/>
      <c r="E230" s="326"/>
      <c r="F230" s="65" t="s">
        <v>155</v>
      </c>
    </row>
    <row r="231" spans="2:6" x14ac:dyDescent="0.2">
      <c r="B231" s="147" t="s">
        <v>174</v>
      </c>
      <c r="C231" s="148"/>
      <c r="D231" s="148"/>
      <c r="E231" s="149"/>
      <c r="F231" s="150">
        <f>SUM(F232:F235)</f>
        <v>1514191.0999999999</v>
      </c>
    </row>
    <row r="232" spans="2:6" ht="15.75" x14ac:dyDescent="0.2">
      <c r="B232" s="151" t="s">
        <v>188</v>
      </c>
      <c r="C232" s="152"/>
      <c r="D232" s="153"/>
      <c r="E232" s="155"/>
      <c r="F232" s="154">
        <v>1268342.8799999999</v>
      </c>
    </row>
    <row r="233" spans="2:6" x14ac:dyDescent="0.2">
      <c r="B233" s="146" t="s">
        <v>189</v>
      </c>
      <c r="C233" s="82"/>
      <c r="D233" s="82"/>
      <c r="E233" s="83"/>
      <c r="F233" s="142">
        <v>35039.919999999998</v>
      </c>
    </row>
    <row r="234" spans="2:6" x14ac:dyDescent="0.2">
      <c r="B234" s="81" t="s">
        <v>190</v>
      </c>
      <c r="C234" s="82"/>
      <c r="D234" s="82"/>
      <c r="E234" s="83"/>
      <c r="F234" s="142">
        <v>640.03</v>
      </c>
    </row>
    <row r="235" spans="2:6" x14ac:dyDescent="0.2">
      <c r="B235" s="81" t="s">
        <v>191</v>
      </c>
      <c r="C235" s="82"/>
      <c r="D235" s="82"/>
      <c r="E235" s="83"/>
      <c r="F235" s="142">
        <v>210168.27</v>
      </c>
    </row>
    <row r="236" spans="2:6" s="24" customFormat="1" ht="15.75" x14ac:dyDescent="0.25">
      <c r="B236" s="147" t="s">
        <v>175</v>
      </c>
      <c r="C236" s="148"/>
      <c r="D236" s="148"/>
      <c r="E236" s="149"/>
      <c r="F236" s="150">
        <f>SUM(F237:F241)</f>
        <v>3402053.64</v>
      </c>
    </row>
    <row r="237" spans="2:6" x14ac:dyDescent="0.2">
      <c r="B237" s="146" t="s">
        <v>189</v>
      </c>
      <c r="C237" s="82"/>
      <c r="D237" s="82"/>
      <c r="E237" s="83"/>
      <c r="F237" s="142">
        <f>2003619.94-91248.13</f>
        <v>1912371.81</v>
      </c>
    </row>
    <row r="238" spans="2:6" x14ac:dyDescent="0.2">
      <c r="B238" s="146" t="s">
        <v>190</v>
      </c>
      <c r="C238" s="82"/>
      <c r="D238" s="82"/>
      <c r="E238" s="83"/>
      <c r="F238" s="142">
        <v>571863.88</v>
      </c>
    </row>
    <row r="239" spans="2:6" ht="18" customHeight="1" x14ac:dyDescent="0.2">
      <c r="B239" s="257" t="s">
        <v>192</v>
      </c>
      <c r="C239" s="258"/>
      <c r="D239" s="258"/>
      <c r="E239" s="259"/>
      <c r="F239" s="142">
        <v>165788.87</v>
      </c>
    </row>
    <row r="240" spans="2:6" x14ac:dyDescent="0.2">
      <c r="B240" s="146" t="s">
        <v>193</v>
      </c>
      <c r="C240" s="82"/>
      <c r="D240" s="82"/>
      <c r="E240" s="83"/>
      <c r="F240" s="142">
        <v>60912.2</v>
      </c>
    </row>
    <row r="241" spans="2:10" x14ac:dyDescent="0.2">
      <c r="B241" s="146" t="s">
        <v>191</v>
      </c>
      <c r="C241" s="82"/>
      <c r="D241" s="82"/>
      <c r="E241" s="83"/>
      <c r="F241" s="142">
        <f>947116.88-256000</f>
        <v>691116.88</v>
      </c>
    </row>
    <row r="242" spans="2:10" ht="15" customHeight="1" x14ac:dyDescent="0.25">
      <c r="B242" s="400" t="s">
        <v>144</v>
      </c>
      <c r="C242" s="401"/>
      <c r="D242" s="401"/>
      <c r="E242" s="402"/>
      <c r="F242" s="143">
        <f>F231+F236</f>
        <v>4916244.74</v>
      </c>
    </row>
    <row r="243" spans="2:10" ht="15" customHeight="1" x14ac:dyDescent="0.2">
      <c r="B243" s="299" t="s">
        <v>145</v>
      </c>
      <c r="C243" s="300"/>
      <c r="D243" s="300"/>
      <c r="E243" s="301"/>
      <c r="F243" s="144">
        <v>1151172.48</v>
      </c>
    </row>
    <row r="244" spans="2:10" ht="15" customHeight="1" x14ac:dyDescent="0.2">
      <c r="B244" s="299" t="s">
        <v>146</v>
      </c>
      <c r="C244" s="300"/>
      <c r="D244" s="300"/>
      <c r="E244" s="301"/>
      <c r="F244" s="144">
        <v>16414.3</v>
      </c>
    </row>
    <row r="245" spans="2:10" ht="15.75" customHeight="1" x14ac:dyDescent="0.2">
      <c r="B245" s="302" t="s">
        <v>147</v>
      </c>
      <c r="C245" s="303"/>
      <c r="D245" s="303"/>
      <c r="E245" s="304"/>
      <c r="F245" s="145">
        <f>F242+-F244-F243</f>
        <v>3748657.9600000004</v>
      </c>
    </row>
    <row r="246" spans="2:10" ht="15.75" thickBot="1" x14ac:dyDescent="0.25">
      <c r="B246" s="328" t="s">
        <v>148</v>
      </c>
      <c r="C246" s="329"/>
      <c r="D246" s="329"/>
      <c r="E246" s="330"/>
      <c r="F246" s="69">
        <f>F245/F227</f>
        <v>0.28227381225280579</v>
      </c>
    </row>
    <row r="247" spans="2:10" ht="15.75" x14ac:dyDescent="0.25">
      <c r="B247" s="24" t="s">
        <v>178</v>
      </c>
      <c r="C247" s="24"/>
      <c r="D247" s="24"/>
      <c r="E247" s="24"/>
      <c r="F247" s="24"/>
      <c r="G247" s="24"/>
      <c r="H247" s="24"/>
    </row>
    <row r="248" spans="2:10" ht="15.75" thickBot="1" x14ac:dyDescent="0.25"/>
    <row r="249" spans="2:10" ht="15.75" x14ac:dyDescent="0.2">
      <c r="B249" s="260" t="s">
        <v>97</v>
      </c>
      <c r="C249" s="261"/>
      <c r="D249" s="261"/>
      <c r="E249" s="137" t="s">
        <v>98</v>
      </c>
      <c r="F249" s="137" t="s">
        <v>99</v>
      </c>
      <c r="G249" s="129" t="s">
        <v>100</v>
      </c>
    </row>
    <row r="250" spans="2:10" ht="15.75" customHeight="1" x14ac:dyDescent="0.25">
      <c r="B250" s="262" t="s">
        <v>194</v>
      </c>
      <c r="C250" s="199"/>
      <c r="D250" s="199"/>
      <c r="E250" s="130">
        <v>0</v>
      </c>
      <c r="F250" s="130">
        <v>1149.5899999999999</v>
      </c>
      <c r="G250" s="132">
        <v>0</v>
      </c>
    </row>
    <row r="251" spans="2:10" ht="15.75" x14ac:dyDescent="0.25">
      <c r="B251" s="262" t="s">
        <v>199</v>
      </c>
      <c r="C251" s="199"/>
      <c r="D251" s="199"/>
      <c r="E251" s="130">
        <v>57245.02</v>
      </c>
      <c r="F251" s="130">
        <v>36554.39</v>
      </c>
      <c r="G251" s="132">
        <f>F251/E251</f>
        <v>0.63856017519078523</v>
      </c>
    </row>
    <row r="252" spans="2:10" ht="15.75" x14ac:dyDescent="0.25">
      <c r="B252" s="262" t="s">
        <v>198</v>
      </c>
      <c r="C252" s="199"/>
      <c r="D252" s="199"/>
      <c r="E252" s="130">
        <v>282603.02</v>
      </c>
      <c r="F252" s="130">
        <v>284621.08</v>
      </c>
      <c r="G252" s="132">
        <f>F252/E252</f>
        <v>1.0071409711049797</v>
      </c>
    </row>
    <row r="253" spans="2:10" ht="15.75" x14ac:dyDescent="0.25">
      <c r="B253" s="262" t="s">
        <v>197</v>
      </c>
      <c r="C253" s="199"/>
      <c r="D253" s="199"/>
      <c r="E253" s="130">
        <v>488640.87</v>
      </c>
      <c r="F253" s="130">
        <v>518198.12</v>
      </c>
      <c r="G253" s="132">
        <f>F253/E253</f>
        <v>1.0604886979674868</v>
      </c>
    </row>
    <row r="254" spans="2:10" ht="15.75" x14ac:dyDescent="0.25">
      <c r="B254" s="262" t="s">
        <v>196</v>
      </c>
      <c r="C254" s="199"/>
      <c r="D254" s="199"/>
      <c r="E254" s="130">
        <v>124905.56</v>
      </c>
      <c r="F254" s="130">
        <v>146817.78</v>
      </c>
      <c r="G254" s="132">
        <f>F254/E254</f>
        <v>1.1754303011010878</v>
      </c>
    </row>
    <row r="255" spans="2:10" ht="15.75" x14ac:dyDescent="0.25">
      <c r="B255" s="262" t="s">
        <v>195</v>
      </c>
      <c r="C255" s="199"/>
      <c r="D255" s="199"/>
      <c r="E255" s="130">
        <v>0</v>
      </c>
      <c r="F255" s="130">
        <v>48103.19</v>
      </c>
      <c r="G255" s="132">
        <v>0</v>
      </c>
      <c r="I255" s="423"/>
      <c r="J255" s="423"/>
    </row>
    <row r="256" spans="2:10" ht="16.5" thickBot="1" x14ac:dyDescent="0.3">
      <c r="B256" s="156"/>
      <c r="C256" s="314" t="s">
        <v>22</v>
      </c>
      <c r="D256" s="314"/>
      <c r="E256" s="131">
        <f>SUM(E250:E255)</f>
        <v>953394.47</v>
      </c>
      <c r="F256" s="131">
        <f>SUM(F250:F255)</f>
        <v>1035444.1499999999</v>
      </c>
      <c r="G256" s="133">
        <f t="shared" ref="G256" si="22">F256/E256</f>
        <v>1.0860605788913376</v>
      </c>
    </row>
    <row r="257" spans="2:9" ht="15.75" x14ac:dyDescent="0.25">
      <c r="C257" s="55"/>
      <c r="D257" s="55"/>
      <c r="E257" s="56"/>
      <c r="F257" s="56"/>
      <c r="G257" s="57"/>
    </row>
    <row r="258" spans="2:9" ht="33.75" customHeight="1" x14ac:dyDescent="0.2">
      <c r="B258" s="313" t="s">
        <v>249</v>
      </c>
      <c r="C258" s="313"/>
      <c r="D258" s="313"/>
      <c r="E258" s="313"/>
      <c r="F258" s="313"/>
      <c r="G258" s="313"/>
      <c r="H258" s="313"/>
      <c r="I258" s="313"/>
    </row>
    <row r="259" spans="2:9" ht="15.75" thickBot="1" x14ac:dyDescent="0.25"/>
    <row r="260" spans="2:9" ht="31.5" x14ac:dyDescent="0.2">
      <c r="B260" s="260" t="s">
        <v>149</v>
      </c>
      <c r="C260" s="261"/>
      <c r="D260" s="261"/>
      <c r="E260" s="261"/>
      <c r="F260" s="137" t="s">
        <v>98</v>
      </c>
      <c r="G260" s="137" t="s">
        <v>99</v>
      </c>
      <c r="H260" s="129" t="s">
        <v>100</v>
      </c>
    </row>
    <row r="261" spans="2:9" ht="15.75" x14ac:dyDescent="0.25">
      <c r="B261" s="307" t="s">
        <v>200</v>
      </c>
      <c r="C261" s="308"/>
      <c r="D261" s="308"/>
      <c r="E261" s="308"/>
      <c r="F261" s="130">
        <v>1286459.49</v>
      </c>
      <c r="G261" s="130">
        <v>1228324.6399999999</v>
      </c>
      <c r="H261" s="58">
        <f t="shared" ref="H261" si="23">G261/F261</f>
        <v>0.95481019771559217</v>
      </c>
    </row>
    <row r="262" spans="2:9" ht="15.75" x14ac:dyDescent="0.25">
      <c r="B262" s="307" t="s">
        <v>201</v>
      </c>
      <c r="C262" s="308"/>
      <c r="D262" s="308"/>
      <c r="E262" s="308"/>
      <c r="F262" s="130">
        <v>3096791.35</v>
      </c>
      <c r="G262" s="130">
        <v>3564611.31</v>
      </c>
      <c r="H262" s="58">
        <f t="shared" ref="H262:H269" si="24">G262/F262</f>
        <v>1.1510660251618179</v>
      </c>
    </row>
    <row r="263" spans="2:9" ht="15.75" x14ac:dyDescent="0.25">
      <c r="B263" s="307" t="str">
        <f>B250</f>
        <v>1008 - PDDE - PROG. DINHEIRO DIRETO NA ESCOLA</v>
      </c>
      <c r="C263" s="308"/>
      <c r="D263" s="308"/>
      <c r="E263" s="308"/>
      <c r="F263" s="130">
        <f>E250</f>
        <v>0</v>
      </c>
      <c r="G263" s="130">
        <f>F250</f>
        <v>1149.5899999999999</v>
      </c>
      <c r="H263" s="58">
        <v>0</v>
      </c>
    </row>
    <row r="264" spans="2:9" ht="15.75" x14ac:dyDescent="0.25">
      <c r="B264" s="307" t="str">
        <f t="shared" ref="B264:B268" si="25">B251</f>
        <v>1009 - P.N.A.E. - PROG. NAC. DE ALIM. ESCOLAR</v>
      </c>
      <c r="C264" s="308"/>
      <c r="D264" s="308"/>
      <c r="E264" s="308"/>
      <c r="F264" s="130">
        <f t="shared" ref="F264:G268" si="26">E251</f>
        <v>57245.02</v>
      </c>
      <c r="G264" s="130">
        <f t="shared" si="26"/>
        <v>36554.39</v>
      </c>
      <c r="H264" s="58">
        <f t="shared" si="24"/>
        <v>0.63856017519078523</v>
      </c>
    </row>
    <row r="265" spans="2:9" ht="15.75" x14ac:dyDescent="0.25">
      <c r="B265" s="307" t="str">
        <f t="shared" si="25"/>
        <v>1011 - Q.S.E. - QUOTA SALÁRIO EDUCAÇÃO</v>
      </c>
      <c r="C265" s="308"/>
      <c r="D265" s="308"/>
      <c r="E265" s="308"/>
      <c r="F265" s="130">
        <f t="shared" si="26"/>
        <v>282603.02</v>
      </c>
      <c r="G265" s="130">
        <f t="shared" si="26"/>
        <v>284621.08</v>
      </c>
      <c r="H265" s="58">
        <f t="shared" si="24"/>
        <v>1.0071409711049797</v>
      </c>
    </row>
    <row r="266" spans="2:9" ht="15.75" x14ac:dyDescent="0.25">
      <c r="B266" s="307" t="str">
        <f t="shared" si="25"/>
        <v>1013 - PEATE/RS - PROG. EST. APOIO TRANSP. ESC.</v>
      </c>
      <c r="C266" s="308"/>
      <c r="D266" s="308"/>
      <c r="E266" s="308"/>
      <c r="F266" s="130">
        <f t="shared" si="26"/>
        <v>488640.87</v>
      </c>
      <c r="G266" s="130">
        <f t="shared" si="26"/>
        <v>518198.12</v>
      </c>
      <c r="H266" s="58">
        <f t="shared" si="24"/>
        <v>1.0604886979674868</v>
      </c>
    </row>
    <row r="267" spans="2:9" ht="15.75" x14ac:dyDescent="0.25">
      <c r="B267" s="307" t="str">
        <f t="shared" si="25"/>
        <v>1049 - P.N.A.T.E.- PROG. NAC. APOIO TRANSP. ESC</v>
      </c>
      <c r="C267" s="308"/>
      <c r="D267" s="308"/>
      <c r="E267" s="308"/>
      <c r="F267" s="130">
        <f t="shared" si="26"/>
        <v>124905.56</v>
      </c>
      <c r="G267" s="130">
        <f t="shared" si="26"/>
        <v>146817.78</v>
      </c>
      <c r="H267" s="58">
        <f t="shared" si="24"/>
        <v>1.1754303011010878</v>
      </c>
    </row>
    <row r="268" spans="2:9" ht="15.75" x14ac:dyDescent="0.25">
      <c r="B268" s="307" t="str">
        <f t="shared" si="25"/>
        <v>1172 - TRANSFERENCIAS MP 815/2017</v>
      </c>
      <c r="C268" s="308"/>
      <c r="D268" s="308"/>
      <c r="E268" s="308"/>
      <c r="F268" s="130">
        <f t="shared" si="26"/>
        <v>0</v>
      </c>
      <c r="G268" s="130">
        <f t="shared" si="26"/>
        <v>48103.19</v>
      </c>
      <c r="H268" s="58">
        <v>0</v>
      </c>
    </row>
    <row r="269" spans="2:9" ht="16.5" thickBot="1" x14ac:dyDescent="0.3">
      <c r="B269" s="305" t="s">
        <v>101</v>
      </c>
      <c r="C269" s="306"/>
      <c r="D269" s="306"/>
      <c r="E269" s="306"/>
      <c r="F269" s="131">
        <f>SUM(F261:F268)</f>
        <v>5336645.3099999987</v>
      </c>
      <c r="G269" s="131">
        <f>SUM(G261:G268)</f>
        <v>5828380.1000000006</v>
      </c>
      <c r="H269" s="59">
        <f t="shared" si="24"/>
        <v>1.0921430526924043</v>
      </c>
    </row>
    <row r="271" spans="2:9" ht="36" customHeight="1" x14ac:dyDescent="0.25">
      <c r="B271" s="278" t="s">
        <v>202</v>
      </c>
      <c r="C271" s="278"/>
      <c r="D271" s="278"/>
      <c r="E271" s="278"/>
      <c r="F271" s="278"/>
      <c r="G271" s="278"/>
      <c r="H271" s="278"/>
      <c r="I271" s="278"/>
    </row>
    <row r="272" spans="2:9" ht="24" customHeight="1" x14ac:dyDescent="0.25">
      <c r="B272" s="136"/>
      <c r="C272" s="136"/>
      <c r="D272" s="136"/>
      <c r="E272" s="136"/>
      <c r="F272" s="136"/>
      <c r="G272" s="136"/>
      <c r="H272" s="136"/>
      <c r="I272" s="136"/>
    </row>
    <row r="273" spans="2:9" ht="18.75" customHeight="1" thickBot="1" x14ac:dyDescent="0.3">
      <c r="B273" s="435" t="s">
        <v>205</v>
      </c>
      <c r="C273" s="435"/>
      <c r="D273" s="435"/>
      <c r="E273" s="435"/>
      <c r="F273" s="435"/>
      <c r="G273" s="435"/>
      <c r="H273" s="435"/>
      <c r="I273" s="136"/>
    </row>
    <row r="274" spans="2:9" ht="18.75" customHeight="1" x14ac:dyDescent="0.25">
      <c r="B274" s="431" t="s">
        <v>207</v>
      </c>
      <c r="C274" s="432"/>
      <c r="D274" s="432"/>
      <c r="E274" s="432"/>
      <c r="F274" s="433">
        <f>G262</f>
        <v>3564611.31</v>
      </c>
      <c r="G274" s="434"/>
      <c r="H274" s="159"/>
      <c r="I274" s="136"/>
    </row>
    <row r="275" spans="2:9" ht="15.75" x14ac:dyDescent="0.25">
      <c r="B275" s="359" t="s">
        <v>206</v>
      </c>
      <c r="C275" s="360"/>
      <c r="D275" s="360"/>
      <c r="E275" s="360"/>
      <c r="F275" s="426">
        <f>SUM(F276:G280)</f>
        <v>3402053.64</v>
      </c>
      <c r="G275" s="337"/>
    </row>
    <row r="276" spans="2:9" ht="15.75" x14ac:dyDescent="0.2">
      <c r="B276" s="242" t="s">
        <v>189</v>
      </c>
      <c r="C276" s="243"/>
      <c r="D276" s="243"/>
      <c r="E276" s="243"/>
      <c r="F276" s="250">
        <f>F237</f>
        <v>1912371.81</v>
      </c>
      <c r="G276" s="251"/>
    </row>
    <row r="277" spans="2:9" ht="15.75" x14ac:dyDescent="0.2">
      <c r="B277" s="242" t="s">
        <v>190</v>
      </c>
      <c r="C277" s="243"/>
      <c r="D277" s="243"/>
      <c r="E277" s="243"/>
      <c r="F277" s="250">
        <f t="shared" ref="F277:F280" si="27">F238</f>
        <v>571863.88</v>
      </c>
      <c r="G277" s="251"/>
    </row>
    <row r="278" spans="2:9" ht="15.75" x14ac:dyDescent="0.2">
      <c r="B278" s="242" t="s">
        <v>192</v>
      </c>
      <c r="C278" s="243"/>
      <c r="D278" s="243"/>
      <c r="E278" s="243"/>
      <c r="F278" s="250">
        <f t="shared" si="27"/>
        <v>165788.87</v>
      </c>
      <c r="G278" s="251"/>
    </row>
    <row r="279" spans="2:9" ht="15.75" x14ac:dyDescent="0.2">
      <c r="B279" s="242" t="s">
        <v>193</v>
      </c>
      <c r="C279" s="243"/>
      <c r="D279" s="243"/>
      <c r="E279" s="243"/>
      <c r="F279" s="250">
        <f t="shared" si="27"/>
        <v>60912.2</v>
      </c>
      <c r="G279" s="251"/>
    </row>
    <row r="280" spans="2:9" ht="15.75" x14ac:dyDescent="0.2">
      <c r="B280" s="242" t="s">
        <v>191</v>
      </c>
      <c r="C280" s="243"/>
      <c r="D280" s="243"/>
      <c r="E280" s="243"/>
      <c r="F280" s="250">
        <f t="shared" si="27"/>
        <v>691116.88</v>
      </c>
      <c r="G280" s="251"/>
    </row>
    <row r="281" spans="2:9" ht="15.75" customHeight="1" x14ac:dyDescent="0.2">
      <c r="B281" s="246" t="s">
        <v>208</v>
      </c>
      <c r="C281" s="247"/>
      <c r="D281" s="247"/>
      <c r="E281" s="247"/>
      <c r="F281" s="252">
        <f>F282+F283</f>
        <v>1167126.1399999999</v>
      </c>
      <c r="G281" s="253"/>
    </row>
    <row r="282" spans="2:9" ht="18" customHeight="1" x14ac:dyDescent="0.2">
      <c r="B282" s="242" t="s">
        <v>203</v>
      </c>
      <c r="C282" s="243"/>
      <c r="D282" s="243"/>
      <c r="E282" s="243"/>
      <c r="F282" s="254">
        <v>1151172.48</v>
      </c>
      <c r="G282" s="255"/>
    </row>
    <row r="283" spans="2:9" ht="18" customHeight="1" x14ac:dyDescent="0.2">
      <c r="B283" s="242" t="s">
        <v>204</v>
      </c>
      <c r="C283" s="243"/>
      <c r="D283" s="243"/>
      <c r="E283" s="243"/>
      <c r="F283" s="254">
        <v>15953.66</v>
      </c>
      <c r="G283" s="255"/>
    </row>
    <row r="284" spans="2:9" ht="18" customHeight="1" x14ac:dyDescent="0.25">
      <c r="B284" s="246" t="s">
        <v>209</v>
      </c>
      <c r="C284" s="247"/>
      <c r="D284" s="247"/>
      <c r="E284" s="247"/>
      <c r="F284" s="248">
        <f>F275-F281</f>
        <v>2234927.5</v>
      </c>
      <c r="G284" s="249"/>
    </row>
    <row r="285" spans="2:9" ht="18" customHeight="1" thickBot="1" x14ac:dyDescent="0.3">
      <c r="B285" s="427" t="s">
        <v>210</v>
      </c>
      <c r="C285" s="428"/>
      <c r="D285" s="428"/>
      <c r="E285" s="428"/>
      <c r="F285" s="212">
        <f>100%- (F284/F274)</f>
        <v>0.37302350645349891</v>
      </c>
      <c r="G285" s="213"/>
    </row>
    <row r="286" spans="2:9" ht="18" customHeight="1" thickBot="1" x14ac:dyDescent="0.3">
      <c r="B286" s="157"/>
      <c r="C286" s="157"/>
      <c r="D286" s="157"/>
      <c r="E286" s="157"/>
      <c r="F286" s="158"/>
      <c r="G286" s="158"/>
    </row>
    <row r="287" spans="2:9" ht="18" customHeight="1" x14ac:dyDescent="0.2">
      <c r="B287" s="238" t="s">
        <v>211</v>
      </c>
      <c r="C287" s="239"/>
      <c r="D287" s="239"/>
      <c r="E287" s="239"/>
      <c r="F287" s="239"/>
      <c r="G287" s="256"/>
    </row>
    <row r="288" spans="2:9" ht="18" customHeight="1" x14ac:dyDescent="0.25">
      <c r="B288" s="246" t="s">
        <v>212</v>
      </c>
      <c r="C288" s="247"/>
      <c r="D288" s="247"/>
      <c r="E288" s="247"/>
      <c r="F288" s="248">
        <f>F290+F289</f>
        <v>3568285.56</v>
      </c>
      <c r="G288" s="249"/>
    </row>
    <row r="289" spans="2:9" ht="18" customHeight="1" x14ac:dyDescent="0.2">
      <c r="B289" s="242" t="s">
        <v>238</v>
      </c>
      <c r="C289" s="243"/>
      <c r="D289" s="243"/>
      <c r="E289" s="243"/>
      <c r="F289" s="244">
        <v>15953.66</v>
      </c>
      <c r="G289" s="245"/>
    </row>
    <row r="290" spans="2:9" ht="18" customHeight="1" x14ac:dyDescent="0.2">
      <c r="B290" s="242" t="s">
        <v>239</v>
      </c>
      <c r="C290" s="243"/>
      <c r="D290" s="243"/>
      <c r="E290" s="243"/>
      <c r="F290" s="244">
        <v>3552331.9</v>
      </c>
      <c r="G290" s="245"/>
    </row>
    <row r="291" spans="2:9" ht="18" customHeight="1" thickBot="1" x14ac:dyDescent="0.25">
      <c r="B291" s="427" t="s">
        <v>214</v>
      </c>
      <c r="C291" s="428"/>
      <c r="D291" s="428"/>
      <c r="E291" s="428"/>
      <c r="F291" s="429">
        <f>F288*60%</f>
        <v>2140971.3360000001</v>
      </c>
      <c r="G291" s="430"/>
    </row>
    <row r="292" spans="2:9" ht="18" customHeight="1" thickBot="1" x14ac:dyDescent="0.25">
      <c r="B292" s="160"/>
      <c r="C292" s="160"/>
      <c r="D292" s="160"/>
      <c r="E292" s="160"/>
      <c r="F292" s="161"/>
      <c r="G292" s="161"/>
    </row>
    <row r="293" spans="2:9" ht="18" customHeight="1" x14ac:dyDescent="0.2">
      <c r="B293" s="238" t="s">
        <v>213</v>
      </c>
      <c r="C293" s="239"/>
      <c r="D293" s="239"/>
      <c r="E293" s="239"/>
      <c r="F293" s="240">
        <f>SUM(F294:G297)</f>
        <v>2308307.8499999996</v>
      </c>
      <c r="G293" s="241"/>
    </row>
    <row r="294" spans="2:9" ht="18" customHeight="1" x14ac:dyDescent="0.2">
      <c r="B294" s="242" t="str">
        <f>B276</f>
        <v>Ensino Fundamental</v>
      </c>
      <c r="C294" s="243"/>
      <c r="D294" s="243"/>
      <c r="E294" s="243"/>
      <c r="F294" s="244">
        <v>1644116.79</v>
      </c>
      <c r="G294" s="245"/>
    </row>
    <row r="295" spans="2:9" ht="18" customHeight="1" x14ac:dyDescent="0.2">
      <c r="B295" s="242" t="str">
        <f>B277</f>
        <v>Educação Infantil</v>
      </c>
      <c r="C295" s="243"/>
      <c r="D295" s="243"/>
      <c r="E295" s="243"/>
      <c r="F295" s="244">
        <v>451622.97</v>
      </c>
      <c r="G295" s="245"/>
    </row>
    <row r="296" spans="2:9" ht="18" customHeight="1" x14ac:dyDescent="0.2">
      <c r="B296" s="242" t="str">
        <f>B278</f>
        <v>Educação de Jovens e Adultos</v>
      </c>
      <c r="C296" s="243"/>
      <c r="D296" s="243"/>
      <c r="E296" s="243"/>
      <c r="F296" s="244">
        <v>158131.79</v>
      </c>
      <c r="G296" s="245"/>
    </row>
    <row r="297" spans="2:9" ht="15.75" x14ac:dyDescent="0.2">
      <c r="B297" s="242" t="str">
        <f>B279</f>
        <v>Educação Especial</v>
      </c>
      <c r="C297" s="243"/>
      <c r="D297" s="243"/>
      <c r="E297" s="243"/>
      <c r="F297" s="244">
        <v>54436.3</v>
      </c>
      <c r="G297" s="245"/>
    </row>
    <row r="298" spans="2:9" ht="16.5" thickBot="1" x14ac:dyDescent="0.3">
      <c r="B298" s="210" t="s">
        <v>215</v>
      </c>
      <c r="C298" s="211"/>
      <c r="D298" s="211"/>
      <c r="E298" s="211"/>
      <c r="F298" s="212">
        <f>F293/F288</f>
        <v>0.6468954939805881</v>
      </c>
      <c r="G298" s="213"/>
    </row>
    <row r="299" spans="2:9" ht="15.75" x14ac:dyDescent="0.25">
      <c r="B299" s="164"/>
      <c r="C299" s="164"/>
      <c r="D299" s="164"/>
      <c r="E299" s="164"/>
      <c r="F299" s="166"/>
      <c r="G299" s="166"/>
    </row>
    <row r="300" spans="2:9" ht="15.75" x14ac:dyDescent="0.25">
      <c r="B300" s="186" t="s">
        <v>240</v>
      </c>
      <c r="C300" s="186"/>
      <c r="D300" s="186"/>
      <c r="E300" s="186"/>
      <c r="F300" s="186"/>
      <c r="G300" s="186"/>
      <c r="H300" s="186"/>
      <c r="I300" s="167"/>
    </row>
    <row r="301" spans="2:9" ht="15.75" x14ac:dyDescent="0.25">
      <c r="B301" s="165"/>
      <c r="C301" s="165"/>
      <c r="D301" s="165"/>
      <c r="E301" s="165"/>
      <c r="F301" s="165"/>
      <c r="G301" s="165"/>
      <c r="H301" s="165"/>
      <c r="I301" s="167"/>
    </row>
    <row r="302" spans="2:9" ht="15.75" x14ac:dyDescent="0.25">
      <c r="B302" s="187" t="s">
        <v>241</v>
      </c>
      <c r="C302" s="188"/>
      <c r="D302" s="188"/>
      <c r="E302" s="188"/>
      <c r="F302" s="188"/>
      <c r="G302" s="188"/>
      <c r="H302" s="189"/>
      <c r="I302" s="167"/>
    </row>
    <row r="303" spans="2:9" ht="18" customHeight="1" x14ac:dyDescent="0.25">
      <c r="B303" s="194" t="s">
        <v>242</v>
      </c>
      <c r="C303" s="195"/>
      <c r="D303" s="195"/>
      <c r="E303" s="195"/>
      <c r="F303" s="195"/>
      <c r="G303" s="196">
        <v>36784.639999999999</v>
      </c>
      <c r="H303" s="197"/>
      <c r="I303" s="7"/>
    </row>
    <row r="304" spans="2:9" ht="15.75" x14ac:dyDescent="0.25">
      <c r="B304" s="198" t="s">
        <v>243</v>
      </c>
      <c r="C304" s="199"/>
      <c r="D304" s="199"/>
      <c r="E304" s="199"/>
      <c r="F304" s="199"/>
      <c r="G304" s="196">
        <v>1077953.57</v>
      </c>
      <c r="H304" s="197"/>
      <c r="I304" s="7"/>
    </row>
    <row r="305" spans="2:9" ht="15.75" x14ac:dyDescent="0.25">
      <c r="B305" s="200" t="s">
        <v>244</v>
      </c>
      <c r="C305" s="201"/>
      <c r="D305" s="201"/>
      <c r="E305" s="201"/>
      <c r="F305" s="201"/>
      <c r="G305" s="202">
        <f t="shared" ref="G305" si="28">SUM(G303:H304)</f>
        <v>1114738.21</v>
      </c>
      <c r="H305" s="203"/>
      <c r="I305" s="7"/>
    </row>
    <row r="306" spans="2:9" ht="15.75" x14ac:dyDescent="0.25">
      <c r="B306" s="182" t="s">
        <v>245</v>
      </c>
      <c r="C306" s="183"/>
      <c r="D306" s="183"/>
      <c r="E306" s="183"/>
      <c r="F306" s="183"/>
      <c r="G306" s="184">
        <f>G305*5%</f>
        <v>55736.910499999998</v>
      </c>
      <c r="H306" s="185"/>
      <c r="I306" s="7"/>
    </row>
    <row r="307" spans="2:9" ht="15.75" x14ac:dyDescent="0.25">
      <c r="B307" s="169"/>
      <c r="C307" s="170"/>
      <c r="D307" s="169"/>
      <c r="E307" s="170"/>
      <c r="F307" s="171"/>
      <c r="G307" s="172"/>
      <c r="H307" s="173"/>
    </row>
    <row r="308" spans="2:9" ht="38.25" customHeight="1" x14ac:dyDescent="0.2">
      <c r="B308" s="190" t="s">
        <v>246</v>
      </c>
      <c r="C308" s="191"/>
      <c r="D308" s="191"/>
      <c r="E308" s="191"/>
      <c r="F308" s="191"/>
      <c r="G308" s="192">
        <f>256000+91248.13</f>
        <v>347248.13</v>
      </c>
      <c r="H308" s="193"/>
    </row>
    <row r="309" spans="2:9" ht="15.75" x14ac:dyDescent="0.25">
      <c r="B309" s="164"/>
      <c r="C309" s="164"/>
      <c r="D309" s="164"/>
      <c r="E309" s="164"/>
      <c r="F309" s="166"/>
      <c r="G309" s="168"/>
    </row>
    <row r="311" spans="2:9" ht="15.75" x14ac:dyDescent="0.25">
      <c r="B311" s="134"/>
      <c r="C311" s="134"/>
      <c r="D311" s="134"/>
      <c r="E311" s="135"/>
      <c r="G311"/>
    </row>
    <row r="312" spans="2:9" ht="18" x14ac:dyDescent="0.25">
      <c r="B312" s="25" t="s">
        <v>131</v>
      </c>
    </row>
    <row r="314" spans="2:9" ht="34.5" customHeight="1" x14ac:dyDescent="0.2">
      <c r="B314" s="313" t="s">
        <v>216</v>
      </c>
      <c r="C314" s="313"/>
      <c r="D314" s="313"/>
      <c r="E314" s="313"/>
      <c r="F314" s="313"/>
      <c r="G314" s="313"/>
      <c r="H314" s="313"/>
      <c r="I314" s="313"/>
    </row>
    <row r="316" spans="2:9" x14ac:dyDescent="0.2">
      <c r="B316" s="4" t="s">
        <v>250</v>
      </c>
    </row>
    <row r="318" spans="2:9" x14ac:dyDescent="0.2">
      <c r="B318" s="4" t="s">
        <v>251</v>
      </c>
    </row>
    <row r="320" spans="2:9" x14ac:dyDescent="0.2">
      <c r="B320" s="4" t="s">
        <v>252</v>
      </c>
    </row>
    <row r="323" spans="2:9" ht="15.75" x14ac:dyDescent="0.25">
      <c r="B323" s="404" t="s">
        <v>103</v>
      </c>
      <c r="C323" s="404"/>
      <c r="D323" s="404"/>
      <c r="E323" s="404"/>
      <c r="F323" s="404"/>
      <c r="G323" s="404"/>
      <c r="H323" s="404"/>
      <c r="I323" s="404"/>
    </row>
    <row r="325" spans="2:9" ht="72.75" customHeight="1" x14ac:dyDescent="0.2">
      <c r="B325" s="313" t="s">
        <v>247</v>
      </c>
      <c r="C325" s="313"/>
      <c r="D325" s="313"/>
      <c r="E325" s="313"/>
      <c r="F325" s="313"/>
      <c r="G325" s="313"/>
      <c r="H325" s="313"/>
      <c r="I325" s="313"/>
    </row>
    <row r="327" spans="2:9" ht="18" x14ac:dyDescent="0.25">
      <c r="B327" s="26" t="s">
        <v>132</v>
      </c>
    </row>
    <row r="329" spans="2:9" ht="15.75" x14ac:dyDescent="0.25">
      <c r="B329" s="24" t="s">
        <v>133</v>
      </c>
    </row>
    <row r="331" spans="2:9" ht="26.25" customHeight="1" thickBot="1" x14ac:dyDescent="0.25">
      <c r="B331" s="403" t="s">
        <v>154</v>
      </c>
      <c r="C331" s="403"/>
      <c r="D331" s="403"/>
      <c r="E331" s="403"/>
      <c r="F331" s="403"/>
      <c r="G331" s="403"/>
    </row>
    <row r="332" spans="2:9" ht="15.75" customHeight="1" x14ac:dyDescent="0.2">
      <c r="B332" s="405" t="s">
        <v>138</v>
      </c>
      <c r="C332" s="406"/>
      <c r="D332" s="406"/>
      <c r="E332" s="406"/>
      <c r="F332" s="409" t="s">
        <v>99</v>
      </c>
      <c r="G332" s="410"/>
    </row>
    <row r="333" spans="2:9" ht="15.75" customHeight="1" x14ac:dyDescent="0.2">
      <c r="B333" s="407"/>
      <c r="C333" s="408"/>
      <c r="D333" s="408"/>
      <c r="E333" s="408"/>
      <c r="F333" s="297" t="s">
        <v>155</v>
      </c>
      <c r="G333" s="298"/>
    </row>
    <row r="334" spans="2:9" ht="15.75" customHeight="1" x14ac:dyDescent="0.2">
      <c r="B334" s="230" t="s">
        <v>150</v>
      </c>
      <c r="C334" s="231"/>
      <c r="D334" s="231"/>
      <c r="E334" s="231"/>
      <c r="F334" s="411">
        <f>F336</f>
        <v>1992032.8049999997</v>
      </c>
      <c r="G334" s="412"/>
    </row>
    <row r="335" spans="2:9" ht="15.75" customHeight="1" x14ac:dyDescent="0.2">
      <c r="B335" s="230" t="s">
        <v>140</v>
      </c>
      <c r="C335" s="231"/>
      <c r="D335" s="231"/>
      <c r="E335" s="231"/>
      <c r="F335" s="411">
        <v>13280218.699999999</v>
      </c>
      <c r="G335" s="412"/>
    </row>
    <row r="336" spans="2:9" ht="15.75" customHeight="1" x14ac:dyDescent="0.2">
      <c r="B336" s="413" t="s">
        <v>151</v>
      </c>
      <c r="C336" s="414"/>
      <c r="D336" s="414"/>
      <c r="E336" s="414"/>
      <c r="F336" s="415">
        <f>F335*15%</f>
        <v>1992032.8049999997</v>
      </c>
      <c r="G336" s="416"/>
    </row>
    <row r="337" spans="2:9" ht="15.75" customHeight="1" x14ac:dyDescent="0.2">
      <c r="B337" s="214" t="s">
        <v>217</v>
      </c>
      <c r="C337" s="215"/>
      <c r="D337" s="215"/>
      <c r="E337" s="216"/>
      <c r="F337" s="222">
        <f>SUM(F338:G339)-F340</f>
        <v>2848461.6100000003</v>
      </c>
      <c r="G337" s="223"/>
    </row>
    <row r="338" spans="2:9" ht="15.75" customHeight="1" x14ac:dyDescent="0.2">
      <c r="B338" s="217" t="s">
        <v>218</v>
      </c>
      <c r="C338" s="218"/>
      <c r="D338" s="218"/>
      <c r="E338" s="219"/>
      <c r="F338" s="220">
        <v>69853.179999999993</v>
      </c>
      <c r="G338" s="221"/>
    </row>
    <row r="339" spans="2:9" ht="15.75" customHeight="1" x14ac:dyDescent="0.2">
      <c r="B339" s="217" t="s">
        <v>219</v>
      </c>
      <c r="C339" s="218"/>
      <c r="D339" s="218"/>
      <c r="E339" s="219"/>
      <c r="F339" s="220">
        <v>2780342.83</v>
      </c>
      <c r="G339" s="221"/>
    </row>
    <row r="340" spans="2:9" ht="15.75" customHeight="1" x14ac:dyDescent="0.2">
      <c r="B340" s="217" t="s">
        <v>220</v>
      </c>
      <c r="C340" s="218"/>
      <c r="D340" s="218"/>
      <c r="E340" s="219"/>
      <c r="F340" s="220">
        <v>1734.4</v>
      </c>
      <c r="G340" s="221"/>
    </row>
    <row r="341" spans="2:9" ht="15.75" customHeight="1" x14ac:dyDescent="0.2">
      <c r="B341" s="407" t="s">
        <v>152</v>
      </c>
      <c r="C341" s="408"/>
      <c r="D341" s="408"/>
      <c r="E341" s="408"/>
      <c r="F341" s="297" t="s">
        <v>143</v>
      </c>
      <c r="G341" s="298"/>
    </row>
    <row r="342" spans="2:9" ht="15.75" customHeight="1" x14ac:dyDescent="0.2">
      <c r="B342" s="407"/>
      <c r="C342" s="408"/>
      <c r="D342" s="408"/>
      <c r="E342" s="408"/>
      <c r="F342" s="297" t="s">
        <v>155</v>
      </c>
      <c r="G342" s="298"/>
    </row>
    <row r="343" spans="2:9" ht="15.75" customHeight="1" x14ac:dyDescent="0.2">
      <c r="B343" s="417" t="s">
        <v>153</v>
      </c>
      <c r="C343" s="418"/>
      <c r="D343" s="418"/>
      <c r="E343" s="418"/>
      <c r="F343" s="419">
        <f>SUM(F344:G348)-F349</f>
        <v>3471709.3899999997</v>
      </c>
      <c r="G343" s="420"/>
    </row>
    <row r="344" spans="2:9" ht="15.75" customHeight="1" x14ac:dyDescent="0.2">
      <c r="B344" s="235" t="s">
        <v>221</v>
      </c>
      <c r="C344" s="236"/>
      <c r="D344" s="236"/>
      <c r="E344" s="237"/>
      <c r="F344" s="208">
        <v>212933.59</v>
      </c>
      <c r="G344" s="209"/>
    </row>
    <row r="345" spans="2:9" ht="15.75" customHeight="1" x14ac:dyDescent="0.2">
      <c r="B345" s="235" t="s">
        <v>222</v>
      </c>
      <c r="C345" s="236"/>
      <c r="D345" s="236"/>
      <c r="E345" s="237"/>
      <c r="F345" s="208">
        <v>2814469.36</v>
      </c>
      <c r="G345" s="209"/>
    </row>
    <row r="346" spans="2:9" ht="15.75" customHeight="1" x14ac:dyDescent="0.2">
      <c r="B346" s="235" t="s">
        <v>223</v>
      </c>
      <c r="C346" s="236"/>
      <c r="D346" s="236"/>
      <c r="E346" s="237"/>
      <c r="F346" s="208">
        <v>269966.05</v>
      </c>
      <c r="G346" s="209"/>
    </row>
    <row r="347" spans="2:9" ht="15.75" customHeight="1" x14ac:dyDescent="0.2">
      <c r="B347" s="235" t="s">
        <v>224</v>
      </c>
      <c r="C347" s="236"/>
      <c r="D347" s="236"/>
      <c r="E347" s="237"/>
      <c r="F347" s="208">
        <v>124870.58</v>
      </c>
      <c r="G347" s="209"/>
    </row>
    <row r="348" spans="2:9" ht="15.75" customHeight="1" x14ac:dyDescent="0.2">
      <c r="B348" s="235" t="s">
        <v>225</v>
      </c>
      <c r="C348" s="236"/>
      <c r="D348" s="236"/>
      <c r="E348" s="237"/>
      <c r="F348" s="208">
        <v>51670.86</v>
      </c>
      <c r="G348" s="209"/>
    </row>
    <row r="349" spans="2:9" ht="15.75" customHeight="1" x14ac:dyDescent="0.2">
      <c r="B349" s="230" t="s">
        <v>104</v>
      </c>
      <c r="C349" s="231"/>
      <c r="D349" s="231"/>
      <c r="E349" s="231"/>
      <c r="F349" s="233">
        <v>2201.0500000000002</v>
      </c>
      <c r="G349" s="234"/>
    </row>
    <row r="350" spans="2:9" ht="15.75" customHeight="1" x14ac:dyDescent="0.2">
      <c r="B350" s="407" t="s">
        <v>148</v>
      </c>
      <c r="C350" s="408"/>
      <c r="D350" s="408"/>
      <c r="E350" s="408"/>
      <c r="F350" s="297" t="s">
        <v>155</v>
      </c>
      <c r="G350" s="298"/>
    </row>
    <row r="351" spans="2:9" ht="15.75" thickBot="1" x14ac:dyDescent="0.25">
      <c r="B351" s="421"/>
      <c r="C351" s="422"/>
      <c r="D351" s="422"/>
      <c r="E351" s="422"/>
      <c r="F351" s="424">
        <f>F343/F335</f>
        <v>0.26141959469387349</v>
      </c>
      <c r="G351" s="425"/>
    </row>
    <row r="352" spans="2:9" ht="36" customHeight="1" x14ac:dyDescent="0.2">
      <c r="B352" s="313" t="s">
        <v>156</v>
      </c>
      <c r="C352" s="313"/>
      <c r="D352" s="313"/>
      <c r="E352" s="313"/>
      <c r="F352" s="313"/>
      <c r="G352" s="313"/>
      <c r="H352" s="313"/>
      <c r="I352" s="313"/>
    </row>
    <row r="354" spans="2:8" x14ac:dyDescent="0.2">
      <c r="B354" s="232" t="s">
        <v>105</v>
      </c>
      <c r="C354" s="232"/>
      <c r="D354" s="232"/>
      <c r="E354" s="232"/>
      <c r="F354" s="232"/>
      <c r="G354" s="232"/>
      <c r="H354" s="232"/>
    </row>
    <row r="355" spans="2:8" ht="15.75" thickBot="1" x14ac:dyDescent="0.25">
      <c r="B355" s="232" t="s">
        <v>226</v>
      </c>
      <c r="C355" s="232"/>
      <c r="D355" s="232"/>
      <c r="E355" s="232"/>
      <c r="F355" s="232"/>
      <c r="G355" s="232"/>
    </row>
    <row r="356" spans="2:8" ht="15.75" thickBot="1" x14ac:dyDescent="0.25">
      <c r="B356" s="392" t="s">
        <v>106</v>
      </c>
      <c r="C356" s="393"/>
      <c r="D356" s="393"/>
      <c r="E356" s="393"/>
      <c r="F356" s="393"/>
      <c r="G356" s="393"/>
      <c r="H356" s="394"/>
    </row>
    <row r="357" spans="2:8" ht="15" customHeight="1" x14ac:dyDescent="0.2">
      <c r="B357" s="224" t="s">
        <v>179</v>
      </c>
      <c r="C357" s="225"/>
      <c r="D357" s="226"/>
      <c r="E357" s="389" t="s">
        <v>102</v>
      </c>
      <c r="F357" s="389"/>
      <c r="G357" s="390" t="s">
        <v>126</v>
      </c>
      <c r="H357" s="391"/>
    </row>
    <row r="358" spans="2:8" ht="27.75" customHeight="1" thickBot="1" x14ac:dyDescent="0.25">
      <c r="B358" s="227"/>
      <c r="C358" s="228"/>
      <c r="D358" s="229"/>
      <c r="E358" s="111" t="s">
        <v>107</v>
      </c>
      <c r="F358" s="111" t="s">
        <v>108</v>
      </c>
      <c r="G358" s="112" t="s">
        <v>127</v>
      </c>
      <c r="H358" s="113" t="s">
        <v>128</v>
      </c>
    </row>
    <row r="359" spans="2:8" x14ac:dyDescent="0.2">
      <c r="B359" s="115">
        <v>40</v>
      </c>
      <c r="C359" s="205" t="s">
        <v>234</v>
      </c>
      <c r="D359" s="205"/>
      <c r="E359" s="114">
        <v>2812693.8</v>
      </c>
      <c r="F359" s="114">
        <v>2850690.17</v>
      </c>
      <c r="G359" s="32">
        <f>F359/E359</f>
        <v>1.0135088895918924</v>
      </c>
      <c r="H359" s="60">
        <f t="shared" ref="H359:H374" si="29">F359/F$374</f>
        <v>0.75591095929517749</v>
      </c>
    </row>
    <row r="360" spans="2:8" x14ac:dyDescent="0.2">
      <c r="B360" s="174">
        <v>4011</v>
      </c>
      <c r="C360" s="206" t="s">
        <v>227</v>
      </c>
      <c r="D360" s="206"/>
      <c r="E360" s="162">
        <v>189078.76</v>
      </c>
      <c r="F360" s="114">
        <v>122126.74</v>
      </c>
      <c r="G360" s="32">
        <f t="shared" ref="G360" si="30">F360/E360</f>
        <v>0.64590406664397415</v>
      </c>
      <c r="H360" s="60">
        <f t="shared" si="29"/>
        <v>3.2384066904399059E-2</v>
      </c>
    </row>
    <row r="361" spans="2:8" x14ac:dyDescent="0.2">
      <c r="B361" s="175">
        <v>4050</v>
      </c>
      <c r="C361" s="207" t="s">
        <v>228</v>
      </c>
      <c r="D361" s="207"/>
      <c r="E361" s="114">
        <v>12481.03</v>
      </c>
      <c r="F361" s="114">
        <v>18131.18</v>
      </c>
      <c r="G361" s="32">
        <f t="shared" ref="G361" si="31">F361/E361</f>
        <v>1.4526990160267221</v>
      </c>
      <c r="H361" s="60">
        <f t="shared" si="29"/>
        <v>4.8078033211703033E-3</v>
      </c>
    </row>
    <row r="362" spans="2:8" x14ac:dyDescent="0.2">
      <c r="B362" s="175">
        <v>4051</v>
      </c>
      <c r="C362" s="207" t="s">
        <v>161</v>
      </c>
      <c r="D362" s="207"/>
      <c r="E362" s="114">
        <v>4873.5600000000004</v>
      </c>
      <c r="F362" s="114">
        <v>13478.2</v>
      </c>
      <c r="G362" s="32">
        <f t="shared" ref="G362" si="32">F362/E362</f>
        <v>2.7655758829274699</v>
      </c>
      <c r="H362" s="60">
        <f t="shared" si="29"/>
        <v>3.5739833107055132E-3</v>
      </c>
    </row>
    <row r="363" spans="2:8" x14ac:dyDescent="0.2">
      <c r="B363" s="175">
        <v>4070</v>
      </c>
      <c r="C363" s="207" t="s">
        <v>162</v>
      </c>
      <c r="D363" s="207"/>
      <c r="E363" s="114">
        <v>77112.19</v>
      </c>
      <c r="F363" s="114">
        <v>99644.46</v>
      </c>
      <c r="G363" s="32">
        <f t="shared" ref="G363" si="33">F363/E363</f>
        <v>1.2922011422577935</v>
      </c>
      <c r="H363" s="60">
        <f t="shared" si="29"/>
        <v>2.6422492398410994E-2</v>
      </c>
    </row>
    <row r="364" spans="2:8" x14ac:dyDescent="0.2">
      <c r="B364" s="175">
        <v>4090</v>
      </c>
      <c r="C364" s="207" t="s">
        <v>163</v>
      </c>
      <c r="D364" s="207"/>
      <c r="E364" s="114">
        <v>13696.29</v>
      </c>
      <c r="F364" s="114">
        <v>632.09</v>
      </c>
      <c r="G364" s="32">
        <f t="shared" ref="G364" si="34">F364/E364</f>
        <v>4.6150453882036667E-2</v>
      </c>
      <c r="H364" s="60">
        <f t="shared" si="29"/>
        <v>1.6760985226987638E-4</v>
      </c>
    </row>
    <row r="365" spans="2:8" x14ac:dyDescent="0.2">
      <c r="B365" s="175">
        <v>4190</v>
      </c>
      <c r="C365" s="207" t="s">
        <v>164</v>
      </c>
      <c r="D365" s="207"/>
      <c r="E365" s="114">
        <v>61.97</v>
      </c>
      <c r="F365" s="114">
        <v>0</v>
      </c>
      <c r="G365" s="32">
        <f t="shared" ref="G365:G374" si="35">F365/E365</f>
        <v>0</v>
      </c>
      <c r="H365" s="60">
        <f t="shared" si="29"/>
        <v>0</v>
      </c>
    </row>
    <row r="366" spans="2:8" x14ac:dyDescent="0.2">
      <c r="B366" s="175">
        <v>4230</v>
      </c>
      <c r="C366" s="207" t="s">
        <v>229</v>
      </c>
      <c r="D366" s="207"/>
      <c r="E366" s="114">
        <v>2238.41</v>
      </c>
      <c r="F366" s="114">
        <v>0</v>
      </c>
      <c r="G366" s="32">
        <f t="shared" si="35"/>
        <v>0</v>
      </c>
      <c r="H366" s="60">
        <f t="shared" si="29"/>
        <v>0</v>
      </c>
    </row>
    <row r="367" spans="2:8" x14ac:dyDescent="0.2">
      <c r="B367" s="175">
        <v>4241</v>
      </c>
      <c r="C367" s="207" t="s">
        <v>165</v>
      </c>
      <c r="D367" s="207"/>
      <c r="E367" s="114">
        <v>2</v>
      </c>
      <c r="F367" s="114">
        <v>192.13</v>
      </c>
      <c r="G367" s="32">
        <f t="shared" si="35"/>
        <v>96.064999999999998</v>
      </c>
      <c r="H367" s="60">
        <f t="shared" si="29"/>
        <v>5.0946670437139246E-5</v>
      </c>
    </row>
    <row r="368" spans="2:8" x14ac:dyDescent="0.2">
      <c r="B368" s="175">
        <v>4510</v>
      </c>
      <c r="C368" s="207" t="s">
        <v>230</v>
      </c>
      <c r="D368" s="207"/>
      <c r="E368" s="114">
        <v>182345.19</v>
      </c>
      <c r="F368" s="114">
        <v>304459.02</v>
      </c>
      <c r="G368" s="32">
        <f>IF(E437=0,0%,E437/$V437)</f>
        <v>0</v>
      </c>
      <c r="H368" s="60">
        <f t="shared" si="29"/>
        <v>8.0732698451852325E-2</v>
      </c>
    </row>
    <row r="369" spans="2:9" x14ac:dyDescent="0.2">
      <c r="B369" s="175">
        <v>4580</v>
      </c>
      <c r="C369" s="207" t="s">
        <v>231</v>
      </c>
      <c r="D369" s="207"/>
      <c r="E369" s="114">
        <v>42597.88</v>
      </c>
      <c r="F369" s="114">
        <v>37053.32</v>
      </c>
      <c r="G369" s="32">
        <f>IF(E438=0,0%,E438/$V438)</f>
        <v>0</v>
      </c>
      <c r="H369" s="60">
        <f t="shared" si="29"/>
        <v>9.8253436873047429E-3</v>
      </c>
    </row>
    <row r="370" spans="2:9" x14ac:dyDescent="0.2">
      <c r="B370" s="175">
        <v>4770</v>
      </c>
      <c r="C370" s="207" t="s">
        <v>232</v>
      </c>
      <c r="D370" s="207"/>
      <c r="E370" s="114">
        <v>31080.49</v>
      </c>
      <c r="F370" s="114">
        <v>29751.73</v>
      </c>
      <c r="G370" s="32">
        <f t="shared" si="35"/>
        <v>0.95724777826861795</v>
      </c>
      <c r="H370" s="60">
        <f t="shared" si="29"/>
        <v>7.8891978516876533E-3</v>
      </c>
    </row>
    <row r="371" spans="2:9" x14ac:dyDescent="0.2">
      <c r="B371" s="175">
        <v>4911</v>
      </c>
      <c r="C371" s="207" t="s">
        <v>166</v>
      </c>
      <c r="D371" s="207"/>
      <c r="E371" s="114">
        <v>1488.5</v>
      </c>
      <c r="F371" s="114">
        <v>0</v>
      </c>
      <c r="G371" s="32">
        <f>IF(E440=0,0%,E440/$V440)</f>
        <v>0</v>
      </c>
      <c r="H371" s="60">
        <f t="shared" si="29"/>
        <v>0</v>
      </c>
    </row>
    <row r="372" spans="2:9" x14ac:dyDescent="0.2">
      <c r="B372" s="176">
        <v>4931</v>
      </c>
      <c r="C372" s="204" t="s">
        <v>233</v>
      </c>
      <c r="D372" s="204"/>
      <c r="E372" s="163">
        <v>191056.56</v>
      </c>
      <c r="F372" s="114">
        <v>294961.63</v>
      </c>
      <c r="G372" s="32">
        <f t="shared" si="35"/>
        <v>1.5438445557692444</v>
      </c>
      <c r="H372" s="60">
        <f t="shared" si="29"/>
        <v>7.8214297377876468E-2</v>
      </c>
    </row>
    <row r="373" spans="2:9" ht="15.75" thickBot="1" x14ac:dyDescent="0.25">
      <c r="B373" s="177">
        <v>4935</v>
      </c>
      <c r="C373" s="205" t="s">
        <v>167</v>
      </c>
      <c r="D373" s="205"/>
      <c r="E373" s="114">
        <v>0</v>
      </c>
      <c r="F373" s="114">
        <v>77.69</v>
      </c>
      <c r="G373" s="32">
        <v>0</v>
      </c>
      <c r="H373" s="60">
        <f t="shared" si="29"/>
        <v>2.060087870848565E-5</v>
      </c>
    </row>
    <row r="374" spans="2:9" ht="15.75" thickBot="1" x14ac:dyDescent="0.25">
      <c r="B374" s="386" t="s">
        <v>109</v>
      </c>
      <c r="C374" s="387"/>
      <c r="D374" s="388"/>
      <c r="E374" s="110">
        <f>SUM(E359:E373)</f>
        <v>3560806.63</v>
      </c>
      <c r="F374" s="110">
        <f>SUM(F359:F373)</f>
        <v>3771198.36</v>
      </c>
      <c r="G374" s="85">
        <f t="shared" si="35"/>
        <v>1.0590854129026377</v>
      </c>
      <c r="H374" s="86">
        <f t="shared" si="29"/>
        <v>1</v>
      </c>
    </row>
    <row r="375" spans="2:9" x14ac:dyDescent="0.2">
      <c r="E375" s="84"/>
      <c r="F375" s="84"/>
    </row>
    <row r="376" spans="2:9" ht="65.25" customHeight="1" x14ac:dyDescent="0.2">
      <c r="B376" s="335" t="s">
        <v>248</v>
      </c>
      <c r="C376" s="335"/>
      <c r="D376" s="335"/>
      <c r="E376" s="335"/>
      <c r="F376" s="335"/>
      <c r="G376" s="335"/>
      <c r="H376" s="335"/>
      <c r="I376" s="335"/>
    </row>
    <row r="378" spans="2:9" ht="15.75" x14ac:dyDescent="0.25">
      <c r="B378" s="24" t="s">
        <v>134</v>
      </c>
    </row>
    <row r="380" spans="2:9" x14ac:dyDescent="0.2">
      <c r="B380" s="4" t="s">
        <v>253</v>
      </c>
    </row>
    <row r="382" spans="2:9" x14ac:dyDescent="0.2">
      <c r="B382" s="4" t="s">
        <v>254</v>
      </c>
    </row>
    <row r="384" spans="2:9" x14ac:dyDescent="0.2">
      <c r="B384" s="4" t="s">
        <v>255</v>
      </c>
    </row>
    <row r="387" spans="2:9" ht="63.75" customHeight="1" x14ac:dyDescent="0.2">
      <c r="B387" s="313" t="s">
        <v>235</v>
      </c>
      <c r="C387" s="313"/>
      <c r="D387" s="313"/>
      <c r="E387" s="313"/>
      <c r="F387" s="313"/>
      <c r="G387" s="313"/>
      <c r="H387" s="313"/>
      <c r="I387" s="313"/>
    </row>
    <row r="389" spans="2:9" ht="15.75" x14ac:dyDescent="0.25">
      <c r="E389" s="2" t="s">
        <v>110</v>
      </c>
    </row>
    <row r="391" spans="2:9" ht="94.5" customHeight="1" x14ac:dyDescent="0.2">
      <c r="B391" s="313" t="s">
        <v>236</v>
      </c>
      <c r="C391" s="313"/>
      <c r="D391" s="313"/>
      <c r="E391" s="313"/>
      <c r="F391" s="313"/>
      <c r="G391" s="313"/>
      <c r="H391" s="313"/>
      <c r="I391" s="313"/>
    </row>
    <row r="394" spans="2:9" ht="15.75" x14ac:dyDescent="0.25">
      <c r="E394" s="2" t="s">
        <v>111</v>
      </c>
    </row>
    <row r="396" spans="2:9" ht="45" customHeight="1" x14ac:dyDescent="0.2">
      <c r="B396" s="313" t="s">
        <v>237</v>
      </c>
      <c r="C396" s="313"/>
      <c r="D396" s="313"/>
      <c r="E396" s="313"/>
      <c r="F396" s="313"/>
      <c r="G396" s="313"/>
      <c r="H396" s="313"/>
      <c r="I396" s="313"/>
    </row>
    <row r="400" spans="2:9" ht="15.75" x14ac:dyDescent="0.25">
      <c r="D400" s="404" t="s">
        <v>176</v>
      </c>
      <c r="E400" s="404"/>
      <c r="F400" s="404"/>
    </row>
    <row r="401" spans="4:6" ht="15.75" x14ac:dyDescent="0.25">
      <c r="D401" s="404" t="s">
        <v>112</v>
      </c>
      <c r="E401" s="404"/>
      <c r="F401" s="404"/>
    </row>
  </sheetData>
  <mergeCells count="283">
    <mergeCell ref="I255:J255"/>
    <mergeCell ref="F351:G351"/>
    <mergeCell ref="B323:I323"/>
    <mergeCell ref="B265:E265"/>
    <mergeCell ref="B266:E266"/>
    <mergeCell ref="B267:E267"/>
    <mergeCell ref="B268:E268"/>
    <mergeCell ref="B278:E278"/>
    <mergeCell ref="B281:E281"/>
    <mergeCell ref="B275:E275"/>
    <mergeCell ref="B276:E276"/>
    <mergeCell ref="B277:E277"/>
    <mergeCell ref="B279:E279"/>
    <mergeCell ref="B280:E280"/>
    <mergeCell ref="B282:E282"/>
    <mergeCell ref="B283:E283"/>
    <mergeCell ref="F275:G275"/>
    <mergeCell ref="B291:E291"/>
    <mergeCell ref="F291:G291"/>
    <mergeCell ref="B273:H273"/>
    <mergeCell ref="B285:E285"/>
    <mergeCell ref="B274:E274"/>
    <mergeCell ref="F274:G274"/>
    <mergeCell ref="F285:G285"/>
    <mergeCell ref="B325:I325"/>
    <mergeCell ref="D401:F401"/>
    <mergeCell ref="D400:F400"/>
    <mergeCell ref="B332:E333"/>
    <mergeCell ref="F332:G332"/>
    <mergeCell ref="F333:G333"/>
    <mergeCell ref="B334:E334"/>
    <mergeCell ref="F334:G334"/>
    <mergeCell ref="B335:E335"/>
    <mergeCell ref="F335:G335"/>
    <mergeCell ref="B336:E336"/>
    <mergeCell ref="F336:G336"/>
    <mergeCell ref="B341:E342"/>
    <mergeCell ref="F341:G341"/>
    <mergeCell ref="F342:G342"/>
    <mergeCell ref="B343:E343"/>
    <mergeCell ref="F343:G343"/>
    <mergeCell ref="B387:I387"/>
    <mergeCell ref="B391:I391"/>
    <mergeCell ref="B396:I396"/>
    <mergeCell ref="B352:I352"/>
    <mergeCell ref="B355:G355"/>
    <mergeCell ref="B376:I376"/>
    <mergeCell ref="B350:E351"/>
    <mergeCell ref="C12:E12"/>
    <mergeCell ref="B374:D374"/>
    <mergeCell ref="E357:F357"/>
    <mergeCell ref="G357:H357"/>
    <mergeCell ref="B356:H356"/>
    <mergeCell ref="C71:G71"/>
    <mergeCell ref="B110:I110"/>
    <mergeCell ref="B112:I112"/>
    <mergeCell ref="C186:F186"/>
    <mergeCell ref="C185:F185"/>
    <mergeCell ref="C135:G135"/>
    <mergeCell ref="B172:I172"/>
    <mergeCell ref="B197:I197"/>
    <mergeCell ref="B174:I174"/>
    <mergeCell ref="B271:I271"/>
    <mergeCell ref="C195:F195"/>
    <mergeCell ref="C194:F194"/>
    <mergeCell ref="B242:E242"/>
    <mergeCell ref="B260:E260"/>
    <mergeCell ref="B263:E263"/>
    <mergeCell ref="B264:E264"/>
    <mergeCell ref="F345:G345"/>
    <mergeCell ref="B331:G331"/>
    <mergeCell ref="B314:I314"/>
    <mergeCell ref="G65:H65"/>
    <mergeCell ref="E65:F65"/>
    <mergeCell ref="B66:E66"/>
    <mergeCell ref="H36:I36"/>
    <mergeCell ref="H37:I37"/>
    <mergeCell ref="C22:E22"/>
    <mergeCell ref="B3:I3"/>
    <mergeCell ref="B1:I1"/>
    <mergeCell ref="B29:E29"/>
    <mergeCell ref="B27:I27"/>
    <mergeCell ref="F20:G20"/>
    <mergeCell ref="F21:G21"/>
    <mergeCell ref="F22:G22"/>
    <mergeCell ref="F23:G23"/>
    <mergeCell ref="B10:I10"/>
    <mergeCell ref="C17:E17"/>
    <mergeCell ref="F12:G12"/>
    <mergeCell ref="F13:G13"/>
    <mergeCell ref="F14:G14"/>
    <mergeCell ref="F15:G15"/>
    <mergeCell ref="F16:G16"/>
    <mergeCell ref="F17:G17"/>
    <mergeCell ref="F18:G18"/>
    <mergeCell ref="F19:G19"/>
    <mergeCell ref="C13:E13"/>
    <mergeCell ref="C14:E14"/>
    <mergeCell ref="C15:E15"/>
    <mergeCell ref="C16:E16"/>
    <mergeCell ref="C178:F178"/>
    <mergeCell ref="C177:F177"/>
    <mergeCell ref="C176:F176"/>
    <mergeCell ref="B30:E30"/>
    <mergeCell ref="B31:E31"/>
    <mergeCell ref="B32:E32"/>
    <mergeCell ref="B34:E34"/>
    <mergeCell ref="B36:E36"/>
    <mergeCell ref="B37:E37"/>
    <mergeCell ref="B35:E35"/>
    <mergeCell ref="B49:D49"/>
    <mergeCell ref="B50:D50"/>
    <mergeCell ref="B52:D52"/>
    <mergeCell ref="C18:E18"/>
    <mergeCell ref="C19:E19"/>
    <mergeCell ref="C20:E20"/>
    <mergeCell ref="C21:E21"/>
    <mergeCell ref="F29:I29"/>
    <mergeCell ref="C23:E23"/>
    <mergeCell ref="B57:D57"/>
    <mergeCell ref="B56:D56"/>
    <mergeCell ref="B42:I42"/>
    <mergeCell ref="H30:I30"/>
    <mergeCell ref="H31:I31"/>
    <mergeCell ref="H32:I32"/>
    <mergeCell ref="H33:I33"/>
    <mergeCell ref="H34:I34"/>
    <mergeCell ref="B51:D51"/>
    <mergeCell ref="H35:I35"/>
    <mergeCell ref="B33:E33"/>
    <mergeCell ref="H38:I38"/>
    <mergeCell ref="B53:D53"/>
    <mergeCell ref="B54:D54"/>
    <mergeCell ref="B55:D55"/>
    <mergeCell ref="B44:I44"/>
    <mergeCell ref="E47:E48"/>
    <mergeCell ref="F47:F48"/>
    <mergeCell ref="G47:G48"/>
    <mergeCell ref="H47:H48"/>
    <mergeCell ref="I47:I48"/>
    <mergeCell ref="F350:G350"/>
    <mergeCell ref="B243:E243"/>
    <mergeCell ref="B244:E244"/>
    <mergeCell ref="B245:E245"/>
    <mergeCell ref="B269:E269"/>
    <mergeCell ref="B261:E261"/>
    <mergeCell ref="B262:E262"/>
    <mergeCell ref="B47:D48"/>
    <mergeCell ref="B258:I258"/>
    <mergeCell ref="C256:D256"/>
    <mergeCell ref="B224:E225"/>
    <mergeCell ref="B226:E226"/>
    <mergeCell ref="B227:E227"/>
    <mergeCell ref="B228:E228"/>
    <mergeCell ref="B229:E230"/>
    <mergeCell ref="F223:G223"/>
    <mergeCell ref="B246:E246"/>
    <mergeCell ref="B222:G222"/>
    <mergeCell ref="C188:F188"/>
    <mergeCell ref="C187:F187"/>
    <mergeCell ref="B211:I211"/>
    <mergeCell ref="B212:I212"/>
    <mergeCell ref="H130:I130"/>
    <mergeCell ref="B203:I203"/>
    <mergeCell ref="B208:D208"/>
    <mergeCell ref="B69:I69"/>
    <mergeCell ref="B115:B117"/>
    <mergeCell ref="C115:C117"/>
    <mergeCell ref="D115:D117"/>
    <mergeCell ref="B114:I114"/>
    <mergeCell ref="E115:F116"/>
    <mergeCell ref="G115:G117"/>
    <mergeCell ref="C192:F192"/>
    <mergeCell ref="B198:F198"/>
    <mergeCell ref="C184:F184"/>
    <mergeCell ref="C183:F183"/>
    <mergeCell ref="C182:F182"/>
    <mergeCell ref="C181:F181"/>
    <mergeCell ref="C180:F180"/>
    <mergeCell ref="C179:F179"/>
    <mergeCell ref="C190:F190"/>
    <mergeCell ref="C189:F189"/>
    <mergeCell ref="B239:E239"/>
    <mergeCell ref="B249:D249"/>
    <mergeCell ref="B250:D250"/>
    <mergeCell ref="B251:D251"/>
    <mergeCell ref="B252:D252"/>
    <mergeCell ref="B253:D253"/>
    <mergeCell ref="B254:D254"/>
    <mergeCell ref="B255:D255"/>
    <mergeCell ref="B58:D58"/>
    <mergeCell ref="B59:D59"/>
    <mergeCell ref="C191:F191"/>
    <mergeCell ref="B60:D60"/>
    <mergeCell ref="B61:D61"/>
    <mergeCell ref="B62:D62"/>
    <mergeCell ref="B63:D63"/>
    <mergeCell ref="B64:D64"/>
    <mergeCell ref="C193:F193"/>
    <mergeCell ref="B67:I67"/>
    <mergeCell ref="H115:H117"/>
    <mergeCell ref="I115:I117"/>
    <mergeCell ref="B218:I218"/>
    <mergeCell ref="B204:D204"/>
    <mergeCell ref="B206:D206"/>
    <mergeCell ref="B207:D207"/>
    <mergeCell ref="B290:E290"/>
    <mergeCell ref="F289:G289"/>
    <mergeCell ref="F290:G290"/>
    <mergeCell ref="B288:E288"/>
    <mergeCell ref="F288:G288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B284:E284"/>
    <mergeCell ref="F284:G284"/>
    <mergeCell ref="B289:E289"/>
    <mergeCell ref="B287:G287"/>
    <mergeCell ref="B293:E293"/>
    <mergeCell ref="F293:G293"/>
    <mergeCell ref="B294:E294"/>
    <mergeCell ref="B295:E295"/>
    <mergeCell ref="B296:E296"/>
    <mergeCell ref="B297:E297"/>
    <mergeCell ref="F294:G294"/>
    <mergeCell ref="F295:G295"/>
    <mergeCell ref="F296:G296"/>
    <mergeCell ref="F297:G297"/>
    <mergeCell ref="F346:G346"/>
    <mergeCell ref="F347:G347"/>
    <mergeCell ref="F348:G348"/>
    <mergeCell ref="C359:D359"/>
    <mergeCell ref="B298:E298"/>
    <mergeCell ref="F298:G298"/>
    <mergeCell ref="B337:E337"/>
    <mergeCell ref="B338:E338"/>
    <mergeCell ref="B340:E340"/>
    <mergeCell ref="F338:G338"/>
    <mergeCell ref="F340:G340"/>
    <mergeCell ref="B339:E339"/>
    <mergeCell ref="F339:G339"/>
    <mergeCell ref="F337:G337"/>
    <mergeCell ref="B357:D358"/>
    <mergeCell ref="B349:E349"/>
    <mergeCell ref="B354:H354"/>
    <mergeCell ref="F349:G349"/>
    <mergeCell ref="B344:E344"/>
    <mergeCell ref="B345:E345"/>
    <mergeCell ref="B346:E346"/>
    <mergeCell ref="B347:E347"/>
    <mergeCell ref="B348:E348"/>
    <mergeCell ref="F344:G344"/>
    <mergeCell ref="C372:D372"/>
    <mergeCell ref="C373:D373"/>
    <mergeCell ref="C360:D360"/>
    <mergeCell ref="C361:D361"/>
    <mergeCell ref="C362:D362"/>
    <mergeCell ref="C363:D363"/>
    <mergeCell ref="C364:D364"/>
    <mergeCell ref="C365:D365"/>
    <mergeCell ref="C366:D366"/>
    <mergeCell ref="C367:D367"/>
    <mergeCell ref="C368:D368"/>
    <mergeCell ref="C369:D369"/>
    <mergeCell ref="C370:D370"/>
    <mergeCell ref="C371:D371"/>
    <mergeCell ref="B306:F306"/>
    <mergeCell ref="G306:H306"/>
    <mergeCell ref="B300:H300"/>
    <mergeCell ref="B302:H302"/>
    <mergeCell ref="B308:F308"/>
    <mergeCell ref="G308:H308"/>
    <mergeCell ref="B303:F303"/>
    <mergeCell ref="G303:H303"/>
    <mergeCell ref="G304:H304"/>
    <mergeCell ref="B304:F304"/>
    <mergeCell ref="B305:F305"/>
    <mergeCell ref="G305:H305"/>
  </mergeCells>
  <printOptions horizontalCentered="1"/>
  <pageMargins left="0.31496062992125984" right="0.11811023622047245" top="1.3779527559055118" bottom="0.78740157480314965" header="0.31496062992125984" footer="0.31496062992125984"/>
  <pageSetup paperSize="9" scale="70" orientation="portrait" r:id="rId1"/>
  <headerFooter>
    <oddHeader>&amp;C&amp;G</oddHeader>
    <oddFooter xml:space="preserve">&amp;CAvenida 28 de Dezembro s/nº - Fone/Fax: (51) 3611 7096 – (51) 3671 3501 – Chuvisca – RS – CEP 96193-000
prefeitura@chuvisca.rs.gov.br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RELATORIO CIRCUNSTANCIADO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Mauro</cp:lastModifiedBy>
  <cp:lastPrinted>2019-01-24T18:47:53Z</cp:lastPrinted>
  <dcterms:created xsi:type="dcterms:W3CDTF">2012-02-22T13:16:00Z</dcterms:created>
  <dcterms:modified xsi:type="dcterms:W3CDTF">2019-01-24T19:12:43Z</dcterms:modified>
</cp:coreProperties>
</file>