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BALANCO DO EXERCICIO DE 2019\ARTIGO 2 RESOLUCAO 1099-2018\a) relatório circunstanciado do Prefeito sobre sua gestão\"/>
    </mc:Choice>
  </mc:AlternateContent>
  <bookViews>
    <workbookView xWindow="120" yWindow="60" windowWidth="19095" windowHeight="8445"/>
  </bookViews>
  <sheets>
    <sheet name="RELATORIO CIRCUNSTANCIADO" sheetId="2" r:id="rId1"/>
    <sheet name="Plan3" sheetId="3" r:id="rId2"/>
  </sheets>
  <calcPr calcId="152511"/>
</workbook>
</file>

<file path=xl/calcChain.xml><?xml version="1.0" encoding="utf-8"?>
<calcChain xmlns="http://schemas.openxmlformats.org/spreadsheetml/2006/main">
  <c r="G389" i="2" l="1"/>
  <c r="H381" i="2"/>
  <c r="H396" i="2"/>
  <c r="G396" i="2"/>
  <c r="H391" i="2"/>
  <c r="G391" i="2"/>
  <c r="H389" i="2"/>
  <c r="H388" i="2"/>
  <c r="G388" i="2"/>
  <c r="H386" i="2"/>
  <c r="G386" i="2"/>
  <c r="H385" i="2"/>
  <c r="G385" i="2"/>
  <c r="H382" i="2"/>
  <c r="G382" i="2"/>
  <c r="G381" i="2"/>
  <c r="H380" i="2"/>
  <c r="G380" i="2"/>
  <c r="H379" i="2"/>
  <c r="G379" i="2"/>
  <c r="H378" i="2"/>
  <c r="G378" i="2"/>
  <c r="H377" i="2"/>
  <c r="G377" i="2"/>
  <c r="E397" i="2"/>
  <c r="F397" i="2"/>
  <c r="F285" i="2"/>
  <c r="F286" i="2"/>
  <c r="F295" i="2"/>
  <c r="E266" i="2"/>
  <c r="F243" i="2"/>
  <c r="F235" i="2"/>
  <c r="E209" i="2"/>
  <c r="F298" i="2" l="1"/>
  <c r="F299" i="2" s="1"/>
  <c r="F161" i="2"/>
  <c r="F96" i="2"/>
  <c r="F68" i="2"/>
  <c r="F58" i="2"/>
  <c r="E58" i="2"/>
  <c r="G59" i="2"/>
  <c r="F33" i="2"/>
  <c r="G33" i="2"/>
  <c r="F31" i="2"/>
  <c r="G31" i="2"/>
  <c r="F14" i="2"/>
  <c r="F19" i="2"/>
  <c r="H58" i="2" l="1"/>
  <c r="G319" i="2" l="1"/>
  <c r="G320" i="2" s="1"/>
  <c r="F357" i="2" l="1"/>
  <c r="F368" i="2" s="1"/>
  <c r="F351" i="2"/>
  <c r="F307" i="2"/>
  <c r="B311" i="2"/>
  <c r="B310" i="2"/>
  <c r="B309" i="2"/>
  <c r="F302" i="2"/>
  <c r="F305" i="2" s="1"/>
  <c r="H272" i="2"/>
  <c r="H271" i="2"/>
  <c r="F266" i="2"/>
  <c r="B278" i="2"/>
  <c r="B277" i="2"/>
  <c r="B276" i="2"/>
  <c r="B275" i="2"/>
  <c r="B274" i="2"/>
  <c r="B273" i="2"/>
  <c r="G264" i="2"/>
  <c r="G263" i="2"/>
  <c r="E162" i="2"/>
  <c r="F160" i="2"/>
  <c r="G161" i="2" s="1"/>
  <c r="D97" i="2"/>
  <c r="F95" i="2"/>
  <c r="G96" i="2" s="1"/>
  <c r="F49" i="2"/>
  <c r="H51" i="2"/>
  <c r="G51" i="2"/>
  <c r="E49" i="2"/>
  <c r="F17" i="2"/>
  <c r="F312" i="2" l="1"/>
  <c r="F252" i="2"/>
  <c r="G279" i="2"/>
  <c r="F279" i="2"/>
  <c r="F21" i="2"/>
  <c r="G262" i="2"/>
  <c r="H277" i="2" l="1"/>
  <c r="H274" i="2"/>
  <c r="H275" i="2"/>
  <c r="H276" i="2"/>
  <c r="H122" i="2"/>
  <c r="F125" i="2"/>
  <c r="F121" i="2"/>
  <c r="E94" i="2"/>
  <c r="D94" i="2"/>
  <c r="G77" i="2"/>
  <c r="G76" i="2"/>
  <c r="F20" i="2"/>
  <c r="F22" i="2" s="1"/>
  <c r="F23" i="2" s="1"/>
  <c r="H279" i="2" l="1"/>
  <c r="F94" i="2"/>
  <c r="G95" i="2" s="1"/>
  <c r="F131" i="2"/>
  <c r="G376" i="2"/>
  <c r="F158" i="2" l="1"/>
  <c r="E93" i="2"/>
  <c r="F93" i="2" s="1"/>
  <c r="G94" i="2" s="1"/>
  <c r="H376" i="2" l="1"/>
  <c r="G397" i="2"/>
  <c r="G91" i="2" l="1"/>
  <c r="G85" i="2"/>
  <c r="G84" i="2"/>
  <c r="G83" i="2"/>
  <c r="G82" i="2"/>
  <c r="G81" i="2"/>
  <c r="G80" i="2"/>
  <c r="G79" i="2"/>
  <c r="G78" i="2"/>
  <c r="G150" i="2"/>
  <c r="G149" i="2"/>
  <c r="G148" i="2"/>
  <c r="G147" i="2"/>
  <c r="G146" i="2"/>
  <c r="G145" i="2"/>
  <c r="G144" i="2"/>
  <c r="G143" i="2"/>
  <c r="G142" i="2"/>
  <c r="G141" i="2"/>
  <c r="F157" i="2"/>
  <c r="G158" i="2" s="1"/>
  <c r="D121" i="2"/>
  <c r="G124" i="2"/>
  <c r="E92" i="2"/>
  <c r="F92" i="2" s="1"/>
  <c r="H50" i="2"/>
  <c r="G92" i="2" l="1"/>
  <c r="G93" i="2"/>
  <c r="F350" i="2"/>
  <c r="F348" i="2" s="1"/>
  <c r="F255" i="2"/>
  <c r="F256" i="2" s="1"/>
  <c r="F232" i="2"/>
  <c r="F230" i="2" s="1"/>
  <c r="F156" i="2" l="1"/>
  <c r="G157" i="2" l="1"/>
  <c r="G65" i="2"/>
  <c r="G64" i="2"/>
  <c r="G63" i="2"/>
  <c r="G62" i="2"/>
  <c r="G61" i="2"/>
  <c r="G57" i="2"/>
  <c r="G56" i="2"/>
  <c r="G55" i="2"/>
  <c r="G54" i="2"/>
  <c r="G53" i="2"/>
  <c r="G52" i="2"/>
  <c r="G50" i="2"/>
  <c r="G49" i="2" l="1"/>
  <c r="F155" i="2"/>
  <c r="G156" i="2" l="1"/>
  <c r="H31" i="2"/>
  <c r="G184" i="2"/>
  <c r="G182" i="2"/>
  <c r="G261" i="2"/>
  <c r="G187" i="2"/>
  <c r="G186" i="2"/>
  <c r="G185" i="2"/>
  <c r="F154" i="2"/>
  <c r="F153" i="2"/>
  <c r="F152" i="2"/>
  <c r="F151" i="2"/>
  <c r="C125" i="2"/>
  <c r="C121" i="2"/>
  <c r="G130" i="2"/>
  <c r="G129" i="2"/>
  <c r="H128" i="2"/>
  <c r="G128" i="2"/>
  <c r="G127" i="2"/>
  <c r="H126" i="2"/>
  <c r="G126" i="2"/>
  <c r="E125" i="2"/>
  <c r="D125" i="2"/>
  <c r="H124" i="2"/>
  <c r="H123" i="2"/>
  <c r="G123" i="2"/>
  <c r="G122" i="2"/>
  <c r="E121" i="2"/>
  <c r="E89" i="2"/>
  <c r="F89" i="2" s="1"/>
  <c r="E88" i="2"/>
  <c r="D88" i="2"/>
  <c r="D87" i="2"/>
  <c r="E87" i="2" s="1"/>
  <c r="F87" i="2" s="1"/>
  <c r="D86" i="2"/>
  <c r="E86" i="2" s="1"/>
  <c r="F86" i="2" s="1"/>
  <c r="G86" i="2" s="1"/>
  <c r="H52" i="2"/>
  <c r="H55" i="2"/>
  <c r="H56" i="2"/>
  <c r="H68" i="2" s="1"/>
  <c r="H57" i="2"/>
  <c r="E60" i="2"/>
  <c r="E66" i="2" s="1"/>
  <c r="F60" i="2"/>
  <c r="F66" i="2" s="1"/>
  <c r="H63" i="2"/>
  <c r="H64" i="2"/>
  <c r="H65" i="2"/>
  <c r="H36" i="2"/>
  <c r="H35" i="2"/>
  <c r="H34" i="2"/>
  <c r="G37" i="2"/>
  <c r="G188" i="2"/>
  <c r="G183" i="2"/>
  <c r="I58" i="2" l="1"/>
  <c r="I59" i="2"/>
  <c r="G151" i="2"/>
  <c r="D162" i="2"/>
  <c r="F162" i="2" s="1"/>
  <c r="G162" i="2" s="1"/>
  <c r="H133" i="2"/>
  <c r="E97" i="2"/>
  <c r="F159" i="2"/>
  <c r="G160" i="2" s="1"/>
  <c r="E131" i="2"/>
  <c r="G154" i="2"/>
  <c r="G90" i="2"/>
  <c r="G152" i="2"/>
  <c r="G87" i="2"/>
  <c r="C131" i="2"/>
  <c r="G181" i="2" s="1"/>
  <c r="G153" i="2"/>
  <c r="G155" i="2"/>
  <c r="H49" i="2"/>
  <c r="H397" i="2"/>
  <c r="F37" i="2"/>
  <c r="H37" i="2" s="1"/>
  <c r="D131" i="2"/>
  <c r="G266" i="2"/>
  <c r="F88" i="2"/>
  <c r="G88" i="2" s="1"/>
  <c r="H121" i="2"/>
  <c r="G125" i="2"/>
  <c r="H125" i="2"/>
  <c r="G60" i="2"/>
  <c r="G58" i="2" s="1"/>
  <c r="G66" i="2" s="1"/>
  <c r="G194" i="2"/>
  <c r="H60" i="2"/>
  <c r="H33" i="2"/>
  <c r="H32" i="2"/>
  <c r="F97" i="2" l="1"/>
  <c r="G97" i="2" s="1"/>
  <c r="I51" i="2"/>
  <c r="I131" i="2"/>
  <c r="I128" i="2"/>
  <c r="I124" i="2"/>
  <c r="I127" i="2"/>
  <c r="I123" i="2"/>
  <c r="I130" i="2"/>
  <c r="I126" i="2"/>
  <c r="I122" i="2"/>
  <c r="I129" i="2"/>
  <c r="I125" i="2"/>
  <c r="G159" i="2"/>
  <c r="E208" i="2"/>
  <c r="G89" i="2"/>
  <c r="I121" i="2"/>
  <c r="D134" i="2" s="1"/>
  <c r="G191" i="2"/>
  <c r="I49" i="2"/>
  <c r="E210" i="2"/>
  <c r="G195" i="2"/>
  <c r="G190" i="2"/>
  <c r="G131" i="2"/>
  <c r="H131" i="2"/>
  <c r="I65" i="2"/>
  <c r="I62" i="2"/>
  <c r="I55" i="2"/>
  <c r="I50" i="2"/>
  <c r="I66" i="2"/>
  <c r="I63" i="2"/>
  <c r="I56" i="2"/>
  <c r="I52" i="2"/>
  <c r="I64" i="2"/>
  <c r="I57" i="2"/>
  <c r="I53" i="2"/>
  <c r="I60" i="2"/>
  <c r="I61" i="2"/>
  <c r="I54" i="2"/>
  <c r="H66" i="2"/>
  <c r="G196" i="2" l="1"/>
  <c r="G197" i="2"/>
  <c r="G199" i="2" s="1"/>
  <c r="G202" i="2" s="1"/>
  <c r="G192" i="2"/>
  <c r="E212" i="2"/>
</calcChain>
</file>

<file path=xl/sharedStrings.xml><?xml version="1.0" encoding="utf-8"?>
<sst xmlns="http://schemas.openxmlformats.org/spreadsheetml/2006/main" count="313" uniqueCount="268">
  <si>
    <t xml:space="preserve">  (-) REDUÇÕES</t>
  </si>
  <si>
    <t>CRÉDITOS ESPECIAIS:</t>
  </si>
  <si>
    <t xml:space="preserve">    Transferidos do ex. anterior</t>
  </si>
  <si>
    <t xml:space="preserve">    Abertos no exercício</t>
  </si>
  <si>
    <t xml:space="preserve">    (-) Diferidos</t>
  </si>
  <si>
    <t xml:space="preserve">    (-) REDUÇÕES</t>
  </si>
  <si>
    <t>CREDITOS ADICIONAIS ABERTOS</t>
  </si>
  <si>
    <t xml:space="preserve">(-)REDUÇÕES </t>
  </si>
  <si>
    <t>(=) CREDITOS ADICIONAIS LIQUIDOS</t>
  </si>
  <si>
    <t xml:space="preserve">DESPESA AUTORIZADA </t>
  </si>
  <si>
    <t xml:space="preserve">Fontes </t>
  </si>
  <si>
    <t>Créditos</t>
  </si>
  <si>
    <t>Especificação</t>
  </si>
  <si>
    <t>Suplementar</t>
  </si>
  <si>
    <t>Especial</t>
  </si>
  <si>
    <t>Total Geral</t>
  </si>
  <si>
    <t>Superávit Financeiro</t>
  </si>
  <si>
    <t xml:space="preserve">Excesso de arrecadação </t>
  </si>
  <si>
    <t>Anulação de Dotações</t>
  </si>
  <si>
    <t>Auxílios e Convênios</t>
  </si>
  <si>
    <t>Crédito Especial ( Operação de Crédito)</t>
  </si>
  <si>
    <t>Créditos Reabertos</t>
  </si>
  <si>
    <t>TOTAL</t>
  </si>
  <si>
    <t>TITULOS</t>
  </si>
  <si>
    <t>RECEITAS CORRENTES</t>
  </si>
  <si>
    <t xml:space="preserve">   Receita Tributária</t>
  </si>
  <si>
    <t xml:space="preserve">   Receita Patrimonial</t>
  </si>
  <si>
    <t xml:space="preserve">   Receita Industrial</t>
  </si>
  <si>
    <t xml:space="preserve">   Receita Agropecuária</t>
  </si>
  <si>
    <t xml:space="preserve">   Receita de Serviços</t>
  </si>
  <si>
    <t xml:space="preserve">   Transf. Correntes</t>
  </si>
  <si>
    <t xml:space="preserve">   Receitas Diversas</t>
  </si>
  <si>
    <t>RECEITAS DE CAPITAL</t>
  </si>
  <si>
    <t xml:space="preserve">   Operação de Crédito</t>
  </si>
  <si>
    <t xml:space="preserve">   Alienação de Bens Móveis e Imóveis</t>
  </si>
  <si>
    <t xml:space="preserve">   Transf. de Capital</t>
  </si>
  <si>
    <t xml:space="preserve">   Outras Receitas de Capital</t>
  </si>
  <si>
    <t>Dedução da Receita</t>
  </si>
  <si>
    <t xml:space="preserve"> TOTAL</t>
  </si>
  <si>
    <t>DIFERENÇA</t>
  </si>
  <si>
    <t>RELATÓRIO CIRCUNSTANCIADO DO PODER EXECUTIVO</t>
  </si>
  <si>
    <t>1.1 ORÇAMENTO</t>
  </si>
  <si>
    <t>1. EXECUÇÃO ORÇAMENTÁRIA</t>
  </si>
  <si>
    <t>1.2 CRÉDITOS ADICIONAIS</t>
  </si>
  <si>
    <t>1.3 ANÁLISES DA RECEITA</t>
  </si>
  <si>
    <t xml:space="preserve">, correspondo a </t>
  </si>
  <si>
    <t>da previsão de arrecadação.</t>
  </si>
  <si>
    <t xml:space="preserve">da </t>
  </si>
  <si>
    <t>QUADRO DE AVALIAÇÃO ANUAL DE ARRECADAÇÃO</t>
  </si>
  <si>
    <t>RECEITA REALIZADA</t>
  </si>
  <si>
    <t>EXERCÍCIOS</t>
  </si>
  <si>
    <t>PRÓPRIAS</t>
  </si>
  <si>
    <t>TRANSFERÊNCIAS</t>
  </si>
  <si>
    <t>% Em Relação a ex. Anteriores</t>
  </si>
  <si>
    <t>1.4 ANÁLISES DA DESPESA</t>
  </si>
  <si>
    <t>ATUALIZADA</t>
  </si>
  <si>
    <t>REALIZADA</t>
  </si>
  <si>
    <t>ORÇADA</t>
  </si>
  <si>
    <t>DESPESAS CORRENTES</t>
  </si>
  <si>
    <t>DESPESAS DE CAPITAL</t>
  </si>
  <si>
    <t>Reserva de Contingência</t>
  </si>
  <si>
    <t>Pessoal e Encargos Sociais</t>
  </si>
  <si>
    <t>Juros e Encargos da Dívida</t>
  </si>
  <si>
    <t>Outras Desp. Correntes</t>
  </si>
  <si>
    <t>Investimentos</t>
  </si>
  <si>
    <t>Inversões Financeiras</t>
  </si>
  <si>
    <t>Amortização da Dívida</t>
  </si>
  <si>
    <t>Transf. De Capital</t>
  </si>
  <si>
    <t>da despesa realizada.</t>
  </si>
  <si>
    <t>CORRENTES</t>
  </si>
  <si>
    <t>CAPITAL</t>
  </si>
  <si>
    <t>% Em Relação a Exerc. Ant.</t>
  </si>
  <si>
    <t>HISTORICO DE DESPESAS REALIZADAS</t>
  </si>
  <si>
    <t>1.5 CONFRONTOS DA RECEITA E DESPESA</t>
  </si>
  <si>
    <t>A execução orçamentária alcançou as cifras seguintes:</t>
  </si>
  <si>
    <t>DESPESA</t>
  </si>
  <si>
    <t>VALOR</t>
  </si>
  <si>
    <t>DESPESA FIXADA</t>
  </si>
  <si>
    <t>CRÉDITOS SUPLEMENTARES</t>
  </si>
  <si>
    <t>( - ) REDUÇÕES</t>
  </si>
  <si>
    <t>CRÉDITOS ESPECIAIS</t>
  </si>
  <si>
    <t>TRANSF. DO EXERC. ANTERIOR</t>
  </si>
  <si>
    <t>ABERTOS NO EXERCÍCIO</t>
  </si>
  <si>
    <t>( - ) DIFERIDOS</t>
  </si>
  <si>
    <t>CRÉDITOS EXTRAORDINÁRIOS</t>
  </si>
  <si>
    <t>DESPESA REALIZADA</t>
  </si>
  <si>
    <t>DESPESA A MENOR</t>
  </si>
  <si>
    <t>RECEITA</t>
  </si>
  <si>
    <t xml:space="preserve"> VALOR </t>
  </si>
  <si>
    <t>RECEITA PREVISTA</t>
  </si>
  <si>
    <t>RECEITA ARRECADADA</t>
  </si>
  <si>
    <t>( + ) SALDO FINANCEIRO EXERC. ANT.</t>
  </si>
  <si>
    <t>DESPESA AUTORIZADA</t>
  </si>
  <si>
    <t>.</t>
  </si>
  <si>
    <t>2. GESTÃO FINANCEIRA E ECONÔMICA</t>
  </si>
  <si>
    <t>Demonstrativo de Gastos com Educação</t>
  </si>
  <si>
    <t>Origem</t>
  </si>
  <si>
    <t>Previsão</t>
  </si>
  <si>
    <t>Arrecadação</t>
  </si>
  <si>
    <t>% Arrec. /Prev.</t>
  </si>
  <si>
    <t>TOTAL GERAL</t>
  </si>
  <si>
    <t>Valor</t>
  </si>
  <si>
    <t>Conclusão</t>
  </si>
  <si>
    <t>(-) Despesa Liquidada com Rendimentos das ASPS</t>
  </si>
  <si>
    <t>DEMONSTARTIVO DE RECURSOS A DISPOSIÇÃO DA SAÚDE</t>
  </si>
  <si>
    <t>RECEITAS ARRECADADAS</t>
  </si>
  <si>
    <t>ORÇADO</t>
  </si>
  <si>
    <t>ARRECADADO</t>
  </si>
  <si>
    <t>Total:</t>
  </si>
  <si>
    <t>CONCLUSÃO:</t>
  </si>
  <si>
    <t xml:space="preserve">             CONSIDERAÇÕES FINAIS</t>
  </si>
  <si>
    <t>PREFEITO MUNICIPAL</t>
  </si>
  <si>
    <t xml:space="preserve">  CRÉDITOS SUPLEMENTARES:</t>
  </si>
  <si>
    <t>DESPESA FIXADA :</t>
  </si>
  <si>
    <t>4.1. INFORMAÇÕES FINANCEIRAS</t>
  </si>
  <si>
    <t>1 - RECEITA ARRECADADA</t>
  </si>
  <si>
    <t>2 - SALDO FINANCEIRO EXERCICIO ANTERIOR</t>
  </si>
  <si>
    <t>3 - DESPESA REALIZADA</t>
  </si>
  <si>
    <t>4 - DIVIDA CONSOLIDADA</t>
  </si>
  <si>
    <t xml:space="preserve">5 - RESULTADO ECONOMICO </t>
  </si>
  <si>
    <t xml:space="preserve">                                          As transferências Correntes, atingiram o valor de</t>
  </si>
  <si>
    <t xml:space="preserve">                                           A maior concentração de dispêndio deu-se em despesas de Correntes no valor de</t>
  </si>
  <si>
    <t>, que representam um percentual de</t>
  </si>
  <si>
    <t xml:space="preserve">                                           O comportamento das despesas realizadas nos últimos exercícios, destacando-se as Despesas de</t>
  </si>
  <si>
    <t xml:space="preserve"> Capital, foi o seguinte:</t>
  </si>
  <si>
    <t xml:space="preserve">%             </t>
  </si>
  <si>
    <t>Arrecadao/ orçado</t>
  </si>
  <si>
    <t>Arrec/Total Arrecadação</t>
  </si>
  <si>
    <t>3. DAS METAS PREVISTAS NO PLANO PLURIANUAL – PPA E LEI DE DIRETRIZES ORÇAMENTÁRIAS - LDO</t>
  </si>
  <si>
    <t>4. DEMONSTRAÇÃO DA APLICAÇÃO NA MANUTENÇÃO E DESENVOLVIMENTO DO ENSINO - MDE/FUNDEB</t>
  </si>
  <si>
    <t>4.3. INFORMAÇÕES FÍSICAS</t>
  </si>
  <si>
    <t>5. DEMONSTRAÇÃO DA APLICAÇÃO DE RECURSOS NA SAÚDE:</t>
  </si>
  <si>
    <t>5.1. INFORMAÇÕES FINANCEIRAS</t>
  </si>
  <si>
    <t>5.2. INFORMAÇÕES FÍSICAS</t>
  </si>
  <si>
    <t>1 - Prevista</t>
  </si>
  <si>
    <t>2 - Arrecada</t>
  </si>
  <si>
    <t>Diferença           ( 1 - 2)</t>
  </si>
  <si>
    <t>RECEITAS</t>
  </si>
  <si>
    <t xml:space="preserve">Receita Educação (MDE + FUNDEB) - 25% da Receita </t>
  </si>
  <si>
    <t xml:space="preserve">TOTAL DAS RECEITAS  </t>
  </si>
  <si>
    <t xml:space="preserve">  Mínimo  a  Aplicar em   M D E  (25%)</t>
  </si>
  <si>
    <t>Cálculo da Despesa Constitucional com Educação (MDE + FUNDEB)</t>
  </si>
  <si>
    <t>DESPESAS LIQUIDADAS</t>
  </si>
  <si>
    <t>TOTAL DAS DESPESAS</t>
  </si>
  <si>
    <t>(-) Despesas Liquidadas com Plus do FUNDEB</t>
  </si>
  <si>
    <t>(-) Rendimentos de Aplicações Financeiras</t>
  </si>
  <si>
    <t>TOTAL DAS DESPESAS COM ENSINO</t>
  </si>
  <si>
    <t>PERCENTUAL APLICADO</t>
  </si>
  <si>
    <t>RECEITAS ARRECADADAS EDUCAÇÃO</t>
  </si>
  <si>
    <t>Receita Saúde (ASPS) - 15% da Receita</t>
  </si>
  <si>
    <t>Mínimo  a  Aplicar em   ASPS  (15%)</t>
  </si>
  <si>
    <t>Cálculo da Despesa Constitucional com Saúde (ASPS)</t>
  </si>
  <si>
    <t xml:space="preserve">Despesa Liquidada no Período </t>
  </si>
  <si>
    <t xml:space="preserve">QUADRO – RECEITAS E DESPESAS VINCULADAS A AÇÕES E SERVIÇOS PÚBLICOS DE SAÚDE
</t>
  </si>
  <si>
    <t>Até o Período</t>
  </si>
  <si>
    <t xml:space="preserve">                                                                 Além das receitas acima demonstradas, também foram destinados ao Município para aplicação na Saúde, os seguintes recursos:</t>
  </si>
  <si>
    <t>%    Arrec. /Total</t>
  </si>
  <si>
    <t>RECEITA A MENOR</t>
  </si>
  <si>
    <t>SUPERÁVIT/DÉFICIT (R - D) DO EXERCÍCIO</t>
  </si>
  <si>
    <t>DIABETES MELLITUS</t>
  </si>
  <si>
    <t>PROG. SAUDE MENTAL</t>
  </si>
  <si>
    <t>SAÚDE DA FAMÍLIA</t>
  </si>
  <si>
    <t>EPIDEMIOLOGIA</t>
  </si>
  <si>
    <t>DEMONSTRATIVO DA DESPESA REALIZADA (Empenhada)</t>
  </si>
  <si>
    <t>Empenhada</t>
  </si>
  <si>
    <t>Liquidada</t>
  </si>
  <si>
    <t>% Emp./Atualiz.</t>
  </si>
  <si>
    <t>% Liq./Total</t>
  </si>
  <si>
    <t xml:space="preserve">Despesas MDE </t>
  </si>
  <si>
    <t>Despesas FUNDEB</t>
  </si>
  <si>
    <t>JOEL SANTOS SUBDA</t>
  </si>
  <si>
    <t>%    Prev./Arrec</t>
  </si>
  <si>
    <t>Foras às receitas destinadas constitucionalmente para este Município, também foram arrecadados as seguintes:</t>
  </si>
  <si>
    <t>Recursos/Descrição</t>
  </si>
  <si>
    <t xml:space="preserve">   Receita de Contribuições</t>
  </si>
  <si>
    <t>Administracao Geral</t>
  </si>
  <si>
    <t>Ensino Fundamental</t>
  </si>
  <si>
    <t>Educação Infantil</t>
  </si>
  <si>
    <t>Transporte Rodoviario</t>
  </si>
  <si>
    <t>Educação de Jovens e Adultos</t>
  </si>
  <si>
    <t>Educação Especial</t>
  </si>
  <si>
    <t>1008 - PDDE - PROG. DINHEIRO DIRETO NA ESCOLA</t>
  </si>
  <si>
    <t>1172 - TRANSFERENCIAS MP 815/2017</t>
  </si>
  <si>
    <t>1049 - P.N.A.T.E.- PROG. NAC. APOIO TRANSP. ESC</t>
  </si>
  <si>
    <t>1013 - PEATE/RS - PROG. EST. APOIO TRANSP. ESC.</t>
  </si>
  <si>
    <t>1011 - Q.S.E. - QUOTA SALÁRIO EDUCAÇÃO</t>
  </si>
  <si>
    <t>1009 - P.N.A.E. - PROG. NAC. DE ALIM. ESCOLAR</t>
  </si>
  <si>
    <t>020 - MDE</t>
  </si>
  <si>
    <t>031 - FUNDEB</t>
  </si>
  <si>
    <t>4.2. GASTOS CONSTITUCIONAIS COM O FUNDO DE MANUTENÇÃO E DESENVOLVIMENTO DA EDUCAÇÃO BASICA E DE VALORIZAÇÃO DOS PROFISSIONAIS DA EDUCAÇÃO - FUNDEB</t>
  </si>
  <si>
    <t>(-) Desp. Liq. com Recursos do PLUS do FUNDEB</t>
  </si>
  <si>
    <t>(-) Desp. Liq. com Rend. do FUNDEB</t>
  </si>
  <si>
    <t>Despesas Aplicadas com Recursos do FUNDEB</t>
  </si>
  <si>
    <t>II - Despesas Realizadas</t>
  </si>
  <si>
    <t>I - Receitas de Transferências do FUNDEB</t>
  </si>
  <si>
    <t>III - Dedução Recursos do Plus e Rendimentos do FUNDEB</t>
  </si>
  <si>
    <t>IV - Total de Gastos Constitucionais com FUNDEB = (II - III)</t>
  </si>
  <si>
    <t>V - Percentual Aplicado = (IV/I)</t>
  </si>
  <si>
    <t>Cálculo da Proporção dos 60% dos Recursos do Fundeb( Art. 60, XII do ADCT)</t>
  </si>
  <si>
    <t>Base de Calculo</t>
  </si>
  <si>
    <t>% a Aplicar</t>
  </si>
  <si>
    <t xml:space="preserve">% Aplicado </t>
  </si>
  <si>
    <t>Receitas Arrecadadas (ASPS)</t>
  </si>
  <si>
    <t>Receita Tributária</t>
  </si>
  <si>
    <t>Transferências Correntes</t>
  </si>
  <si>
    <t>(-) Deduções da Receita Tributária</t>
  </si>
  <si>
    <t>Atenção Básica</t>
  </si>
  <si>
    <t>Assistência Hospitalar e Ambulatorial</t>
  </si>
  <si>
    <t>Sporte Profilático e Terapeutico</t>
  </si>
  <si>
    <t>Alimentação e Nutrição</t>
  </si>
  <si>
    <t xml:space="preserve"> P.I.E.S. - PISO DE INCENT. ATENÇ. BASIC</t>
  </si>
  <si>
    <t>ASSIST.FARM. BÁSICA</t>
  </si>
  <si>
    <t>APOIO À REDE HOSPITALAR</t>
  </si>
  <si>
    <t>AÇÕES E SERV. PÚBLICOS DE SAÚDE - ASPS</t>
  </si>
  <si>
    <t>Remuneracao de Depositos Bancarios de Recursos Vinculados - FUNDEB</t>
  </si>
  <si>
    <t>Transferencias de Recursos do FUNDEB</t>
  </si>
  <si>
    <r>
      <t xml:space="preserve">Calculo da base de verificação do </t>
    </r>
    <r>
      <rPr>
        <b/>
        <sz val="12"/>
        <color theme="1"/>
        <rFont val="Calibri"/>
        <family val="2"/>
      </rPr>
      <t>§</t>
    </r>
    <r>
      <rPr>
        <b/>
        <sz val="12"/>
        <color theme="1"/>
        <rFont val="Arial"/>
        <family val="2"/>
      </rPr>
      <t xml:space="preserve"> 2 do artigo 21 da lei do FUNDEB</t>
    </r>
  </si>
  <si>
    <t>Base de Calculo  do Superávit do FUNDEB - Exercício Anterior</t>
  </si>
  <si>
    <t>Total</t>
  </si>
  <si>
    <t>Limite para Aplicação no 1º Trimestre do Exercício Seguinte: 5%</t>
  </si>
  <si>
    <t xml:space="preserve">                                           Tenho a satisfação de apresentar a Vossa Excelência o Relatório Circunstanciado da Administração Direta do Município de Chuvisca, relativo ao exercício de 2019, acompanhado da presente exposição que visa demonstrar a situação econômico-financeira do Município, na forma do disposto no art. 2º, inciso III, letra “a”  da Resolução 1099/2018, do Tribunal de Contas do Estado do Rio Grande do Sul.</t>
  </si>
  <si>
    <t xml:space="preserve">                                          A Lei de Meios para o exercício de 2019, de nº. 1181 de  27 dezembro de 2018, estimou em R$29.644.000,00 e fixou a despesa em R$29.644.000,00. Entretanto, a abertura de créditos adicionais no correr do exercício, como também a transferência de créditos especiais, veio alterar estas cifras, como demonstra o quadro que segue:</t>
  </si>
  <si>
    <t xml:space="preserve">                                           No exercício  foram autorizados créditos adicionais Suplementares que somaram R$6.415.062,37, e Créditos  especiais que totalizaram R$323.883,26, e utilizados os recursos abaixo discriminados, de acordo com o art. 43, da Lei 4320, de 17 de março de 1964:</t>
  </si>
  <si>
    <t>RECEITAS INTRA-ORÇAMENTARIA</t>
  </si>
  <si>
    <t xml:space="preserve">   Receitas Intra-orçamentarias</t>
  </si>
  <si>
    <t xml:space="preserve">                                          A Receita Orçamentária e Intra-orçamentaria efetivamente arrecadada foi de R$19.111.454,47, verificando-se uma arrecadação menor de R$15.306.301,27. O comportamento da receita no exercício considerado traduz-se no quadro abaixo:</t>
  </si>
  <si>
    <t xml:space="preserve">                                           A despesa inicialmente autorizada em R$29.644.000,00, foi alterada conforme os créditos adicionais já citados para R$31.074.909,85, a despesa realizada (Empenhada) alcançou R$20.317.862,69, e a despesa realizada (Liquidada) alcançou a importância de R$20.055.667,01, importâncias  que, distribuíram-se da forma seguinte:</t>
  </si>
  <si>
    <t xml:space="preserve">                                           Confrontando a receita arrecadada no exercício de 2019, somado o saldo financeiro do  exercício </t>
  </si>
  <si>
    <t xml:space="preserve">anterior com  a  despesa  realizada no exercício obtivemos um Superávit Orçamentário de </t>
  </si>
  <si>
    <t xml:space="preserve">SUPERÁVIT/DÉFICIT DO EXERCÍCIO </t>
  </si>
  <si>
    <t xml:space="preserve">                                           O resultado econômico e financeiro obtido pelo Município no valor de R$247.524,01, que foi obtido pela comparação da receita arrecadada e saldo financeiro anterior em relação a despesa realizada e divida consolidada, o que significa que houve controle e equilíbrio financeiro e orçamentário, conforme quadro demonstrativo a seguir:</t>
  </si>
  <si>
    <t xml:space="preserve">                                           As metas previstas no PPA 2013/2017 foram realizadas na maioria de acordo com o previsto. No que diz respeito em específico ao exercício de 2019, grande parte das ações foram executadas em conformidade com o disposto na LDO. Foram poucas aquelas executadas parcialmente ou não executadas Naturalmente, a regra foi a execução de acordo com o planejamento, sendo que as execuções parciais ou não execuções, foram apenas algumas exceções, pois é notório que dificilmente a mencionada execução se dá na plenitude em acordo com a previsão da LDO, pois no transcorrer do exercício, para o qual a LDO se refere, na maioria das vezes surgem situações supervenientes que alteram as metas e prioridades dos serviços públicos, o que ocasiona a modificação, ou até o adiamento de alguns projetos para outro exercício financeiro.
                                          Quanto ao cumprimento dos programas de governo e suas ações, estas alcançaram, no exercício que se encerrou em 31-12-2019 a execução orçamentária conforme vimos acima na execução da despesa. Observa-se que para alguns programas não houve registros de gastos, o que se deve ao fato de serem programas criados para o registro de despesas com recursos de transferência do Estado e da União, recursos que não foram repassados ao Município no exercício de 2010 a 2019, não havendo também investimentos para estes programas. Para os demais houve o desenvolvimento de ações, executadas de forma a promover o atendimento à comunidade nas diversas áreas, de acordo com os indicadores de desempenho propostos conforme anexo 6 - programa de trabalho de Governo. </t>
  </si>
  <si>
    <t>Tecnologia da Informação</t>
  </si>
  <si>
    <t>Formação de Recursos Humanos</t>
  </si>
  <si>
    <t xml:space="preserve">                                          Desta forma, concluímos que o total efetivo de recursos colocados à disposição da Secretaria de Educação foi de R$6.269.778,78, conforme quadro a seguir:</t>
  </si>
  <si>
    <t>Total I - Base Receita do FUNDEB - 20% da Receita Ajusta-da</t>
  </si>
  <si>
    <t>Rendimentos do FUNDEB - Exercício de 2018</t>
  </si>
  <si>
    <t>Plus do FUNDEB - Exercício de 2018</t>
  </si>
  <si>
    <t>Despesas Liquidadas com Recursos do Superávit do FUNDEB (§ 2º do art. 21 da Lei do FUNDEB) - Exercício de 2019(Janeiro - Dezembro).</t>
  </si>
  <si>
    <t xml:space="preserve">                                           Durante o exercício de 2019, dentre os principais investimentos realizados pela administração em Educação destacam-se os seguintes: </t>
  </si>
  <si>
    <t xml:space="preserve">                                          Tendo em vista o exposto, em que considerados os dados extraídos dos demonstrativos contábeis do Município, tem-se que o valor mínimo a ser aplicado em M.D.E., de acordo com as normas constitucionais e legais referidas, era de R$4.207.448,61, montante que, confrontado com a receita da arrecadação de impostos municipais e das transferências constitucionais, atingiu o percentual de 29,69%.
</t>
  </si>
  <si>
    <t xml:space="preserve">Administração Geral </t>
  </si>
  <si>
    <t>Administração Geral - Consórcio</t>
  </si>
  <si>
    <t>ALIENAÇÃO DE BENS AD. COM REC. SAUDE</t>
  </si>
  <si>
    <t xml:space="preserve"> R$                                               -   </t>
  </si>
  <si>
    <t>CONSTRUÇÕES OU AMPLIAÇÕES</t>
  </si>
  <si>
    <t>CUSTEIO - ATENCAO BASICA</t>
  </si>
  <si>
    <t>CUSTEIO - ATENÇÃO DE M.A.C.A.H.</t>
  </si>
  <si>
    <t>CUSTEIO - VIGILÂNCIA EM SAÚDE</t>
  </si>
  <si>
    <t>CUSTEIO - ASSISTÊNCIA FARMACÊUTICA</t>
  </si>
  <si>
    <t>CUSTEIO - GESTÃO DO SUS</t>
  </si>
  <si>
    <t>INVESTIMENTO - ATENÇÃO BÁSICA</t>
  </si>
  <si>
    <t>INVESTIMENTO - ATENÇÃO ESPECIALIZADA</t>
  </si>
  <si>
    <t>INVESTIMENTO - VIGILÂNCIA EM SAÚDE</t>
  </si>
  <si>
    <t>INVESTIMENTO - GDTS NO SUS</t>
  </si>
  <si>
    <t>INVESTIMENTO - GESTÃO DO SUS</t>
  </si>
  <si>
    <t>INVESTIMENTO - OUTRAS TRANSFERÊNCIAS</t>
  </si>
  <si>
    <t>Período: Janeiro a Dezembro/2019</t>
  </si>
  <si>
    <t xml:space="preserve">                                                                 Como é possível verificar, foi colocado à disposição da Secretaria da Saúde, com a soma da arrecadação constitucional mais as transferências de convênios o total de R$4.382.014,06. E referente ao recursos obrigatórios em Ações e Serviços Públicos em Saúde foi colocado a disposição R$3.619.955,10, e foi aplicado o total de R$3.718.461,89,  totalizando 26,24% , representando com isso 11,24% a mais que a aplicação obrigatória de 15% em saúde.</t>
  </si>
  <si>
    <t xml:space="preserve">                                                                Durante o exercício de 2019,  também foram comprados medicamentos, material de consumo, de ambulatório, peças para veículos, foram consertados veículos, a aquisição e manutenção de equipamentos de informática, ampliação, manutenção e reparos do posto de saúde, bem como, exames e consultas para pacientes e outras despesas afins.  </t>
  </si>
  <si>
    <t xml:space="preserve">                                                             Tendo em vista o exposto, e considerados os dados extraídos dos demonstrativos contábeis do Município, tem-se que o valor mínimo a ser aplicado em A S P S, de acordo com as normas constitucionais e legais referidas, era de R$2.125.394,14. Em relação à aplicação obrigatória de 15% o Município efetuou investimentos superiores a este no valor de R$3.718.461,89 que representa um percentual de 26,24%, confrontado com a receita da arrecadação de impostos municipais e das transferências constitucionais, no exercício de 2019, apresentando uma aplicação a maior de 11,24%.</t>
  </si>
  <si>
    <t xml:space="preserve">                                                               Foram ressaltados neste relatório os principais aspectos da gestão financeira e econômica do exercício de 2019, na necessidade de quaisquer esclarecimentos estamos à sua disposição para esclarecimentos que forem necessários.</t>
  </si>
  <si>
    <t>• Conclusão cobertura Quadra Poliesportiva EMEF Santa Luzia.</t>
  </si>
  <si>
    <t>•  Aquisição de Onibus Escolar.</t>
  </si>
  <si>
    <t>• Aquisição de Equipamento e Material Permanentes.</t>
  </si>
  <si>
    <t>• Aquisição de Veículos.</t>
  </si>
  <si>
    <t>• Aquisição de Equipamentos e Material Permanente.</t>
  </si>
  <si>
    <t>Aplicação no Exercício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</si>
</sst>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R$&quot;\ #,##0.00"/>
    <numFmt numFmtId="166" formatCode="0;0\-;\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Microsoft Sans Serif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bgColor rgb="FFF2F2F2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1" fillId="0" borderId="0">
      <alignment vertical="top"/>
    </xf>
  </cellStyleXfs>
  <cellXfs count="492">
    <xf numFmtId="0" fontId="0" fillId="0" borderId="0" xfId="0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justify" vertical="justify" wrapText="1"/>
    </xf>
    <xf numFmtId="0" fontId="10" fillId="0" borderId="1" xfId="0" applyFont="1" applyBorder="1"/>
    <xf numFmtId="0" fontId="3" fillId="0" borderId="0" xfId="0" applyFont="1" applyBorder="1"/>
    <xf numFmtId="40" fontId="16" fillId="0" borderId="1" xfId="0" applyNumberFormat="1" applyFont="1" applyBorder="1"/>
    <xf numFmtId="40" fontId="17" fillId="0" borderId="1" xfId="0" applyNumberFormat="1" applyFont="1" applyBorder="1"/>
    <xf numFmtId="8" fontId="16" fillId="0" borderId="1" xfId="0" applyNumberFormat="1" applyFont="1" applyBorder="1" applyAlignment="1">
      <alignment horizontal="right"/>
    </xf>
    <xf numFmtId="8" fontId="17" fillId="0" borderId="1" xfId="0" applyNumberFormat="1" applyFont="1" applyBorder="1" applyAlignment="1">
      <alignment horizontal="right"/>
    </xf>
    <xf numFmtId="10" fontId="16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 vertical="top" wrapText="1"/>
    </xf>
    <xf numFmtId="164" fontId="1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8" fontId="16" fillId="0" borderId="1" xfId="0" applyNumberFormat="1" applyFont="1" applyBorder="1" applyAlignment="1"/>
    <xf numFmtId="8" fontId="17" fillId="0" borderId="1" xfId="0" applyNumberFormat="1" applyFont="1" applyBorder="1" applyAlignment="1"/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8" fontId="17" fillId="0" borderId="0" xfId="0" applyNumberFormat="1" applyFont="1" applyAlignment="1">
      <alignment horizontal="left"/>
    </xf>
    <xf numFmtId="8" fontId="1" fillId="0" borderId="0" xfId="0" applyNumberFormat="1" applyFont="1" applyAlignment="1"/>
    <xf numFmtId="0" fontId="6" fillId="0" borderId="0" xfId="0" applyFont="1"/>
    <xf numFmtId="0" fontId="10" fillId="0" borderId="0" xfId="0" applyFont="1"/>
    <xf numFmtId="0" fontId="7" fillId="0" borderId="0" xfId="0" applyFont="1"/>
    <xf numFmtId="0" fontId="19" fillId="0" borderId="0" xfId="0" applyFont="1"/>
    <xf numFmtId="0" fontId="10" fillId="0" borderId="0" xfId="0" applyFont="1" applyAlignment="1"/>
    <xf numFmtId="0" fontId="19" fillId="0" borderId="0" xfId="0" applyFont="1" applyAlignme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0" fontId="10" fillId="0" borderId="1" xfId="0" applyFont="1" applyBorder="1" applyAlignment="1">
      <alignment horizontal="center"/>
    </xf>
    <xf numFmtId="0" fontId="3" fillId="0" borderId="0" xfId="0" applyNumberFormat="1" applyFont="1" applyAlignment="1">
      <alignment horizontal="justify" vertical="justify" wrapText="1"/>
    </xf>
    <xf numFmtId="164" fontId="2" fillId="0" borderId="19" xfId="0" applyNumberFormat="1" applyFont="1" applyBorder="1" applyAlignment="1">
      <alignment horizontal="left"/>
    </xf>
    <xf numFmtId="10" fontId="16" fillId="0" borderId="1" xfId="0" applyNumberFormat="1" applyFont="1" applyBorder="1" applyAlignment="1">
      <alignment horizontal="right"/>
    </xf>
    <xf numFmtId="10" fontId="16" fillId="0" borderId="28" xfId="0" applyNumberFormat="1" applyFont="1" applyBorder="1" applyAlignment="1">
      <alignment horizontal="right"/>
    </xf>
    <xf numFmtId="10" fontId="17" fillId="0" borderId="1" xfId="0" applyNumberFormat="1" applyFont="1" applyBorder="1" applyAlignment="1">
      <alignment horizontal="right"/>
    </xf>
    <xf numFmtId="10" fontId="17" fillId="0" borderId="28" xfId="0" applyNumberFormat="1" applyFont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10" fontId="18" fillId="0" borderId="28" xfId="0" applyNumberFormat="1" applyFont="1" applyBorder="1" applyAlignment="1">
      <alignment horizontal="right"/>
    </xf>
    <xf numFmtId="10" fontId="16" fillId="0" borderId="30" xfId="0" applyNumberFormat="1" applyFont="1" applyBorder="1" applyAlignment="1">
      <alignment horizontal="right"/>
    </xf>
    <xf numFmtId="10" fontId="16" fillId="0" borderId="31" xfId="0" applyNumberFormat="1" applyFont="1" applyBorder="1" applyAlignment="1">
      <alignment horizontal="right"/>
    </xf>
    <xf numFmtId="10" fontId="3" fillId="0" borderId="0" xfId="0" applyNumberFormat="1" applyFont="1"/>
    <xf numFmtId="0" fontId="16" fillId="0" borderId="22" xfId="0" applyFont="1" applyBorder="1" applyAlignment="1">
      <alignment horizontal="left" vertical="top" wrapText="1"/>
    </xf>
    <xf numFmtId="10" fontId="16" fillId="0" borderId="15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top" wrapText="1"/>
    </xf>
    <xf numFmtId="10" fontId="17" fillId="0" borderId="15" xfId="0" applyNumberFormat="1" applyFont="1" applyBorder="1" applyAlignment="1">
      <alignment horizontal="center"/>
    </xf>
    <xf numFmtId="0" fontId="2" fillId="0" borderId="23" xfId="0" applyFont="1" applyBorder="1" applyAlignment="1">
      <alignment horizontal="justify" vertical="top" wrapText="1"/>
    </xf>
    <xf numFmtId="40" fontId="16" fillId="0" borderId="19" xfId="0" applyNumberFormat="1" applyFont="1" applyBorder="1"/>
    <xf numFmtId="8" fontId="16" fillId="0" borderId="19" xfId="0" applyNumberFormat="1" applyFont="1" applyBorder="1" applyAlignment="1"/>
    <xf numFmtId="8" fontId="16" fillId="0" borderId="19" xfId="0" applyNumberFormat="1" applyFont="1" applyBorder="1" applyAlignment="1">
      <alignment horizontal="right"/>
    </xf>
    <xf numFmtId="10" fontId="16" fillId="0" borderId="19" xfId="0" applyNumberFormat="1" applyFont="1" applyBorder="1" applyAlignment="1">
      <alignment horizontal="center"/>
    </xf>
    <xf numFmtId="10" fontId="16" fillId="0" borderId="2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0" fontId="10" fillId="0" borderId="0" xfId="0" applyNumberFormat="1" applyFont="1" applyBorder="1"/>
    <xf numFmtId="10" fontId="10" fillId="0" borderId="0" xfId="0" applyNumberFormat="1" applyFont="1" applyBorder="1"/>
    <xf numFmtId="4" fontId="3" fillId="0" borderId="0" xfId="0" applyNumberFormat="1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165" fontId="25" fillId="0" borderId="15" xfId="0" applyNumberFormat="1" applyFont="1" applyBorder="1" applyAlignment="1">
      <alignment vertical="top" wrapText="1"/>
    </xf>
    <xf numFmtId="165" fontId="26" fillId="0" borderId="15" xfId="0" applyNumberFormat="1" applyFont="1" applyBorder="1" applyAlignment="1">
      <alignment vertical="top" wrapText="1"/>
    </xf>
    <xf numFmtId="0" fontId="25" fillId="2" borderId="15" xfId="0" applyFont="1" applyFill="1" applyBorder="1" applyAlignment="1">
      <alignment horizontal="center" vertical="top" wrapText="1"/>
    </xf>
    <xf numFmtId="10" fontId="26" fillId="0" borderId="20" xfId="0" applyNumberFormat="1" applyFont="1" applyBorder="1" applyAlignment="1">
      <alignment vertical="top" wrapText="1"/>
    </xf>
    <xf numFmtId="0" fontId="16" fillId="0" borderId="22" xfId="0" applyFont="1" applyBorder="1" applyAlignment="1"/>
    <xf numFmtId="0" fontId="2" fillId="0" borderId="15" xfId="0" applyFont="1" applyBorder="1" applyAlignment="1">
      <alignment wrapText="1"/>
    </xf>
    <xf numFmtId="10" fontId="17" fillId="0" borderId="15" xfId="0" applyNumberFormat="1" applyFont="1" applyBorder="1" applyAlignment="1">
      <alignment horizontal="center" vertical="top"/>
    </xf>
    <xf numFmtId="10" fontId="17" fillId="0" borderId="20" xfId="0" applyNumberFormat="1" applyFont="1" applyBorder="1" applyAlignment="1">
      <alignment horizontal="center" vertical="top"/>
    </xf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6" fillId="0" borderId="13" xfId="0" applyNumberFormat="1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165" fontId="16" fillId="0" borderId="15" xfId="0" applyNumberFormat="1" applyFont="1" applyBorder="1" applyAlignment="1">
      <alignment horizontal="left"/>
    </xf>
    <xf numFmtId="165" fontId="18" fillId="0" borderId="15" xfId="0" applyNumberFormat="1" applyFont="1" applyBorder="1" applyAlignment="1">
      <alignment horizontal="left"/>
    </xf>
    <xf numFmtId="165" fontId="16" fillId="0" borderId="20" xfId="0" applyNumberFormat="1" applyFont="1" applyBorder="1" applyAlignment="1">
      <alignment horizontal="left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7" xfId="0" applyBorder="1" applyAlignment="1">
      <alignment vertical="center"/>
    </xf>
    <xf numFmtId="165" fontId="3" fillId="0" borderId="0" xfId="0" applyNumberFormat="1" applyFont="1"/>
    <xf numFmtId="44" fontId="16" fillId="0" borderId="15" xfId="1" applyFont="1" applyBorder="1"/>
    <xf numFmtId="44" fontId="17" fillId="0" borderId="15" xfId="1" applyFont="1" applyBorder="1"/>
    <xf numFmtId="44" fontId="16" fillId="0" borderId="20" xfId="1" applyFont="1" applyBorder="1"/>
    <xf numFmtId="44" fontId="17" fillId="0" borderId="1" xfId="1" applyFont="1" applyBorder="1" applyAlignment="1">
      <alignment horizontal="right" vertical="top" wrapText="1"/>
    </xf>
    <xf numFmtId="44" fontId="17" fillId="0" borderId="1" xfId="1" applyFont="1" applyBorder="1" applyAlignment="1">
      <alignment horizontal="right" vertical="top"/>
    </xf>
    <xf numFmtId="44" fontId="17" fillId="0" borderId="19" xfId="1" applyFont="1" applyBorder="1" applyAlignment="1">
      <alignment horizontal="right" vertical="top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44" fontId="14" fillId="0" borderId="5" xfId="1" applyFont="1" applyBorder="1" applyAlignment="1">
      <alignment horizontal="right" vertical="top" wrapText="1"/>
    </xf>
    <xf numFmtId="44" fontId="14" fillId="0" borderId="5" xfId="1" applyFont="1" applyBorder="1" applyAlignment="1">
      <alignment horizontal="center" vertical="top" wrapText="1"/>
    </xf>
    <xf numFmtId="44" fontId="17" fillId="0" borderId="5" xfId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44" fontId="14" fillId="0" borderId="1" xfId="1" applyFont="1" applyBorder="1" applyAlignment="1">
      <alignment horizontal="right" vertical="top" wrapText="1"/>
    </xf>
    <xf numFmtId="44" fontId="14" fillId="0" borderId="1" xfId="1" applyFont="1" applyBorder="1" applyAlignment="1">
      <alignment horizontal="center" vertical="top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14" fillId="0" borderId="6" xfId="1" applyFont="1" applyBorder="1" applyAlignment="1">
      <alignment horizontal="right" vertical="top" wrapText="1"/>
    </xf>
    <xf numFmtId="44" fontId="17" fillId="0" borderId="6" xfId="1" applyFont="1" applyBorder="1" applyAlignment="1">
      <alignment horizontal="center"/>
    </xf>
    <xf numFmtId="44" fontId="17" fillId="0" borderId="6" xfId="1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4" fontId="14" fillId="0" borderId="0" xfId="1" applyFont="1" applyBorder="1" applyAlignment="1">
      <alignment horizontal="right" vertical="top" wrapText="1"/>
    </xf>
    <xf numFmtId="44" fontId="17" fillId="0" borderId="0" xfId="1" applyFont="1" applyBorder="1" applyAlignment="1">
      <alignment horizontal="center"/>
    </xf>
    <xf numFmtId="44" fontId="17" fillId="0" borderId="0" xfId="1" applyFont="1" applyBorder="1" applyAlignment="1">
      <alignment horizontal="right"/>
    </xf>
    <xf numFmtId="10" fontId="17" fillId="0" borderId="0" xfId="0" applyNumberFormat="1" applyFont="1" applyBorder="1" applyAlignment="1">
      <alignment horizontal="center" vertical="top"/>
    </xf>
    <xf numFmtId="8" fontId="16" fillId="0" borderId="0" xfId="0" applyNumberFormat="1" applyFont="1" applyBorder="1" applyAlignment="1"/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4" fontId="17" fillId="0" borderId="0" xfId="0" applyNumberFormat="1" applyFont="1" applyAlignment="1"/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 applyAlignment="1"/>
    <xf numFmtId="0" fontId="10" fillId="0" borderId="0" xfId="0" applyFont="1" applyAlignment="1">
      <alignment horizontal="left" wrapText="1"/>
    </xf>
    <xf numFmtId="8" fontId="3" fillId="0" borderId="0" xfId="0" applyNumberFormat="1" applyFont="1"/>
    <xf numFmtId="0" fontId="17" fillId="0" borderId="42" xfId="0" applyFont="1" applyBorder="1" applyAlignment="1">
      <alignment horizontal="center" vertical="top"/>
    </xf>
    <xf numFmtId="44" fontId="17" fillId="0" borderId="6" xfId="1" applyFont="1" applyBorder="1" applyAlignment="1">
      <alignment horizontal="right" vertical="top"/>
    </xf>
    <xf numFmtId="44" fontId="25" fillId="3" borderId="41" xfId="1" applyFont="1" applyFill="1" applyBorder="1" applyAlignment="1">
      <alignment vertical="center" wrapText="1"/>
    </xf>
    <xf numFmtId="44" fontId="2" fillId="0" borderId="15" xfId="1" applyFont="1" applyBorder="1" applyAlignment="1"/>
    <xf numFmtId="44" fontId="27" fillId="0" borderId="15" xfId="1" applyFont="1" applyBorder="1" applyAlignment="1">
      <alignment vertical="top" wrapText="1"/>
    </xf>
    <xf numFmtId="44" fontId="26" fillId="0" borderId="15" xfId="1" applyFont="1" applyBorder="1" applyAlignment="1">
      <alignment vertical="top" wrapText="1"/>
    </xf>
    <xf numFmtId="0" fontId="0" fillId="0" borderId="37" xfId="0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4" fontId="26" fillId="3" borderId="41" xfId="1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3" fillId="0" borderId="53" xfId="0" applyFont="1" applyBorder="1"/>
    <xf numFmtId="4" fontId="0" fillId="0" borderId="53" xfId="0" applyNumberFormat="1" applyBorder="1" applyAlignment="1">
      <alignment vertical="center" wrapText="1"/>
    </xf>
    <xf numFmtId="44" fontId="30" fillId="0" borderId="54" xfId="1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44" fontId="19" fillId="0" borderId="0" xfId="1" applyFont="1" applyAlignment="1">
      <alignment horizontal="center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0" fillId="0" borderId="0" xfId="2" applyNumberFormat="1" applyFont="1" applyBorder="1" applyAlignment="1">
      <alignment horizontal="center"/>
    </xf>
    <xf numFmtId="0" fontId="10" fillId="0" borderId="0" xfId="0" applyFont="1" applyBorder="1" applyAlignment="1"/>
    <xf numFmtId="44" fontId="10" fillId="0" borderId="0" xfId="1" applyFont="1" applyBorder="1" applyAlignment="1">
      <alignment horizont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0" fontId="24" fillId="0" borderId="0" xfId="2" applyNumberFormat="1" applyFont="1" applyBorder="1" applyAlignment="1">
      <alignment horizontal="center"/>
    </xf>
    <xf numFmtId="44" fontId="24" fillId="0" borderId="0" xfId="1" applyFont="1" applyBorder="1" applyAlignment="1">
      <alignment horizontal="center"/>
    </xf>
    <xf numFmtId="0" fontId="30" fillId="0" borderId="0" xfId="0" applyFont="1"/>
    <xf numFmtId="8" fontId="16" fillId="0" borderId="1" xfId="0" applyNumberFormat="1" applyFont="1" applyBorder="1" applyAlignment="1">
      <alignment horizontal="left"/>
    </xf>
    <xf numFmtId="8" fontId="17" fillId="0" borderId="1" xfId="0" applyNumberFormat="1" applyFont="1" applyBorder="1" applyAlignment="1">
      <alignment horizontal="left"/>
    </xf>
    <xf numFmtId="8" fontId="18" fillId="0" borderId="1" xfId="0" applyNumberFormat="1" applyFont="1" applyBorder="1" applyAlignment="1">
      <alignment horizontal="left"/>
    </xf>
    <xf numFmtId="8" fontId="16" fillId="0" borderId="30" xfId="0" applyNumberFormat="1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25" fillId="3" borderId="14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1" fillId="0" borderId="69" xfId="0" applyFont="1" applyBorder="1" applyAlignment="1">
      <alignment horizontal="center"/>
    </xf>
    <xf numFmtId="44" fontId="14" fillId="0" borderId="70" xfId="1" applyFont="1" applyBorder="1" applyAlignment="1">
      <alignment horizontal="right" vertical="top" wrapText="1"/>
    </xf>
    <xf numFmtId="44" fontId="17" fillId="0" borderId="70" xfId="1" applyFont="1" applyBorder="1" applyAlignment="1">
      <alignment horizontal="center"/>
    </xf>
    <xf numFmtId="44" fontId="17" fillId="0" borderId="70" xfId="1" applyFont="1" applyBorder="1" applyAlignment="1">
      <alignment horizontal="right"/>
    </xf>
    <xf numFmtId="10" fontId="17" fillId="0" borderId="71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44" fontId="17" fillId="0" borderId="0" xfId="1" applyFont="1" applyBorder="1" applyAlignment="1">
      <alignment horizontal="right" vertical="top"/>
    </xf>
    <xf numFmtId="44" fontId="30" fillId="0" borderId="72" xfId="1" applyFont="1" applyBorder="1" applyAlignment="1">
      <alignment vertical="center" wrapText="1"/>
    </xf>
    <xf numFmtId="0" fontId="3" fillId="0" borderId="69" xfId="0" applyFont="1" applyBorder="1"/>
    <xf numFmtId="8" fontId="33" fillId="0" borderId="75" xfId="0" applyNumberFormat="1" applyFont="1" applyBorder="1" applyAlignment="1">
      <alignment vertical="center"/>
    </xf>
    <xf numFmtId="8" fontId="33" fillId="0" borderId="77" xfId="0" applyNumberFormat="1" applyFont="1" applyBorder="1" applyAlignment="1">
      <alignment vertical="center"/>
    </xf>
    <xf numFmtId="8" fontId="33" fillId="0" borderId="79" xfId="0" applyNumberFormat="1" applyFont="1" applyBorder="1" applyAlignment="1">
      <alignment vertical="center"/>
    </xf>
    <xf numFmtId="0" fontId="24" fillId="0" borderId="86" xfId="0" applyFont="1" applyBorder="1" applyAlignment="1">
      <alignment horizontal="center" vertical="center" wrapText="1"/>
    </xf>
    <xf numFmtId="10" fontId="3" fillId="0" borderId="87" xfId="0" applyNumberFormat="1" applyFont="1" applyBorder="1"/>
    <xf numFmtId="10" fontId="3" fillId="0" borderId="56" xfId="0" applyNumberFormat="1" applyFont="1" applyBorder="1"/>
    <xf numFmtId="10" fontId="3" fillId="0" borderId="88" xfId="0" applyNumberFormat="1" applyFont="1" applyBorder="1"/>
    <xf numFmtId="10" fontId="10" fillId="0" borderId="73" xfId="0" applyNumberFormat="1" applyFont="1" applyBorder="1"/>
    <xf numFmtId="0" fontId="24" fillId="0" borderId="89" xfId="0" applyFont="1" applyBorder="1" applyAlignment="1">
      <alignment horizontal="center" vertical="center"/>
    </xf>
    <xf numFmtId="44" fontId="24" fillId="0" borderId="90" xfId="1" applyFont="1" applyBorder="1"/>
    <xf numFmtId="10" fontId="30" fillId="0" borderId="87" xfId="0" applyNumberFormat="1" applyFont="1" applyBorder="1"/>
    <xf numFmtId="10" fontId="30" fillId="0" borderId="56" xfId="0" applyNumberFormat="1" applyFont="1" applyBorder="1"/>
    <xf numFmtId="10" fontId="30" fillId="0" borderId="88" xfId="0" applyNumberFormat="1" applyFont="1" applyBorder="1"/>
    <xf numFmtId="10" fontId="24" fillId="0" borderId="73" xfId="0" applyNumberFormat="1" applyFont="1" applyBorder="1"/>
    <xf numFmtId="8" fontId="24" fillId="0" borderId="90" xfId="1" applyNumberFormat="1" applyFont="1" applyBorder="1"/>
    <xf numFmtId="0" fontId="10" fillId="0" borderId="5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8" fontId="34" fillId="0" borderId="0" xfId="0" applyNumberFormat="1" applyFont="1" applyBorder="1" applyAlignment="1">
      <alignment vertical="center"/>
    </xf>
    <xf numFmtId="166" fontId="29" fillId="0" borderId="9" xfId="0" applyNumberFormat="1" applyFont="1" applyBorder="1" applyAlignment="1">
      <alignment horizontal="right" vertical="top"/>
    </xf>
    <xf numFmtId="166" fontId="29" fillId="0" borderId="14" xfId="0" applyNumberFormat="1" applyFont="1" applyBorder="1" applyAlignment="1">
      <alignment horizontal="right" vertical="top"/>
    </xf>
    <xf numFmtId="166" fontId="29" fillId="0" borderId="14" xfId="3" applyNumberFormat="1" applyFont="1" applyBorder="1" applyAlignment="1">
      <alignment vertical="top"/>
    </xf>
    <xf numFmtId="166" fontId="29" fillId="0" borderId="16" xfId="3" applyNumberFormat="1" applyFont="1" applyBorder="1" applyAlignment="1">
      <alignment vertical="top"/>
    </xf>
    <xf numFmtId="10" fontId="21" fillId="0" borderId="87" xfId="0" applyNumberFormat="1" applyFont="1" applyBorder="1" applyAlignment="1">
      <alignment horizontal="center" vertical="center"/>
    </xf>
    <xf numFmtId="10" fontId="21" fillId="0" borderId="56" xfId="0" applyNumberFormat="1" applyFont="1" applyBorder="1" applyAlignment="1">
      <alignment horizontal="center" vertical="center"/>
    </xf>
    <xf numFmtId="10" fontId="21" fillId="0" borderId="88" xfId="0" applyNumberFormat="1" applyFont="1" applyBorder="1" applyAlignment="1">
      <alignment horizontal="center" vertical="center"/>
    </xf>
    <xf numFmtId="8" fontId="34" fillId="0" borderId="75" xfId="0" applyNumberFormat="1" applyFont="1" applyBorder="1" applyAlignment="1">
      <alignment vertical="center"/>
    </xf>
    <xf numFmtId="10" fontId="21" fillId="0" borderId="75" xfId="0" applyNumberFormat="1" applyFont="1" applyBorder="1" applyAlignment="1">
      <alignment vertical="center"/>
    </xf>
    <xf numFmtId="8" fontId="34" fillId="0" borderId="77" xfId="0" applyNumberFormat="1" applyFont="1" applyBorder="1" applyAlignment="1">
      <alignment vertical="center"/>
    </xf>
    <xf numFmtId="10" fontId="21" fillId="0" borderId="77" xfId="0" applyNumberFormat="1" applyFont="1" applyBorder="1" applyAlignment="1">
      <alignment vertical="center"/>
    </xf>
    <xf numFmtId="0" fontId="34" fillId="0" borderId="77" xfId="0" applyFont="1" applyBorder="1" applyAlignment="1">
      <alignment vertical="center"/>
    </xf>
    <xf numFmtId="0" fontId="35" fillId="0" borderId="77" xfId="0" applyFont="1" applyBorder="1"/>
    <xf numFmtId="0" fontId="34" fillId="0" borderId="79" xfId="0" applyFont="1" applyBorder="1" applyAlignment="1">
      <alignment vertical="center"/>
    </xf>
    <xf numFmtId="8" fontId="34" fillId="0" borderId="79" xfId="0" applyNumberFormat="1" applyFont="1" applyBorder="1" applyAlignment="1">
      <alignment vertical="center"/>
    </xf>
    <xf numFmtId="10" fontId="21" fillId="0" borderId="79" xfId="0" applyNumberFormat="1" applyFont="1" applyBorder="1" applyAlignment="1">
      <alignment vertical="center"/>
    </xf>
    <xf numFmtId="0" fontId="29" fillId="0" borderId="83" xfId="3" applyFont="1" applyBorder="1" applyAlignment="1">
      <alignment horizontal="left" vertical="top"/>
    </xf>
    <xf numFmtId="0" fontId="3" fillId="0" borderId="83" xfId="0" applyFont="1" applyBorder="1"/>
    <xf numFmtId="0" fontId="3" fillId="0" borderId="84" xfId="0" applyFont="1" applyBorder="1"/>
    <xf numFmtId="10" fontId="20" fillId="0" borderId="91" xfId="0" applyNumberFormat="1" applyFont="1" applyBorder="1" applyAlignment="1">
      <alignment horizontal="center" vertical="center"/>
    </xf>
    <xf numFmtId="8" fontId="20" fillId="0" borderId="80" xfId="1" applyNumberFormat="1" applyFont="1" applyBorder="1" applyAlignment="1">
      <alignment vertical="center"/>
    </xf>
    <xf numFmtId="10" fontId="20" fillId="0" borderId="80" xfId="0" applyNumberFormat="1" applyFont="1" applyBorder="1" applyAlignment="1">
      <alignment vertical="center"/>
    </xf>
    <xf numFmtId="4" fontId="20" fillId="0" borderId="90" xfId="0" applyNumberFormat="1" applyFont="1" applyBorder="1" applyAlignment="1">
      <alignment horizontal="center" vertical="center"/>
    </xf>
    <xf numFmtId="10" fontId="20" fillId="0" borderId="90" xfId="0" applyNumberFormat="1" applyFont="1" applyBorder="1" applyAlignment="1">
      <alignment vertical="center" wrapText="1"/>
    </xf>
    <xf numFmtId="10" fontId="20" fillId="0" borderId="73" xfId="0" applyNumberFormat="1" applyFont="1" applyBorder="1" applyAlignment="1">
      <alignment vertical="center" wrapText="1"/>
    </xf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24" fillId="0" borderId="65" xfId="0" applyFont="1" applyBorder="1" applyAlignment="1">
      <alignment horizontal="left" vertical="top" wrapText="1"/>
    </xf>
    <xf numFmtId="0" fontId="24" fillId="0" borderId="66" xfId="0" applyFont="1" applyBorder="1" applyAlignment="1">
      <alignment horizontal="left" vertical="top" wrapText="1"/>
    </xf>
    <xf numFmtId="44" fontId="24" fillId="0" borderId="66" xfId="1" applyFont="1" applyBorder="1" applyAlignment="1">
      <alignment horizontal="center" vertical="center"/>
    </xf>
    <xf numFmtId="44" fontId="24" fillId="0" borderId="67" xfId="1" applyFont="1" applyBorder="1" applyAlignment="1">
      <alignment horizontal="center" vertical="center"/>
    </xf>
    <xf numFmtId="0" fontId="0" fillId="0" borderId="6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4" fontId="30" fillId="0" borderId="1" xfId="1" applyFont="1" applyBorder="1" applyAlignment="1">
      <alignment horizontal="center"/>
    </xf>
    <xf numFmtId="44" fontId="30" fillId="0" borderId="61" xfId="1" applyFont="1" applyBorder="1" applyAlignment="1">
      <alignment horizontal="center"/>
    </xf>
    <xf numFmtId="0" fontId="30" fillId="0" borderId="60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4" fontId="24" fillId="0" borderId="1" xfId="1" applyFont="1" applyBorder="1" applyAlignment="1">
      <alignment horizontal="center"/>
    </xf>
    <xf numFmtId="44" fontId="24" fillId="0" borderId="61" xfId="1" applyFont="1" applyBorder="1" applyAlignment="1">
      <alignment horizontal="center"/>
    </xf>
    <xf numFmtId="0" fontId="29" fillId="0" borderId="77" xfId="3" applyFont="1" applyBorder="1" applyAlignment="1">
      <alignment horizontal="left" vertical="top"/>
    </xf>
    <xf numFmtId="0" fontId="29" fillId="0" borderId="83" xfId="3" applyFont="1" applyBorder="1" applyAlignment="1">
      <alignment horizontal="left" vertical="top"/>
    </xf>
    <xf numFmtId="0" fontId="24" fillId="0" borderId="62" xfId="0" applyFont="1" applyBorder="1" applyAlignment="1">
      <alignment horizontal="left"/>
    </xf>
    <xf numFmtId="0" fontId="24" fillId="0" borderId="63" xfId="0" applyFont="1" applyBorder="1" applyAlignment="1">
      <alignment horizontal="left"/>
    </xf>
    <xf numFmtId="44" fontId="24" fillId="0" borderId="63" xfId="1" applyFont="1" applyBorder="1" applyAlignment="1">
      <alignment horizontal="center"/>
    </xf>
    <xf numFmtId="44" fontId="24" fillId="0" borderId="64" xfId="1" applyFont="1" applyBorder="1" applyAlignment="1">
      <alignment horizontal="center"/>
    </xf>
    <xf numFmtId="44" fontId="25" fillId="3" borderId="45" xfId="1" applyFont="1" applyFill="1" applyBorder="1" applyAlignment="1">
      <alignment horizontal="left" vertical="top" wrapText="1"/>
    </xf>
    <xf numFmtId="44" fontId="25" fillId="3" borderId="56" xfId="1" applyFont="1" applyFill="1" applyBorder="1" applyAlignment="1">
      <alignment horizontal="left" vertical="top" wrapText="1"/>
    </xf>
    <xf numFmtId="0" fontId="29" fillId="0" borderId="75" xfId="3" applyFont="1" applyBorder="1" applyAlignment="1">
      <alignment horizontal="left" vertical="top"/>
    </xf>
    <xf numFmtId="0" fontId="29" fillId="0" borderId="82" xfId="3" applyFont="1" applyBorder="1" applyAlignment="1">
      <alignment horizontal="left" vertical="top"/>
    </xf>
    <xf numFmtId="0" fontId="10" fillId="0" borderId="2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0" fontId="10" fillId="0" borderId="19" xfId="2" applyNumberFormat="1" applyFont="1" applyBorder="1" applyAlignment="1">
      <alignment horizontal="center"/>
    </xf>
    <xf numFmtId="10" fontId="10" fillId="0" borderId="20" xfId="2" applyNumberFormat="1" applyFont="1" applyBorder="1" applyAlignment="1">
      <alignment horizontal="center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44" fontId="25" fillId="0" borderId="45" xfId="1" applyFont="1" applyBorder="1" applyAlignment="1">
      <alignment horizontal="left" vertical="top" wrapText="1"/>
    </xf>
    <xf numFmtId="44" fontId="25" fillId="0" borderId="56" xfId="1" applyFont="1" applyBorder="1" applyAlignment="1">
      <alignment horizontal="left" vertical="top" wrapText="1"/>
    </xf>
    <xf numFmtId="44" fontId="26" fillId="0" borderId="45" xfId="1" applyFont="1" applyBorder="1" applyAlignment="1">
      <alignment horizontal="center" vertical="top" wrapText="1"/>
    </xf>
    <xf numFmtId="44" fontId="26" fillId="0" borderId="56" xfId="1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44" fontId="25" fillId="0" borderId="1" xfId="1" applyFont="1" applyBorder="1" applyAlignment="1">
      <alignment horizontal="left" vertical="top" wrapText="1"/>
    </xf>
    <xf numFmtId="44" fontId="25" fillId="0" borderId="15" xfId="1" applyFont="1" applyBorder="1" applyAlignment="1">
      <alignment horizontal="left" vertical="top" wrapText="1"/>
    </xf>
    <xf numFmtId="0" fontId="25" fillId="3" borderId="14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24" fillId="0" borderId="2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4" fontId="24" fillId="0" borderId="12" xfId="1" applyFont="1" applyBorder="1" applyAlignment="1">
      <alignment horizontal="center" vertical="center" wrapText="1"/>
    </xf>
    <xf numFmtId="44" fontId="24" fillId="0" borderId="13" xfId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4" fontId="30" fillId="0" borderId="1" xfId="1" applyFont="1" applyBorder="1" applyAlignment="1">
      <alignment horizontal="center" vertical="center" wrapText="1"/>
    </xf>
    <xf numFmtId="44" fontId="30" fillId="0" borderId="15" xfId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4" fontId="10" fillId="0" borderId="1" xfId="1" applyFont="1" applyBorder="1" applyAlignment="1">
      <alignment horizontal="center"/>
    </xf>
    <xf numFmtId="44" fontId="10" fillId="0" borderId="15" xfId="1" applyFont="1" applyBorder="1" applyAlignment="1">
      <alignment horizontal="center"/>
    </xf>
    <xf numFmtId="44" fontId="8" fillId="3" borderId="1" xfId="1" applyFont="1" applyFill="1" applyBorder="1" applyAlignment="1">
      <alignment horizontal="center" vertical="center" wrapText="1"/>
    </xf>
    <xf numFmtId="44" fontId="8" fillId="3" borderId="15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9" fillId="3" borderId="15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30" fillId="0" borderId="74" xfId="0" applyFont="1" applyBorder="1" applyAlignment="1">
      <alignment horizontal="left"/>
    </xf>
    <xf numFmtId="0" fontId="30" fillId="0" borderId="75" xfId="0" applyFont="1" applyBorder="1" applyAlignment="1">
      <alignment horizontal="left"/>
    </xf>
    <xf numFmtId="0" fontId="30" fillId="0" borderId="82" xfId="0" applyFont="1" applyBorder="1" applyAlignment="1">
      <alignment horizontal="left"/>
    </xf>
    <xf numFmtId="0" fontId="30" fillId="0" borderId="76" xfId="0" applyFont="1" applyBorder="1" applyAlignment="1">
      <alignment horizontal="left"/>
    </xf>
    <xf numFmtId="0" fontId="30" fillId="0" borderId="77" xfId="0" applyFont="1" applyBorder="1" applyAlignment="1">
      <alignment horizontal="left"/>
    </xf>
    <xf numFmtId="0" fontId="30" fillId="0" borderId="83" xfId="0" applyFont="1" applyBorder="1" applyAlignment="1">
      <alignment horizontal="left"/>
    </xf>
    <xf numFmtId="0" fontId="30" fillId="0" borderId="78" xfId="0" applyFont="1" applyBorder="1" applyAlignment="1">
      <alignment horizontal="left"/>
    </xf>
    <xf numFmtId="0" fontId="30" fillId="0" borderId="79" xfId="0" applyFont="1" applyBorder="1" applyAlignment="1">
      <alignment horizontal="left"/>
    </xf>
    <xf numFmtId="0" fontId="30" fillId="0" borderId="84" xfId="0" applyFont="1" applyBorder="1" applyAlignment="1">
      <alignment horizontal="left"/>
    </xf>
    <xf numFmtId="0" fontId="13" fillId="0" borderId="2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27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" fillId="0" borderId="0" xfId="0" applyFont="1" applyAlignment="1">
      <alignment horizontal="left" vertical="justify" wrapText="1"/>
    </xf>
    <xf numFmtId="8" fontId="1" fillId="0" borderId="0" xfId="0" applyNumberFormat="1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3" fillId="0" borderId="0" xfId="0" applyFont="1" applyAlignment="1">
      <alignment horizontal="justify" vertical="justify" wrapText="1"/>
    </xf>
    <xf numFmtId="0" fontId="10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top" wrapText="1"/>
    </xf>
    <xf numFmtId="0" fontId="26" fillId="2" borderId="15" xfId="0" applyFont="1" applyFill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4" fillId="0" borderId="69" xfId="0" applyFont="1" applyBorder="1" applyAlignment="1">
      <alignment horizontal="center"/>
    </xf>
    <xf numFmtId="0" fontId="24" fillId="0" borderId="70" xfId="0" applyFont="1" applyBorder="1" applyAlignment="1">
      <alignment horizontal="center"/>
    </xf>
    <xf numFmtId="0" fontId="24" fillId="0" borderId="85" xfId="0" applyFont="1" applyBorder="1" applyAlignment="1">
      <alignment horizontal="center"/>
    </xf>
    <xf numFmtId="0" fontId="3" fillId="0" borderId="74" xfId="0" applyFont="1" applyBorder="1" applyAlignment="1">
      <alignment horizontal="left"/>
    </xf>
    <xf numFmtId="0" fontId="3" fillId="0" borderId="75" xfId="0" applyFont="1" applyBorder="1" applyAlignment="1">
      <alignment horizontal="left"/>
    </xf>
    <xf numFmtId="0" fontId="3" fillId="0" borderId="82" xfId="0" applyFont="1" applyBorder="1" applyAlignment="1">
      <alignment horizontal="left"/>
    </xf>
    <xf numFmtId="0" fontId="3" fillId="0" borderId="76" xfId="0" applyFont="1" applyBorder="1" applyAlignment="1">
      <alignment horizontal="left"/>
    </xf>
    <xf numFmtId="0" fontId="3" fillId="0" borderId="77" xfId="0" applyFont="1" applyBorder="1" applyAlignment="1">
      <alignment horizontal="left"/>
    </xf>
    <xf numFmtId="0" fontId="3" fillId="0" borderId="83" xfId="0" applyFont="1" applyBorder="1" applyAlignment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left"/>
    </xf>
    <xf numFmtId="0" fontId="24" fillId="0" borderId="85" xfId="0" applyFont="1" applyBorder="1" applyAlignment="1">
      <alignment horizontal="left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3" fillId="0" borderId="23" xfId="0" applyFont="1" applyFill="1" applyBorder="1" applyAlignment="1">
      <alignment horizontal="left"/>
    </xf>
    <xf numFmtId="0" fontId="23" fillId="0" borderId="19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justify" vertical="justify" wrapText="1"/>
    </xf>
    <xf numFmtId="0" fontId="7" fillId="0" borderId="0" xfId="0" applyFont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44" fontId="10" fillId="0" borderId="19" xfId="1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44" fontId="10" fillId="0" borderId="12" xfId="1" applyFont="1" applyBorder="1" applyAlignment="1">
      <alignment horizontal="center"/>
    </xf>
    <xf numFmtId="44" fontId="10" fillId="0" borderId="13" xfId="1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4" fontId="20" fillId="0" borderId="92" xfId="0" applyNumberFormat="1" applyFont="1" applyBorder="1" applyAlignment="1">
      <alignment horizontal="center" vertical="center"/>
    </xf>
    <xf numFmtId="4" fontId="20" fillId="0" borderId="95" xfId="0" applyNumberFormat="1" applyFont="1" applyBorder="1" applyAlignment="1">
      <alignment horizontal="center" vertical="center"/>
    </xf>
    <xf numFmtId="10" fontId="20" fillId="0" borderId="94" xfId="0" applyNumberFormat="1" applyFont="1" applyBorder="1" applyAlignment="1">
      <alignment horizontal="center" vertical="center" wrapText="1"/>
    </xf>
    <xf numFmtId="10" fontId="20" fillId="0" borderId="93" xfId="0" applyNumberFormat="1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3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6" fillId="2" borderId="2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top" wrapText="1"/>
    </xf>
    <xf numFmtId="0" fontId="26" fillId="2" borderId="13" xfId="0" applyFont="1" applyFill="1" applyBorder="1" applyAlignment="1">
      <alignment horizontal="center" vertical="top" wrapText="1"/>
    </xf>
    <xf numFmtId="44" fontId="25" fillId="0" borderId="1" xfId="1" applyFont="1" applyBorder="1" applyAlignment="1">
      <alignment horizontal="center" vertical="top" wrapText="1"/>
    </xf>
    <xf numFmtId="44" fontId="25" fillId="0" borderId="15" xfId="1" applyFont="1" applyBorder="1" applyAlignment="1">
      <alignment horizontal="center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44" fontId="26" fillId="0" borderId="1" xfId="1" applyFont="1" applyBorder="1" applyAlignment="1">
      <alignment horizontal="center" vertical="top" wrapText="1"/>
    </xf>
    <xf numFmtId="44" fontId="26" fillId="0" borderId="15" xfId="1" applyFont="1" applyBorder="1" applyAlignment="1">
      <alignment horizontal="center" vertical="top" wrapText="1"/>
    </xf>
    <xf numFmtId="0" fontId="26" fillId="3" borderId="22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44" fontId="26" fillId="3" borderId="1" xfId="1" applyFont="1" applyFill="1" applyBorder="1" applyAlignment="1">
      <alignment horizontal="left" vertical="top" wrapText="1"/>
    </xf>
    <xf numFmtId="44" fontId="26" fillId="3" borderId="15" xfId="1" applyFont="1" applyFill="1" applyBorder="1" applyAlignment="1">
      <alignment horizontal="left" vertical="top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10" fontId="26" fillId="0" borderId="19" xfId="0" applyNumberFormat="1" applyFont="1" applyBorder="1" applyAlignment="1">
      <alignment horizontal="center" vertical="top" wrapText="1"/>
    </xf>
    <xf numFmtId="10" fontId="26" fillId="0" borderId="20" xfId="0" applyNumberFormat="1" applyFont="1" applyBorder="1" applyAlignment="1">
      <alignment horizontal="center" vertical="top" wrapText="1"/>
    </xf>
    <xf numFmtId="0" fontId="3" fillId="0" borderId="78" xfId="0" applyFont="1" applyBorder="1" applyAlignment="1">
      <alignment horizontal="left"/>
    </xf>
    <xf numFmtId="0" fontId="3" fillId="0" borderId="79" xfId="0" applyFont="1" applyBorder="1" applyAlignment="1">
      <alignment horizontal="left"/>
    </xf>
    <xf numFmtId="0" fontId="3" fillId="0" borderId="84" xfId="0" applyFont="1" applyBorder="1" applyAlignment="1">
      <alignment horizontal="left"/>
    </xf>
    <xf numFmtId="44" fontId="10" fillId="0" borderId="1" xfId="0" applyNumberFormat="1" applyFont="1" applyBorder="1" applyAlignment="1">
      <alignment horizontal="center"/>
    </xf>
    <xf numFmtId="0" fontId="24" fillId="0" borderId="23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44" fontId="24" fillId="0" borderId="19" xfId="1" applyFont="1" applyBorder="1" applyAlignment="1">
      <alignment horizontal="left" vertical="center" wrapText="1"/>
    </xf>
    <xf numFmtId="44" fontId="24" fillId="0" borderId="20" xfId="1" applyFont="1" applyBorder="1" applyAlignment="1">
      <alignment horizontal="left" vertical="center" wrapText="1"/>
    </xf>
    <xf numFmtId="0" fontId="19" fillId="0" borderId="5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0" fillId="0" borderId="33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4" fontId="10" fillId="0" borderId="5" xfId="0" applyNumberFormat="1" applyFont="1" applyBorder="1" applyAlignment="1">
      <alignment horizontal="center" wrapText="1"/>
    </xf>
    <xf numFmtId="0" fontId="10" fillId="0" borderId="68" xfId="0" applyFont="1" applyBorder="1" applyAlignment="1">
      <alignment horizont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1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44" fontId="10" fillId="0" borderId="45" xfId="0" applyNumberFormat="1" applyFont="1" applyBorder="1" applyAlignment="1">
      <alignment horizontal="center" wrapText="1"/>
    </xf>
    <xf numFmtId="44" fontId="10" fillId="0" borderId="56" xfId="0" applyNumberFormat="1" applyFont="1" applyBorder="1" applyAlignment="1">
      <alignment horizontal="center" wrapText="1"/>
    </xf>
    <xf numFmtId="8" fontId="3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6" fillId="0" borderId="16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4" fillId="0" borderId="0" xfId="0" applyFont="1" applyAlignment="1">
      <alignment horizontal="left"/>
    </xf>
  </cellXfs>
  <cellStyles count="4">
    <cellStyle name="Moeda" xfId="1" builtinId="4"/>
    <cellStyle name="Normal" xfId="0" builtinId="0"/>
    <cellStyle name="Normal 2" xfId="3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'RELATORIO CIRCUNSTANCIADO'!$C$74</c:f>
              <c:strCache>
                <c:ptCount val="1"/>
                <c:pt idx="0">
                  <c:v>EXERCÍCIOS</c:v>
                </c:pt>
              </c:strCache>
            </c:strRef>
          </c:tx>
          <c:invertIfNegative val="0"/>
          <c:val>
            <c:numRef>
              <c:f>'RELATORIO CIRCUNSTANCIADO'!$C$75:$C$97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val>
        </c:ser>
        <c:ser>
          <c:idx val="1"/>
          <c:order val="1"/>
          <c:tx>
            <c:strRef>
              <c:f>'RELATORIO CIRCUNSTANCIADO'!$D$74</c:f>
              <c:strCache>
                <c:ptCount val="1"/>
                <c:pt idx="0">
                  <c:v>PRÓPRIAS</c:v>
                </c:pt>
              </c:strCache>
            </c:strRef>
          </c:tx>
          <c:invertIfNegative val="0"/>
          <c:val>
            <c:numRef>
              <c:f>'RELATORIO CIRCUNSTANCIADO'!$D$75:$D$97</c:f>
              <c:numCache>
                <c:formatCode>_("R$"* #,##0.00_);_("R$"* \(#,##0.00\);_("R$"* "-"??_);_(@_)</c:formatCode>
                <c:ptCount val="23"/>
                <c:pt idx="0">
                  <c:v>161559.22</c:v>
                </c:pt>
                <c:pt idx="1">
                  <c:v>219033.31</c:v>
                </c:pt>
                <c:pt idx="2">
                  <c:v>150049.41</c:v>
                </c:pt>
                <c:pt idx="3">
                  <c:v>110458.14</c:v>
                </c:pt>
                <c:pt idx="4">
                  <c:v>167119.74</c:v>
                </c:pt>
                <c:pt idx="5">
                  <c:v>297742.61</c:v>
                </c:pt>
                <c:pt idx="6">
                  <c:v>182821.96</c:v>
                </c:pt>
                <c:pt idx="7">
                  <c:v>132405.63</c:v>
                </c:pt>
                <c:pt idx="8">
                  <c:v>118685.17</c:v>
                </c:pt>
                <c:pt idx="9">
                  <c:v>172813.6</c:v>
                </c:pt>
                <c:pt idx="10">
                  <c:v>147606.07</c:v>
                </c:pt>
                <c:pt idx="11">
                  <c:v>351076.71</c:v>
                </c:pt>
                <c:pt idx="12">
                  <c:v>217796.62000000002</c:v>
                </c:pt>
                <c:pt idx="13">
                  <c:v>288712.5</c:v>
                </c:pt>
                <c:pt idx="14">
                  <c:v>215089.18</c:v>
                </c:pt>
                <c:pt idx="15">
                  <c:v>440449.13</c:v>
                </c:pt>
                <c:pt idx="16">
                  <c:v>579850.34</c:v>
                </c:pt>
                <c:pt idx="17">
                  <c:v>492598.84</c:v>
                </c:pt>
                <c:pt idx="18">
                  <c:v>447876.13</c:v>
                </c:pt>
                <c:pt idx="19">
                  <c:v>676947.91</c:v>
                </c:pt>
                <c:pt idx="20">
                  <c:v>816626.56</c:v>
                </c:pt>
                <c:pt idx="21">
                  <c:v>889626.56</c:v>
                </c:pt>
                <c:pt idx="22">
                  <c:v>983828.22000000009</c:v>
                </c:pt>
              </c:numCache>
            </c:numRef>
          </c:val>
        </c:ser>
        <c:ser>
          <c:idx val="2"/>
          <c:order val="2"/>
          <c:tx>
            <c:strRef>
              <c:f>'RELATORIO CIRCUNSTANCIADO'!$E$74</c:f>
              <c:strCache>
                <c:ptCount val="1"/>
                <c:pt idx="0">
                  <c:v>TRANSFERÊNCIAS</c:v>
                </c:pt>
              </c:strCache>
            </c:strRef>
          </c:tx>
          <c:invertIfNegative val="0"/>
          <c:val>
            <c:numRef>
              <c:f>'RELATORIO CIRCUNSTANCIADO'!$E$75:$E$97</c:f>
              <c:numCache>
                <c:formatCode>_("R$"* #,##0.00_);_("R$"* \(#,##0.00\);_("R$"* "-"??_);_(@_)</c:formatCode>
                <c:ptCount val="23"/>
                <c:pt idx="0">
                  <c:v>1343290.21</c:v>
                </c:pt>
                <c:pt idx="1">
                  <c:v>1884391.64</c:v>
                </c:pt>
                <c:pt idx="2">
                  <c:v>2014874</c:v>
                </c:pt>
                <c:pt idx="3">
                  <c:v>2214657.4900000002</c:v>
                </c:pt>
                <c:pt idx="4">
                  <c:v>2533521.09</c:v>
                </c:pt>
                <c:pt idx="5">
                  <c:v>2938257.63</c:v>
                </c:pt>
                <c:pt idx="6">
                  <c:v>3464133.82</c:v>
                </c:pt>
                <c:pt idx="7">
                  <c:v>4061464.9</c:v>
                </c:pt>
                <c:pt idx="8">
                  <c:v>4934427.08</c:v>
                </c:pt>
                <c:pt idx="9">
                  <c:v>5704195.9500000002</c:v>
                </c:pt>
                <c:pt idx="10">
                  <c:v>6455422.3799999999</c:v>
                </c:pt>
                <c:pt idx="11">
                  <c:v>7886024.7199999997</c:v>
                </c:pt>
                <c:pt idx="12">
                  <c:v>8009751.3200000003</c:v>
                </c:pt>
                <c:pt idx="13">
                  <c:v>10019671.1</c:v>
                </c:pt>
                <c:pt idx="14">
                  <c:v>11422335.130000001</c:v>
                </c:pt>
                <c:pt idx="15">
                  <c:v>11318616.51</c:v>
                </c:pt>
                <c:pt idx="16">
                  <c:v>11756031.75</c:v>
                </c:pt>
                <c:pt idx="17">
                  <c:v>13019843.390000001</c:v>
                </c:pt>
                <c:pt idx="18">
                  <c:v>13441021.09</c:v>
                </c:pt>
                <c:pt idx="19">
                  <c:v>14752079.58</c:v>
                </c:pt>
                <c:pt idx="20">
                  <c:v>15352063.539999999</c:v>
                </c:pt>
                <c:pt idx="21">
                  <c:v>16319439.99</c:v>
                </c:pt>
                <c:pt idx="22">
                  <c:v>18127626.250000004</c:v>
                </c:pt>
              </c:numCache>
            </c:numRef>
          </c:val>
        </c:ser>
        <c:ser>
          <c:idx val="3"/>
          <c:order val="3"/>
          <c:tx>
            <c:strRef>
              <c:f>'RELATORIO CIRCUNSTANCIADO'!$F$74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'RELATORIO CIRCUNSTANCIADO'!$F$75:$F$97</c:f>
              <c:numCache>
                <c:formatCode>_("R$"* #,##0.00_);_("R$"* \(#,##0.00\);_("R$"* "-"??_);_(@_)</c:formatCode>
                <c:ptCount val="23"/>
                <c:pt idx="0">
                  <c:v>1504849.43</c:v>
                </c:pt>
                <c:pt idx="1">
                  <c:v>2103424.9500000002</c:v>
                </c:pt>
                <c:pt idx="2">
                  <c:v>2164923.41</c:v>
                </c:pt>
                <c:pt idx="3">
                  <c:v>2325115.63</c:v>
                </c:pt>
                <c:pt idx="4">
                  <c:v>2700640.83</c:v>
                </c:pt>
                <c:pt idx="5">
                  <c:v>3236000.24</c:v>
                </c:pt>
                <c:pt idx="6">
                  <c:v>3646955.78</c:v>
                </c:pt>
                <c:pt idx="7">
                  <c:v>4193870.53</c:v>
                </c:pt>
                <c:pt idx="8">
                  <c:v>5053112.25</c:v>
                </c:pt>
                <c:pt idx="9">
                  <c:v>5877009.5499999998</c:v>
                </c:pt>
                <c:pt idx="10">
                  <c:v>6603028.4500000002</c:v>
                </c:pt>
                <c:pt idx="11">
                  <c:v>8237101.4299999997</c:v>
                </c:pt>
                <c:pt idx="12">
                  <c:v>8227547.9400000004</c:v>
                </c:pt>
                <c:pt idx="13">
                  <c:v>10308383.6</c:v>
                </c:pt>
                <c:pt idx="14">
                  <c:v>11637424.310000001</c:v>
                </c:pt>
                <c:pt idx="15">
                  <c:v>11749065.640000001</c:v>
                </c:pt>
                <c:pt idx="16">
                  <c:v>12335882.09</c:v>
                </c:pt>
                <c:pt idx="17">
                  <c:v>13512442.23</c:v>
                </c:pt>
                <c:pt idx="18">
                  <c:v>13888897.220000001</c:v>
                </c:pt>
                <c:pt idx="19">
                  <c:v>15429027.49</c:v>
                </c:pt>
                <c:pt idx="20">
                  <c:v>16168690.1</c:v>
                </c:pt>
                <c:pt idx="21">
                  <c:v>17209066.550000001</c:v>
                </c:pt>
                <c:pt idx="22">
                  <c:v>19111454.470000003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471592"/>
        <c:axId val="226471984"/>
        <c:axId val="0"/>
      </c:bar3DChart>
      <c:catAx>
        <c:axId val="226471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26471984"/>
        <c:crosses val="autoZero"/>
        <c:auto val="1"/>
        <c:lblAlgn val="ctr"/>
        <c:lblOffset val="100"/>
        <c:noMultiLvlLbl val="0"/>
      </c:catAx>
      <c:valAx>
        <c:axId val="22647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471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'RELATORIO CIRCUNSTANCIADO'!$C$139</c:f>
              <c:strCache>
                <c:ptCount val="1"/>
                <c:pt idx="0">
                  <c:v>EXERCÍCIOS</c:v>
                </c:pt>
              </c:strCache>
            </c:strRef>
          </c:tx>
          <c:invertIfNegative val="0"/>
          <c:val>
            <c:numRef>
              <c:f>'RELATORIO CIRCUNSTANCIADO'!$C$140:$C$162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val>
        </c:ser>
        <c:ser>
          <c:idx val="1"/>
          <c:order val="1"/>
          <c:tx>
            <c:strRef>
              <c:f>'RELATORIO CIRCUNSTANCIADO'!$D$139</c:f>
              <c:strCache>
                <c:ptCount val="1"/>
                <c:pt idx="0">
                  <c:v>CORRENTES</c:v>
                </c:pt>
              </c:strCache>
            </c:strRef>
          </c:tx>
          <c:invertIfNegative val="0"/>
          <c:val>
            <c:numRef>
              <c:f>'RELATORIO CIRCUNSTANCIADO'!$D$140:$D$162</c:f>
              <c:numCache>
                <c:formatCode>_("R$"* #,##0.00_);_("R$"* \(#,##0.00\);_("R$"* "-"??_);_(@_)</c:formatCode>
                <c:ptCount val="23"/>
                <c:pt idx="0">
                  <c:v>909701.94</c:v>
                </c:pt>
                <c:pt idx="1">
                  <c:v>1735142.46</c:v>
                </c:pt>
                <c:pt idx="2">
                  <c:v>1973132.22</c:v>
                </c:pt>
                <c:pt idx="3">
                  <c:v>2094971.41</c:v>
                </c:pt>
                <c:pt idx="4">
                  <c:v>2221408.83</c:v>
                </c:pt>
                <c:pt idx="5">
                  <c:v>2651552.35</c:v>
                </c:pt>
                <c:pt idx="6">
                  <c:v>3484939.7</c:v>
                </c:pt>
                <c:pt idx="7">
                  <c:v>3766956.72</c:v>
                </c:pt>
                <c:pt idx="8">
                  <c:v>4265321.8499999996</c:v>
                </c:pt>
                <c:pt idx="9">
                  <c:v>5182324.76</c:v>
                </c:pt>
                <c:pt idx="10">
                  <c:v>5624481.3399999999</c:v>
                </c:pt>
                <c:pt idx="11">
                  <c:v>6883676.6799999997</c:v>
                </c:pt>
                <c:pt idx="12">
                  <c:v>7378334.1500000004</c:v>
                </c:pt>
                <c:pt idx="13">
                  <c:v>8255018.0899999999</c:v>
                </c:pt>
                <c:pt idx="14">
                  <c:v>9515273.0999999996</c:v>
                </c:pt>
                <c:pt idx="15">
                  <c:v>10173827.32</c:v>
                </c:pt>
                <c:pt idx="16">
                  <c:v>12291244.32</c:v>
                </c:pt>
                <c:pt idx="17">
                  <c:v>12455554.67</c:v>
                </c:pt>
                <c:pt idx="18">
                  <c:v>12255258.67</c:v>
                </c:pt>
                <c:pt idx="19">
                  <c:v>14089928</c:v>
                </c:pt>
                <c:pt idx="20">
                  <c:v>14418254.779999999</c:v>
                </c:pt>
                <c:pt idx="21">
                  <c:v>16280223.15</c:v>
                </c:pt>
                <c:pt idx="22">
                  <c:v>19188005.419999998</c:v>
                </c:pt>
              </c:numCache>
            </c:numRef>
          </c:val>
        </c:ser>
        <c:ser>
          <c:idx val="2"/>
          <c:order val="2"/>
          <c:tx>
            <c:strRef>
              <c:f>'RELATORIO CIRCUNSTANCIADO'!$E$139</c:f>
              <c:strCache>
                <c:ptCount val="1"/>
                <c:pt idx="0">
                  <c:v>CAPITAL</c:v>
                </c:pt>
              </c:strCache>
            </c:strRef>
          </c:tx>
          <c:invertIfNegative val="0"/>
          <c:val>
            <c:numRef>
              <c:f>'RELATORIO CIRCUNSTANCIADO'!$E$140:$E$162</c:f>
              <c:numCache>
                <c:formatCode>_("R$"* #,##0.00_);_("R$"* \(#,##0.00\);_("R$"* "-"??_);_(@_)</c:formatCode>
                <c:ptCount val="23"/>
                <c:pt idx="0">
                  <c:v>485407.82</c:v>
                </c:pt>
                <c:pt idx="1">
                  <c:v>415562.17</c:v>
                </c:pt>
                <c:pt idx="2">
                  <c:v>343039.16</c:v>
                </c:pt>
                <c:pt idx="3">
                  <c:v>318469.48</c:v>
                </c:pt>
                <c:pt idx="4">
                  <c:v>347968.35</c:v>
                </c:pt>
                <c:pt idx="5">
                  <c:v>468257.63</c:v>
                </c:pt>
                <c:pt idx="6">
                  <c:v>348007.19</c:v>
                </c:pt>
                <c:pt idx="7">
                  <c:v>173129.79</c:v>
                </c:pt>
                <c:pt idx="8">
                  <c:v>614403.75</c:v>
                </c:pt>
                <c:pt idx="9">
                  <c:v>673665.9</c:v>
                </c:pt>
                <c:pt idx="10">
                  <c:v>481029.61</c:v>
                </c:pt>
                <c:pt idx="11">
                  <c:v>1362477.54</c:v>
                </c:pt>
                <c:pt idx="12">
                  <c:v>835730.67</c:v>
                </c:pt>
                <c:pt idx="13">
                  <c:v>2274199.04</c:v>
                </c:pt>
                <c:pt idx="14">
                  <c:v>954965.63</c:v>
                </c:pt>
                <c:pt idx="15">
                  <c:v>1254504.02</c:v>
                </c:pt>
                <c:pt idx="16">
                  <c:v>617698.75</c:v>
                </c:pt>
                <c:pt idx="17">
                  <c:v>960620.66</c:v>
                </c:pt>
                <c:pt idx="18">
                  <c:v>599742.68999999994</c:v>
                </c:pt>
                <c:pt idx="19">
                  <c:v>557443</c:v>
                </c:pt>
                <c:pt idx="20">
                  <c:v>1612036.89</c:v>
                </c:pt>
                <c:pt idx="21">
                  <c:v>1221235.07</c:v>
                </c:pt>
                <c:pt idx="22">
                  <c:v>1129857.27</c:v>
                </c:pt>
              </c:numCache>
            </c:numRef>
          </c:val>
        </c:ser>
        <c:ser>
          <c:idx val="3"/>
          <c:order val="3"/>
          <c:tx>
            <c:strRef>
              <c:f>'RELATORIO CIRCUNSTANCIADO'!$F$139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'RELATORIO CIRCUNSTANCIADO'!$F$140:$F$162</c:f>
              <c:numCache>
                <c:formatCode>_("R$"* #,##0.00_);_("R$"* \(#,##0.00\);_("R$"* "-"??_);_(@_)</c:formatCode>
                <c:ptCount val="23"/>
                <c:pt idx="0">
                  <c:v>1395109.76</c:v>
                </c:pt>
                <c:pt idx="1">
                  <c:v>2150704.63</c:v>
                </c:pt>
                <c:pt idx="2">
                  <c:v>2316171.38</c:v>
                </c:pt>
                <c:pt idx="3">
                  <c:v>2413440.89</c:v>
                </c:pt>
                <c:pt idx="4">
                  <c:v>2569377.1800000002</c:v>
                </c:pt>
                <c:pt idx="5">
                  <c:v>3119809.98</c:v>
                </c:pt>
                <c:pt idx="6">
                  <c:v>3832946.89</c:v>
                </c:pt>
                <c:pt idx="7">
                  <c:v>3940086.51</c:v>
                </c:pt>
                <c:pt idx="8">
                  <c:v>4879725.5999999996</c:v>
                </c:pt>
                <c:pt idx="9">
                  <c:v>5855990.6600000001</c:v>
                </c:pt>
                <c:pt idx="10">
                  <c:v>6105510.9500000002</c:v>
                </c:pt>
                <c:pt idx="11">
                  <c:v>8246154.2199999997</c:v>
                </c:pt>
                <c:pt idx="12">
                  <c:v>8214064.8200000003</c:v>
                </c:pt>
                <c:pt idx="13">
                  <c:v>10529217.129999999</c:v>
                </c:pt>
                <c:pt idx="14">
                  <c:v>10470238.73</c:v>
                </c:pt>
                <c:pt idx="15">
                  <c:v>11428331.34</c:v>
                </c:pt>
                <c:pt idx="16">
                  <c:v>12908943.07</c:v>
                </c:pt>
                <c:pt idx="17">
                  <c:v>13416175.33</c:v>
                </c:pt>
                <c:pt idx="18">
                  <c:v>12855001.359999999</c:v>
                </c:pt>
                <c:pt idx="19">
                  <c:v>14647371</c:v>
                </c:pt>
                <c:pt idx="20">
                  <c:v>16030291.67</c:v>
                </c:pt>
                <c:pt idx="21">
                  <c:v>17501458.219999999</c:v>
                </c:pt>
                <c:pt idx="22">
                  <c:v>20317862.689999998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6472768"/>
        <c:axId val="226473160"/>
        <c:axId val="0"/>
      </c:bar3DChart>
      <c:catAx>
        <c:axId val="22647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6473160"/>
        <c:crosses val="autoZero"/>
        <c:auto val="1"/>
        <c:lblAlgn val="ctr"/>
        <c:lblOffset val="100"/>
        <c:noMultiLvlLbl val="0"/>
      </c:catAx>
      <c:valAx>
        <c:axId val="226473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47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98</xdr:row>
      <xdr:rowOff>133351</xdr:rowOff>
    </xdr:from>
    <xdr:to>
      <xdr:col>7</xdr:col>
      <xdr:colOff>257176</xdr:colOff>
      <xdr:row>110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163</xdr:row>
      <xdr:rowOff>1</xdr:rowOff>
    </xdr:from>
    <xdr:to>
      <xdr:col>7</xdr:col>
      <xdr:colOff>752475</xdr:colOff>
      <xdr:row>174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J424"/>
  <sheetViews>
    <sheetView tabSelected="1" topLeftCell="A298" zoomScaleNormal="100" workbookViewId="0">
      <selection activeCell="H290" sqref="H290"/>
    </sheetView>
  </sheetViews>
  <sheetFormatPr defaultRowHeight="15" x14ac:dyDescent="0.2"/>
  <cols>
    <col min="1" max="1" width="1.28515625" style="4" customWidth="1"/>
    <col min="2" max="2" width="23.140625" style="4" customWidth="1"/>
    <col min="3" max="3" width="12.85546875" style="4" customWidth="1"/>
    <col min="4" max="4" width="24.7109375" style="4" customWidth="1"/>
    <col min="5" max="5" width="18.5703125" style="4" customWidth="1"/>
    <col min="6" max="6" width="22" style="4" customWidth="1"/>
    <col min="7" max="7" width="17.28515625" style="4" customWidth="1"/>
    <col min="8" max="8" width="12.85546875" style="4" customWidth="1"/>
    <col min="9" max="9" width="12.140625" style="4" customWidth="1"/>
    <col min="10" max="10" width="12.28515625" style="4" customWidth="1"/>
    <col min="11" max="14" width="9.140625" style="4" customWidth="1"/>
    <col min="15" max="16384" width="9.140625" style="4"/>
  </cols>
  <sheetData>
    <row r="1" spans="2:9" ht="18" x14ac:dyDescent="0.25">
      <c r="B1" s="414" t="s">
        <v>40</v>
      </c>
      <c r="C1" s="414"/>
      <c r="D1" s="414"/>
      <c r="E1" s="414"/>
      <c r="F1" s="414"/>
      <c r="G1" s="414"/>
      <c r="H1" s="414"/>
      <c r="I1" s="414"/>
    </row>
    <row r="2" spans="2:9" ht="20.25" customHeight="1" x14ac:dyDescent="0.2"/>
    <row r="3" spans="2:9" ht="64.5" customHeight="1" x14ac:dyDescent="0.2">
      <c r="B3" s="413" t="s">
        <v>220</v>
      </c>
      <c r="C3" s="413"/>
      <c r="D3" s="413"/>
      <c r="E3" s="413"/>
      <c r="F3" s="413"/>
      <c r="G3" s="413"/>
      <c r="H3" s="413"/>
      <c r="I3" s="413"/>
    </row>
    <row r="4" spans="2:9" ht="26.25" customHeight="1" x14ac:dyDescent="0.2">
      <c r="B4" s="33"/>
      <c r="C4" s="33"/>
      <c r="D4" s="33"/>
      <c r="E4" s="33"/>
      <c r="F4" s="33"/>
      <c r="G4" s="33"/>
      <c r="H4" s="33"/>
      <c r="I4" s="33"/>
    </row>
    <row r="5" spans="2:9" ht="15" customHeight="1" x14ac:dyDescent="0.2">
      <c r="B5" s="5"/>
      <c r="C5" s="5"/>
      <c r="D5" s="5"/>
      <c r="E5" s="5"/>
      <c r="F5" s="5"/>
      <c r="G5" s="5"/>
      <c r="H5" s="5"/>
      <c r="I5" s="5"/>
    </row>
    <row r="6" spans="2:9" ht="18" x14ac:dyDescent="0.25">
      <c r="B6" s="28" t="s">
        <v>42</v>
      </c>
      <c r="C6" s="27"/>
      <c r="D6" s="27"/>
      <c r="E6" s="27"/>
      <c r="F6" s="27"/>
      <c r="G6" s="27"/>
      <c r="H6" s="27"/>
      <c r="I6" s="27"/>
    </row>
    <row r="7" spans="2:9" ht="30" customHeight="1" x14ac:dyDescent="0.25">
      <c r="B7" s="3"/>
      <c r="C7" s="3"/>
      <c r="D7" s="3"/>
      <c r="E7" s="3"/>
      <c r="F7" s="3"/>
      <c r="G7" s="3"/>
      <c r="H7" s="3"/>
      <c r="I7" s="3"/>
    </row>
    <row r="8" spans="2:9" ht="15" customHeight="1" x14ac:dyDescent="0.25">
      <c r="B8" s="27" t="s">
        <v>41</v>
      </c>
      <c r="C8" s="27"/>
      <c r="D8" s="27"/>
      <c r="E8" s="27"/>
      <c r="F8" s="27"/>
      <c r="G8" s="27"/>
      <c r="H8" s="27"/>
      <c r="I8" s="27"/>
    </row>
    <row r="9" spans="2:9" ht="29.25" customHeight="1" x14ac:dyDescent="0.2"/>
    <row r="10" spans="2:9" ht="55.5" customHeight="1" x14ac:dyDescent="0.2">
      <c r="B10" s="338" t="s">
        <v>221</v>
      </c>
      <c r="C10" s="338"/>
      <c r="D10" s="338"/>
      <c r="E10" s="338"/>
      <c r="F10" s="338"/>
      <c r="G10" s="338"/>
      <c r="H10" s="338"/>
      <c r="I10" s="338"/>
    </row>
    <row r="11" spans="2:9" ht="15" customHeight="1" thickBot="1" x14ac:dyDescent="0.25"/>
    <row r="12" spans="2:9" ht="15" customHeight="1" x14ac:dyDescent="0.25">
      <c r="C12" s="421" t="s">
        <v>113</v>
      </c>
      <c r="D12" s="422"/>
      <c r="E12" s="423"/>
      <c r="F12" s="419">
        <v>29644000</v>
      </c>
      <c r="G12" s="420"/>
    </row>
    <row r="13" spans="2:9" ht="15" customHeight="1" x14ac:dyDescent="0.25">
      <c r="C13" s="400" t="s">
        <v>112</v>
      </c>
      <c r="D13" s="401"/>
      <c r="E13" s="402"/>
      <c r="F13" s="271">
        <v>6415062.3700000001</v>
      </c>
      <c r="G13" s="272"/>
    </row>
    <row r="14" spans="2:9" ht="15" customHeight="1" x14ac:dyDescent="0.2">
      <c r="C14" s="388" t="s">
        <v>0</v>
      </c>
      <c r="D14" s="389"/>
      <c r="E14" s="390"/>
      <c r="F14" s="277">
        <f>5308035.78-287563.24</f>
        <v>5020472.54</v>
      </c>
      <c r="G14" s="278"/>
    </row>
    <row r="15" spans="2:9" ht="15" customHeight="1" x14ac:dyDescent="0.25">
      <c r="C15" s="400" t="s">
        <v>1</v>
      </c>
      <c r="D15" s="401"/>
      <c r="E15" s="402"/>
      <c r="F15" s="271">
        <v>323883.26</v>
      </c>
      <c r="G15" s="272"/>
    </row>
    <row r="16" spans="2:9" ht="15" customHeight="1" x14ac:dyDescent="0.2">
      <c r="C16" s="388" t="s">
        <v>2</v>
      </c>
      <c r="D16" s="389"/>
      <c r="E16" s="390"/>
      <c r="F16" s="277">
        <v>0</v>
      </c>
      <c r="G16" s="278"/>
    </row>
    <row r="17" spans="2:9" ht="15" customHeight="1" x14ac:dyDescent="0.25">
      <c r="C17" s="400" t="s">
        <v>3</v>
      </c>
      <c r="D17" s="401"/>
      <c r="E17" s="402"/>
      <c r="F17" s="271">
        <f>F15</f>
        <v>323883.26</v>
      </c>
      <c r="G17" s="272"/>
    </row>
    <row r="18" spans="2:9" ht="15" customHeight="1" x14ac:dyDescent="0.2">
      <c r="C18" s="388" t="s">
        <v>4</v>
      </c>
      <c r="D18" s="389"/>
      <c r="E18" s="390"/>
      <c r="F18" s="277">
        <v>0</v>
      </c>
      <c r="G18" s="278"/>
    </row>
    <row r="19" spans="2:9" ht="15" customHeight="1" x14ac:dyDescent="0.2">
      <c r="C19" s="388" t="s">
        <v>5</v>
      </c>
      <c r="D19" s="389"/>
      <c r="E19" s="390"/>
      <c r="F19" s="277">
        <f>271910.33+15652.91</f>
        <v>287563.24</v>
      </c>
      <c r="G19" s="278"/>
    </row>
    <row r="20" spans="2:9" ht="15" customHeight="1" x14ac:dyDescent="0.25">
      <c r="C20" s="400" t="s">
        <v>6</v>
      </c>
      <c r="D20" s="401"/>
      <c r="E20" s="402"/>
      <c r="F20" s="271">
        <f>F13+F17</f>
        <v>6738945.6299999999</v>
      </c>
      <c r="G20" s="272"/>
    </row>
    <row r="21" spans="2:9" ht="15" customHeight="1" x14ac:dyDescent="0.2">
      <c r="C21" s="388" t="s">
        <v>7</v>
      </c>
      <c r="D21" s="389"/>
      <c r="E21" s="390"/>
      <c r="F21" s="277">
        <f>F14+F19</f>
        <v>5308035.78</v>
      </c>
      <c r="G21" s="278"/>
    </row>
    <row r="22" spans="2:9" ht="15" customHeight="1" x14ac:dyDescent="0.25">
      <c r="C22" s="400" t="s">
        <v>8</v>
      </c>
      <c r="D22" s="401"/>
      <c r="E22" s="402"/>
      <c r="F22" s="271">
        <f>F20-F21</f>
        <v>1430909.8499999996</v>
      </c>
      <c r="G22" s="272"/>
    </row>
    <row r="23" spans="2:9" ht="15" customHeight="1" thickBot="1" x14ac:dyDescent="0.3">
      <c r="C23" s="405" t="s">
        <v>9</v>
      </c>
      <c r="D23" s="406"/>
      <c r="E23" s="407"/>
      <c r="F23" s="417">
        <f>F12+F22</f>
        <v>31074909.850000001</v>
      </c>
      <c r="G23" s="418"/>
    </row>
    <row r="24" spans="2:9" ht="32.25" customHeight="1" x14ac:dyDescent="0.2"/>
    <row r="25" spans="2:9" ht="15.75" x14ac:dyDescent="0.25">
      <c r="B25" s="27" t="s">
        <v>43</v>
      </c>
      <c r="C25" s="27"/>
      <c r="D25" s="27"/>
      <c r="E25" s="27"/>
      <c r="G25" s="27"/>
      <c r="H25" s="27"/>
      <c r="I25" s="27"/>
    </row>
    <row r="26" spans="2:9" ht="22.5" customHeight="1" x14ac:dyDescent="0.2"/>
    <row r="27" spans="2:9" ht="51" customHeight="1" x14ac:dyDescent="0.2">
      <c r="B27" s="338" t="s">
        <v>222</v>
      </c>
      <c r="C27" s="338"/>
      <c r="D27" s="338"/>
      <c r="E27" s="338"/>
      <c r="F27" s="338"/>
      <c r="G27" s="338"/>
      <c r="H27" s="338"/>
      <c r="I27" s="338"/>
    </row>
    <row r="28" spans="2:9" ht="15.75" thickBot="1" x14ac:dyDescent="0.25"/>
    <row r="29" spans="2:9" ht="15" customHeight="1" x14ac:dyDescent="0.25">
      <c r="B29" s="415" t="s">
        <v>10</v>
      </c>
      <c r="C29" s="416"/>
      <c r="D29" s="416"/>
      <c r="E29" s="416"/>
      <c r="F29" s="403" t="s">
        <v>11</v>
      </c>
      <c r="G29" s="403"/>
      <c r="H29" s="403"/>
      <c r="I29" s="404"/>
    </row>
    <row r="30" spans="2:9" ht="15" customHeight="1" x14ac:dyDescent="0.25">
      <c r="B30" s="393" t="s">
        <v>12</v>
      </c>
      <c r="C30" s="394"/>
      <c r="D30" s="394"/>
      <c r="E30" s="394"/>
      <c r="F30" s="32" t="s">
        <v>13</v>
      </c>
      <c r="G30" s="6" t="s">
        <v>14</v>
      </c>
      <c r="H30" s="409" t="s">
        <v>15</v>
      </c>
      <c r="I30" s="410"/>
    </row>
    <row r="31" spans="2:9" ht="15" customHeight="1" x14ac:dyDescent="0.25">
      <c r="B31" s="385" t="s">
        <v>16</v>
      </c>
      <c r="C31" s="386"/>
      <c r="D31" s="386"/>
      <c r="E31" s="386"/>
      <c r="F31" s="15">
        <f>765986.66-16320.02-20000</f>
        <v>729666.64</v>
      </c>
      <c r="G31" s="15">
        <f>16320.02+20000</f>
        <v>36320.020000000004</v>
      </c>
      <c r="H31" s="383">
        <f t="shared" ref="H31:H35" si="0">F31+G31</f>
        <v>765986.66</v>
      </c>
      <c r="I31" s="384"/>
    </row>
    <row r="32" spans="2:9" ht="15" customHeight="1" x14ac:dyDescent="0.25">
      <c r="B32" s="385" t="s">
        <v>17</v>
      </c>
      <c r="C32" s="386"/>
      <c r="D32" s="386"/>
      <c r="E32" s="386"/>
      <c r="F32" s="16">
        <v>664923.18999999994</v>
      </c>
      <c r="G32" s="15">
        <v>0</v>
      </c>
      <c r="H32" s="383">
        <f t="shared" si="0"/>
        <v>664923.18999999994</v>
      </c>
      <c r="I32" s="384"/>
    </row>
    <row r="33" spans="2:9" ht="15" customHeight="1" x14ac:dyDescent="0.25">
      <c r="B33" s="385" t="s">
        <v>18</v>
      </c>
      <c r="C33" s="386"/>
      <c r="D33" s="386"/>
      <c r="E33" s="386"/>
      <c r="F33" s="16">
        <f>5308035.78-287563.24</f>
        <v>5020472.54</v>
      </c>
      <c r="G33" s="15">
        <f>271910.33+15652.91</f>
        <v>287563.24</v>
      </c>
      <c r="H33" s="383">
        <f t="shared" si="0"/>
        <v>5308035.78</v>
      </c>
      <c r="I33" s="384"/>
    </row>
    <row r="34" spans="2:9" ht="15" customHeight="1" x14ac:dyDescent="0.25">
      <c r="B34" s="385" t="s">
        <v>19</v>
      </c>
      <c r="C34" s="386"/>
      <c r="D34" s="386"/>
      <c r="E34" s="386"/>
      <c r="F34" s="16">
        <v>0</v>
      </c>
      <c r="G34" s="15">
        <v>0</v>
      </c>
      <c r="H34" s="383">
        <f t="shared" si="0"/>
        <v>0</v>
      </c>
      <c r="I34" s="384"/>
    </row>
    <row r="35" spans="2:9" ht="15" customHeight="1" x14ac:dyDescent="0.25">
      <c r="B35" s="397" t="s">
        <v>20</v>
      </c>
      <c r="C35" s="398"/>
      <c r="D35" s="398"/>
      <c r="E35" s="399"/>
      <c r="F35" s="15">
        <v>0</v>
      </c>
      <c r="G35" s="15">
        <v>0</v>
      </c>
      <c r="H35" s="383">
        <f t="shared" si="0"/>
        <v>0</v>
      </c>
      <c r="I35" s="384"/>
    </row>
    <row r="36" spans="2:9" ht="15" customHeight="1" x14ac:dyDescent="0.25">
      <c r="B36" s="385" t="s">
        <v>21</v>
      </c>
      <c r="C36" s="386"/>
      <c r="D36" s="386"/>
      <c r="E36" s="386"/>
      <c r="F36" s="15">
        <v>0</v>
      </c>
      <c r="G36" s="15">
        <v>0</v>
      </c>
      <c r="H36" s="383">
        <f>SUM(F36:G36)</f>
        <v>0</v>
      </c>
      <c r="I36" s="384"/>
    </row>
    <row r="37" spans="2:9" s="24" customFormat="1" ht="15" customHeight="1" thickBot="1" x14ac:dyDescent="0.3">
      <c r="B37" s="395" t="s">
        <v>22</v>
      </c>
      <c r="C37" s="396"/>
      <c r="D37" s="396"/>
      <c r="E37" s="396"/>
      <c r="F37" s="34">
        <f>SUM(F31:F36)</f>
        <v>6415062.3700000001</v>
      </c>
      <c r="G37" s="34">
        <f>SUM(G31:G36)</f>
        <v>323883.26</v>
      </c>
      <c r="H37" s="411">
        <f>F37+G37</f>
        <v>6738945.6299999999</v>
      </c>
      <c r="I37" s="412"/>
    </row>
    <row r="38" spans="2:9" x14ac:dyDescent="0.2">
      <c r="H38" s="387"/>
      <c r="I38" s="387"/>
    </row>
    <row r="40" spans="2:9" x14ac:dyDescent="0.2">
      <c r="G40" s="57"/>
    </row>
    <row r="42" spans="2:9" ht="15.75" x14ac:dyDescent="0.25">
      <c r="B42" s="408" t="s">
        <v>44</v>
      </c>
      <c r="C42" s="408"/>
      <c r="D42" s="408"/>
      <c r="E42" s="408"/>
      <c r="F42" s="408"/>
      <c r="G42" s="408"/>
      <c r="H42" s="408"/>
      <c r="I42" s="408"/>
    </row>
    <row r="44" spans="2:9" ht="33" customHeight="1" x14ac:dyDescent="0.2">
      <c r="B44" s="338" t="s">
        <v>225</v>
      </c>
      <c r="C44" s="338"/>
      <c r="D44" s="338"/>
      <c r="E44" s="338"/>
      <c r="F44" s="338"/>
      <c r="G44" s="338"/>
      <c r="H44" s="338"/>
      <c r="I44" s="338"/>
    </row>
    <row r="46" spans="2:9" ht="15.75" thickBot="1" x14ac:dyDescent="0.25"/>
    <row r="47" spans="2:9" ht="34.5" customHeight="1" thickTop="1" x14ac:dyDescent="0.2">
      <c r="B47" s="364" t="s">
        <v>23</v>
      </c>
      <c r="C47" s="365"/>
      <c r="D47" s="365"/>
      <c r="E47" s="339" t="s">
        <v>134</v>
      </c>
      <c r="F47" s="339" t="s">
        <v>135</v>
      </c>
      <c r="G47" s="341" t="s">
        <v>136</v>
      </c>
      <c r="H47" s="343" t="s">
        <v>171</v>
      </c>
      <c r="I47" s="345" t="s">
        <v>156</v>
      </c>
    </row>
    <row r="48" spans="2:9" ht="30" customHeight="1" x14ac:dyDescent="0.2">
      <c r="B48" s="366"/>
      <c r="C48" s="367"/>
      <c r="D48" s="367"/>
      <c r="E48" s="340"/>
      <c r="F48" s="340"/>
      <c r="G48" s="342"/>
      <c r="H48" s="344"/>
      <c r="I48" s="346"/>
    </row>
    <row r="49" spans="2:9" ht="15" customHeight="1" x14ac:dyDescent="0.2">
      <c r="B49" s="301" t="s">
        <v>24</v>
      </c>
      <c r="C49" s="302"/>
      <c r="D49" s="302"/>
      <c r="E49" s="147">
        <f>SUM(E50:E57)</f>
        <v>27519158.330000002</v>
      </c>
      <c r="F49" s="147">
        <f>SUM(F50:F57)</f>
        <v>21155703.82</v>
      </c>
      <c r="G49" s="147">
        <f>SUM(G50:G57)</f>
        <v>-6363454.5099999998</v>
      </c>
      <c r="H49" s="35">
        <f>F49/E49</f>
        <v>0.76876274943834733</v>
      </c>
      <c r="I49" s="36">
        <f t="shared" ref="I49:I58" si="1">F49/F$66</f>
        <v>1.1069646139810518</v>
      </c>
    </row>
    <row r="50" spans="2:9" ht="15" customHeight="1" x14ac:dyDescent="0.2">
      <c r="B50" s="303" t="s">
        <v>25</v>
      </c>
      <c r="C50" s="304"/>
      <c r="D50" s="304"/>
      <c r="E50" s="148">
        <v>714332.44</v>
      </c>
      <c r="F50" s="148">
        <v>724616.55</v>
      </c>
      <c r="G50" s="148">
        <f t="shared" ref="G50:G57" si="2">F50-E50</f>
        <v>10284.110000000102</v>
      </c>
      <c r="H50" s="37">
        <f>F50/E50</f>
        <v>1.0143968122181322</v>
      </c>
      <c r="I50" s="38">
        <f t="shared" si="1"/>
        <v>3.7915301063948796E-2</v>
      </c>
    </row>
    <row r="51" spans="2:9" ht="15" customHeight="1" x14ac:dyDescent="0.2">
      <c r="B51" s="303" t="s">
        <v>174</v>
      </c>
      <c r="C51" s="304"/>
      <c r="D51" s="304"/>
      <c r="E51" s="148">
        <v>25006.61</v>
      </c>
      <c r="F51" s="148">
        <v>33690.74</v>
      </c>
      <c r="G51" s="148">
        <f t="shared" ref="G51" si="3">F51-E51</f>
        <v>8684.1299999999974</v>
      </c>
      <c r="H51" s="37">
        <f t="shared" ref="H51" si="4">F51/E51</f>
        <v>1.3472733809180852</v>
      </c>
      <c r="I51" s="38">
        <f t="shared" si="1"/>
        <v>1.7628558858712544E-3</v>
      </c>
    </row>
    <row r="52" spans="2:9" ht="15" customHeight="1" x14ac:dyDescent="0.2">
      <c r="B52" s="303" t="s">
        <v>26</v>
      </c>
      <c r="C52" s="304"/>
      <c r="D52" s="304"/>
      <c r="E52" s="148">
        <v>115624.67</v>
      </c>
      <c r="F52" s="148">
        <v>101012.4</v>
      </c>
      <c r="G52" s="148">
        <f t="shared" si="2"/>
        <v>-14612.270000000004</v>
      </c>
      <c r="H52" s="37">
        <f t="shared" ref="H52" si="5">F52/E52</f>
        <v>0.87362325012473541</v>
      </c>
      <c r="I52" s="38">
        <f t="shared" si="1"/>
        <v>5.2854375975707711E-3</v>
      </c>
    </row>
    <row r="53" spans="2:9" ht="15" customHeight="1" x14ac:dyDescent="0.2">
      <c r="B53" s="303" t="s">
        <v>27</v>
      </c>
      <c r="C53" s="304"/>
      <c r="D53" s="304"/>
      <c r="E53" s="148">
        <v>0</v>
      </c>
      <c r="F53" s="148">
        <v>0</v>
      </c>
      <c r="G53" s="148">
        <f t="shared" si="2"/>
        <v>0</v>
      </c>
      <c r="H53" s="37">
        <v>0</v>
      </c>
      <c r="I53" s="38">
        <f t="shared" si="1"/>
        <v>0</v>
      </c>
    </row>
    <row r="54" spans="2:9" ht="15" customHeight="1" x14ac:dyDescent="0.2">
      <c r="B54" s="303" t="s">
        <v>28</v>
      </c>
      <c r="C54" s="304"/>
      <c r="D54" s="304"/>
      <c r="E54" s="148">
        <v>0</v>
      </c>
      <c r="F54" s="148">
        <v>0</v>
      </c>
      <c r="G54" s="148">
        <f t="shared" si="2"/>
        <v>0</v>
      </c>
      <c r="H54" s="37">
        <v>0</v>
      </c>
      <c r="I54" s="38">
        <f t="shared" si="1"/>
        <v>0</v>
      </c>
    </row>
    <row r="55" spans="2:9" ht="15" customHeight="1" x14ac:dyDescent="0.2">
      <c r="B55" s="303" t="s">
        <v>29</v>
      </c>
      <c r="C55" s="304"/>
      <c r="D55" s="304"/>
      <c r="E55" s="148">
        <v>356495.2</v>
      </c>
      <c r="F55" s="148">
        <v>124508.53</v>
      </c>
      <c r="G55" s="148">
        <f t="shared" si="2"/>
        <v>-231986.67</v>
      </c>
      <c r="H55" s="37">
        <f t="shared" ref="H55:H57" si="6">F55/E55</f>
        <v>0.34925724105121192</v>
      </c>
      <c r="I55" s="38">
        <f t="shared" si="1"/>
        <v>6.514864171926104E-3</v>
      </c>
    </row>
    <row r="56" spans="2:9" ht="15" customHeight="1" x14ac:dyDescent="0.2">
      <c r="B56" s="303" t="s">
        <v>30</v>
      </c>
      <c r="C56" s="304"/>
      <c r="D56" s="304"/>
      <c r="E56" s="148">
        <v>24409192.920000002</v>
      </c>
      <c r="F56" s="148">
        <v>19868776.760000002</v>
      </c>
      <c r="G56" s="148">
        <f t="shared" si="2"/>
        <v>-4540416.16</v>
      </c>
      <c r="H56" s="37">
        <f t="shared" si="6"/>
        <v>0.81398745239627535</v>
      </c>
      <c r="I56" s="38">
        <f t="shared" si="1"/>
        <v>1.0396266171781325</v>
      </c>
    </row>
    <row r="57" spans="2:9" ht="15" customHeight="1" x14ac:dyDescent="0.2">
      <c r="B57" s="303" t="s">
        <v>31</v>
      </c>
      <c r="C57" s="304"/>
      <c r="D57" s="304"/>
      <c r="E57" s="148">
        <v>1898506.49</v>
      </c>
      <c r="F57" s="148">
        <v>303098.84000000003</v>
      </c>
      <c r="G57" s="148">
        <f t="shared" si="2"/>
        <v>-1595407.65</v>
      </c>
      <c r="H57" s="37">
        <f t="shared" si="6"/>
        <v>0.15965120034959693</v>
      </c>
      <c r="I57" s="38">
        <f t="shared" si="1"/>
        <v>1.5859538083602485E-2</v>
      </c>
    </row>
    <row r="58" spans="2:9" ht="15" customHeight="1" x14ac:dyDescent="0.2">
      <c r="B58" s="301" t="s">
        <v>223</v>
      </c>
      <c r="C58" s="302"/>
      <c r="D58" s="302"/>
      <c r="E58" s="147">
        <f>E59</f>
        <v>223260</v>
      </c>
      <c r="F58" s="147">
        <f>F59</f>
        <v>43979.12</v>
      </c>
      <c r="G58" s="147">
        <f t="shared" ref="G58" si="7">SUM(G59:G62)</f>
        <v>-4953036.62</v>
      </c>
      <c r="H58" s="35">
        <f>F58/E58</f>
        <v>0.19698611484368003</v>
      </c>
      <c r="I58" s="36">
        <f t="shared" si="1"/>
        <v>2.3011916790025453E-3</v>
      </c>
    </row>
    <row r="59" spans="2:9" ht="15" customHeight="1" x14ac:dyDescent="0.2">
      <c r="B59" s="303" t="s">
        <v>224</v>
      </c>
      <c r="C59" s="304"/>
      <c r="D59" s="304"/>
      <c r="E59" s="148">
        <v>223260</v>
      </c>
      <c r="F59" s="148">
        <v>43979.12</v>
      </c>
      <c r="G59" s="148">
        <f>F59-E59</f>
        <v>-179280.88</v>
      </c>
      <c r="H59" s="37">
        <v>0</v>
      </c>
      <c r="I59" s="38">
        <f t="shared" ref="I59" si="8">F59/F$66</f>
        <v>2.3011916790025453E-3</v>
      </c>
    </row>
    <row r="60" spans="2:9" ht="15" customHeight="1" x14ac:dyDescent="0.2">
      <c r="B60" s="301" t="s">
        <v>32</v>
      </c>
      <c r="C60" s="302"/>
      <c r="D60" s="302"/>
      <c r="E60" s="147">
        <f>SUM(E61:E64)</f>
        <v>5050602.29</v>
      </c>
      <c r="F60" s="147">
        <f t="shared" ref="F60:G60" si="9">SUM(F61:F64)</f>
        <v>484852.55</v>
      </c>
      <c r="G60" s="147">
        <f t="shared" si="9"/>
        <v>-4565749.74</v>
      </c>
      <c r="H60" s="35">
        <f>F60/E60</f>
        <v>9.5998956591769172E-2</v>
      </c>
      <c r="I60" s="36">
        <f>F60/F$66</f>
        <v>2.5369735765589794E-2</v>
      </c>
    </row>
    <row r="61" spans="2:9" ht="15" customHeight="1" x14ac:dyDescent="0.2">
      <c r="B61" s="303" t="s">
        <v>33</v>
      </c>
      <c r="C61" s="304"/>
      <c r="D61" s="304"/>
      <c r="E61" s="148">
        <v>2</v>
      </c>
      <c r="F61" s="148">
        <v>0</v>
      </c>
      <c r="G61" s="148">
        <f>F61-E61</f>
        <v>-2</v>
      </c>
      <c r="H61" s="37">
        <v>0</v>
      </c>
      <c r="I61" s="38">
        <f t="shared" ref="I61:I64" si="10">F61/F$66</f>
        <v>0</v>
      </c>
    </row>
    <row r="62" spans="2:9" ht="15" customHeight="1" x14ac:dyDescent="0.2">
      <c r="B62" s="303" t="s">
        <v>34</v>
      </c>
      <c r="C62" s="304"/>
      <c r="D62" s="304"/>
      <c r="E62" s="148">
        <v>208004</v>
      </c>
      <c r="F62" s="148">
        <v>0</v>
      </c>
      <c r="G62" s="148">
        <f>F62-E62</f>
        <v>-208004</v>
      </c>
      <c r="H62" s="37">
        <v>0</v>
      </c>
      <c r="I62" s="38">
        <f t="shared" si="10"/>
        <v>0</v>
      </c>
    </row>
    <row r="63" spans="2:9" ht="15" customHeight="1" x14ac:dyDescent="0.2">
      <c r="B63" s="303" t="s">
        <v>35</v>
      </c>
      <c r="C63" s="304"/>
      <c r="D63" s="304"/>
      <c r="E63" s="148">
        <v>4842569.29</v>
      </c>
      <c r="F63" s="148">
        <v>479170</v>
      </c>
      <c r="G63" s="148">
        <f>F63-E63</f>
        <v>-4363399.29</v>
      </c>
      <c r="H63" s="37">
        <f t="shared" ref="H63:H66" si="11">F63/E63</f>
        <v>9.8949539243453968E-2</v>
      </c>
      <c r="I63" s="38">
        <f t="shared" si="10"/>
        <v>2.5072398375130051E-2</v>
      </c>
    </row>
    <row r="64" spans="2:9" ht="15" customHeight="1" x14ac:dyDescent="0.2">
      <c r="B64" s="303" t="s">
        <v>36</v>
      </c>
      <c r="C64" s="304"/>
      <c r="D64" s="304"/>
      <c r="E64" s="148">
        <v>27</v>
      </c>
      <c r="F64" s="148">
        <v>5682.55</v>
      </c>
      <c r="G64" s="148">
        <f>F64-E64</f>
        <v>5655.55</v>
      </c>
      <c r="H64" s="37">
        <f t="shared" si="11"/>
        <v>210.46481481481482</v>
      </c>
      <c r="I64" s="38">
        <f t="shared" si="10"/>
        <v>2.9733739045974348E-4</v>
      </c>
    </row>
    <row r="65" spans="2:9" ht="15" customHeight="1" x14ac:dyDescent="0.2">
      <c r="B65" s="307" t="s">
        <v>37</v>
      </c>
      <c r="C65" s="308"/>
      <c r="D65" s="308"/>
      <c r="E65" s="149">
        <v>3149020.62</v>
      </c>
      <c r="F65" s="149">
        <v>2573081.02</v>
      </c>
      <c r="G65" s="148">
        <f>F65-E65</f>
        <v>-575939.60000000009</v>
      </c>
      <c r="H65" s="39">
        <f t="shared" si="11"/>
        <v>0.81710516712970904</v>
      </c>
      <c r="I65" s="40">
        <f>F65/F$66</f>
        <v>0.1346355414256443</v>
      </c>
    </row>
    <row r="66" spans="2:9" ht="15" customHeight="1" thickBot="1" x14ac:dyDescent="0.25">
      <c r="B66" s="309" t="s">
        <v>38</v>
      </c>
      <c r="C66" s="310"/>
      <c r="D66" s="310"/>
      <c r="E66" s="150">
        <f>E49+E58+E60-E65</f>
        <v>29644000</v>
      </c>
      <c r="F66" s="150">
        <f>F49+F58+F60-F65</f>
        <v>19111454.470000003</v>
      </c>
      <c r="G66" s="150">
        <f>G49+G58+G60-G65</f>
        <v>-15306301.27</v>
      </c>
      <c r="H66" s="41">
        <f t="shared" si="11"/>
        <v>0.64469890939144525</v>
      </c>
      <c r="I66" s="42">
        <f>F66/F$66</f>
        <v>1</v>
      </c>
    </row>
    <row r="67" spans="2:9" ht="16.5" customHeight="1" thickTop="1" x14ac:dyDescent="0.2">
      <c r="E67" s="486"/>
      <c r="F67" s="486"/>
      <c r="G67" s="486"/>
      <c r="H67" s="486"/>
    </row>
    <row r="68" spans="2:9" x14ac:dyDescent="0.2">
      <c r="B68" s="487" t="s">
        <v>120</v>
      </c>
      <c r="C68" s="487"/>
      <c r="D68" s="487"/>
      <c r="E68" s="487"/>
      <c r="F68" s="21">
        <f>F56</f>
        <v>19868776.760000002</v>
      </c>
      <c r="G68" s="1" t="s">
        <v>45</v>
      </c>
      <c r="H68" s="19">
        <f>H56</f>
        <v>0.81398745239627535</v>
      </c>
      <c r="I68" s="20" t="s">
        <v>47</v>
      </c>
    </row>
    <row r="69" spans="2:9" x14ac:dyDescent="0.2">
      <c r="B69" s="311" t="s">
        <v>46</v>
      </c>
      <c r="C69" s="311"/>
      <c r="D69" s="311"/>
      <c r="E69" s="311"/>
      <c r="F69" s="311"/>
      <c r="G69" s="311"/>
      <c r="H69" s="311"/>
      <c r="I69" s="311"/>
    </row>
    <row r="70" spans="2:9" x14ac:dyDescent="0.2">
      <c r="E70" s="116"/>
    </row>
    <row r="71" spans="2:9" x14ac:dyDescent="0.2">
      <c r="B71" s="332" t="s">
        <v>48</v>
      </c>
      <c r="C71" s="332"/>
      <c r="D71" s="332"/>
      <c r="E71" s="332"/>
      <c r="F71" s="332"/>
      <c r="G71" s="332"/>
      <c r="H71" s="332"/>
      <c r="I71" s="332"/>
    </row>
    <row r="72" spans="2:9" ht="15.75" thickBot="1" x14ac:dyDescent="0.25"/>
    <row r="73" spans="2:9" ht="16.5" customHeight="1" x14ac:dyDescent="0.2">
      <c r="C73" s="433" t="s">
        <v>49</v>
      </c>
      <c r="D73" s="434"/>
      <c r="E73" s="434"/>
      <c r="F73" s="434"/>
      <c r="G73" s="435"/>
      <c r="H73" s="108"/>
    </row>
    <row r="74" spans="2:9" ht="30" x14ac:dyDescent="0.25">
      <c r="C74" s="66" t="s">
        <v>50</v>
      </c>
      <c r="D74" s="58" t="s">
        <v>51</v>
      </c>
      <c r="E74" s="58" t="s">
        <v>52</v>
      </c>
      <c r="F74" s="58" t="s">
        <v>22</v>
      </c>
      <c r="G74" s="67" t="s">
        <v>53</v>
      </c>
      <c r="H74" s="7"/>
    </row>
    <row r="75" spans="2:9" x14ac:dyDescent="0.2">
      <c r="C75" s="89">
        <v>1997</v>
      </c>
      <c r="D75" s="90">
        <v>161559.22</v>
      </c>
      <c r="E75" s="91">
        <v>1343290.21</v>
      </c>
      <c r="F75" s="92">
        <v>1504849.43</v>
      </c>
      <c r="G75" s="68">
        <v>0</v>
      </c>
      <c r="H75" s="43"/>
    </row>
    <row r="76" spans="2:9" x14ac:dyDescent="0.2">
      <c r="C76" s="93">
        <v>1998</v>
      </c>
      <c r="D76" s="94">
        <v>219033.31</v>
      </c>
      <c r="E76" s="95">
        <v>1884391.64</v>
      </c>
      <c r="F76" s="96">
        <v>2103424.9500000002</v>
      </c>
      <c r="G76" s="68">
        <f>(F$76/F75)-100%</f>
        <v>0.39776439294660881</v>
      </c>
      <c r="H76" s="43"/>
    </row>
    <row r="77" spans="2:9" x14ac:dyDescent="0.2">
      <c r="C77" s="93">
        <v>1999</v>
      </c>
      <c r="D77" s="94">
        <v>150049.41</v>
      </c>
      <c r="E77" s="95">
        <v>2014874</v>
      </c>
      <c r="F77" s="96">
        <v>2164923.41</v>
      </c>
      <c r="G77" s="68">
        <f>(F77/F76)-100%</f>
        <v>2.9237297009337082E-2</v>
      </c>
    </row>
    <row r="78" spans="2:9" x14ac:dyDescent="0.2">
      <c r="C78" s="93">
        <v>2000</v>
      </c>
      <c r="D78" s="94">
        <v>110458.14</v>
      </c>
      <c r="E78" s="95">
        <v>2214657.4900000002</v>
      </c>
      <c r="F78" s="96">
        <v>2325115.63</v>
      </c>
      <c r="G78" s="68">
        <f t="shared" ref="G78:G91" si="12">(F78/F77)-100%</f>
        <v>7.3994405187756573E-2</v>
      </c>
    </row>
    <row r="79" spans="2:9" x14ac:dyDescent="0.2">
      <c r="C79" s="93">
        <v>2001</v>
      </c>
      <c r="D79" s="94">
        <v>167119.74</v>
      </c>
      <c r="E79" s="95">
        <v>2533521.09</v>
      </c>
      <c r="F79" s="96">
        <v>2700640.83</v>
      </c>
      <c r="G79" s="68">
        <f t="shared" si="12"/>
        <v>0.16150818271347656</v>
      </c>
    </row>
    <row r="80" spans="2:9" x14ac:dyDescent="0.2">
      <c r="C80" s="93">
        <v>2002</v>
      </c>
      <c r="D80" s="94">
        <v>297742.61</v>
      </c>
      <c r="E80" s="95">
        <v>2938257.63</v>
      </c>
      <c r="F80" s="96">
        <v>3236000.24</v>
      </c>
      <c r="G80" s="68">
        <f t="shared" si="12"/>
        <v>0.19823421317376733</v>
      </c>
    </row>
    <row r="81" spans="3:7" x14ac:dyDescent="0.2">
      <c r="C81" s="93">
        <v>2003</v>
      </c>
      <c r="D81" s="94">
        <v>182821.96</v>
      </c>
      <c r="E81" s="95">
        <v>3464133.82</v>
      </c>
      <c r="F81" s="96">
        <v>3646955.78</v>
      </c>
      <c r="G81" s="68">
        <f t="shared" si="12"/>
        <v>0.12699490405476599</v>
      </c>
    </row>
    <row r="82" spans="3:7" x14ac:dyDescent="0.2">
      <c r="C82" s="93">
        <v>2004</v>
      </c>
      <c r="D82" s="94">
        <v>132405.63</v>
      </c>
      <c r="E82" s="95">
        <v>4061464.9</v>
      </c>
      <c r="F82" s="96">
        <v>4193870.53</v>
      </c>
      <c r="G82" s="68">
        <f t="shared" si="12"/>
        <v>0.14996473305195934</v>
      </c>
    </row>
    <row r="83" spans="3:7" x14ac:dyDescent="0.2">
      <c r="C83" s="93">
        <v>2005</v>
      </c>
      <c r="D83" s="94">
        <v>118685.17</v>
      </c>
      <c r="E83" s="97">
        <v>4934427.08</v>
      </c>
      <c r="F83" s="96">
        <v>5053112.25</v>
      </c>
      <c r="G83" s="68">
        <f t="shared" si="12"/>
        <v>0.20488036381991037</v>
      </c>
    </row>
    <row r="84" spans="3:7" x14ac:dyDescent="0.2">
      <c r="C84" s="93">
        <v>2006</v>
      </c>
      <c r="D84" s="94">
        <v>172813.6</v>
      </c>
      <c r="E84" s="97">
        <v>5704195.9500000002</v>
      </c>
      <c r="F84" s="96">
        <v>5877009.5499999998</v>
      </c>
      <c r="G84" s="68">
        <f t="shared" si="12"/>
        <v>0.16304749612478919</v>
      </c>
    </row>
    <row r="85" spans="3:7" x14ac:dyDescent="0.2">
      <c r="C85" s="93">
        <v>2007</v>
      </c>
      <c r="D85" s="94">
        <v>147606.07</v>
      </c>
      <c r="E85" s="97">
        <v>6455422.3799999999</v>
      </c>
      <c r="F85" s="96">
        <v>6603028.4500000002</v>
      </c>
      <c r="G85" s="68">
        <f t="shared" si="12"/>
        <v>0.12353542968123987</v>
      </c>
    </row>
    <row r="86" spans="3:7" x14ac:dyDescent="0.2">
      <c r="C86" s="93">
        <v>2008</v>
      </c>
      <c r="D86" s="94">
        <f>203896.67+48469.55+95285.74+2075.3+1349.45</f>
        <v>351076.71</v>
      </c>
      <c r="E86" s="97">
        <f>8237101.43-D86</f>
        <v>7886024.7199999997</v>
      </c>
      <c r="F86" s="96">
        <f>E86+D86</f>
        <v>8237101.4299999997</v>
      </c>
      <c r="G86" s="68">
        <f t="shared" si="12"/>
        <v>0.24747326054607566</v>
      </c>
    </row>
    <row r="87" spans="3:7" x14ac:dyDescent="0.2">
      <c r="C87" s="93">
        <v>2009</v>
      </c>
      <c r="D87" s="94">
        <f>176259.2+12739.42+25180.71+3195.26+422.03</f>
        <v>217796.62000000002</v>
      </c>
      <c r="E87" s="97">
        <f>8227547.94-D87</f>
        <v>8009751.3200000003</v>
      </c>
      <c r="F87" s="96">
        <f>E87+D87</f>
        <v>8227547.9400000004</v>
      </c>
      <c r="G87" s="68">
        <f t="shared" si="12"/>
        <v>-1.1598121112367243E-3</v>
      </c>
    </row>
    <row r="88" spans="3:7" x14ac:dyDescent="0.2">
      <c r="C88" s="93">
        <v>2010</v>
      </c>
      <c r="D88" s="94">
        <f>209647.84+430.66+78634</f>
        <v>288712.5</v>
      </c>
      <c r="E88" s="97">
        <f>10308383.6-288712.5</f>
        <v>10019671.1</v>
      </c>
      <c r="F88" s="96">
        <f>E88+D88</f>
        <v>10308383.6</v>
      </c>
      <c r="G88" s="68">
        <f t="shared" si="12"/>
        <v>0.25291079130436511</v>
      </c>
    </row>
    <row r="89" spans="3:7" x14ac:dyDescent="0.2">
      <c r="C89" s="93">
        <v>2011</v>
      </c>
      <c r="D89" s="94">
        <v>215089.18</v>
      </c>
      <c r="E89" s="97">
        <f>11637424.31-D89</f>
        <v>11422335.130000001</v>
      </c>
      <c r="F89" s="96">
        <f>E89+D89</f>
        <v>11637424.310000001</v>
      </c>
      <c r="G89" s="68">
        <f t="shared" si="12"/>
        <v>0.12892813864629571</v>
      </c>
    </row>
    <row r="90" spans="3:7" x14ac:dyDescent="0.2">
      <c r="C90" s="93">
        <v>2012</v>
      </c>
      <c r="D90" s="94">
        <v>440449.13</v>
      </c>
      <c r="E90" s="97">
        <v>11318616.51</v>
      </c>
      <c r="F90" s="96">
        <v>11749065.640000001</v>
      </c>
      <c r="G90" s="68">
        <f t="shared" si="12"/>
        <v>9.593302351626587E-3</v>
      </c>
    </row>
    <row r="91" spans="3:7" x14ac:dyDescent="0.2">
      <c r="C91" s="93">
        <v>2013</v>
      </c>
      <c r="D91" s="94">
        <v>579850.34</v>
      </c>
      <c r="E91" s="97">
        <v>11756031.75</v>
      </c>
      <c r="F91" s="96">
        <v>12335882.09</v>
      </c>
      <c r="G91" s="68">
        <f t="shared" si="12"/>
        <v>4.9945797221709887E-2</v>
      </c>
    </row>
    <row r="92" spans="3:7" x14ac:dyDescent="0.2">
      <c r="C92" s="98">
        <v>2014</v>
      </c>
      <c r="D92" s="99">
        <v>492598.84</v>
      </c>
      <c r="E92" s="100">
        <f>13512442.23-492598.84</f>
        <v>13019843.390000001</v>
      </c>
      <c r="F92" s="101">
        <f t="shared" ref="F92:F97" si="13">E92+D92</f>
        <v>13512442.23</v>
      </c>
      <c r="G92" s="68">
        <f t="shared" ref="G92:G97" si="14">(F92/F91)-100%</f>
        <v>9.5377057871992132E-2</v>
      </c>
    </row>
    <row r="93" spans="3:7" x14ac:dyDescent="0.2">
      <c r="C93" s="98">
        <v>2015</v>
      </c>
      <c r="D93" s="99">
        <v>447876.13</v>
      </c>
      <c r="E93" s="100">
        <f>13888897.22-D93</f>
        <v>13441021.09</v>
      </c>
      <c r="F93" s="101">
        <f t="shared" si="13"/>
        <v>13888897.220000001</v>
      </c>
      <c r="G93" s="68">
        <f t="shared" si="14"/>
        <v>2.785987785125954E-2</v>
      </c>
    </row>
    <row r="94" spans="3:7" x14ac:dyDescent="0.2">
      <c r="C94" s="98">
        <v>2016</v>
      </c>
      <c r="D94" s="99">
        <f>582466.98+19810.68+74670.25</f>
        <v>676947.91</v>
      </c>
      <c r="E94" s="100">
        <f>15429027.49-676947.91</f>
        <v>14752079.58</v>
      </c>
      <c r="F94" s="101">
        <f t="shared" si="13"/>
        <v>15429027.49</v>
      </c>
      <c r="G94" s="68">
        <f t="shared" si="14"/>
        <v>0.1108893129241546</v>
      </c>
    </row>
    <row r="95" spans="3:7" x14ac:dyDescent="0.2">
      <c r="C95" s="98">
        <v>2017</v>
      </c>
      <c r="D95" s="99">
        <v>816626.56</v>
      </c>
      <c r="E95" s="100">
        <v>15352063.539999999</v>
      </c>
      <c r="F95" s="101">
        <f t="shared" si="13"/>
        <v>16168690.1</v>
      </c>
      <c r="G95" s="68">
        <f t="shared" si="14"/>
        <v>4.7939678017904663E-2</v>
      </c>
    </row>
    <row r="96" spans="3:7" x14ac:dyDescent="0.2">
      <c r="C96" s="93">
        <v>2018</v>
      </c>
      <c r="D96" s="94">
        <v>889626.56</v>
      </c>
      <c r="E96" s="97">
        <v>16319439.99</v>
      </c>
      <c r="F96" s="96">
        <f t="shared" si="13"/>
        <v>17209066.550000001</v>
      </c>
      <c r="G96" s="68">
        <f t="shared" si="14"/>
        <v>6.4345128984814925E-2</v>
      </c>
    </row>
    <row r="97" spans="3:7" ht="15.75" thickBot="1" x14ac:dyDescent="0.25">
      <c r="C97" s="155">
        <v>2019</v>
      </c>
      <c r="D97" s="156">
        <f>F50+F51+F52+F55</f>
        <v>983828.22000000009</v>
      </c>
      <c r="E97" s="157">
        <f>F66-D97</f>
        <v>18127626.250000004</v>
      </c>
      <c r="F97" s="158">
        <f t="shared" si="13"/>
        <v>19111454.470000003</v>
      </c>
      <c r="G97" s="159">
        <f t="shared" si="14"/>
        <v>0.11054567744698507</v>
      </c>
    </row>
    <row r="98" spans="3:7" x14ac:dyDescent="0.2">
      <c r="C98" s="103"/>
      <c r="D98" s="104"/>
      <c r="E98" s="105"/>
      <c r="F98" s="106"/>
      <c r="G98" s="107"/>
    </row>
    <row r="113" spans="2:9" ht="15.75" x14ac:dyDescent="0.25">
      <c r="B113" s="408" t="s">
        <v>54</v>
      </c>
      <c r="C113" s="408"/>
      <c r="D113" s="408"/>
      <c r="E113" s="408"/>
      <c r="F113" s="408"/>
      <c r="G113" s="408"/>
      <c r="H113" s="408"/>
      <c r="I113" s="408"/>
    </row>
    <row r="114" spans="2:9" ht="15.75" x14ac:dyDescent="0.25">
      <c r="D114" s="27"/>
    </row>
    <row r="115" spans="2:9" ht="48.75" customHeight="1" x14ac:dyDescent="0.2">
      <c r="B115" s="328" t="s">
        <v>226</v>
      </c>
      <c r="C115" s="328"/>
      <c r="D115" s="328"/>
      <c r="E115" s="328"/>
      <c r="F115" s="328"/>
      <c r="G115" s="328"/>
      <c r="H115" s="328"/>
      <c r="I115" s="328"/>
    </row>
    <row r="116" spans="2:9" ht="15" customHeight="1" x14ac:dyDescent="0.2">
      <c r="B116" s="14"/>
      <c r="C116" s="14"/>
      <c r="D116" s="14"/>
      <c r="E116" s="14"/>
      <c r="F116" s="14"/>
      <c r="G116" s="14"/>
      <c r="H116" s="14"/>
      <c r="I116" s="14"/>
    </row>
    <row r="117" spans="2:9" ht="16.5" customHeight="1" thickBot="1" x14ac:dyDescent="0.3">
      <c r="B117" s="335" t="s">
        <v>163</v>
      </c>
      <c r="C117" s="260"/>
      <c r="D117" s="260"/>
      <c r="E117" s="260"/>
      <c r="F117" s="260"/>
      <c r="G117" s="260"/>
      <c r="H117" s="260"/>
      <c r="I117" s="260"/>
    </row>
    <row r="118" spans="2:9" ht="15" customHeight="1" x14ac:dyDescent="0.2">
      <c r="B118" s="333" t="s">
        <v>23</v>
      </c>
      <c r="C118" s="312" t="s">
        <v>57</v>
      </c>
      <c r="D118" s="312" t="s">
        <v>55</v>
      </c>
      <c r="E118" s="312" t="s">
        <v>56</v>
      </c>
      <c r="F118" s="312"/>
      <c r="G118" s="312" t="s">
        <v>39</v>
      </c>
      <c r="H118" s="312" t="s">
        <v>166</v>
      </c>
      <c r="I118" s="314" t="s">
        <v>167</v>
      </c>
    </row>
    <row r="119" spans="2:9" ht="15" customHeight="1" x14ac:dyDescent="0.2">
      <c r="B119" s="334"/>
      <c r="C119" s="313"/>
      <c r="D119" s="313"/>
      <c r="E119" s="313"/>
      <c r="F119" s="313"/>
      <c r="G119" s="313"/>
      <c r="H119" s="313"/>
      <c r="I119" s="315"/>
    </row>
    <row r="120" spans="2:9" ht="15" customHeight="1" x14ac:dyDescent="0.2">
      <c r="B120" s="334"/>
      <c r="C120" s="313"/>
      <c r="D120" s="313"/>
      <c r="E120" s="102" t="s">
        <v>164</v>
      </c>
      <c r="F120" s="102" t="s">
        <v>165</v>
      </c>
      <c r="G120" s="313"/>
      <c r="H120" s="313"/>
      <c r="I120" s="315"/>
    </row>
    <row r="121" spans="2:9" ht="15" customHeight="1" x14ac:dyDescent="0.2">
      <c r="B121" s="44" t="s">
        <v>58</v>
      </c>
      <c r="C121" s="8">
        <f>SUM(C122:C124)</f>
        <v>22790576.509999998</v>
      </c>
      <c r="D121" s="17">
        <f>SUM(D122:D124)</f>
        <v>25341983.27</v>
      </c>
      <c r="E121" s="10">
        <f>SUM(E122:E124)</f>
        <v>19188005.419999998</v>
      </c>
      <c r="F121" s="10">
        <f>SUM(F122:F124)</f>
        <v>18989974.890000001</v>
      </c>
      <c r="G121" s="10">
        <v>1622213.67</v>
      </c>
      <c r="H121" s="12">
        <f t="shared" ref="H121:H126" si="15">E121/D121</f>
        <v>0.7571627372477544</v>
      </c>
      <c r="I121" s="45">
        <f>(E121/E$131)</f>
        <v>0.9443909387892413</v>
      </c>
    </row>
    <row r="122" spans="2:9" ht="15" customHeight="1" x14ac:dyDescent="0.2">
      <c r="B122" s="46" t="s">
        <v>61</v>
      </c>
      <c r="C122" s="9">
        <v>13333405.18</v>
      </c>
      <c r="D122" s="18">
        <v>13590166.119999999</v>
      </c>
      <c r="E122" s="11">
        <v>11377797.789999999</v>
      </c>
      <c r="F122" s="11">
        <v>11377797.789999999</v>
      </c>
      <c r="G122" s="11">
        <f t="shared" ref="G122:G131" si="16">D122-E122</f>
        <v>2212368.33</v>
      </c>
      <c r="H122" s="13">
        <f t="shared" si="15"/>
        <v>0.83720814665067533</v>
      </c>
      <c r="I122" s="47">
        <f t="shared" ref="I122:I131" si="17">(D122/E$131)</f>
        <v>0.66887774208104955</v>
      </c>
    </row>
    <row r="123" spans="2:9" ht="15" customHeight="1" x14ac:dyDescent="0.2">
      <c r="B123" s="46" t="s">
        <v>62</v>
      </c>
      <c r="C123" s="9">
        <v>1.1000000000000001</v>
      </c>
      <c r="D123" s="18">
        <v>1.1000000000000001</v>
      </c>
      <c r="E123" s="11">
        <v>0</v>
      </c>
      <c r="F123" s="11">
        <v>0</v>
      </c>
      <c r="G123" s="11">
        <f t="shared" si="16"/>
        <v>1.1000000000000001</v>
      </c>
      <c r="H123" s="13">
        <f t="shared" si="15"/>
        <v>0</v>
      </c>
      <c r="I123" s="47">
        <f t="shared" si="17"/>
        <v>5.4139552805492469E-8</v>
      </c>
    </row>
    <row r="124" spans="2:9" ht="15" customHeight="1" x14ac:dyDescent="0.2">
      <c r="B124" s="46" t="s">
        <v>63</v>
      </c>
      <c r="C124" s="9">
        <v>9457170.2300000004</v>
      </c>
      <c r="D124" s="18">
        <v>11751816.050000001</v>
      </c>
      <c r="E124" s="11">
        <v>7810207.6299999999</v>
      </c>
      <c r="F124" s="11">
        <v>7612177.0999999996</v>
      </c>
      <c r="G124" s="11">
        <f t="shared" si="16"/>
        <v>3941608.4200000009</v>
      </c>
      <c r="H124" s="13">
        <f t="shared" si="15"/>
        <v>0.66459580347158342</v>
      </c>
      <c r="I124" s="47">
        <f t="shared" si="17"/>
        <v>0.57839824145400809</v>
      </c>
    </row>
    <row r="125" spans="2:9" ht="15" customHeight="1" x14ac:dyDescent="0.2">
      <c r="B125" s="44" t="s">
        <v>59</v>
      </c>
      <c r="C125" s="8">
        <f>SUM(C126:C129)</f>
        <v>5342622.38</v>
      </c>
      <c r="D125" s="17">
        <f>SUM(D126:D129)</f>
        <v>5556618.8699999992</v>
      </c>
      <c r="E125" s="10">
        <f>SUM(E126:E129)</f>
        <v>1129857.27</v>
      </c>
      <c r="F125" s="10">
        <f>SUM(F126:F129)</f>
        <v>1065692.1200000001</v>
      </c>
      <c r="G125" s="10">
        <f t="shared" si="16"/>
        <v>4426761.5999999996</v>
      </c>
      <c r="H125" s="12">
        <f t="shared" si="15"/>
        <v>0.20333539089752259</v>
      </c>
      <c r="I125" s="45">
        <f t="shared" si="17"/>
        <v>0.27348441884760072</v>
      </c>
    </row>
    <row r="126" spans="2:9" ht="15" customHeight="1" x14ac:dyDescent="0.2">
      <c r="B126" s="46" t="s">
        <v>64</v>
      </c>
      <c r="C126" s="9">
        <v>5342621.28</v>
      </c>
      <c r="D126" s="18">
        <v>5556617.7699999996</v>
      </c>
      <c r="E126" s="11">
        <v>1129857.27</v>
      </c>
      <c r="F126" s="11">
        <v>1065692.1200000001</v>
      </c>
      <c r="G126" s="11">
        <f t="shared" si="16"/>
        <v>4426760.5</v>
      </c>
      <c r="H126" s="13">
        <f t="shared" si="15"/>
        <v>0.2033354311502337</v>
      </c>
      <c r="I126" s="47">
        <f t="shared" si="17"/>
        <v>0.27348436470804793</v>
      </c>
    </row>
    <row r="127" spans="2:9" ht="15" customHeight="1" x14ac:dyDescent="0.2">
      <c r="B127" s="46" t="s">
        <v>65</v>
      </c>
      <c r="C127" s="9">
        <v>0</v>
      </c>
      <c r="D127" s="18">
        <v>0</v>
      </c>
      <c r="E127" s="11">
        <v>0</v>
      </c>
      <c r="F127" s="11">
        <v>0</v>
      </c>
      <c r="G127" s="11">
        <f t="shared" si="16"/>
        <v>0</v>
      </c>
      <c r="H127" s="13">
        <v>0</v>
      </c>
      <c r="I127" s="47">
        <f t="shared" si="17"/>
        <v>0</v>
      </c>
    </row>
    <row r="128" spans="2:9" ht="15" customHeight="1" x14ac:dyDescent="0.2">
      <c r="B128" s="46" t="s">
        <v>66</v>
      </c>
      <c r="C128" s="9">
        <v>1.1000000000000001</v>
      </c>
      <c r="D128" s="18">
        <v>1.1000000000000001</v>
      </c>
      <c r="E128" s="11">
        <v>0</v>
      </c>
      <c r="F128" s="11">
        <v>0</v>
      </c>
      <c r="G128" s="11">
        <f t="shared" si="16"/>
        <v>1.1000000000000001</v>
      </c>
      <c r="H128" s="13">
        <f>E128/D128</f>
        <v>0</v>
      </c>
      <c r="I128" s="47">
        <f t="shared" si="17"/>
        <v>5.4139552805492469E-8</v>
      </c>
    </row>
    <row r="129" spans="2:9" ht="15" customHeight="1" x14ac:dyDescent="0.2">
      <c r="B129" s="46" t="s">
        <v>67</v>
      </c>
      <c r="C129" s="9">
        <v>0</v>
      </c>
      <c r="D129" s="18">
        <v>0</v>
      </c>
      <c r="E129" s="11">
        <v>0</v>
      </c>
      <c r="F129" s="11">
        <v>0</v>
      </c>
      <c r="G129" s="11">
        <f t="shared" si="16"/>
        <v>0</v>
      </c>
      <c r="H129" s="13">
        <v>0</v>
      </c>
      <c r="I129" s="47">
        <f t="shared" si="17"/>
        <v>0</v>
      </c>
    </row>
    <row r="130" spans="2:9" ht="15" customHeight="1" x14ac:dyDescent="0.2">
      <c r="B130" s="44" t="s">
        <v>60</v>
      </c>
      <c r="C130" s="8">
        <v>1510801.11</v>
      </c>
      <c r="D130" s="17">
        <v>176307.71</v>
      </c>
      <c r="E130" s="10">
        <v>0</v>
      </c>
      <c r="F130" s="10">
        <v>0</v>
      </c>
      <c r="G130" s="10">
        <f t="shared" si="16"/>
        <v>176307.71</v>
      </c>
      <c r="H130" s="12">
        <v>0</v>
      </c>
      <c r="I130" s="45">
        <f t="shared" si="17"/>
        <v>8.6774732505095001E-3</v>
      </c>
    </row>
    <row r="131" spans="2:9" ht="15" customHeight="1" thickBot="1" x14ac:dyDescent="0.25">
      <c r="B131" s="48" t="s">
        <v>22</v>
      </c>
      <c r="C131" s="49">
        <f>C121+C125+C130</f>
        <v>29643999.999999996</v>
      </c>
      <c r="D131" s="50">
        <f>D121+D125+D130</f>
        <v>31074909.850000001</v>
      </c>
      <c r="E131" s="51">
        <f>E121+E125+E130</f>
        <v>20317862.689999998</v>
      </c>
      <c r="F131" s="51">
        <f>F121+F125+F130</f>
        <v>20055667.010000002</v>
      </c>
      <c r="G131" s="51">
        <f t="shared" si="16"/>
        <v>10757047.160000004</v>
      </c>
      <c r="H131" s="52">
        <f>E131/D131</f>
        <v>0.65383496808438835</v>
      </c>
      <c r="I131" s="53">
        <f t="shared" si="17"/>
        <v>1.5294379297727208</v>
      </c>
    </row>
    <row r="133" spans="2:9" x14ac:dyDescent="0.2">
      <c r="B133" s="1" t="s">
        <v>121</v>
      </c>
      <c r="C133" s="1"/>
      <c r="D133" s="1"/>
      <c r="E133" s="1"/>
      <c r="H133" s="327">
        <f>E121</f>
        <v>19188005.419999998</v>
      </c>
      <c r="I133" s="327"/>
    </row>
    <row r="134" spans="2:9" x14ac:dyDescent="0.2">
      <c r="B134" s="1" t="s">
        <v>122</v>
      </c>
      <c r="D134" s="19">
        <f>I121</f>
        <v>0.9443909387892413</v>
      </c>
      <c r="E134" s="4" t="s">
        <v>68</v>
      </c>
    </row>
    <row r="136" spans="2:9" x14ac:dyDescent="0.2">
      <c r="B136" s="4" t="s">
        <v>123</v>
      </c>
    </row>
    <row r="137" spans="2:9" ht="15.75" thickBot="1" x14ac:dyDescent="0.25">
      <c r="B137" s="4" t="s">
        <v>124</v>
      </c>
    </row>
    <row r="138" spans="2:9" x14ac:dyDescent="0.2">
      <c r="C138" s="433" t="s">
        <v>72</v>
      </c>
      <c r="D138" s="434"/>
      <c r="E138" s="434"/>
      <c r="F138" s="434"/>
      <c r="G138" s="435"/>
    </row>
    <row r="139" spans="2:9" ht="25.5" x14ac:dyDescent="0.2">
      <c r="C139" s="109" t="s">
        <v>50</v>
      </c>
      <c r="D139" s="110" t="s">
        <v>69</v>
      </c>
      <c r="E139" s="110" t="s">
        <v>70</v>
      </c>
      <c r="F139" s="110" t="s">
        <v>22</v>
      </c>
      <c r="G139" s="111" t="s">
        <v>71</v>
      </c>
    </row>
    <row r="140" spans="2:9" x14ac:dyDescent="0.2">
      <c r="C140" s="87">
        <v>1997</v>
      </c>
      <c r="D140" s="84">
        <v>909701.94</v>
      </c>
      <c r="E140" s="84">
        <v>485407.82</v>
      </c>
      <c r="F140" s="84">
        <v>1395109.76</v>
      </c>
      <c r="G140" s="68">
        <v>0</v>
      </c>
    </row>
    <row r="141" spans="2:9" x14ac:dyDescent="0.2">
      <c r="C141" s="87">
        <v>1998</v>
      </c>
      <c r="D141" s="84">
        <v>1735142.46</v>
      </c>
      <c r="E141" s="84">
        <v>415562.17</v>
      </c>
      <c r="F141" s="84">
        <v>2150704.63</v>
      </c>
      <c r="G141" s="68">
        <f>(F$141/F140)-100%</f>
        <v>0.5416024542757123</v>
      </c>
    </row>
    <row r="142" spans="2:9" x14ac:dyDescent="0.2">
      <c r="C142" s="87">
        <v>1999</v>
      </c>
      <c r="D142" s="84">
        <v>1973132.22</v>
      </c>
      <c r="E142" s="84">
        <v>343039.16</v>
      </c>
      <c r="F142" s="84">
        <v>2316171.38</v>
      </c>
      <c r="G142" s="68">
        <f t="shared" ref="G142:G157" si="18">(F142/F141)-100%</f>
        <v>7.6936064437635121E-2</v>
      </c>
    </row>
    <row r="143" spans="2:9" x14ac:dyDescent="0.2">
      <c r="C143" s="87">
        <v>2000</v>
      </c>
      <c r="D143" s="84">
        <v>2094971.41</v>
      </c>
      <c r="E143" s="84">
        <v>318469.48</v>
      </c>
      <c r="F143" s="84">
        <v>2413440.89</v>
      </c>
      <c r="G143" s="68">
        <f t="shared" si="18"/>
        <v>4.1995817252521439E-2</v>
      </c>
    </row>
    <row r="144" spans="2:9" x14ac:dyDescent="0.2">
      <c r="C144" s="87">
        <v>2001</v>
      </c>
      <c r="D144" s="84">
        <v>2221408.83</v>
      </c>
      <c r="E144" s="84">
        <v>347968.35</v>
      </c>
      <c r="F144" s="84">
        <v>2569377.1800000002</v>
      </c>
      <c r="G144" s="68">
        <f t="shared" si="18"/>
        <v>6.4611605217312684E-2</v>
      </c>
    </row>
    <row r="145" spans="3:7" x14ac:dyDescent="0.2">
      <c r="C145" s="87">
        <v>2002</v>
      </c>
      <c r="D145" s="84">
        <v>2651552.35</v>
      </c>
      <c r="E145" s="84">
        <v>468257.63</v>
      </c>
      <c r="F145" s="84">
        <v>3119809.98</v>
      </c>
      <c r="G145" s="68">
        <f t="shared" si="18"/>
        <v>0.21422810332580289</v>
      </c>
    </row>
    <row r="146" spans="3:7" x14ac:dyDescent="0.2">
      <c r="C146" s="87">
        <v>2003</v>
      </c>
      <c r="D146" s="84">
        <v>3484939.7</v>
      </c>
      <c r="E146" s="84">
        <v>348007.19</v>
      </c>
      <c r="F146" s="84">
        <v>3832946.89</v>
      </c>
      <c r="G146" s="68">
        <f t="shared" si="18"/>
        <v>0.22858344404680708</v>
      </c>
    </row>
    <row r="147" spans="3:7" x14ac:dyDescent="0.2">
      <c r="C147" s="87">
        <v>2004</v>
      </c>
      <c r="D147" s="85">
        <v>3766956.72</v>
      </c>
      <c r="E147" s="85">
        <v>173129.79</v>
      </c>
      <c r="F147" s="84">
        <v>3940086.51</v>
      </c>
      <c r="G147" s="68">
        <f t="shared" si="18"/>
        <v>2.7952283993165183E-2</v>
      </c>
    </row>
    <row r="148" spans="3:7" x14ac:dyDescent="0.2">
      <c r="C148" s="87">
        <v>2005</v>
      </c>
      <c r="D148" s="85">
        <v>4265321.8499999996</v>
      </c>
      <c r="E148" s="85">
        <v>614403.75</v>
      </c>
      <c r="F148" s="85">
        <v>4879725.5999999996</v>
      </c>
      <c r="G148" s="68">
        <f t="shared" si="18"/>
        <v>0.23848184236949654</v>
      </c>
    </row>
    <row r="149" spans="3:7" x14ac:dyDescent="0.2">
      <c r="C149" s="87">
        <v>2006</v>
      </c>
      <c r="D149" s="85">
        <v>5182324.76</v>
      </c>
      <c r="E149" s="85">
        <v>673665.9</v>
      </c>
      <c r="F149" s="85">
        <v>5855990.6600000001</v>
      </c>
      <c r="G149" s="68">
        <f t="shared" si="18"/>
        <v>0.20006556516210683</v>
      </c>
    </row>
    <row r="150" spans="3:7" x14ac:dyDescent="0.2">
      <c r="C150" s="87">
        <v>2007</v>
      </c>
      <c r="D150" s="85">
        <v>5624481.3399999999</v>
      </c>
      <c r="E150" s="85">
        <v>481029.61</v>
      </c>
      <c r="F150" s="85">
        <v>6105510.9500000002</v>
      </c>
      <c r="G150" s="68">
        <f t="shared" si="18"/>
        <v>4.2609407099020169E-2</v>
      </c>
    </row>
    <row r="151" spans="3:7" x14ac:dyDescent="0.2">
      <c r="C151" s="87">
        <v>2008</v>
      </c>
      <c r="D151" s="85">
        <v>6883676.6799999997</v>
      </c>
      <c r="E151" s="85">
        <v>1362477.54</v>
      </c>
      <c r="F151" s="85">
        <f t="shared" ref="F151:F159" si="19">D151+E151</f>
        <v>8246154.2199999997</v>
      </c>
      <c r="G151" s="68">
        <f t="shared" si="18"/>
        <v>0.35060837455381177</v>
      </c>
    </row>
    <row r="152" spans="3:7" x14ac:dyDescent="0.2">
      <c r="C152" s="87">
        <v>2009</v>
      </c>
      <c r="D152" s="85">
        <v>7378334.1500000004</v>
      </c>
      <c r="E152" s="85">
        <v>835730.67</v>
      </c>
      <c r="F152" s="85">
        <f t="shared" si="19"/>
        <v>8214064.8200000003</v>
      </c>
      <c r="G152" s="68">
        <f t="shared" si="18"/>
        <v>-3.891438256414248E-3</v>
      </c>
    </row>
    <row r="153" spans="3:7" x14ac:dyDescent="0.2">
      <c r="C153" s="87">
        <v>2010</v>
      </c>
      <c r="D153" s="85">
        <v>8255018.0899999999</v>
      </c>
      <c r="E153" s="85">
        <v>2274199.04</v>
      </c>
      <c r="F153" s="85">
        <f t="shared" si="19"/>
        <v>10529217.129999999</v>
      </c>
      <c r="G153" s="68">
        <f t="shared" si="18"/>
        <v>0.28185220846601489</v>
      </c>
    </row>
    <row r="154" spans="3:7" x14ac:dyDescent="0.2">
      <c r="C154" s="87">
        <v>2011</v>
      </c>
      <c r="D154" s="85">
        <v>9515273.0999999996</v>
      </c>
      <c r="E154" s="85">
        <v>954965.63</v>
      </c>
      <c r="F154" s="85">
        <f t="shared" si="19"/>
        <v>10470238.73</v>
      </c>
      <c r="G154" s="68">
        <f t="shared" si="18"/>
        <v>-5.601404099831564E-3</v>
      </c>
    </row>
    <row r="155" spans="3:7" x14ac:dyDescent="0.2">
      <c r="C155" s="87">
        <v>2012</v>
      </c>
      <c r="D155" s="85">
        <v>10173827.32</v>
      </c>
      <c r="E155" s="85">
        <v>1254504.02</v>
      </c>
      <c r="F155" s="85">
        <f t="shared" si="19"/>
        <v>11428331.34</v>
      </c>
      <c r="G155" s="68">
        <f t="shared" si="18"/>
        <v>9.1506281251716892E-2</v>
      </c>
    </row>
    <row r="156" spans="3:7" x14ac:dyDescent="0.2">
      <c r="C156" s="87">
        <v>2013</v>
      </c>
      <c r="D156" s="85">
        <v>12291244.32</v>
      </c>
      <c r="E156" s="85">
        <v>617698.75</v>
      </c>
      <c r="F156" s="85">
        <f t="shared" si="19"/>
        <v>12908943.07</v>
      </c>
      <c r="G156" s="68">
        <f t="shared" si="18"/>
        <v>0.12955624806027033</v>
      </c>
    </row>
    <row r="157" spans="3:7" x14ac:dyDescent="0.2">
      <c r="C157" s="87">
        <v>2014</v>
      </c>
      <c r="D157" s="85">
        <v>12455554.67</v>
      </c>
      <c r="E157" s="85">
        <v>960620.66</v>
      </c>
      <c r="F157" s="85">
        <f t="shared" si="19"/>
        <v>13416175.33</v>
      </c>
      <c r="G157" s="68">
        <f t="shared" si="18"/>
        <v>3.9293089856348606E-2</v>
      </c>
    </row>
    <row r="158" spans="3:7" x14ac:dyDescent="0.2">
      <c r="C158" s="87">
        <v>2015</v>
      </c>
      <c r="D158" s="85">
        <v>12255258.67</v>
      </c>
      <c r="E158" s="85">
        <v>599742.68999999994</v>
      </c>
      <c r="F158" s="85">
        <f t="shared" ref="F158" si="20">D158+E158</f>
        <v>12855001.359999999</v>
      </c>
      <c r="G158" s="68">
        <f>(F158/F157)-100%</f>
        <v>-4.1828163108837413E-2</v>
      </c>
    </row>
    <row r="159" spans="3:7" x14ac:dyDescent="0.2">
      <c r="C159" s="87">
        <v>2016</v>
      </c>
      <c r="D159" s="85">
        <v>14089928</v>
      </c>
      <c r="E159" s="85">
        <v>557443</v>
      </c>
      <c r="F159" s="85">
        <f t="shared" si="19"/>
        <v>14647371</v>
      </c>
      <c r="G159" s="68">
        <f>(F159/F158)-100%</f>
        <v>0.13942975109883626</v>
      </c>
    </row>
    <row r="160" spans="3:7" x14ac:dyDescent="0.2">
      <c r="C160" s="117">
        <v>2017</v>
      </c>
      <c r="D160" s="118">
        <v>14418254.779999999</v>
      </c>
      <c r="E160" s="118">
        <v>1612036.89</v>
      </c>
      <c r="F160" s="85">
        <f t="shared" ref="F160:F161" si="21">D160+E160</f>
        <v>16030291.67</v>
      </c>
      <c r="G160" s="68">
        <f>(F160/F159)-100%</f>
        <v>9.4414258367593762E-2</v>
      </c>
    </row>
    <row r="161" spans="2:9" x14ac:dyDescent="0.2">
      <c r="C161" s="117">
        <v>2018</v>
      </c>
      <c r="D161" s="118">
        <v>16280223.15</v>
      </c>
      <c r="E161" s="118">
        <v>1221235.07</v>
      </c>
      <c r="F161" s="118">
        <f t="shared" si="21"/>
        <v>17501458.219999999</v>
      </c>
      <c r="G161" s="68">
        <f>(F161/F160)-100%</f>
        <v>9.1774159839725478E-2</v>
      </c>
    </row>
    <row r="162" spans="2:9" ht="15.75" thickBot="1" x14ac:dyDescent="0.25">
      <c r="C162" s="88">
        <v>2019</v>
      </c>
      <c r="D162" s="86">
        <f>E121</f>
        <v>19188005.419999998</v>
      </c>
      <c r="E162" s="86">
        <f>E126</f>
        <v>1129857.27</v>
      </c>
      <c r="F162" s="86">
        <f t="shared" ref="F162" si="22">D162+E162</f>
        <v>20317862.689999998</v>
      </c>
      <c r="G162" s="69">
        <f>(F162/F161)-100%</f>
        <v>0.16092398899547233</v>
      </c>
    </row>
    <row r="163" spans="2:9" x14ac:dyDescent="0.2">
      <c r="C163" s="160"/>
      <c r="D163" s="161"/>
      <c r="E163" s="161"/>
      <c r="F163" s="161"/>
      <c r="G163" s="107"/>
    </row>
    <row r="176" spans="2:9" ht="15.75" x14ac:dyDescent="0.25">
      <c r="B176" s="408" t="s">
        <v>73</v>
      </c>
      <c r="C176" s="408"/>
      <c r="D176" s="408"/>
      <c r="E176" s="408"/>
      <c r="F176" s="408"/>
      <c r="G176" s="408"/>
      <c r="H176" s="408"/>
      <c r="I176" s="408"/>
    </row>
    <row r="177" spans="2:9" ht="15.75" x14ac:dyDescent="0.25">
      <c r="B177" s="3"/>
      <c r="C177" s="3"/>
      <c r="D177" s="3"/>
      <c r="E177" s="3"/>
      <c r="F177" s="3"/>
      <c r="G177" s="3"/>
      <c r="H177" s="3"/>
      <c r="I177" s="3"/>
    </row>
    <row r="178" spans="2:9" ht="15.75" x14ac:dyDescent="0.25">
      <c r="B178" s="408" t="s">
        <v>74</v>
      </c>
      <c r="C178" s="408"/>
      <c r="D178" s="408"/>
      <c r="E178" s="408"/>
      <c r="F178" s="408"/>
      <c r="G178" s="408"/>
      <c r="H178" s="408"/>
      <c r="I178" s="408"/>
    </row>
    <row r="179" spans="2:9" ht="15.75" thickBot="1" x14ac:dyDescent="0.25"/>
    <row r="180" spans="2:9" x14ac:dyDescent="0.2">
      <c r="C180" s="391" t="s">
        <v>75</v>
      </c>
      <c r="D180" s="392"/>
      <c r="E180" s="392"/>
      <c r="F180" s="392"/>
      <c r="G180" s="70" t="s">
        <v>76</v>
      </c>
    </row>
    <row r="181" spans="2:9" x14ac:dyDescent="0.2">
      <c r="C181" s="305" t="s">
        <v>77</v>
      </c>
      <c r="D181" s="306"/>
      <c r="E181" s="306"/>
      <c r="F181" s="306"/>
      <c r="G181" s="81">
        <f>C131</f>
        <v>29643999.999999996</v>
      </c>
    </row>
    <row r="182" spans="2:9" x14ac:dyDescent="0.2">
      <c r="C182" s="305" t="s">
        <v>78</v>
      </c>
      <c r="D182" s="306"/>
      <c r="E182" s="306"/>
      <c r="F182" s="306"/>
      <c r="G182" s="81">
        <f t="shared" ref="G182:G188" si="23">F13</f>
        <v>6415062.3700000001</v>
      </c>
    </row>
    <row r="183" spans="2:9" x14ac:dyDescent="0.2">
      <c r="C183" s="336" t="s">
        <v>79</v>
      </c>
      <c r="D183" s="337"/>
      <c r="E183" s="337"/>
      <c r="F183" s="337"/>
      <c r="G183" s="82">
        <f t="shared" si="23"/>
        <v>5020472.54</v>
      </c>
    </row>
    <row r="184" spans="2:9" x14ac:dyDescent="0.2">
      <c r="C184" s="305" t="s">
        <v>80</v>
      </c>
      <c r="D184" s="306"/>
      <c r="E184" s="306"/>
      <c r="F184" s="306"/>
      <c r="G184" s="81">
        <f t="shared" si="23"/>
        <v>323883.26</v>
      </c>
    </row>
    <row r="185" spans="2:9" x14ac:dyDescent="0.2">
      <c r="C185" s="336" t="s">
        <v>81</v>
      </c>
      <c r="D185" s="337"/>
      <c r="E185" s="337"/>
      <c r="F185" s="337"/>
      <c r="G185" s="82">
        <f t="shared" si="23"/>
        <v>0</v>
      </c>
    </row>
    <row r="186" spans="2:9" x14ac:dyDescent="0.2">
      <c r="C186" s="305" t="s">
        <v>82</v>
      </c>
      <c r="D186" s="306"/>
      <c r="E186" s="306"/>
      <c r="F186" s="306"/>
      <c r="G186" s="81">
        <f t="shared" si="23"/>
        <v>323883.26</v>
      </c>
    </row>
    <row r="187" spans="2:9" x14ac:dyDescent="0.2">
      <c r="C187" s="336" t="s">
        <v>83</v>
      </c>
      <c r="D187" s="337"/>
      <c r="E187" s="337"/>
      <c r="F187" s="337"/>
      <c r="G187" s="82">
        <f t="shared" si="23"/>
        <v>0</v>
      </c>
    </row>
    <row r="188" spans="2:9" x14ac:dyDescent="0.2">
      <c r="C188" s="336" t="s">
        <v>79</v>
      </c>
      <c r="D188" s="337"/>
      <c r="E188" s="337"/>
      <c r="F188" s="337"/>
      <c r="G188" s="82">
        <f t="shared" si="23"/>
        <v>287563.24</v>
      </c>
    </row>
    <row r="189" spans="2:9" x14ac:dyDescent="0.2">
      <c r="C189" s="336" t="s">
        <v>84</v>
      </c>
      <c r="D189" s="337"/>
      <c r="E189" s="337"/>
      <c r="F189" s="337"/>
      <c r="G189" s="82">
        <v>0</v>
      </c>
    </row>
    <row r="190" spans="2:9" x14ac:dyDescent="0.2">
      <c r="C190" s="305" t="s">
        <v>92</v>
      </c>
      <c r="D190" s="306"/>
      <c r="E190" s="306"/>
      <c r="F190" s="306"/>
      <c r="G190" s="81">
        <f>G181+G182+G186-G183-G188</f>
        <v>31074909.849999998</v>
      </c>
    </row>
    <row r="191" spans="2:9" x14ac:dyDescent="0.2">
      <c r="C191" s="305" t="s">
        <v>85</v>
      </c>
      <c r="D191" s="306"/>
      <c r="E191" s="306"/>
      <c r="F191" s="306"/>
      <c r="G191" s="81">
        <f>E131</f>
        <v>20317862.689999998</v>
      </c>
    </row>
    <row r="192" spans="2:9" x14ac:dyDescent="0.2">
      <c r="C192" s="305" t="s">
        <v>86</v>
      </c>
      <c r="D192" s="306"/>
      <c r="E192" s="306"/>
      <c r="F192" s="306"/>
      <c r="G192" s="81">
        <f>G190-G191</f>
        <v>10757047.16</v>
      </c>
    </row>
    <row r="193" spans="2:9" x14ac:dyDescent="0.2">
      <c r="C193" s="305" t="s">
        <v>87</v>
      </c>
      <c r="D193" s="306"/>
      <c r="E193" s="306"/>
      <c r="F193" s="306"/>
      <c r="G193" s="71" t="s">
        <v>88</v>
      </c>
    </row>
    <row r="194" spans="2:9" x14ac:dyDescent="0.2">
      <c r="C194" s="305" t="s">
        <v>89</v>
      </c>
      <c r="D194" s="306"/>
      <c r="E194" s="306"/>
      <c r="F194" s="306"/>
      <c r="G194" s="81">
        <f>E66</f>
        <v>29644000</v>
      </c>
    </row>
    <row r="195" spans="2:9" x14ac:dyDescent="0.2">
      <c r="C195" s="305" t="s">
        <v>90</v>
      </c>
      <c r="D195" s="306"/>
      <c r="E195" s="306"/>
      <c r="F195" s="306"/>
      <c r="G195" s="81">
        <f>F66</f>
        <v>19111454.470000003</v>
      </c>
    </row>
    <row r="196" spans="2:9" x14ac:dyDescent="0.2">
      <c r="C196" s="336" t="s">
        <v>157</v>
      </c>
      <c r="D196" s="337"/>
      <c r="E196" s="337"/>
      <c r="F196" s="337"/>
      <c r="G196" s="82">
        <f>G195-G194</f>
        <v>-10532545.529999997</v>
      </c>
    </row>
    <row r="197" spans="2:9" x14ac:dyDescent="0.2">
      <c r="C197" s="305" t="s">
        <v>158</v>
      </c>
      <c r="D197" s="306"/>
      <c r="E197" s="306"/>
      <c r="F197" s="306"/>
      <c r="G197" s="81">
        <f>G195-G191</f>
        <v>-1206408.2199999951</v>
      </c>
    </row>
    <row r="198" spans="2:9" x14ac:dyDescent="0.2">
      <c r="C198" s="305" t="s">
        <v>91</v>
      </c>
      <c r="D198" s="306"/>
      <c r="E198" s="306"/>
      <c r="F198" s="306"/>
      <c r="G198" s="81">
        <v>1453932.23</v>
      </c>
    </row>
    <row r="199" spans="2:9" ht="15.75" thickBot="1" x14ac:dyDescent="0.25">
      <c r="C199" s="436" t="s">
        <v>229</v>
      </c>
      <c r="D199" s="437"/>
      <c r="E199" s="437"/>
      <c r="F199" s="437"/>
      <c r="G199" s="83">
        <f>G198+G197</f>
        <v>247524.0100000049</v>
      </c>
    </row>
    <row r="201" spans="2:9" ht="15" customHeight="1" x14ac:dyDescent="0.2">
      <c r="B201" s="328" t="s">
        <v>227</v>
      </c>
      <c r="C201" s="328"/>
      <c r="D201" s="328"/>
      <c r="E201" s="328"/>
      <c r="F201" s="328"/>
      <c r="G201" s="328"/>
      <c r="H201" s="328"/>
      <c r="I201" s="328"/>
    </row>
    <row r="202" spans="2:9" x14ac:dyDescent="0.2">
      <c r="B202" s="332" t="s">
        <v>228</v>
      </c>
      <c r="C202" s="332"/>
      <c r="D202" s="332"/>
      <c r="E202" s="332"/>
      <c r="F202" s="332"/>
      <c r="G202" s="112">
        <f>G199</f>
        <v>247524.0100000049</v>
      </c>
      <c r="H202" s="22" t="s">
        <v>93</v>
      </c>
    </row>
    <row r="205" spans="2:9" ht="15.75" x14ac:dyDescent="0.25">
      <c r="B205" s="27" t="s">
        <v>94</v>
      </c>
      <c r="C205" s="27"/>
      <c r="D205" s="27"/>
      <c r="E205" s="27"/>
      <c r="F205" s="27"/>
      <c r="G205" s="27"/>
      <c r="H205" s="27"/>
      <c r="I205" s="27"/>
    </row>
    <row r="206" spans="2:9" ht="15.75" x14ac:dyDescent="0.25">
      <c r="B206" s="3"/>
      <c r="C206" s="3"/>
      <c r="D206" s="3"/>
      <c r="E206" s="3"/>
      <c r="F206" s="3"/>
      <c r="G206" s="3"/>
      <c r="H206" s="3"/>
      <c r="I206" s="3"/>
    </row>
    <row r="207" spans="2:9" ht="56.25" customHeight="1" thickBot="1" x14ac:dyDescent="0.25">
      <c r="B207" s="328" t="s">
        <v>230</v>
      </c>
      <c r="C207" s="328"/>
      <c r="D207" s="328"/>
      <c r="E207" s="328"/>
      <c r="F207" s="328"/>
      <c r="G207" s="328"/>
      <c r="H207" s="328"/>
      <c r="I207" s="328"/>
    </row>
    <row r="208" spans="2:9" x14ac:dyDescent="0.2">
      <c r="B208" s="317" t="s">
        <v>115</v>
      </c>
      <c r="C208" s="318"/>
      <c r="D208" s="319"/>
      <c r="E208" s="72">
        <f>F66</f>
        <v>19111454.470000003</v>
      </c>
      <c r="F208" s="29"/>
      <c r="G208" s="29"/>
      <c r="H208" s="29"/>
      <c r="I208" s="29"/>
    </row>
    <row r="209" spans="2:9" x14ac:dyDescent="0.2">
      <c r="B209" s="73" t="s">
        <v>116</v>
      </c>
      <c r="C209" s="59"/>
      <c r="D209" s="59"/>
      <c r="E209" s="74">
        <f>G198</f>
        <v>1453932.23</v>
      </c>
      <c r="F209" s="29"/>
      <c r="G209" s="29"/>
      <c r="H209" s="29"/>
      <c r="I209" s="29"/>
    </row>
    <row r="210" spans="2:9" x14ac:dyDescent="0.2">
      <c r="B210" s="320" t="s">
        <v>117</v>
      </c>
      <c r="C210" s="321"/>
      <c r="D210" s="322"/>
      <c r="E210" s="74">
        <f>E131</f>
        <v>20317862.689999998</v>
      </c>
      <c r="F210" s="29"/>
      <c r="G210" s="29"/>
      <c r="H210" s="29"/>
      <c r="I210" s="29"/>
    </row>
    <row r="211" spans="2:9" s="31" customFormat="1" x14ac:dyDescent="0.2">
      <c r="B211" s="323" t="s">
        <v>118</v>
      </c>
      <c r="C211" s="324"/>
      <c r="D211" s="325"/>
      <c r="E211" s="75">
        <v>0</v>
      </c>
      <c r="F211" s="30"/>
      <c r="G211" s="30"/>
      <c r="H211" s="30"/>
      <c r="I211" s="30"/>
    </row>
    <row r="212" spans="2:9" ht="15.75" thickBot="1" x14ac:dyDescent="0.25">
      <c r="B212" s="329" t="s">
        <v>119</v>
      </c>
      <c r="C212" s="330"/>
      <c r="D212" s="331"/>
      <c r="E212" s="76">
        <f>E208+E209-E210-E211</f>
        <v>247524.01000000536</v>
      </c>
      <c r="F212" s="29"/>
      <c r="G212" s="29"/>
      <c r="H212" s="29"/>
      <c r="I212" s="29"/>
    </row>
    <row r="215" spans="2:9" ht="15.75" x14ac:dyDescent="0.25">
      <c r="B215" s="408" t="s">
        <v>128</v>
      </c>
      <c r="C215" s="408"/>
      <c r="D215" s="408"/>
      <c r="E215" s="408"/>
      <c r="F215" s="408"/>
      <c r="G215" s="408"/>
      <c r="H215" s="408"/>
      <c r="I215" s="408"/>
    </row>
    <row r="216" spans="2:9" ht="221.25" customHeight="1" x14ac:dyDescent="0.2">
      <c r="B216" s="326" t="s">
        <v>231</v>
      </c>
      <c r="C216" s="326"/>
      <c r="D216" s="326"/>
      <c r="E216" s="326"/>
      <c r="F216" s="326"/>
      <c r="G216" s="326"/>
      <c r="H216" s="326"/>
      <c r="I216" s="326"/>
    </row>
    <row r="222" spans="2:9" ht="19.5" customHeight="1" x14ac:dyDescent="0.25">
      <c r="B222" s="316" t="s">
        <v>129</v>
      </c>
      <c r="C222" s="316"/>
      <c r="D222" s="316"/>
      <c r="E222" s="316"/>
      <c r="F222" s="316"/>
      <c r="G222" s="316"/>
      <c r="H222" s="316"/>
      <c r="I222" s="316"/>
    </row>
    <row r="224" spans="2:9" ht="15.75" x14ac:dyDescent="0.25">
      <c r="B224" s="24" t="s">
        <v>114</v>
      </c>
    </row>
    <row r="226" spans="2:7" ht="15.75" x14ac:dyDescent="0.25">
      <c r="B226" s="491" t="s">
        <v>95</v>
      </c>
      <c r="C226" s="491"/>
      <c r="D226" s="491"/>
      <c r="E226" s="491"/>
      <c r="F226" s="491"/>
      <c r="G226" s="491"/>
    </row>
    <row r="227" spans="2:7" ht="16.5" thickBot="1" x14ac:dyDescent="0.3">
      <c r="D227" s="23"/>
      <c r="F227" s="382"/>
      <c r="G227" s="382"/>
    </row>
    <row r="228" spans="2:7" x14ac:dyDescent="0.2">
      <c r="B228" s="370" t="s">
        <v>137</v>
      </c>
      <c r="C228" s="371"/>
      <c r="D228" s="371"/>
      <c r="E228" s="372"/>
      <c r="F228" s="60" t="s">
        <v>98</v>
      </c>
      <c r="G228" s="7"/>
    </row>
    <row r="229" spans="2:7" ht="15" customHeight="1" x14ac:dyDescent="0.2">
      <c r="B229" s="373"/>
      <c r="C229" s="374"/>
      <c r="D229" s="374"/>
      <c r="E229" s="375"/>
      <c r="F229" s="61" t="s">
        <v>154</v>
      </c>
    </row>
    <row r="230" spans="2:7" ht="15" customHeight="1" x14ac:dyDescent="0.2">
      <c r="B230" s="241" t="s">
        <v>138</v>
      </c>
      <c r="C230" s="242"/>
      <c r="D230" s="242"/>
      <c r="E230" s="243"/>
      <c r="F230" s="62">
        <f>F232</f>
        <v>3542323.5649999999</v>
      </c>
    </row>
    <row r="231" spans="2:7" x14ac:dyDescent="0.2">
      <c r="B231" s="241" t="s">
        <v>139</v>
      </c>
      <c r="C231" s="242"/>
      <c r="D231" s="242"/>
      <c r="E231" s="243"/>
      <c r="F231" s="62">
        <v>14169294.26</v>
      </c>
    </row>
    <row r="232" spans="2:7" ht="15" customHeight="1" x14ac:dyDescent="0.2">
      <c r="B232" s="352" t="s">
        <v>140</v>
      </c>
      <c r="C232" s="353"/>
      <c r="D232" s="353"/>
      <c r="E232" s="354"/>
      <c r="F232" s="63">
        <f>F231*25%</f>
        <v>3542323.5649999999</v>
      </c>
    </row>
    <row r="233" spans="2:7" ht="15" customHeight="1" x14ac:dyDescent="0.2">
      <c r="B233" s="376" t="s">
        <v>141</v>
      </c>
      <c r="C233" s="377"/>
      <c r="D233" s="377"/>
      <c r="E233" s="378"/>
      <c r="F233" s="64" t="s">
        <v>142</v>
      </c>
    </row>
    <row r="234" spans="2:7" ht="15" customHeight="1" x14ac:dyDescent="0.2">
      <c r="B234" s="379"/>
      <c r="C234" s="380"/>
      <c r="D234" s="380"/>
      <c r="E234" s="381"/>
      <c r="F234" s="61" t="s">
        <v>154</v>
      </c>
    </row>
    <row r="235" spans="2:7" x14ac:dyDescent="0.2">
      <c r="B235" s="124" t="s">
        <v>168</v>
      </c>
      <c r="C235" s="125"/>
      <c r="D235" s="125"/>
      <c r="E235" s="126"/>
      <c r="F235" s="127">
        <f>SUM(F236:F242)</f>
        <v>1390208.9900000002</v>
      </c>
    </row>
    <row r="236" spans="2:7" ht="15.75" x14ac:dyDescent="0.2">
      <c r="B236" s="128" t="s">
        <v>175</v>
      </c>
      <c r="C236" s="129"/>
      <c r="D236" s="130"/>
      <c r="E236" s="132"/>
      <c r="F236" s="131">
        <v>1328071.3</v>
      </c>
    </row>
    <row r="237" spans="2:7" ht="21" customHeight="1" x14ac:dyDescent="0.2">
      <c r="B237" s="478" t="s">
        <v>232</v>
      </c>
      <c r="C237" s="479"/>
      <c r="D237" s="479"/>
      <c r="E237" s="480"/>
      <c r="F237" s="162">
        <v>12857.68</v>
      </c>
    </row>
    <row r="238" spans="2:7" ht="18" customHeight="1" x14ac:dyDescent="0.2">
      <c r="B238" s="280" t="s">
        <v>233</v>
      </c>
      <c r="C238" s="281"/>
      <c r="D238" s="281"/>
      <c r="E238" s="282"/>
      <c r="F238" s="162">
        <v>3465.8</v>
      </c>
    </row>
    <row r="239" spans="2:7" x14ac:dyDescent="0.2">
      <c r="B239" s="123" t="s">
        <v>176</v>
      </c>
      <c r="C239" s="78"/>
      <c r="D239" s="78"/>
      <c r="E239" s="79"/>
      <c r="F239" s="119">
        <v>33711.39</v>
      </c>
    </row>
    <row r="240" spans="2:7" x14ac:dyDescent="0.2">
      <c r="B240" s="77" t="s">
        <v>177</v>
      </c>
      <c r="C240" s="78"/>
      <c r="D240" s="78"/>
      <c r="E240" s="79"/>
      <c r="F240" s="119">
        <v>51.83</v>
      </c>
    </row>
    <row r="241" spans="2:6" x14ac:dyDescent="0.2">
      <c r="B241" s="77" t="s">
        <v>180</v>
      </c>
      <c r="C241" s="78"/>
      <c r="D241" s="78"/>
      <c r="E241" s="79"/>
      <c r="F241" s="119">
        <v>4542.12</v>
      </c>
    </row>
    <row r="242" spans="2:6" x14ac:dyDescent="0.2">
      <c r="B242" s="77" t="s">
        <v>178</v>
      </c>
      <c r="C242" s="78"/>
      <c r="D242" s="78"/>
      <c r="E242" s="79"/>
      <c r="F242" s="119">
        <v>7508.87</v>
      </c>
    </row>
    <row r="243" spans="2:6" s="24" customFormat="1" ht="15.75" x14ac:dyDescent="0.25">
      <c r="B243" s="124" t="s">
        <v>169</v>
      </c>
      <c r="C243" s="125"/>
      <c r="D243" s="125"/>
      <c r="E243" s="126"/>
      <c r="F243" s="127">
        <f>SUM(F244:F251)</f>
        <v>3971287.4100000006</v>
      </c>
    </row>
    <row r="244" spans="2:6" s="24" customFormat="1" ht="15.75" x14ac:dyDescent="0.25">
      <c r="B244" s="128" t="s">
        <v>175</v>
      </c>
      <c r="C244" s="129"/>
      <c r="D244" s="130"/>
      <c r="E244" s="132"/>
      <c r="F244" s="119">
        <v>665113.59999999998</v>
      </c>
    </row>
    <row r="245" spans="2:6" s="24" customFormat="1" ht="15.75" x14ac:dyDescent="0.25">
      <c r="B245" s="478" t="s">
        <v>232</v>
      </c>
      <c r="C245" s="479"/>
      <c r="D245" s="479"/>
      <c r="E245" s="480"/>
      <c r="F245" s="119">
        <v>11392.6</v>
      </c>
    </row>
    <row r="246" spans="2:6" s="24" customFormat="1" ht="15.75" x14ac:dyDescent="0.25">
      <c r="B246" s="280" t="s">
        <v>233</v>
      </c>
      <c r="C246" s="281"/>
      <c r="D246" s="281"/>
      <c r="E246" s="282"/>
      <c r="F246" s="119">
        <v>4236</v>
      </c>
    </row>
    <row r="247" spans="2:6" x14ac:dyDescent="0.2">
      <c r="B247" s="123" t="s">
        <v>176</v>
      </c>
      <c r="C247" s="78"/>
      <c r="D247" s="78"/>
      <c r="E247" s="79"/>
      <c r="F247" s="119">
        <v>2392122.79</v>
      </c>
    </row>
    <row r="248" spans="2:6" x14ac:dyDescent="0.2">
      <c r="B248" s="123" t="s">
        <v>177</v>
      </c>
      <c r="C248" s="78"/>
      <c r="D248" s="78"/>
      <c r="E248" s="79"/>
      <c r="F248" s="119">
        <v>650935.25</v>
      </c>
    </row>
    <row r="249" spans="2:6" ht="18" customHeight="1" x14ac:dyDescent="0.2">
      <c r="B249" s="286" t="s">
        <v>179</v>
      </c>
      <c r="C249" s="287"/>
      <c r="D249" s="287"/>
      <c r="E249" s="288"/>
      <c r="F249" s="119">
        <v>148880.68</v>
      </c>
    </row>
    <row r="250" spans="2:6" x14ac:dyDescent="0.2">
      <c r="B250" s="123" t="s">
        <v>180</v>
      </c>
      <c r="C250" s="78"/>
      <c r="D250" s="78"/>
      <c r="E250" s="79"/>
      <c r="F250" s="119">
        <v>84604.83</v>
      </c>
    </row>
    <row r="251" spans="2:6" x14ac:dyDescent="0.2">
      <c r="B251" s="123" t="s">
        <v>178</v>
      </c>
      <c r="C251" s="78"/>
      <c r="D251" s="78"/>
      <c r="E251" s="79"/>
      <c r="F251" s="119">
        <v>14001.66</v>
      </c>
    </row>
    <row r="252" spans="2:6" ht="15" customHeight="1" x14ac:dyDescent="0.25">
      <c r="B252" s="438" t="s">
        <v>143</v>
      </c>
      <c r="C252" s="439"/>
      <c r="D252" s="439"/>
      <c r="E252" s="440"/>
      <c r="F252" s="120">
        <f>F235+F243</f>
        <v>5361496.4000000004</v>
      </c>
    </row>
    <row r="253" spans="2:6" ht="15" customHeight="1" x14ac:dyDescent="0.2">
      <c r="B253" s="349" t="s">
        <v>144</v>
      </c>
      <c r="C253" s="350"/>
      <c r="D253" s="350"/>
      <c r="E253" s="351"/>
      <c r="F253" s="121">
        <v>1138395.8799999999</v>
      </c>
    </row>
    <row r="254" spans="2:6" ht="15" customHeight="1" x14ac:dyDescent="0.2">
      <c r="B254" s="349" t="s">
        <v>145</v>
      </c>
      <c r="C254" s="350"/>
      <c r="D254" s="350"/>
      <c r="E254" s="351"/>
      <c r="F254" s="121">
        <v>15651.91</v>
      </c>
    </row>
    <row r="255" spans="2:6" ht="15.75" customHeight="1" x14ac:dyDescent="0.2">
      <c r="B255" s="352" t="s">
        <v>146</v>
      </c>
      <c r="C255" s="353"/>
      <c r="D255" s="353"/>
      <c r="E255" s="354"/>
      <c r="F255" s="122">
        <f>F252+-F254-F253</f>
        <v>4207448.6100000003</v>
      </c>
    </row>
    <row r="256" spans="2:6" ht="15.75" thickBot="1" x14ac:dyDescent="0.25">
      <c r="B256" s="488" t="s">
        <v>147</v>
      </c>
      <c r="C256" s="489"/>
      <c r="D256" s="489"/>
      <c r="E256" s="490"/>
      <c r="F256" s="65">
        <f>F255/F231</f>
        <v>0.29694129663731045</v>
      </c>
    </row>
    <row r="257" spans="2:10" ht="15.75" x14ac:dyDescent="0.25">
      <c r="B257" s="24" t="s">
        <v>172</v>
      </c>
      <c r="C257" s="24"/>
      <c r="D257" s="24"/>
      <c r="E257" s="24"/>
      <c r="F257" s="24"/>
      <c r="G257" s="24"/>
      <c r="H257" s="24"/>
    </row>
    <row r="258" spans="2:10" ht="15.75" thickBot="1" x14ac:dyDescent="0.25"/>
    <row r="259" spans="2:10" ht="16.5" thickBot="1" x14ac:dyDescent="0.25">
      <c r="B259" s="289" t="s">
        <v>96</v>
      </c>
      <c r="C259" s="290"/>
      <c r="D259" s="291"/>
      <c r="E259" s="172" t="s">
        <v>97</v>
      </c>
      <c r="F259" s="172" t="s">
        <v>98</v>
      </c>
      <c r="G259" s="167" t="s">
        <v>99</v>
      </c>
    </row>
    <row r="260" spans="2:10" ht="15.75" customHeight="1" x14ac:dyDescent="0.25">
      <c r="B260" s="292" t="s">
        <v>181</v>
      </c>
      <c r="C260" s="293"/>
      <c r="D260" s="294"/>
      <c r="E260" s="164">
        <v>1521.25</v>
      </c>
      <c r="F260" s="164">
        <v>1637.07</v>
      </c>
      <c r="G260" s="174">
        <v>0</v>
      </c>
    </row>
    <row r="261" spans="2:10" ht="15.75" x14ac:dyDescent="0.25">
      <c r="B261" s="295" t="s">
        <v>186</v>
      </c>
      <c r="C261" s="296"/>
      <c r="D261" s="297"/>
      <c r="E261" s="165">
        <v>57118.58</v>
      </c>
      <c r="F261" s="165">
        <v>59304.41</v>
      </c>
      <c r="G261" s="175">
        <f>F261/E261</f>
        <v>1.0382682832801515</v>
      </c>
    </row>
    <row r="262" spans="2:10" ht="15.75" x14ac:dyDescent="0.25">
      <c r="B262" s="295" t="s">
        <v>185</v>
      </c>
      <c r="C262" s="296"/>
      <c r="D262" s="297"/>
      <c r="E262" s="165">
        <v>279670.3</v>
      </c>
      <c r="F262" s="165">
        <v>277757.71999999997</v>
      </c>
      <c r="G262" s="175">
        <f>F262/E262</f>
        <v>0.99316130457899887</v>
      </c>
    </row>
    <row r="263" spans="2:10" ht="15.75" x14ac:dyDescent="0.25">
      <c r="B263" s="295" t="s">
        <v>184</v>
      </c>
      <c r="C263" s="296"/>
      <c r="D263" s="297"/>
      <c r="E263" s="165">
        <v>442567.37</v>
      </c>
      <c r="F263" s="165">
        <v>767366.1</v>
      </c>
      <c r="G263" s="175">
        <f>F263/E263</f>
        <v>1.7338966946433489</v>
      </c>
    </row>
    <row r="264" spans="2:10" ht="15.75" x14ac:dyDescent="0.25">
      <c r="B264" s="295" t="s">
        <v>183</v>
      </c>
      <c r="C264" s="296"/>
      <c r="D264" s="297"/>
      <c r="E264" s="165">
        <v>179470.29</v>
      </c>
      <c r="F264" s="165">
        <v>125414.9</v>
      </c>
      <c r="G264" s="175">
        <f>F264/E264</f>
        <v>0.69880591378104973</v>
      </c>
    </row>
    <row r="265" spans="2:10" ht="16.5" thickBot="1" x14ac:dyDescent="0.3">
      <c r="B265" s="298" t="s">
        <v>182</v>
      </c>
      <c r="C265" s="299"/>
      <c r="D265" s="300"/>
      <c r="E265" s="166">
        <v>21278.14</v>
      </c>
      <c r="F265" s="166">
        <v>26.67</v>
      </c>
      <c r="G265" s="176">
        <v>0</v>
      </c>
      <c r="I265" s="461"/>
      <c r="J265" s="461"/>
    </row>
    <row r="266" spans="2:10" ht="16.5" thickBot="1" x14ac:dyDescent="0.3">
      <c r="B266" s="163"/>
      <c r="C266" s="368" t="s">
        <v>22</v>
      </c>
      <c r="D266" s="369"/>
      <c r="E266" s="178">
        <f>SUM(E260:E265)</f>
        <v>981625.93</v>
      </c>
      <c r="F266" s="173">
        <f>SUM(F260:F265)</f>
        <v>1231506.8699999996</v>
      </c>
      <c r="G266" s="177">
        <f t="shared" ref="G266" si="24">F266/E266</f>
        <v>1.2545582103765327</v>
      </c>
    </row>
    <row r="267" spans="2:10" ht="15.75" x14ac:dyDescent="0.25">
      <c r="C267" s="54"/>
      <c r="D267" s="54"/>
      <c r="E267" s="55"/>
      <c r="F267" s="55"/>
      <c r="G267" s="56"/>
    </row>
    <row r="268" spans="2:10" ht="33.75" customHeight="1" x14ac:dyDescent="0.2">
      <c r="B268" s="338" t="s">
        <v>234</v>
      </c>
      <c r="C268" s="338"/>
      <c r="D268" s="338"/>
      <c r="E268" s="338"/>
      <c r="F268" s="338"/>
      <c r="G268" s="338"/>
      <c r="H268" s="338"/>
      <c r="I268" s="338"/>
    </row>
    <row r="269" spans="2:10" ht="15.75" thickBot="1" x14ac:dyDescent="0.25"/>
    <row r="270" spans="2:10" ht="32.25" thickBot="1" x14ac:dyDescent="0.25">
      <c r="B270" s="289" t="s">
        <v>148</v>
      </c>
      <c r="C270" s="290"/>
      <c r="D270" s="290"/>
      <c r="E270" s="291"/>
      <c r="F270" s="172" t="s">
        <v>97</v>
      </c>
      <c r="G270" s="172" t="s">
        <v>98</v>
      </c>
      <c r="H270" s="167" t="s">
        <v>99</v>
      </c>
    </row>
    <row r="271" spans="2:10" ht="15.75" x14ac:dyDescent="0.2">
      <c r="B271" s="358" t="s">
        <v>187</v>
      </c>
      <c r="C271" s="359"/>
      <c r="D271" s="359"/>
      <c r="E271" s="360"/>
      <c r="F271" s="164">
        <v>1680017.88</v>
      </c>
      <c r="G271" s="164">
        <v>1322210.27</v>
      </c>
      <c r="H271" s="168">
        <f t="shared" ref="H271" si="25">G271/F271</f>
        <v>0.78702154646116029</v>
      </c>
    </row>
    <row r="272" spans="2:10" ht="15.75" x14ac:dyDescent="0.2">
      <c r="B272" s="361" t="s">
        <v>188</v>
      </c>
      <c r="C272" s="362"/>
      <c r="D272" s="362"/>
      <c r="E272" s="363"/>
      <c r="F272" s="165">
        <v>3534101.41</v>
      </c>
      <c r="G272" s="165">
        <v>3716061.64</v>
      </c>
      <c r="H272" s="169">
        <f t="shared" ref="H272:H279" si="26">G272/F272</f>
        <v>1.0514869860511444</v>
      </c>
    </row>
    <row r="273" spans="2:9" ht="15.75" x14ac:dyDescent="0.2">
      <c r="B273" s="361" t="str">
        <f>B260</f>
        <v>1008 - PDDE - PROG. DINHEIRO DIRETO NA ESCOLA</v>
      </c>
      <c r="C273" s="362"/>
      <c r="D273" s="362"/>
      <c r="E273" s="363"/>
      <c r="F273" s="165">
        <v>1521.25</v>
      </c>
      <c r="G273" s="165">
        <v>1637.07</v>
      </c>
      <c r="H273" s="169">
        <v>0</v>
      </c>
    </row>
    <row r="274" spans="2:9" ht="15.75" x14ac:dyDescent="0.2">
      <c r="B274" s="361" t="str">
        <f t="shared" ref="B274:B278" si="27">B261</f>
        <v>1009 - P.N.A.E. - PROG. NAC. DE ALIM. ESCOLAR</v>
      </c>
      <c r="C274" s="362"/>
      <c r="D274" s="362"/>
      <c r="E274" s="363"/>
      <c r="F274" s="165">
        <v>57118.58</v>
      </c>
      <c r="G274" s="165">
        <v>59304.41</v>
      </c>
      <c r="H274" s="169">
        <f t="shared" si="26"/>
        <v>1.0382682832801515</v>
      </c>
    </row>
    <row r="275" spans="2:9" ht="15.75" x14ac:dyDescent="0.2">
      <c r="B275" s="361" t="str">
        <f t="shared" si="27"/>
        <v>1011 - Q.S.E. - QUOTA SALÁRIO EDUCAÇÃO</v>
      </c>
      <c r="C275" s="362"/>
      <c r="D275" s="362"/>
      <c r="E275" s="363"/>
      <c r="F275" s="165">
        <v>279670.3</v>
      </c>
      <c r="G275" s="165">
        <v>277757.71999999997</v>
      </c>
      <c r="H275" s="169">
        <f t="shared" si="26"/>
        <v>0.99316130457899887</v>
      </c>
    </row>
    <row r="276" spans="2:9" ht="15.75" x14ac:dyDescent="0.2">
      <c r="B276" s="361" t="str">
        <f t="shared" si="27"/>
        <v>1013 - PEATE/RS - PROG. EST. APOIO TRANSP. ESC.</v>
      </c>
      <c r="C276" s="362"/>
      <c r="D276" s="362"/>
      <c r="E276" s="363"/>
      <c r="F276" s="165">
        <v>442567.37</v>
      </c>
      <c r="G276" s="165">
        <v>767366.1</v>
      </c>
      <c r="H276" s="169">
        <f t="shared" si="26"/>
        <v>1.7338966946433489</v>
      </c>
    </row>
    <row r="277" spans="2:9" ht="15.75" x14ac:dyDescent="0.2">
      <c r="B277" s="361" t="str">
        <f t="shared" si="27"/>
        <v>1049 - P.N.A.T.E.- PROG. NAC. APOIO TRANSP. ESC</v>
      </c>
      <c r="C277" s="362"/>
      <c r="D277" s="362"/>
      <c r="E277" s="363"/>
      <c r="F277" s="165">
        <v>179470.29</v>
      </c>
      <c r="G277" s="165">
        <v>125414.9</v>
      </c>
      <c r="H277" s="169">
        <f t="shared" si="26"/>
        <v>0.69880591378104973</v>
      </c>
    </row>
    <row r="278" spans="2:9" ht="16.5" thickBot="1" x14ac:dyDescent="0.25">
      <c r="B278" s="464" t="str">
        <f t="shared" si="27"/>
        <v>1172 - TRANSFERENCIAS MP 815/2017</v>
      </c>
      <c r="C278" s="465"/>
      <c r="D278" s="465"/>
      <c r="E278" s="466"/>
      <c r="F278" s="166">
        <v>21278.14</v>
      </c>
      <c r="G278" s="166">
        <v>26.67</v>
      </c>
      <c r="H278" s="170">
        <v>0</v>
      </c>
    </row>
    <row r="279" spans="2:9" ht="16.5" thickBot="1" x14ac:dyDescent="0.3">
      <c r="B279" s="355" t="s">
        <v>100</v>
      </c>
      <c r="C279" s="356"/>
      <c r="D279" s="356"/>
      <c r="E279" s="357"/>
      <c r="F279" s="173">
        <f>SUM(F271:F278)</f>
        <v>6195745.2199999997</v>
      </c>
      <c r="G279" s="173">
        <f>SUM(G271:G278)</f>
        <v>6269778.7800000003</v>
      </c>
      <c r="H279" s="171">
        <f t="shared" si="26"/>
        <v>1.0119490968997593</v>
      </c>
    </row>
    <row r="281" spans="2:9" ht="36" customHeight="1" x14ac:dyDescent="0.25">
      <c r="B281" s="316" t="s">
        <v>189</v>
      </c>
      <c r="C281" s="316"/>
      <c r="D281" s="316"/>
      <c r="E281" s="316"/>
      <c r="F281" s="316"/>
      <c r="G281" s="316"/>
      <c r="H281" s="316"/>
      <c r="I281" s="316"/>
    </row>
    <row r="282" spans="2:9" ht="24" customHeight="1" x14ac:dyDescent="0.25">
      <c r="B282" s="115"/>
      <c r="C282" s="115"/>
      <c r="D282" s="115"/>
      <c r="E282" s="115"/>
      <c r="F282" s="115"/>
      <c r="G282" s="115"/>
      <c r="H282" s="115"/>
      <c r="I282" s="115"/>
    </row>
    <row r="283" spans="2:9" ht="18.75" customHeight="1" thickBot="1" x14ac:dyDescent="0.3">
      <c r="B283" s="472" t="s">
        <v>192</v>
      </c>
      <c r="C283" s="472"/>
      <c r="D283" s="472"/>
      <c r="E283" s="472"/>
      <c r="F283" s="472"/>
      <c r="G283" s="472"/>
      <c r="H283" s="473"/>
      <c r="I283" s="115"/>
    </row>
    <row r="284" spans="2:9" ht="18.75" customHeight="1" x14ac:dyDescent="0.25">
      <c r="B284" s="474" t="s">
        <v>194</v>
      </c>
      <c r="C284" s="475"/>
      <c r="D284" s="475"/>
      <c r="E284" s="475"/>
      <c r="F284" s="476">
        <v>12811037.6</v>
      </c>
      <c r="G284" s="477"/>
      <c r="H284" s="179"/>
      <c r="I284" s="115"/>
    </row>
    <row r="285" spans="2:9" ht="18.75" customHeight="1" x14ac:dyDescent="0.25">
      <c r="B285" s="481" t="s">
        <v>235</v>
      </c>
      <c r="C285" s="482"/>
      <c r="D285" s="482"/>
      <c r="E285" s="483"/>
      <c r="F285" s="484">
        <f>F284*20%</f>
        <v>2562207.52</v>
      </c>
      <c r="G285" s="485"/>
      <c r="H285" s="180"/>
      <c r="I285" s="151"/>
    </row>
    <row r="286" spans="2:9" ht="15.75" x14ac:dyDescent="0.25">
      <c r="B286" s="393" t="s">
        <v>193</v>
      </c>
      <c r="C286" s="394"/>
      <c r="D286" s="394"/>
      <c r="E286" s="394"/>
      <c r="F286" s="467">
        <f>SUM(F287:G294)</f>
        <v>3971287.3800000004</v>
      </c>
      <c r="G286" s="410"/>
    </row>
    <row r="287" spans="2:9" x14ac:dyDescent="0.2">
      <c r="B287" s="128" t="s">
        <v>175</v>
      </c>
      <c r="C287" s="129"/>
      <c r="D287" s="130"/>
      <c r="E287" s="132"/>
      <c r="F287" s="273">
        <v>665113.59999999998</v>
      </c>
      <c r="G287" s="274"/>
    </row>
    <row r="288" spans="2:9" x14ac:dyDescent="0.2">
      <c r="B288" s="478" t="s">
        <v>232</v>
      </c>
      <c r="C288" s="479"/>
      <c r="D288" s="479"/>
      <c r="E288" s="480"/>
      <c r="F288" s="273">
        <v>11392.6</v>
      </c>
      <c r="G288" s="274"/>
    </row>
    <row r="289" spans="2:7" x14ac:dyDescent="0.2">
      <c r="B289" s="280" t="s">
        <v>233</v>
      </c>
      <c r="C289" s="281"/>
      <c r="D289" s="281"/>
      <c r="E289" s="282"/>
      <c r="F289" s="273">
        <v>4236</v>
      </c>
      <c r="G289" s="274"/>
    </row>
    <row r="290" spans="2:7" ht="15.75" x14ac:dyDescent="0.2">
      <c r="B290" s="283" t="s">
        <v>176</v>
      </c>
      <c r="C290" s="284"/>
      <c r="D290" s="284"/>
      <c r="E290" s="285"/>
      <c r="F290" s="273">
        <v>2392122.79</v>
      </c>
      <c r="G290" s="274"/>
    </row>
    <row r="291" spans="2:7" ht="15.75" x14ac:dyDescent="0.2">
      <c r="B291" s="265" t="s">
        <v>177</v>
      </c>
      <c r="C291" s="266"/>
      <c r="D291" s="266"/>
      <c r="E291" s="266"/>
      <c r="F291" s="273">
        <v>650935.25</v>
      </c>
      <c r="G291" s="274"/>
    </row>
    <row r="292" spans="2:7" ht="15.75" x14ac:dyDescent="0.2">
      <c r="B292" s="265" t="s">
        <v>179</v>
      </c>
      <c r="C292" s="266"/>
      <c r="D292" s="266"/>
      <c r="E292" s="266"/>
      <c r="F292" s="273">
        <v>148880.65</v>
      </c>
      <c r="G292" s="274"/>
    </row>
    <row r="293" spans="2:7" ht="15.75" x14ac:dyDescent="0.2">
      <c r="B293" s="265" t="s">
        <v>180</v>
      </c>
      <c r="C293" s="266"/>
      <c r="D293" s="266"/>
      <c r="E293" s="266"/>
      <c r="F293" s="273">
        <v>84604.83</v>
      </c>
      <c r="G293" s="274"/>
    </row>
    <row r="294" spans="2:7" ht="15.75" x14ac:dyDescent="0.2">
      <c r="B294" s="265" t="s">
        <v>178</v>
      </c>
      <c r="C294" s="266"/>
      <c r="D294" s="266"/>
      <c r="E294" s="266"/>
      <c r="F294" s="273">
        <v>14001.66</v>
      </c>
      <c r="G294" s="274"/>
    </row>
    <row r="295" spans="2:7" ht="15.75" customHeight="1" x14ac:dyDescent="0.2">
      <c r="B295" s="269" t="s">
        <v>195</v>
      </c>
      <c r="C295" s="270"/>
      <c r="D295" s="270"/>
      <c r="E295" s="270"/>
      <c r="F295" s="275">
        <f>F296+F297</f>
        <v>1153854.3299999998</v>
      </c>
      <c r="G295" s="276"/>
    </row>
    <row r="296" spans="2:7" ht="18" customHeight="1" x14ac:dyDescent="0.2">
      <c r="B296" s="265" t="s">
        <v>190</v>
      </c>
      <c r="C296" s="266"/>
      <c r="D296" s="266"/>
      <c r="E296" s="266"/>
      <c r="F296" s="277">
        <v>1138395.8799999999</v>
      </c>
      <c r="G296" s="278"/>
    </row>
    <row r="297" spans="2:7" ht="18" customHeight="1" x14ac:dyDescent="0.2">
      <c r="B297" s="265" t="s">
        <v>191</v>
      </c>
      <c r="C297" s="266"/>
      <c r="D297" s="266"/>
      <c r="E297" s="266"/>
      <c r="F297" s="277">
        <v>15458.45</v>
      </c>
      <c r="G297" s="278"/>
    </row>
    <row r="298" spans="2:7" ht="18" customHeight="1" x14ac:dyDescent="0.25">
      <c r="B298" s="269" t="s">
        <v>196</v>
      </c>
      <c r="C298" s="270"/>
      <c r="D298" s="270"/>
      <c r="E298" s="270"/>
      <c r="F298" s="271">
        <f>F286-F295</f>
        <v>2817433.0500000007</v>
      </c>
      <c r="G298" s="272"/>
    </row>
    <row r="299" spans="2:7" ht="18" customHeight="1" thickBot="1" x14ac:dyDescent="0.3">
      <c r="B299" s="468" t="s">
        <v>197</v>
      </c>
      <c r="C299" s="469"/>
      <c r="D299" s="469"/>
      <c r="E299" s="469"/>
      <c r="F299" s="236">
        <f>(F298/F284)</f>
        <v>0.219922315269764</v>
      </c>
      <c r="G299" s="237"/>
    </row>
    <row r="300" spans="2:7" ht="18" customHeight="1" thickBot="1" x14ac:dyDescent="0.3">
      <c r="B300" s="133"/>
      <c r="C300" s="133"/>
      <c r="D300" s="133"/>
      <c r="E300" s="133"/>
      <c r="F300" s="134"/>
      <c r="G300" s="134"/>
    </row>
    <row r="301" spans="2:7" ht="18" customHeight="1" x14ac:dyDescent="0.2">
      <c r="B301" s="261" t="s">
        <v>198</v>
      </c>
      <c r="C301" s="262"/>
      <c r="D301" s="262"/>
      <c r="E301" s="262"/>
      <c r="F301" s="262"/>
      <c r="G301" s="279"/>
    </row>
    <row r="302" spans="2:7" ht="18" customHeight="1" x14ac:dyDescent="0.25">
      <c r="B302" s="269" t="s">
        <v>199</v>
      </c>
      <c r="C302" s="270"/>
      <c r="D302" s="270"/>
      <c r="E302" s="270"/>
      <c r="F302" s="271">
        <f>F304+F303</f>
        <v>3716060.8200000003</v>
      </c>
      <c r="G302" s="272"/>
    </row>
    <row r="303" spans="2:7" ht="18" customHeight="1" x14ac:dyDescent="0.2">
      <c r="B303" s="265" t="s">
        <v>214</v>
      </c>
      <c r="C303" s="266"/>
      <c r="D303" s="266"/>
      <c r="E303" s="266"/>
      <c r="F303" s="267">
        <v>15458.45</v>
      </c>
      <c r="G303" s="268"/>
    </row>
    <row r="304" spans="2:7" ht="18" customHeight="1" x14ac:dyDescent="0.2">
      <c r="B304" s="265" t="s">
        <v>215</v>
      </c>
      <c r="C304" s="266"/>
      <c r="D304" s="266"/>
      <c r="E304" s="266"/>
      <c r="F304" s="267">
        <v>3700602.37</v>
      </c>
      <c r="G304" s="268"/>
    </row>
    <row r="305" spans="2:9" ht="18" customHeight="1" thickBot="1" x14ac:dyDescent="0.25">
      <c r="B305" s="468" t="s">
        <v>200</v>
      </c>
      <c r="C305" s="469"/>
      <c r="D305" s="469"/>
      <c r="E305" s="469"/>
      <c r="F305" s="470">
        <f>F302*60%</f>
        <v>2229636.4920000001</v>
      </c>
      <c r="G305" s="471"/>
    </row>
    <row r="306" spans="2:9" ht="18" customHeight="1" thickBot="1" x14ac:dyDescent="0.25">
      <c r="B306" s="135"/>
      <c r="C306" s="135"/>
      <c r="D306" s="135"/>
      <c r="E306" s="135"/>
      <c r="F306" s="136"/>
      <c r="G306" s="136"/>
    </row>
    <row r="307" spans="2:9" ht="18" customHeight="1" x14ac:dyDescent="0.2">
      <c r="B307" s="261" t="s">
        <v>267</v>
      </c>
      <c r="C307" s="262"/>
      <c r="D307" s="262"/>
      <c r="E307" s="262"/>
      <c r="F307" s="263">
        <f>SUM(F308:G311)</f>
        <v>2509476.17</v>
      </c>
      <c r="G307" s="264"/>
    </row>
    <row r="308" spans="2:9" ht="18" customHeight="1" x14ac:dyDescent="0.2">
      <c r="B308" s="265" t="s">
        <v>176</v>
      </c>
      <c r="C308" s="266"/>
      <c r="D308" s="266"/>
      <c r="E308" s="266"/>
      <c r="F308" s="267">
        <v>1828713.55</v>
      </c>
      <c r="G308" s="268"/>
    </row>
    <row r="309" spans="2:9" ht="18" customHeight="1" x14ac:dyDescent="0.2">
      <c r="B309" s="265" t="str">
        <f>B291</f>
        <v>Educação Infantil</v>
      </c>
      <c r="C309" s="266"/>
      <c r="D309" s="266"/>
      <c r="E309" s="266"/>
      <c r="F309" s="267">
        <v>477935.14</v>
      </c>
      <c r="G309" s="268"/>
    </row>
    <row r="310" spans="2:9" ht="18" customHeight="1" x14ac:dyDescent="0.2">
      <c r="B310" s="265" t="str">
        <f>B292</f>
        <v>Educação de Jovens e Adultos</v>
      </c>
      <c r="C310" s="266"/>
      <c r="D310" s="266"/>
      <c r="E310" s="266"/>
      <c r="F310" s="267">
        <v>135820</v>
      </c>
      <c r="G310" s="268"/>
    </row>
    <row r="311" spans="2:9" ht="15.75" x14ac:dyDescent="0.2">
      <c r="B311" s="265" t="str">
        <f>B293</f>
        <v>Educação Especial</v>
      </c>
      <c r="C311" s="266"/>
      <c r="D311" s="266"/>
      <c r="E311" s="266"/>
      <c r="F311" s="267">
        <v>67007.48</v>
      </c>
      <c r="G311" s="268"/>
    </row>
    <row r="312" spans="2:9" ht="16.5" thickBot="1" x14ac:dyDescent="0.3">
      <c r="B312" s="234" t="s">
        <v>201</v>
      </c>
      <c r="C312" s="235"/>
      <c r="D312" s="235"/>
      <c r="E312" s="235"/>
      <c r="F312" s="236">
        <f>F307/F302</f>
        <v>0.67530546230403188</v>
      </c>
      <c r="G312" s="237"/>
    </row>
    <row r="313" spans="2:9" ht="15.75" x14ac:dyDescent="0.25">
      <c r="B313" s="137"/>
      <c r="C313" s="137"/>
      <c r="D313" s="137"/>
      <c r="E313" s="137"/>
      <c r="F313" s="139"/>
      <c r="G313" s="139"/>
    </row>
    <row r="314" spans="2:9" ht="15.75" x14ac:dyDescent="0.25">
      <c r="B314" s="260" t="s">
        <v>216</v>
      </c>
      <c r="C314" s="260"/>
      <c r="D314" s="260"/>
      <c r="E314" s="260"/>
      <c r="F314" s="260"/>
      <c r="G314" s="260"/>
      <c r="H314" s="260"/>
      <c r="I314" s="140"/>
    </row>
    <row r="315" spans="2:9" ht="15.75" x14ac:dyDescent="0.25">
      <c r="B315" s="138"/>
      <c r="C315" s="138"/>
      <c r="D315" s="138"/>
      <c r="E315" s="138"/>
      <c r="F315" s="138"/>
      <c r="G315" s="138"/>
      <c r="H315" s="138"/>
      <c r="I315" s="140"/>
    </row>
    <row r="316" spans="2:9" ht="15.75" x14ac:dyDescent="0.25">
      <c r="B316" s="207" t="s">
        <v>217</v>
      </c>
      <c r="C316" s="208"/>
      <c r="D316" s="208"/>
      <c r="E316" s="208"/>
      <c r="F316" s="208"/>
      <c r="G316" s="208"/>
      <c r="H316" s="209"/>
      <c r="I316" s="140"/>
    </row>
    <row r="317" spans="2:9" ht="18" customHeight="1" x14ac:dyDescent="0.25">
      <c r="B317" s="214" t="s">
        <v>236</v>
      </c>
      <c r="C317" s="215"/>
      <c r="D317" s="215"/>
      <c r="E317" s="215"/>
      <c r="F317" s="215"/>
      <c r="G317" s="216">
        <v>15953.66</v>
      </c>
      <c r="H317" s="217"/>
      <c r="I317" s="7"/>
    </row>
    <row r="318" spans="2:9" ht="15.75" x14ac:dyDescent="0.25">
      <c r="B318" s="218" t="s">
        <v>237</v>
      </c>
      <c r="C318" s="219"/>
      <c r="D318" s="219"/>
      <c r="E318" s="219"/>
      <c r="F318" s="219"/>
      <c r="G318" s="216">
        <v>1151172.48</v>
      </c>
      <c r="H318" s="217"/>
      <c r="I318" s="7"/>
    </row>
    <row r="319" spans="2:9" ht="15.75" x14ac:dyDescent="0.25">
      <c r="B319" s="220" t="s">
        <v>218</v>
      </c>
      <c r="C319" s="221"/>
      <c r="D319" s="221"/>
      <c r="E319" s="221"/>
      <c r="F319" s="221"/>
      <c r="G319" s="222">
        <f t="shared" ref="G319" si="28">SUM(G317:H318)</f>
        <v>1167126.1399999999</v>
      </c>
      <c r="H319" s="223"/>
      <c r="I319" s="7"/>
    </row>
    <row r="320" spans="2:9" ht="15.75" x14ac:dyDescent="0.25">
      <c r="B320" s="226" t="s">
        <v>219</v>
      </c>
      <c r="C320" s="227"/>
      <c r="D320" s="227"/>
      <c r="E320" s="227"/>
      <c r="F320" s="227"/>
      <c r="G320" s="228">
        <f>G319*5%</f>
        <v>58356.307000000001</v>
      </c>
      <c r="H320" s="229"/>
      <c r="I320" s="7"/>
    </row>
    <row r="321" spans="2:9" ht="15.75" x14ac:dyDescent="0.25">
      <c r="B321" s="142"/>
      <c r="C321" s="143"/>
      <c r="D321" s="142"/>
      <c r="E321" s="143"/>
      <c r="F321" s="144"/>
      <c r="G321" s="145"/>
      <c r="H321" s="146"/>
    </row>
    <row r="322" spans="2:9" ht="38.25" customHeight="1" x14ac:dyDescent="0.2">
      <c r="B322" s="210" t="s">
        <v>238</v>
      </c>
      <c r="C322" s="211"/>
      <c r="D322" s="211"/>
      <c r="E322" s="211"/>
      <c r="F322" s="211"/>
      <c r="G322" s="212">
        <v>94825.9</v>
      </c>
      <c r="H322" s="213"/>
    </row>
    <row r="323" spans="2:9" ht="15.75" x14ac:dyDescent="0.25">
      <c r="B323" s="137"/>
      <c r="C323" s="137"/>
      <c r="D323" s="137"/>
      <c r="E323" s="137"/>
      <c r="F323" s="139"/>
      <c r="G323" s="141"/>
    </row>
    <row r="325" spans="2:9" ht="15.75" x14ac:dyDescent="0.25">
      <c r="B325" s="113"/>
      <c r="C325" s="113"/>
      <c r="D325" s="113"/>
      <c r="E325" s="114"/>
      <c r="G325"/>
    </row>
    <row r="326" spans="2:9" ht="18" x14ac:dyDescent="0.25">
      <c r="B326" s="25" t="s">
        <v>130</v>
      </c>
    </row>
    <row r="328" spans="2:9" ht="34.5" customHeight="1" x14ac:dyDescent="0.2">
      <c r="B328" s="338" t="s">
        <v>239</v>
      </c>
      <c r="C328" s="338"/>
      <c r="D328" s="338"/>
      <c r="E328" s="338"/>
      <c r="F328" s="338"/>
      <c r="G328" s="338"/>
      <c r="H328" s="338"/>
      <c r="I328" s="338"/>
    </row>
    <row r="330" spans="2:9" x14ac:dyDescent="0.2">
      <c r="B330" s="4" t="s">
        <v>262</v>
      </c>
    </row>
    <row r="332" spans="2:9" x14ac:dyDescent="0.2">
      <c r="B332" s="4" t="s">
        <v>263</v>
      </c>
    </row>
    <row r="334" spans="2:9" x14ac:dyDescent="0.2">
      <c r="B334" s="4" t="s">
        <v>264</v>
      </c>
    </row>
    <row r="337" spans="2:9" ht="15.75" x14ac:dyDescent="0.25">
      <c r="B337" s="442" t="s">
        <v>102</v>
      </c>
      <c r="C337" s="442"/>
      <c r="D337" s="442"/>
      <c r="E337" s="442"/>
      <c r="F337" s="442"/>
      <c r="G337" s="442"/>
      <c r="H337" s="442"/>
      <c r="I337" s="442"/>
    </row>
    <row r="339" spans="2:9" ht="72.75" customHeight="1" x14ac:dyDescent="0.2">
      <c r="B339" s="338" t="s">
        <v>240</v>
      </c>
      <c r="C339" s="338"/>
      <c r="D339" s="338"/>
      <c r="E339" s="338"/>
      <c r="F339" s="338"/>
      <c r="G339" s="338"/>
      <c r="H339" s="338"/>
      <c r="I339" s="338"/>
    </row>
    <row r="341" spans="2:9" ht="18" x14ac:dyDescent="0.25">
      <c r="B341" s="26" t="s">
        <v>131</v>
      </c>
    </row>
    <row r="343" spans="2:9" ht="15.75" x14ac:dyDescent="0.25">
      <c r="B343" s="24" t="s">
        <v>132</v>
      </c>
    </row>
    <row r="345" spans="2:9" ht="26.25" customHeight="1" thickBot="1" x14ac:dyDescent="0.25">
      <c r="B345" s="441" t="s">
        <v>153</v>
      </c>
      <c r="C345" s="441"/>
      <c r="D345" s="441"/>
      <c r="E345" s="441"/>
      <c r="F345" s="441"/>
      <c r="G345" s="441"/>
    </row>
    <row r="346" spans="2:9" ht="15.75" customHeight="1" x14ac:dyDescent="0.2">
      <c r="B346" s="443" t="s">
        <v>137</v>
      </c>
      <c r="C346" s="444"/>
      <c r="D346" s="444"/>
      <c r="E346" s="444"/>
      <c r="F346" s="447" t="s">
        <v>98</v>
      </c>
      <c r="G346" s="448"/>
    </row>
    <row r="347" spans="2:9" ht="15.75" customHeight="1" x14ac:dyDescent="0.2">
      <c r="B347" s="445"/>
      <c r="C347" s="446"/>
      <c r="D347" s="446"/>
      <c r="E347" s="446"/>
      <c r="F347" s="347" t="s">
        <v>154</v>
      </c>
      <c r="G347" s="348"/>
    </row>
    <row r="348" spans="2:9" ht="15.75" customHeight="1" x14ac:dyDescent="0.2">
      <c r="B348" s="252" t="s">
        <v>149</v>
      </c>
      <c r="C348" s="253"/>
      <c r="D348" s="253"/>
      <c r="E348" s="253"/>
      <c r="F348" s="449">
        <f>F350</f>
        <v>2125394.142</v>
      </c>
      <c r="G348" s="450"/>
    </row>
    <row r="349" spans="2:9" ht="15.75" customHeight="1" x14ac:dyDescent="0.2">
      <c r="B349" s="252" t="s">
        <v>139</v>
      </c>
      <c r="C349" s="253"/>
      <c r="D349" s="253"/>
      <c r="E349" s="253"/>
      <c r="F349" s="449">
        <v>14169294.279999999</v>
      </c>
      <c r="G349" s="450"/>
    </row>
    <row r="350" spans="2:9" ht="15.75" customHeight="1" x14ac:dyDescent="0.2">
      <c r="B350" s="451" t="s">
        <v>150</v>
      </c>
      <c r="C350" s="452"/>
      <c r="D350" s="452"/>
      <c r="E350" s="452"/>
      <c r="F350" s="453">
        <f>F349*15%</f>
        <v>2125394.142</v>
      </c>
      <c r="G350" s="454"/>
    </row>
    <row r="351" spans="2:9" ht="15.75" customHeight="1" x14ac:dyDescent="0.2">
      <c r="B351" s="238" t="s">
        <v>202</v>
      </c>
      <c r="C351" s="239"/>
      <c r="D351" s="239"/>
      <c r="E351" s="240"/>
      <c r="F351" s="246">
        <f>SUM(F352:G353)-F354</f>
        <v>3619955.1</v>
      </c>
      <c r="G351" s="247"/>
    </row>
    <row r="352" spans="2:9" ht="15.75" customHeight="1" x14ac:dyDescent="0.2">
      <c r="B352" s="241" t="s">
        <v>203</v>
      </c>
      <c r="C352" s="242"/>
      <c r="D352" s="242"/>
      <c r="E352" s="243"/>
      <c r="F352" s="244">
        <v>103497.7</v>
      </c>
      <c r="G352" s="245"/>
    </row>
    <row r="353" spans="2:7" ht="15.75" customHeight="1" x14ac:dyDescent="0.2">
      <c r="B353" s="241" t="s">
        <v>204</v>
      </c>
      <c r="C353" s="242"/>
      <c r="D353" s="242"/>
      <c r="E353" s="243"/>
      <c r="F353" s="244">
        <v>3518735.04</v>
      </c>
      <c r="G353" s="245"/>
    </row>
    <row r="354" spans="2:7" ht="15.75" customHeight="1" x14ac:dyDescent="0.2">
      <c r="B354" s="241" t="s">
        <v>205</v>
      </c>
      <c r="C354" s="242"/>
      <c r="D354" s="242"/>
      <c r="E354" s="243"/>
      <c r="F354" s="244">
        <v>2277.64</v>
      </c>
      <c r="G354" s="245"/>
    </row>
    <row r="355" spans="2:7" ht="15.75" customHeight="1" x14ac:dyDescent="0.2">
      <c r="B355" s="445" t="s">
        <v>151</v>
      </c>
      <c r="C355" s="446"/>
      <c r="D355" s="446"/>
      <c r="E355" s="446"/>
      <c r="F355" s="347" t="s">
        <v>142</v>
      </c>
      <c r="G355" s="348"/>
    </row>
    <row r="356" spans="2:7" ht="15.75" customHeight="1" x14ac:dyDescent="0.2">
      <c r="B356" s="445"/>
      <c r="C356" s="446"/>
      <c r="D356" s="446"/>
      <c r="E356" s="446"/>
      <c r="F356" s="347" t="s">
        <v>154</v>
      </c>
      <c r="G356" s="348"/>
    </row>
    <row r="357" spans="2:7" ht="15.75" customHeight="1" x14ac:dyDescent="0.2">
      <c r="B357" s="455" t="s">
        <v>152</v>
      </c>
      <c r="C357" s="456"/>
      <c r="D357" s="456"/>
      <c r="E357" s="456"/>
      <c r="F357" s="457">
        <f>SUM(F358:G365)-F366</f>
        <v>3718461.8899999997</v>
      </c>
      <c r="G357" s="458"/>
    </row>
    <row r="358" spans="2:7" ht="15.75" customHeight="1" x14ac:dyDescent="0.2">
      <c r="B358" s="257" t="s">
        <v>242</v>
      </c>
      <c r="C358" s="258"/>
      <c r="D358" s="258"/>
      <c r="E358" s="259"/>
      <c r="F358" s="230">
        <v>-16320</v>
      </c>
      <c r="G358" s="231"/>
    </row>
    <row r="359" spans="2:7" ht="15.75" customHeight="1" x14ac:dyDescent="0.2">
      <c r="B359" s="152" t="s">
        <v>241</v>
      </c>
      <c r="C359" s="153"/>
      <c r="D359" s="153"/>
      <c r="E359" s="154"/>
      <c r="F359" s="230">
        <v>306405.75</v>
      </c>
      <c r="G359" s="231"/>
    </row>
    <row r="360" spans="2:7" ht="15.75" customHeight="1" x14ac:dyDescent="0.2">
      <c r="B360" s="257" t="s">
        <v>206</v>
      </c>
      <c r="C360" s="258"/>
      <c r="D360" s="258"/>
      <c r="E360" s="259"/>
      <c r="F360" s="230">
        <v>2699581.81</v>
      </c>
      <c r="G360" s="231"/>
    </row>
    <row r="361" spans="2:7" ht="15.75" customHeight="1" x14ac:dyDescent="0.2">
      <c r="B361" s="478" t="s">
        <v>232</v>
      </c>
      <c r="C361" s="479"/>
      <c r="D361" s="479"/>
      <c r="E361" s="480"/>
      <c r="F361" s="230">
        <v>9613.2099999999991</v>
      </c>
      <c r="G361" s="231"/>
    </row>
    <row r="362" spans="2:7" ht="15.75" customHeight="1" x14ac:dyDescent="0.2">
      <c r="B362" s="280" t="s">
        <v>233</v>
      </c>
      <c r="C362" s="281"/>
      <c r="D362" s="281"/>
      <c r="E362" s="282"/>
      <c r="F362" s="230">
        <v>3901.55</v>
      </c>
      <c r="G362" s="231"/>
    </row>
    <row r="363" spans="2:7" ht="15.75" customHeight="1" x14ac:dyDescent="0.2">
      <c r="B363" s="257" t="s">
        <v>207</v>
      </c>
      <c r="C363" s="258"/>
      <c r="D363" s="258"/>
      <c r="E363" s="259"/>
      <c r="F363" s="230">
        <v>532461.09</v>
      </c>
      <c r="G363" s="231"/>
    </row>
    <row r="364" spans="2:7" ht="15.75" customHeight="1" x14ac:dyDescent="0.2">
      <c r="B364" s="257" t="s">
        <v>208</v>
      </c>
      <c r="C364" s="258"/>
      <c r="D364" s="258"/>
      <c r="E364" s="259"/>
      <c r="F364" s="230">
        <v>122052.36</v>
      </c>
      <c r="G364" s="231"/>
    </row>
    <row r="365" spans="2:7" ht="15.75" customHeight="1" x14ac:dyDescent="0.2">
      <c r="B365" s="257" t="s">
        <v>209</v>
      </c>
      <c r="C365" s="258"/>
      <c r="D365" s="258"/>
      <c r="E365" s="259"/>
      <c r="F365" s="230">
        <v>62673.56</v>
      </c>
      <c r="G365" s="231"/>
    </row>
    <row r="366" spans="2:7" ht="15.75" customHeight="1" x14ac:dyDescent="0.2">
      <c r="B366" s="252" t="s">
        <v>103</v>
      </c>
      <c r="C366" s="253"/>
      <c r="D366" s="253"/>
      <c r="E366" s="253"/>
      <c r="F366" s="255">
        <v>1907.44</v>
      </c>
      <c r="G366" s="256"/>
    </row>
    <row r="367" spans="2:7" ht="15.75" customHeight="1" x14ac:dyDescent="0.2">
      <c r="B367" s="445" t="s">
        <v>147</v>
      </c>
      <c r="C367" s="446"/>
      <c r="D367" s="446"/>
      <c r="E367" s="446"/>
      <c r="F367" s="347" t="s">
        <v>154</v>
      </c>
      <c r="G367" s="348"/>
    </row>
    <row r="368" spans="2:7" ht="15.75" thickBot="1" x14ac:dyDescent="0.25">
      <c r="B368" s="459"/>
      <c r="C368" s="460"/>
      <c r="D368" s="460"/>
      <c r="E368" s="460"/>
      <c r="F368" s="462">
        <f>F357/F349</f>
        <v>0.26243098749445976</v>
      </c>
      <c r="G368" s="463"/>
    </row>
    <row r="369" spans="2:10" ht="36" customHeight="1" x14ac:dyDescent="0.2">
      <c r="B369" s="338" t="s">
        <v>155</v>
      </c>
      <c r="C369" s="338"/>
      <c r="D369" s="338"/>
      <c r="E369" s="338"/>
      <c r="F369" s="338"/>
      <c r="G369" s="338"/>
      <c r="H369" s="338"/>
      <c r="I369" s="338"/>
    </row>
    <row r="371" spans="2:10" x14ac:dyDescent="0.2">
      <c r="B371" s="254" t="s">
        <v>104</v>
      </c>
      <c r="C371" s="254"/>
      <c r="D371" s="254"/>
      <c r="E371" s="254"/>
      <c r="F371" s="254"/>
      <c r="G371" s="254"/>
      <c r="H371" s="254"/>
    </row>
    <row r="372" spans="2:10" ht="15.75" thickBot="1" x14ac:dyDescent="0.25">
      <c r="B372" s="254" t="s">
        <v>257</v>
      </c>
      <c r="C372" s="254"/>
      <c r="D372" s="254"/>
      <c r="E372" s="254"/>
      <c r="F372" s="254"/>
      <c r="G372" s="254"/>
    </row>
    <row r="373" spans="2:10" ht="15.75" thickBot="1" x14ac:dyDescent="0.25">
      <c r="B373" s="430" t="s">
        <v>105</v>
      </c>
      <c r="C373" s="431"/>
      <c r="D373" s="431"/>
      <c r="E373" s="431"/>
      <c r="F373" s="431"/>
      <c r="G373" s="431"/>
      <c r="H373" s="432"/>
    </row>
    <row r="374" spans="2:10" ht="15" customHeight="1" x14ac:dyDescent="0.2">
      <c r="B374" s="248" t="s">
        <v>173</v>
      </c>
      <c r="C374" s="249"/>
      <c r="D374" s="249"/>
      <c r="E374" s="426" t="s">
        <v>101</v>
      </c>
      <c r="F374" s="427"/>
      <c r="G374" s="428" t="s">
        <v>125</v>
      </c>
      <c r="H374" s="429"/>
    </row>
    <row r="375" spans="2:10" ht="27.75" customHeight="1" thickBot="1" x14ac:dyDescent="0.25">
      <c r="B375" s="250"/>
      <c r="C375" s="251"/>
      <c r="D375" s="251"/>
      <c r="E375" s="204" t="s">
        <v>106</v>
      </c>
      <c r="F375" s="204" t="s">
        <v>107</v>
      </c>
      <c r="G375" s="205" t="s">
        <v>126</v>
      </c>
      <c r="H375" s="206" t="s">
        <v>127</v>
      </c>
    </row>
    <row r="376" spans="2:10" x14ac:dyDescent="0.2">
      <c r="B376" s="182">
        <v>40</v>
      </c>
      <c r="C376" s="232" t="s">
        <v>213</v>
      </c>
      <c r="D376" s="233"/>
      <c r="E376" s="189">
        <v>4480433.84</v>
      </c>
      <c r="F376" s="189">
        <v>3621862.54</v>
      </c>
      <c r="G376" s="190">
        <f>F376/E376</f>
        <v>0.80837317754032501</v>
      </c>
      <c r="H376" s="186">
        <f>F376/F$397</f>
        <v>0.82652917305954121</v>
      </c>
      <c r="J376" s="181"/>
    </row>
    <row r="377" spans="2:10" x14ac:dyDescent="0.2">
      <c r="B377" s="183">
        <v>4002</v>
      </c>
      <c r="C377" s="224" t="s">
        <v>243</v>
      </c>
      <c r="D377" s="225"/>
      <c r="E377" s="191">
        <v>241258</v>
      </c>
      <c r="F377" s="191">
        <v>43979.12</v>
      </c>
      <c r="G377" s="192">
        <f t="shared" ref="G377:G396" si="29">F377/E377</f>
        <v>0.18229082558920326</v>
      </c>
      <c r="H377" s="187">
        <f t="shared" ref="H377:H396" si="30">F377/F$397</f>
        <v>1.003627975497003E-2</v>
      </c>
      <c r="J377" s="181"/>
    </row>
    <row r="378" spans="2:10" x14ac:dyDescent="0.2">
      <c r="B378" s="184">
        <v>4011</v>
      </c>
      <c r="C378" s="224" t="s">
        <v>210</v>
      </c>
      <c r="D378" s="225"/>
      <c r="E378" s="191">
        <v>128726.06</v>
      </c>
      <c r="F378" s="191">
        <v>134061.9</v>
      </c>
      <c r="G378" s="192">
        <f t="shared" si="29"/>
        <v>1.041451124970344</v>
      </c>
      <c r="H378" s="187">
        <f t="shared" si="30"/>
        <v>3.0593671107625994E-2</v>
      </c>
      <c r="J378" s="181"/>
    </row>
    <row r="379" spans="2:10" x14ac:dyDescent="0.2">
      <c r="B379" s="184">
        <v>4050</v>
      </c>
      <c r="C379" s="224" t="s">
        <v>211</v>
      </c>
      <c r="D379" s="225"/>
      <c r="E379" s="191">
        <v>24375.27</v>
      </c>
      <c r="F379" s="191">
        <v>13770.63</v>
      </c>
      <c r="G379" s="192">
        <f t="shared" si="29"/>
        <v>0.56494266525047721</v>
      </c>
      <c r="H379" s="187">
        <f t="shared" si="30"/>
        <v>3.1425343454389932E-3</v>
      </c>
      <c r="J379" s="181"/>
    </row>
    <row r="380" spans="2:10" x14ac:dyDescent="0.2">
      <c r="B380" s="184">
        <v>4051</v>
      </c>
      <c r="C380" s="224" t="s">
        <v>159</v>
      </c>
      <c r="D380" s="225"/>
      <c r="E380" s="191">
        <v>17846.13</v>
      </c>
      <c r="F380" s="191">
        <v>13797.82</v>
      </c>
      <c r="G380" s="192">
        <f t="shared" si="29"/>
        <v>0.77315473999124729</v>
      </c>
      <c r="H380" s="187">
        <f t="shared" si="30"/>
        <v>3.1487392546444897E-3</v>
      </c>
      <c r="J380" s="181"/>
    </row>
    <row r="381" spans="2:10" x14ac:dyDescent="0.2">
      <c r="B381" s="184">
        <v>4070</v>
      </c>
      <c r="C381" s="224" t="s">
        <v>160</v>
      </c>
      <c r="D381" s="225"/>
      <c r="E381" s="191">
        <v>133011.44</v>
      </c>
      <c r="F381" s="191">
        <v>84954.43</v>
      </c>
      <c r="G381" s="192">
        <f t="shared" si="29"/>
        <v>0.63870017496239417</v>
      </c>
      <c r="H381" s="187">
        <f>F381/F$397</f>
        <v>1.9387073363542028E-2</v>
      </c>
      <c r="J381" s="181"/>
    </row>
    <row r="382" spans="2:10" x14ac:dyDescent="0.2">
      <c r="B382" s="184">
        <v>4090</v>
      </c>
      <c r="C382" s="224" t="s">
        <v>161</v>
      </c>
      <c r="D382" s="225"/>
      <c r="E382" s="191">
        <v>1449.94</v>
      </c>
      <c r="F382" s="191">
        <v>552.96</v>
      </c>
      <c r="G382" s="192">
        <f t="shared" si="29"/>
        <v>0.38136750486227017</v>
      </c>
      <c r="H382" s="187">
        <f t="shared" si="30"/>
        <v>1.2618854704933222E-4</v>
      </c>
      <c r="J382" s="181"/>
    </row>
    <row r="383" spans="2:10" x14ac:dyDescent="0.2">
      <c r="B383" s="184">
        <v>4190</v>
      </c>
      <c r="C383" s="224" t="s">
        <v>162</v>
      </c>
      <c r="D383" s="225"/>
      <c r="E383" s="191">
        <v>2.83</v>
      </c>
      <c r="F383" s="193" t="s">
        <v>244</v>
      </c>
      <c r="G383" s="192">
        <v>0</v>
      </c>
      <c r="H383" s="187">
        <v>0</v>
      </c>
      <c r="J383" s="181"/>
    </row>
    <row r="384" spans="2:10" x14ac:dyDescent="0.2">
      <c r="B384" s="184">
        <v>4230</v>
      </c>
      <c r="C384" s="224" t="s">
        <v>212</v>
      </c>
      <c r="D384" s="225"/>
      <c r="E384" s="191">
        <v>1970.83</v>
      </c>
      <c r="F384" s="193" t="s">
        <v>244</v>
      </c>
      <c r="G384" s="192">
        <v>0</v>
      </c>
      <c r="H384" s="187">
        <v>0</v>
      </c>
      <c r="J384" s="181"/>
    </row>
    <row r="385" spans="2:10" x14ac:dyDescent="0.2">
      <c r="B385" s="183">
        <v>4294</v>
      </c>
      <c r="C385" s="194" t="s">
        <v>245</v>
      </c>
      <c r="D385" s="198"/>
      <c r="E385" s="191">
        <v>2</v>
      </c>
      <c r="F385" s="191">
        <v>42.88</v>
      </c>
      <c r="G385" s="192">
        <f t="shared" si="29"/>
        <v>21.44</v>
      </c>
      <c r="H385" s="187">
        <f t="shared" si="30"/>
        <v>9.7854544586866425E-6</v>
      </c>
      <c r="J385" s="181"/>
    </row>
    <row r="386" spans="2:10" x14ac:dyDescent="0.2">
      <c r="B386" s="183">
        <v>4500</v>
      </c>
      <c r="C386" s="193" t="s">
        <v>246</v>
      </c>
      <c r="D386" s="198"/>
      <c r="E386" s="191">
        <v>246041.88</v>
      </c>
      <c r="F386" s="191">
        <v>296675.15000000002</v>
      </c>
      <c r="G386" s="192">
        <f t="shared" si="29"/>
        <v>1.2057912661047787</v>
      </c>
      <c r="H386" s="187">
        <f t="shared" si="30"/>
        <v>6.7702919061311304E-2</v>
      </c>
      <c r="J386" s="181"/>
    </row>
    <row r="387" spans="2:10" x14ac:dyDescent="0.2">
      <c r="B387" s="183">
        <v>4501</v>
      </c>
      <c r="C387" s="193" t="s">
        <v>247</v>
      </c>
      <c r="D387" s="198"/>
      <c r="E387" s="191">
        <v>1.05</v>
      </c>
      <c r="F387" s="193" t="s">
        <v>244</v>
      </c>
      <c r="G387" s="192">
        <v>0</v>
      </c>
      <c r="H387" s="187">
        <v>0</v>
      </c>
      <c r="J387" s="181"/>
    </row>
    <row r="388" spans="2:10" x14ac:dyDescent="0.2">
      <c r="B388" s="183">
        <v>4502</v>
      </c>
      <c r="C388" s="193" t="s">
        <v>248</v>
      </c>
      <c r="D388" s="198"/>
      <c r="E388" s="191">
        <v>40676.800000000003</v>
      </c>
      <c r="F388" s="191">
        <v>39358.239999999998</v>
      </c>
      <c r="G388" s="192">
        <f t="shared" si="29"/>
        <v>0.96758447075482823</v>
      </c>
      <c r="H388" s="187">
        <f t="shared" si="30"/>
        <v>8.9817692419323445E-3</v>
      </c>
      <c r="J388" s="181"/>
    </row>
    <row r="389" spans="2:10" x14ac:dyDescent="0.2">
      <c r="B389" s="183">
        <v>4503</v>
      </c>
      <c r="C389" s="193" t="s">
        <v>249</v>
      </c>
      <c r="D389" s="198"/>
      <c r="E389" s="191">
        <v>29957.56</v>
      </c>
      <c r="F389" s="191">
        <v>30118.240000000002</v>
      </c>
      <c r="G389" s="192">
        <f t="shared" si="29"/>
        <v>1.005363587688717</v>
      </c>
      <c r="H389" s="187">
        <f t="shared" si="30"/>
        <v>6.8731498576444583E-3</v>
      </c>
      <c r="J389" s="181"/>
    </row>
    <row r="390" spans="2:10" x14ac:dyDescent="0.2">
      <c r="B390" s="183">
        <v>4504</v>
      </c>
      <c r="C390" s="193" t="s">
        <v>250</v>
      </c>
      <c r="D390" s="198"/>
      <c r="E390" s="191">
        <v>1.05</v>
      </c>
      <c r="F390" s="193" t="s">
        <v>244</v>
      </c>
      <c r="G390" s="192">
        <v>0</v>
      </c>
      <c r="H390" s="187">
        <v>0</v>
      </c>
      <c r="J390" s="181"/>
    </row>
    <row r="391" spans="2:10" x14ac:dyDescent="0.2">
      <c r="B391" s="183">
        <v>4505</v>
      </c>
      <c r="C391" s="193" t="s">
        <v>251</v>
      </c>
      <c r="D391" s="198"/>
      <c r="E391" s="191">
        <v>1</v>
      </c>
      <c r="F391" s="191">
        <v>485.84</v>
      </c>
      <c r="G391" s="192">
        <f t="shared" si="29"/>
        <v>485.84</v>
      </c>
      <c r="H391" s="187">
        <f t="shared" si="30"/>
        <v>1.1087138979030591E-4</v>
      </c>
      <c r="J391" s="181"/>
    </row>
    <row r="392" spans="2:10" x14ac:dyDescent="0.2">
      <c r="B392" s="184">
        <v>4506</v>
      </c>
      <c r="C392" s="193" t="s">
        <v>252</v>
      </c>
      <c r="D392" s="199"/>
      <c r="E392" s="191">
        <v>1</v>
      </c>
      <c r="F392" s="193" t="s">
        <v>244</v>
      </c>
      <c r="G392" s="192">
        <v>0</v>
      </c>
      <c r="H392" s="187">
        <v>0</v>
      </c>
      <c r="J392" s="181"/>
    </row>
    <row r="393" spans="2:10" x14ac:dyDescent="0.2">
      <c r="B393" s="184">
        <v>4507</v>
      </c>
      <c r="C393" s="193" t="s">
        <v>253</v>
      </c>
      <c r="D393" s="199"/>
      <c r="E393" s="191">
        <v>1</v>
      </c>
      <c r="F393" s="193" t="s">
        <v>244</v>
      </c>
      <c r="G393" s="192">
        <v>0</v>
      </c>
      <c r="H393" s="187">
        <v>0</v>
      </c>
      <c r="J393" s="181"/>
    </row>
    <row r="394" spans="2:10" x14ac:dyDescent="0.2">
      <c r="B394" s="184">
        <v>4508</v>
      </c>
      <c r="C394" s="193" t="s">
        <v>254</v>
      </c>
      <c r="D394" s="199"/>
      <c r="E394" s="191">
        <v>1</v>
      </c>
      <c r="F394" s="193" t="s">
        <v>244</v>
      </c>
      <c r="G394" s="192">
        <v>0</v>
      </c>
      <c r="H394" s="187">
        <v>0</v>
      </c>
      <c r="J394" s="181"/>
    </row>
    <row r="395" spans="2:10" x14ac:dyDescent="0.2">
      <c r="B395" s="184">
        <v>4509</v>
      </c>
      <c r="C395" s="193" t="s">
        <v>255</v>
      </c>
      <c r="D395" s="199"/>
      <c r="E395" s="191">
        <v>1</v>
      </c>
      <c r="F395" s="193" t="s">
        <v>244</v>
      </c>
      <c r="G395" s="192">
        <v>0</v>
      </c>
      <c r="H395" s="187">
        <v>0</v>
      </c>
      <c r="J395" s="181"/>
    </row>
    <row r="396" spans="2:10" ht="15.75" thickBot="1" x14ac:dyDescent="0.25">
      <c r="B396" s="185">
        <v>4512</v>
      </c>
      <c r="C396" s="195" t="s">
        <v>256</v>
      </c>
      <c r="D396" s="200"/>
      <c r="E396" s="196">
        <v>4</v>
      </c>
      <c r="F396" s="196">
        <v>102354.41</v>
      </c>
      <c r="G396" s="197">
        <f t="shared" si="29"/>
        <v>25588.602500000001</v>
      </c>
      <c r="H396" s="188">
        <f t="shared" si="30"/>
        <v>2.3357845562050852E-2</v>
      </c>
      <c r="J396" s="181"/>
    </row>
    <row r="397" spans="2:10" ht="15.75" thickBot="1" x14ac:dyDescent="0.25">
      <c r="B397" s="424" t="s">
        <v>108</v>
      </c>
      <c r="C397" s="425"/>
      <c r="D397" s="425"/>
      <c r="E397" s="202">
        <f>SUM(E376:E396)</f>
        <v>5345763.6799999988</v>
      </c>
      <c r="F397" s="202">
        <f>SUM(F376:F396)</f>
        <v>4382014.16</v>
      </c>
      <c r="G397" s="203">
        <f t="shared" ref="G397" si="31">F397/E397</f>
        <v>0.81971714843930421</v>
      </c>
      <c r="H397" s="201">
        <f>F397/F$397</f>
        <v>1</v>
      </c>
      <c r="J397" s="181"/>
    </row>
    <row r="398" spans="2:10" x14ac:dyDescent="0.2">
      <c r="E398" s="80"/>
      <c r="F398" s="80"/>
      <c r="J398" s="181"/>
    </row>
    <row r="399" spans="2:10" ht="65.25" customHeight="1" x14ac:dyDescent="0.2">
      <c r="B399" s="328" t="s">
        <v>258</v>
      </c>
      <c r="C399" s="328"/>
      <c r="D399" s="328"/>
      <c r="E399" s="328"/>
      <c r="F399" s="328"/>
      <c r="G399" s="328"/>
      <c r="H399" s="328"/>
      <c r="I399" s="328"/>
      <c r="J399" s="181"/>
    </row>
    <row r="400" spans="2:10" x14ac:dyDescent="0.2">
      <c r="J400" s="181"/>
    </row>
    <row r="401" spans="2:10" ht="15.75" x14ac:dyDescent="0.25">
      <c r="B401" s="24" t="s">
        <v>133</v>
      </c>
      <c r="J401" s="181"/>
    </row>
    <row r="402" spans="2:10" x14ac:dyDescent="0.2">
      <c r="J402" s="7"/>
    </row>
    <row r="403" spans="2:10" x14ac:dyDescent="0.2">
      <c r="B403" s="4" t="s">
        <v>265</v>
      </c>
      <c r="J403" s="7"/>
    </row>
    <row r="404" spans="2:10" x14ac:dyDescent="0.2">
      <c r="J404" s="7"/>
    </row>
    <row r="405" spans="2:10" x14ac:dyDescent="0.2">
      <c r="B405" s="4" t="s">
        <v>266</v>
      </c>
      <c r="J405" s="7"/>
    </row>
    <row r="406" spans="2:10" x14ac:dyDescent="0.2">
      <c r="J406" s="7"/>
    </row>
    <row r="407" spans="2:10" x14ac:dyDescent="0.2">
      <c r="J407" s="7"/>
    </row>
    <row r="408" spans="2:10" x14ac:dyDescent="0.2">
      <c r="J408" s="7"/>
    </row>
    <row r="409" spans="2:10" x14ac:dyDescent="0.2">
      <c r="J409" s="7"/>
    </row>
    <row r="410" spans="2:10" ht="63.75" customHeight="1" x14ac:dyDescent="0.2">
      <c r="B410" s="338" t="s">
        <v>259</v>
      </c>
      <c r="C410" s="338"/>
      <c r="D410" s="338"/>
      <c r="E410" s="338"/>
      <c r="F410" s="338"/>
      <c r="G410" s="338"/>
      <c r="H410" s="338"/>
      <c r="I410" s="338"/>
    </row>
    <row r="412" spans="2:10" ht="15.75" x14ac:dyDescent="0.25">
      <c r="E412" s="2" t="s">
        <v>109</v>
      </c>
    </row>
    <row r="414" spans="2:10" ht="94.5" customHeight="1" x14ac:dyDescent="0.2">
      <c r="B414" s="338" t="s">
        <v>260</v>
      </c>
      <c r="C414" s="338"/>
      <c r="D414" s="338"/>
      <c r="E414" s="338"/>
      <c r="F414" s="338"/>
      <c r="G414" s="338"/>
      <c r="H414" s="338"/>
      <c r="I414" s="338"/>
    </row>
    <row r="417" spans="2:9" ht="15.75" x14ac:dyDescent="0.25">
      <c r="E417" s="2" t="s">
        <v>110</v>
      </c>
    </row>
    <row r="419" spans="2:9" ht="45" customHeight="1" x14ac:dyDescent="0.2">
      <c r="B419" s="338" t="s">
        <v>261</v>
      </c>
      <c r="C419" s="338"/>
      <c r="D419" s="338"/>
      <c r="E419" s="338"/>
      <c r="F419" s="338"/>
      <c r="G419" s="338"/>
      <c r="H419" s="338"/>
      <c r="I419" s="338"/>
    </row>
    <row r="423" spans="2:9" ht="15.75" x14ac:dyDescent="0.25">
      <c r="D423" s="442" t="s">
        <v>170</v>
      </c>
      <c r="E423" s="442"/>
      <c r="F423" s="442"/>
    </row>
    <row r="424" spans="2:9" ht="15.75" x14ac:dyDescent="0.25">
      <c r="D424" s="442" t="s">
        <v>111</v>
      </c>
      <c r="E424" s="442"/>
      <c r="F424" s="442"/>
    </row>
  </sheetData>
  <mergeCells count="295">
    <mergeCell ref="B361:E361"/>
    <mergeCell ref="B362:E362"/>
    <mergeCell ref="F361:G361"/>
    <mergeCell ref="F362:G362"/>
    <mergeCell ref="C377:D377"/>
    <mergeCell ref="B58:D58"/>
    <mergeCell ref="B59:D59"/>
    <mergeCell ref="B237:E237"/>
    <mergeCell ref="B238:E238"/>
    <mergeCell ref="B245:E245"/>
    <mergeCell ref="B246:E246"/>
    <mergeCell ref="B285:E285"/>
    <mergeCell ref="F285:G285"/>
    <mergeCell ref="B288:E288"/>
    <mergeCell ref="F288:G288"/>
    <mergeCell ref="G67:H67"/>
    <mergeCell ref="E67:F67"/>
    <mergeCell ref="B68:E68"/>
    <mergeCell ref="B256:E256"/>
    <mergeCell ref="B226:G226"/>
    <mergeCell ref="C192:F192"/>
    <mergeCell ref="C191:F191"/>
    <mergeCell ref="B215:I215"/>
    <mergeCell ref="F286:G286"/>
    <mergeCell ref="B305:E305"/>
    <mergeCell ref="F305:G305"/>
    <mergeCell ref="B283:H283"/>
    <mergeCell ref="B299:E299"/>
    <mergeCell ref="B284:E284"/>
    <mergeCell ref="F284:G284"/>
    <mergeCell ref="F299:G299"/>
    <mergeCell ref="B339:I339"/>
    <mergeCell ref="B275:E275"/>
    <mergeCell ref="B276:E276"/>
    <mergeCell ref="B277:E277"/>
    <mergeCell ref="B278:E278"/>
    <mergeCell ref="B292:E292"/>
    <mergeCell ref="B295:E295"/>
    <mergeCell ref="B286:E286"/>
    <mergeCell ref="B291:E291"/>
    <mergeCell ref="B293:E293"/>
    <mergeCell ref="B294:E294"/>
    <mergeCell ref="D424:F424"/>
    <mergeCell ref="D423:F423"/>
    <mergeCell ref="B346:E347"/>
    <mergeCell ref="F346:G346"/>
    <mergeCell ref="F347:G347"/>
    <mergeCell ref="B348:E348"/>
    <mergeCell ref="F348:G348"/>
    <mergeCell ref="B349:E349"/>
    <mergeCell ref="F349:G349"/>
    <mergeCell ref="B350:E350"/>
    <mergeCell ref="F350:G350"/>
    <mergeCell ref="B355:E356"/>
    <mergeCell ref="F355:G355"/>
    <mergeCell ref="F356:G356"/>
    <mergeCell ref="B357:E357"/>
    <mergeCell ref="F357:G357"/>
    <mergeCell ref="B410:I410"/>
    <mergeCell ref="B414:I414"/>
    <mergeCell ref="B419:I419"/>
    <mergeCell ref="B369:I369"/>
    <mergeCell ref="B372:G372"/>
    <mergeCell ref="B399:I399"/>
    <mergeCell ref="B367:E368"/>
    <mergeCell ref="F363:G363"/>
    <mergeCell ref="B397:D397"/>
    <mergeCell ref="E374:F374"/>
    <mergeCell ref="G374:H374"/>
    <mergeCell ref="B373:H373"/>
    <mergeCell ref="C73:G73"/>
    <mergeCell ref="B113:I113"/>
    <mergeCell ref="B115:I115"/>
    <mergeCell ref="C190:F190"/>
    <mergeCell ref="C189:F189"/>
    <mergeCell ref="C138:G138"/>
    <mergeCell ref="B176:I176"/>
    <mergeCell ref="B201:I201"/>
    <mergeCell ref="B178:I178"/>
    <mergeCell ref="B281:I281"/>
    <mergeCell ref="C199:F199"/>
    <mergeCell ref="C198:F198"/>
    <mergeCell ref="B252:E252"/>
    <mergeCell ref="B270:E270"/>
    <mergeCell ref="B273:E273"/>
    <mergeCell ref="B274:E274"/>
    <mergeCell ref="F360:G360"/>
    <mergeCell ref="B345:G345"/>
    <mergeCell ref="B328:I328"/>
    <mergeCell ref="I265:J265"/>
    <mergeCell ref="C22:E22"/>
    <mergeCell ref="B3:I3"/>
    <mergeCell ref="B1:I1"/>
    <mergeCell ref="B29:E29"/>
    <mergeCell ref="B27:I27"/>
    <mergeCell ref="F20:G20"/>
    <mergeCell ref="F21:G21"/>
    <mergeCell ref="F22:G22"/>
    <mergeCell ref="F23:G23"/>
    <mergeCell ref="B10:I10"/>
    <mergeCell ref="C17:E17"/>
    <mergeCell ref="F12:G12"/>
    <mergeCell ref="F13:G13"/>
    <mergeCell ref="F14:G14"/>
    <mergeCell ref="F15:G15"/>
    <mergeCell ref="F16:G16"/>
    <mergeCell ref="F17:G17"/>
    <mergeCell ref="F18:G18"/>
    <mergeCell ref="F19:G19"/>
    <mergeCell ref="C13:E13"/>
    <mergeCell ref="C14:E14"/>
    <mergeCell ref="C15:E15"/>
    <mergeCell ref="C12:E12"/>
    <mergeCell ref="C16:E16"/>
    <mergeCell ref="C182:F182"/>
    <mergeCell ref="C181:F181"/>
    <mergeCell ref="C180:F180"/>
    <mergeCell ref="B30:E30"/>
    <mergeCell ref="B31:E31"/>
    <mergeCell ref="B32:E32"/>
    <mergeCell ref="B34:E34"/>
    <mergeCell ref="B36:E36"/>
    <mergeCell ref="B37:E37"/>
    <mergeCell ref="B35:E35"/>
    <mergeCell ref="B49:D49"/>
    <mergeCell ref="B50:D50"/>
    <mergeCell ref="B52:D52"/>
    <mergeCell ref="C18:E18"/>
    <mergeCell ref="C19:E19"/>
    <mergeCell ref="C20:E20"/>
    <mergeCell ref="C21:E21"/>
    <mergeCell ref="F29:I29"/>
    <mergeCell ref="C23:E23"/>
    <mergeCell ref="B57:D57"/>
    <mergeCell ref="B56:D56"/>
    <mergeCell ref="B42:I42"/>
    <mergeCell ref="H30:I30"/>
    <mergeCell ref="H31:I31"/>
    <mergeCell ref="H32:I32"/>
    <mergeCell ref="H33:I33"/>
    <mergeCell ref="H34:I34"/>
    <mergeCell ref="B51:D51"/>
    <mergeCell ref="H35:I35"/>
    <mergeCell ref="B33:E33"/>
    <mergeCell ref="H38:I38"/>
    <mergeCell ref="B53:D53"/>
    <mergeCell ref="H36:I36"/>
    <mergeCell ref="H37:I37"/>
    <mergeCell ref="B54:D54"/>
    <mergeCell ref="B55:D55"/>
    <mergeCell ref="B44:I44"/>
    <mergeCell ref="E47:E48"/>
    <mergeCell ref="F47:F48"/>
    <mergeCell ref="G47:G48"/>
    <mergeCell ref="H47:H48"/>
    <mergeCell ref="I47:I48"/>
    <mergeCell ref="F367:G367"/>
    <mergeCell ref="B253:E253"/>
    <mergeCell ref="B254:E254"/>
    <mergeCell ref="B255:E255"/>
    <mergeCell ref="B279:E279"/>
    <mergeCell ref="B271:E271"/>
    <mergeCell ref="B272:E272"/>
    <mergeCell ref="B47:D48"/>
    <mergeCell ref="B268:I268"/>
    <mergeCell ref="C266:D266"/>
    <mergeCell ref="B228:E229"/>
    <mergeCell ref="B230:E230"/>
    <mergeCell ref="B231:E231"/>
    <mergeCell ref="B232:E232"/>
    <mergeCell ref="B233:E234"/>
    <mergeCell ref="F227:G227"/>
    <mergeCell ref="B216:I216"/>
    <mergeCell ref="H133:I133"/>
    <mergeCell ref="B207:I207"/>
    <mergeCell ref="B212:D212"/>
    <mergeCell ref="B71:I71"/>
    <mergeCell ref="B118:B120"/>
    <mergeCell ref="C118:C120"/>
    <mergeCell ref="D118:D120"/>
    <mergeCell ref="B117:I117"/>
    <mergeCell ref="E118:F119"/>
    <mergeCell ref="G118:G120"/>
    <mergeCell ref="C196:F196"/>
    <mergeCell ref="B202:F202"/>
    <mergeCell ref="C188:F188"/>
    <mergeCell ref="C187:F187"/>
    <mergeCell ref="C186:F186"/>
    <mergeCell ref="C185:F185"/>
    <mergeCell ref="C184:F184"/>
    <mergeCell ref="C183:F183"/>
    <mergeCell ref="C194:F194"/>
    <mergeCell ref="C193:F193"/>
    <mergeCell ref="B249:E249"/>
    <mergeCell ref="B259:D259"/>
    <mergeCell ref="B260:D260"/>
    <mergeCell ref="B261:D261"/>
    <mergeCell ref="B262:D262"/>
    <mergeCell ref="B263:D263"/>
    <mergeCell ref="B264:D264"/>
    <mergeCell ref="B265:D265"/>
    <mergeCell ref="B60:D60"/>
    <mergeCell ref="B61:D61"/>
    <mergeCell ref="C195:F195"/>
    <mergeCell ref="B62:D62"/>
    <mergeCell ref="B63:D63"/>
    <mergeCell ref="B64:D64"/>
    <mergeCell ref="B65:D65"/>
    <mergeCell ref="B66:D66"/>
    <mergeCell ref="C197:F197"/>
    <mergeCell ref="B69:I69"/>
    <mergeCell ref="H118:H120"/>
    <mergeCell ref="I118:I120"/>
    <mergeCell ref="B222:I222"/>
    <mergeCell ref="B208:D208"/>
    <mergeCell ref="B210:D210"/>
    <mergeCell ref="B211:D211"/>
    <mergeCell ref="B304:E304"/>
    <mergeCell ref="F303:G303"/>
    <mergeCell ref="F304:G304"/>
    <mergeCell ref="B302:E302"/>
    <mergeCell ref="F302:G302"/>
    <mergeCell ref="F287:G287"/>
    <mergeCell ref="F291:G291"/>
    <mergeCell ref="F292:G292"/>
    <mergeCell ref="F293:G293"/>
    <mergeCell ref="F294:G294"/>
    <mergeCell ref="F295:G295"/>
    <mergeCell ref="F296:G296"/>
    <mergeCell ref="F297:G297"/>
    <mergeCell ref="B298:E298"/>
    <mergeCell ref="F298:G298"/>
    <mergeCell ref="B303:E303"/>
    <mergeCell ref="B301:G301"/>
    <mergeCell ref="B289:E289"/>
    <mergeCell ref="F289:G289"/>
    <mergeCell ref="F290:G290"/>
    <mergeCell ref="B290:E290"/>
    <mergeCell ref="B296:E296"/>
    <mergeCell ref="B297:E297"/>
    <mergeCell ref="B307:E307"/>
    <mergeCell ref="F307:G307"/>
    <mergeCell ref="B308:E308"/>
    <mergeCell ref="B309:E309"/>
    <mergeCell ref="B310:E310"/>
    <mergeCell ref="B311:E311"/>
    <mergeCell ref="F308:G308"/>
    <mergeCell ref="F309:G309"/>
    <mergeCell ref="F310:G310"/>
    <mergeCell ref="F311:G311"/>
    <mergeCell ref="B312:E312"/>
    <mergeCell ref="F312:G312"/>
    <mergeCell ref="B351:E351"/>
    <mergeCell ref="B352:E352"/>
    <mergeCell ref="B354:E354"/>
    <mergeCell ref="F352:G352"/>
    <mergeCell ref="F354:G354"/>
    <mergeCell ref="B353:E353"/>
    <mergeCell ref="F353:G353"/>
    <mergeCell ref="F351:G351"/>
    <mergeCell ref="B314:H314"/>
    <mergeCell ref="B337:I337"/>
    <mergeCell ref="C378:D378"/>
    <mergeCell ref="C379:D379"/>
    <mergeCell ref="C380:D380"/>
    <mergeCell ref="C381:D381"/>
    <mergeCell ref="C382:D382"/>
    <mergeCell ref="C383:D383"/>
    <mergeCell ref="C384:D384"/>
    <mergeCell ref="B320:F320"/>
    <mergeCell ref="G320:H320"/>
    <mergeCell ref="F364:G364"/>
    <mergeCell ref="F365:G365"/>
    <mergeCell ref="C376:D376"/>
    <mergeCell ref="B374:D375"/>
    <mergeCell ref="B366:E366"/>
    <mergeCell ref="B371:H371"/>
    <mergeCell ref="F366:G366"/>
    <mergeCell ref="B358:E358"/>
    <mergeCell ref="B360:E360"/>
    <mergeCell ref="B363:E363"/>
    <mergeCell ref="B364:E364"/>
    <mergeCell ref="B365:E365"/>
    <mergeCell ref="F358:G358"/>
    <mergeCell ref="F368:G368"/>
    <mergeCell ref="F359:G359"/>
    <mergeCell ref="B316:H316"/>
    <mergeCell ref="B322:F322"/>
    <mergeCell ref="G322:H322"/>
    <mergeCell ref="B317:F317"/>
    <mergeCell ref="G317:H317"/>
    <mergeCell ref="G318:H318"/>
    <mergeCell ref="B318:F318"/>
    <mergeCell ref="B319:F319"/>
    <mergeCell ref="G319:H319"/>
  </mergeCells>
  <printOptions horizontalCentered="1"/>
  <pageMargins left="0.31496062992125984" right="0.11811023622047245" top="1.3779527559055118" bottom="0.78740157480314965" header="0.31496062992125984" footer="0.31496062992125984"/>
  <pageSetup paperSize="9" scale="65" orientation="portrait" r:id="rId1"/>
  <headerFooter>
    <oddHeader>&amp;C&amp;G</oddHeader>
    <oddFooter xml:space="preserve">&amp;CAvenida 28 de Dezembro s/nº - Fone/Fax: (51) 3611 7096 – (51) 3671 3501 – Chuvisca – RS – CEP 96193-000
prefeitura@chuvisca.rs.gov.br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RELATORIO CIRCUNSTANCIADO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Mauro</cp:lastModifiedBy>
  <cp:lastPrinted>2020-01-27T18:18:44Z</cp:lastPrinted>
  <dcterms:created xsi:type="dcterms:W3CDTF">2012-02-22T13:16:00Z</dcterms:created>
  <dcterms:modified xsi:type="dcterms:W3CDTF">2020-02-05T15:06:06Z</dcterms:modified>
</cp:coreProperties>
</file>