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815"/>
  </bookViews>
  <sheets>
    <sheet name="Receita reestimada abril  2021" sheetId="8" r:id="rId1"/>
    <sheet name="Desp reestimada -liquid.-abr21 " sheetId="2" r:id="rId2"/>
    <sheet name="Dívida consolidada (2)" sheetId="7" r:id="rId3"/>
    <sheet name="Plan1" sheetId="4" r:id="rId4"/>
    <sheet name="Plan2" sheetId="5" r:id="rId5"/>
    <sheet name="Plan3" sheetId="6" r:id="rId6"/>
  </sheets>
  <definedNames>
    <definedName name="_xlnm._FilterDatabase" localSheetId="0" hidden="1">'Receita reestimada abril  2021'!$A$212:$F$214</definedName>
  </definedNames>
  <calcPr calcId="144525"/>
</workbook>
</file>

<file path=xl/sharedStrings.xml><?xml version="1.0" encoding="utf-8"?>
<sst xmlns="http://schemas.openxmlformats.org/spreadsheetml/2006/main" count="326" uniqueCount="314">
  <si>
    <t>RECEITA DE 2021- REESTIMADA PARA FINS DO PPA 2022 - 2025</t>
  </si>
  <si>
    <t>BASE DE DADOS ABRIL DE 2021</t>
  </si>
  <si>
    <t>RECEITA PREVISTA PARA 2021</t>
  </si>
  <si>
    <t>ARRECADADO ATÉ  ABRIL DE 2021</t>
  </si>
  <si>
    <t>A ARRECADAR DE MAIO  A DEZEMBRO DE 2021</t>
  </si>
  <si>
    <t>TOTAL REESTIMADO</t>
  </si>
  <si>
    <t>DIFERENÇA A MAIOR/MENOR</t>
  </si>
  <si>
    <t>RECEITA DE  IMPOSTOS, TAXAS E CM</t>
  </si>
  <si>
    <t>IMPOSTOS</t>
  </si>
  <si>
    <t>IRRF - SERV</t>
  </si>
  <si>
    <t>IRRF CÂMARA</t>
  </si>
  <si>
    <t>IRRF-INAT-RPPS</t>
  </si>
  <si>
    <t>IRRF-PENS - PREF</t>
  </si>
  <si>
    <t>IRRF-PENS - RPPS</t>
  </si>
  <si>
    <t>IRRF-OUTROS RENDIMENTOS EXECUTIVO</t>
  </si>
  <si>
    <t>IRRF-OUTROS RENDIMENTOS LEGISLATIVO</t>
  </si>
  <si>
    <t>IPTU PRINCIPAL</t>
  </si>
  <si>
    <t>IPTU JUROS E MULTA</t>
  </si>
  <si>
    <t>IPTU DIVIDA ATIVA</t>
  </si>
  <si>
    <t>IPTI DIVIDA ATIVA - JUROS E MULTA</t>
  </si>
  <si>
    <t>ITBI PRINCIPAL</t>
  </si>
  <si>
    <t>ITBI JUROS E MULTA</t>
  </si>
  <si>
    <t>ITBI DIVIDA ATIVA</t>
  </si>
  <si>
    <t>ITBI DIVIDA ATIVA JUROS E MULTA</t>
  </si>
  <si>
    <t>ISSQN PRINCIPAL</t>
  </si>
  <si>
    <t>ISSQN JUROS E MULTA</t>
  </si>
  <si>
    <t>ISSQN DIVIDA ATIVA</t>
  </si>
  <si>
    <t>ISSQN DIVIDA ATIVA JUROS E MULTA</t>
  </si>
  <si>
    <t>TAXAS</t>
  </si>
  <si>
    <t>TAXA CONTROLE E FISCALIZAÇÃO AMBIENTAL PRINCIPAL</t>
  </si>
  <si>
    <t>TAXA CONTROLE E FISCALIZAÇÃO AMBIENTAL JUROS E MULTA</t>
  </si>
  <si>
    <t>TX FISCAL SANITÁRIA PRINCIPAL</t>
  </si>
  <si>
    <t>TX FISCAL SANITÁRIA JUROS E MULTA</t>
  </si>
  <si>
    <t>TX FISCAL SANITÁRIA DIVIDA ATIVA</t>
  </si>
  <si>
    <t>TX FISCAL SANITÁRIA DIVIDA ATIVA JUROS E MULTA</t>
  </si>
  <si>
    <t>TAXAS DE INSPEÇÃO, CONTROLE E FISCALIZAÇÃO PRINCIPAL</t>
  </si>
  <si>
    <t>TAXAS DE INSPEÇÃO, CONTROLE E FISCALIZAÇÃO JUROS E MULTA</t>
  </si>
  <si>
    <t>TAXAS DE INSPEÇÃO, CONTROLE E FISCALIZAÇÃO DIVIDA ATIVA</t>
  </si>
  <si>
    <t>TAXAS DE INSPEÇÃO, CONTROLE E FISCALIZAÇÃO DIVIDA ATIVA JUROS E MULTA</t>
  </si>
  <si>
    <t>TAXAS  DE SERVIÇOS URBANOS -PRINCIPAL</t>
  </si>
  <si>
    <t>TAXAS  DE SERVIÇOS URBANOS - JUROS E MULTA</t>
  </si>
  <si>
    <t>TAXAS  DE SERVIÇOS URBANOS - DIVIDA ATIVA</t>
  </si>
  <si>
    <t>TAXAS  DE SERVIÇOS URBANOS- DIVIDA ATIVA JUROS E MULTA</t>
  </si>
  <si>
    <t>TAXAS PELA PRESTAÇÃO DE SERVIÇOS PRINCIPAL</t>
  </si>
  <si>
    <t>TAXAS PELA PRESTAÇÃO DE SERVIÇOS JUROS E MULTA</t>
  </si>
  <si>
    <t>TAXAS PELA PRESTAÇÃO DE SERVIÇOS DIVIDA ATIVA</t>
  </si>
  <si>
    <t>TAXAS PELA PRESTAÇÃO DE SERVIÇOS DIVIDA ATIVA JUROS E MULTA</t>
  </si>
  <si>
    <t>CONTRIBUIÇÃO DE MELHORIA</t>
  </si>
  <si>
    <t>CONTRIBUIÇÃO DE MELHORIA PRINCIPAL</t>
  </si>
  <si>
    <t>CONTRIBUIÇÃO DE MELHORIA JUROS E MULTA</t>
  </si>
  <si>
    <t>CONTRIBUIÇÃO DE MELHORIA DIVIDA ATIVA</t>
  </si>
  <si>
    <t>CONTRIBUIÇÃO DE MELHORIA DIVIDA ATIVA JUROS E MULTA</t>
  </si>
  <si>
    <t>RECEITA CONTRIBUIÇÕES</t>
  </si>
  <si>
    <t>CONTR. SERV. ATIVO RPPS</t>
  </si>
  <si>
    <t>ILMUNINAÇÃO PÚBLICA</t>
  </si>
  <si>
    <t>RECEITA PATRIMONIAL</t>
  </si>
  <si>
    <t>OUTRAS RECEITAS IMOBILIÁRIAS - Principal</t>
  </si>
  <si>
    <t>OUTRAS RECEITAS IMOBILIÁRIAS - Multas e juros</t>
  </si>
  <si>
    <t>RECEITA MOBILIÁRIA)RENDIMENTOS)</t>
  </si>
  <si>
    <t>RENDIM. DO RPPS</t>
  </si>
  <si>
    <t>RECEITA DE SERVIÇOS</t>
  </si>
  <si>
    <t>SERVIÇOS ADMINISTRATIVOS E COMERCIAIS GERAIS PRINCIPAL</t>
  </si>
  <si>
    <t>SERVIÇOS ADMINISTRATIVOS E COMERCIAIS GERAIS JUROS E MULTA</t>
  </si>
  <si>
    <t>SERVIÇOS ADMINISTRATIVOS E COMERCIAIS GERAIS DIVIDA ATIVA</t>
  </si>
  <si>
    <t>SERVIÇOS ADMINISTRATIVOS E COMERCIAIS GERAIS DIVIDA ATIVA JUROS E MULTA</t>
  </si>
  <si>
    <t>INSCRIÇÃO EM CONCURSOS PUBLICOS</t>
  </si>
  <si>
    <t>SERVIÇOS DE REGISTRO, CERTIFICAÇÃO E FISCALIZAÇÃO-PRINCIPAL</t>
  </si>
  <si>
    <t>SERVIÇOS DE REGISTRO, CERTIFICAÇÃO E FISCALIZAÇÃO- JUROS E MULTAS</t>
  </si>
  <si>
    <t>SERVIÇOS DE REGISTRO, CERTIFICAÇÃO E FISCALIZAÇÃO-  DIVITA ATIVA</t>
  </si>
  <si>
    <t>SERVIÇOS DE REGISTRO, CERTIFICAÇÃO E FISCALIZAÇÃO-  DIVITA ATIVA JUROS E MULTA</t>
  </si>
  <si>
    <t>SERVIÇOS DE FORNMECIMENTO DE AGUA - PRINCIPAL</t>
  </si>
  <si>
    <t>SERVIÇOS DE FORNMECIMENTO DE AGUA -  JUROS E MULTA</t>
  </si>
  <si>
    <t>SERVIÇOS DE FORNMECIMENTO DE AGUA - DIVIDA ATIVA</t>
  </si>
  <si>
    <t>SERVIÇOS DE FORNMECIMENTO DE AGUA -  DIVIDA ATIVA JUROS E MULTA</t>
  </si>
  <si>
    <t>OUTROS SERVIÇOS - PRINCIPAL</t>
  </si>
  <si>
    <t>OUTROS SERVIÇOS - JUROS E MULTA</t>
  </si>
  <si>
    <t>OUTROS SERVIÇOS - DIVIDA ATIVA</t>
  </si>
  <si>
    <t>OUTROS SERVIÇOS - DIVIDA ATIVA JUROS E MULTA</t>
  </si>
  <si>
    <t>TRANSF CORRENTES</t>
  </si>
  <si>
    <t>TRANSFERENCIAS DA UNIAO</t>
  </si>
  <si>
    <t>FPM cota mensal</t>
  </si>
  <si>
    <t>FPM cota extra dezembro</t>
  </si>
  <si>
    <t>FPM Cota extra julho</t>
  </si>
  <si>
    <t>ITR</t>
  </si>
  <si>
    <t>FUNDO ESPECIAL</t>
  </si>
  <si>
    <t>TRANSF UNIÃO SUS</t>
  </si>
  <si>
    <t>ATENÇÃO BÁSICA 4500</t>
  </si>
  <si>
    <t>ATENÇÃO ALTA E MEIA COMPLEXIDADE 4501</t>
  </si>
  <si>
    <t>ATENÇÃO VIGILÂNCIA EM SAÚDE 4502</t>
  </si>
  <si>
    <t>ATENÇÃO FARMACÊUTICA BÁSICA 4503</t>
  </si>
  <si>
    <t>TRANSF FNAS</t>
  </si>
  <si>
    <t>IGD BOLSA FAMÍLIA</t>
  </si>
  <si>
    <t>PAIF</t>
  </si>
  <si>
    <t>Piso Básico Variável- SCFV</t>
  </si>
  <si>
    <t>Erradicaçao Trabalho Infantil- CepetI 2890</t>
  </si>
  <si>
    <t>IGD SUAS</t>
  </si>
  <si>
    <t>TRANSF FNDE</t>
  </si>
  <si>
    <t>SALÁRIO EDUCAÇÃO</t>
  </si>
  <si>
    <t>PNAE -ENS. FUNDA</t>
  </si>
  <si>
    <t>PNAC - CRECHE</t>
  </si>
  <si>
    <t>PNAP - PRÉ-ESCOLA</t>
  </si>
  <si>
    <t>PNAE -EDUCAÇÃO ESPECIAL</t>
  </si>
  <si>
    <t>PNATE ENS. FUNDAM</t>
  </si>
  <si>
    <t>PNATE - EDU. INFANTIL</t>
  </si>
  <si>
    <t>PNATE - ENS. MÉDIO</t>
  </si>
  <si>
    <t>OUTRAS TRANSFERENCIAS DA UNIAO</t>
  </si>
  <si>
    <t>Transferências ICMS Desoneração 176/2020</t>
  </si>
  <si>
    <t>TRANSF  DO ESTADO</t>
  </si>
  <si>
    <t>ICMS</t>
  </si>
  <si>
    <t>IPVA</t>
  </si>
  <si>
    <t>IPI-EXP</t>
  </si>
  <si>
    <t>CIDE</t>
  </si>
  <si>
    <t>TRANSF ESTADO SUS</t>
  </si>
  <si>
    <t>FARM BÁSICA ESTADO- 4050</t>
  </si>
  <si>
    <t>SAMU/SALVAR ESTADO- 4170</t>
  </si>
  <si>
    <t>PSF - ESTADO 4090</t>
  </si>
  <si>
    <t>INCENTIVO À ATENÇÃO BÁSICA 4011</t>
  </si>
  <si>
    <t>SAUDE BUCAL - 4090</t>
  </si>
  <si>
    <t>FRALDAS GERIATRICAS RV 4050</t>
  </si>
  <si>
    <t>SAUDE BUCAL LRPD RV 4111</t>
  </si>
  <si>
    <t>TRANSFERÊNCIAS DE CONVÊNIOS</t>
  </si>
  <si>
    <t>TRANSPORTE ESCOLAR EDUCAÇÃO BÁSICA</t>
  </si>
  <si>
    <t>FEAS - 2440</t>
  </si>
  <si>
    <t>OUTRAS TRANSFERÊNCIAS DOS ESTADOS</t>
  </si>
  <si>
    <t>MULTA TRÂNSITO</t>
  </si>
  <si>
    <t>FUNDEF/FUNDEB</t>
  </si>
  <si>
    <t>OUTRAS TRANSFERÊNCIAS</t>
  </si>
  <si>
    <t>IRRF - COFRON</t>
  </si>
  <si>
    <t>TRANSFERENCIAS DE PESSOAS FISICAS</t>
  </si>
  <si>
    <t>TRANSFERÊNCIAS DE INSTITUIÇÕES PRIVADAS</t>
  </si>
  <si>
    <t>OUTRAS REC. CORRENTES</t>
  </si>
  <si>
    <t>MULTAS ADMINISTRATIVAS, CONTRATUAIS E JUDICIAIS</t>
  </si>
  <si>
    <t>MULTAS PREVISTAS EM LEGISLAÇÃO ESPECIFICA PRINCIPAL</t>
  </si>
  <si>
    <t>MULTAS PREVISTAS EM LEGISLAÇÃO ESPECIFICA MULTAS E JUROS</t>
  </si>
  <si>
    <t>MULTAS PREVISTAS EM LEGISLAÇÃO ESPECIFICA DIVIDA ATIVA</t>
  </si>
  <si>
    <t>MULTAS PREVISTAS EM LEGISLAÇÃO ESPECIFICA DIVIDA ATIVA JUROS E MULTAS</t>
  </si>
  <si>
    <t>MULTAS POR DANOS AMBIENTAIS PRINCIPAL 2860</t>
  </si>
  <si>
    <t>MULTAS POR DANOS AMBIENTAIS- JUROS E MULTAS 2860</t>
  </si>
  <si>
    <t>MULTAS POR DANOS AMBIENTAIS - DIVIDA ATIVA 2860</t>
  </si>
  <si>
    <t>MULTAS POR DANOS AMBIENTAIS DIVIDA ATIVA JUROS E MULTAS 2860</t>
  </si>
  <si>
    <t>MULTAS E JUROS PREVISTOS EM CONTRATOS - PRINCIPAL</t>
  </si>
  <si>
    <t>MULTAS E JUROS PREVISTOS EM CONTRATOS -MULTAS E JUROS</t>
  </si>
  <si>
    <t>MULTAS E JUROS PREVISTOS EM CONTRATOS -DIVIDA ATIVA</t>
  </si>
  <si>
    <t>MULTAS E JUROS PREVISTOS EM CONTRATOS -DIVIDA ATIVA MULTAS E JUROS</t>
  </si>
  <si>
    <t>INDENIZAÇÕES, RESTITUIÇÕES E RESSARCIMENTOS</t>
  </si>
  <si>
    <t>INDENIZAÇÕES</t>
  </si>
  <si>
    <t>INDENIZAÇÕES POR DANOS CAUSADOS AO PATRIMONIO PUBLICO</t>
  </si>
  <si>
    <t>OUTRAS INDENIZAÇÕES PRINCIPAL</t>
  </si>
  <si>
    <t>OUTRAS INDENIZAÇÕES MULTAS E JUROS</t>
  </si>
  <si>
    <t>OUTRAS INDENIZAÇÕES  DIVIDA ATIVA</t>
  </si>
  <si>
    <t>OUTRAS INDENIZAÇÕES  MULTAS E JUROS DIVIDA ATIVA</t>
  </si>
  <si>
    <t>RESTITUIÇÕES</t>
  </si>
  <si>
    <t>RESTITUIÇÕES PRINCIPAL</t>
  </si>
  <si>
    <t>PROG. TROCA-TROCA PRINCIPAL</t>
  </si>
  <si>
    <t>RESTITUIÇÕES CONSTRUÇÃO DE CASAS E TERRENOS PRINCIPAL</t>
  </si>
  <si>
    <t>RESTITUIÇÕES  MULTAS E JUROS</t>
  </si>
  <si>
    <t>PROGRAMA TROCA TROCA  MULTAS E JUROS</t>
  </si>
  <si>
    <t>RESTITUIÇÕES CONSTRUÇÃO DE CASAS E TERRENOS MULTAS E JUROS</t>
  </si>
  <si>
    <t>RESTITUIÇÕES  DIVIDA ATIVA</t>
  </si>
  <si>
    <t>PROGRAMA TROCA TROCA  DIVIDA ATIVA</t>
  </si>
  <si>
    <t>RESTITUIÇÃO DE AUXILIOS DIVIDA ATIVA</t>
  </si>
  <si>
    <t>RESTITUIÇÕES CONSTRUÇÃO DE CASAS E TERRENOS DIVIDA ATIVA</t>
  </si>
  <si>
    <t>RESTITUIÇÕES SERVIÇOS DE COMUNICAÇÕES DIVIDA ATIVA</t>
  </si>
  <si>
    <t>RESTITUIÇÕES  DIVIDA ATIVA MULTAS E JUROS</t>
  </si>
  <si>
    <t>PROGRAMA TROCA TROCA  DIVIDA ATIVA MULTAS E JUROS</t>
  </si>
  <si>
    <t>RESTITUIÇÃO DE AUXILIOS DIVIDA ATIVA MULTAS E JUROS</t>
  </si>
  <si>
    <t>RESTITUIÇÕES CONSTRUÇÃO DE CASAS E TERRENOS DIVIDA ATIVA MULTAS E JUROS</t>
  </si>
  <si>
    <t>RESTITUIÇÕES SERVIÇOS DE COMUNICAÇÕES DIVIDA ATIVA MULTAS E JUROS</t>
  </si>
  <si>
    <t>DEMAIS RECEITAS CORRENTES</t>
  </si>
  <si>
    <t>COMPENSAÇÃO FINANCEIRA ENTRE REGIMES</t>
  </si>
  <si>
    <t>ONUS SUCUMBENCIA PRINCIPAL 3040</t>
  </si>
  <si>
    <t>ONUS SUCUMBENCIA MULTAS E JUROS 3040</t>
  </si>
  <si>
    <t>ONUS SUCUMBENCIA DIVIDA ATIVA 3040</t>
  </si>
  <si>
    <t>ONUS SUCUMBENCIA DÍVIDA ATIVA MULTAS E JUROS 3040</t>
  </si>
  <si>
    <t>OUTRAS RECEITAS</t>
  </si>
  <si>
    <t>RECEITAS INTRAORÇAMENTÁRIAS</t>
  </si>
  <si>
    <t>CONTR. PATRONAL P/ RPPS</t>
  </si>
  <si>
    <t>AMORTIZAÇÃO PASSIVO ATUARIAL</t>
  </si>
  <si>
    <t>RECEITA DE CAPITAL</t>
  </si>
  <si>
    <t>ALIENAÇÃO DE BENS</t>
  </si>
  <si>
    <t>ALIENAÇÃO BENS MÓVEIS</t>
  </si>
  <si>
    <t>ALIENAÇÃO BENS IMÓVEIS</t>
  </si>
  <si>
    <t>AMORTIZAÇÃO DE EMPRÉSTIMOS</t>
  </si>
  <si>
    <t>AMORTIZAÇÃO DE EMPRÉSTIMOS PRINCIPAL</t>
  </si>
  <si>
    <t>AMORTIZAÇÃO DE EMPRÉSTIMOS MULTAS E JUROS</t>
  </si>
  <si>
    <t>AMORTIZAÇÃO DE EMPRÉSTIMOS DIVIDA ATIVA</t>
  </si>
  <si>
    <t>AMORTIZAÇÃO DE EMPRÉSTIMOS DIVIDA ATIVA-MULTAS E JUROS</t>
  </si>
  <si>
    <t>TRANSF. CAPITAL</t>
  </si>
  <si>
    <t>TRANSFERENCIAS DE CAPITAL UNIAO</t>
  </si>
  <si>
    <t>CONSTRUCAO DE CENTRAL DE TRIAGEM E COMPOSTAGEM</t>
  </si>
  <si>
    <t>CRECHE DA COMUNIDADE</t>
  </si>
  <si>
    <t>PAVIMENTAÇÃO DE ESTRADAS VICINAIS  865671/2018</t>
  </si>
  <si>
    <t>PAVIMENTAÇÃO RUA MINAS GERAIS CR 867623/2018</t>
  </si>
  <si>
    <t>PAVIMENTAÇÃO ROLADOR BAIXO E SATURNO CR  885601/2019</t>
  </si>
  <si>
    <t>TRANSF DE CAPITAL ESTADO</t>
  </si>
  <si>
    <t>TRANSFERÊNCIAS DO FEAS</t>
  </si>
  <si>
    <t>OUTRAS REC DE CAPITAL</t>
  </si>
  <si>
    <t>REMUNERAÇÃO DE DEPOSITOS BANCARIOS</t>
  </si>
  <si>
    <t>RECEITAS DE CAPITAL INTRAORÇAMENTÁRIAS</t>
  </si>
  <si>
    <t>ALIENAÇÃO DE BENS MÓVEIS</t>
  </si>
  <si>
    <t xml:space="preserve">DEDUÇÃO RECEITA </t>
  </si>
  <si>
    <t>DEDUÇÃO DA RECEITA CORRENTE</t>
  </si>
  <si>
    <t>DEDUÇÕES DE TRANSFERÊNCIAS</t>
  </si>
  <si>
    <t>DEDUÇÕES DAS TRANSFERÊNCIAS CORRENTES</t>
  </si>
  <si>
    <t>DEMAIS DEDUÇÕES</t>
  </si>
  <si>
    <t>DEDUÇÕES IMPOSTOS, TAXAS E CM</t>
  </si>
  <si>
    <t>DEDUÇÕES RECEITAS DE SERVICOS</t>
  </si>
  <si>
    <t>DEDUÇÕES OUTRAS RECEITAS CORRENTES</t>
  </si>
  <si>
    <t>DEDUÇÕES RECEITAS DE CAPITAL</t>
  </si>
  <si>
    <t>TOTAL GERAL</t>
  </si>
  <si>
    <t>arrecadado</t>
  </si>
  <si>
    <t>déficit</t>
  </si>
  <si>
    <t>previsto</t>
  </si>
  <si>
    <t>DESPESA REESTIMADA - LIQUIDADA  PARA FINS DA ELABORAÇÃO DO PPA 2022 A 2025</t>
  </si>
  <si>
    <t>BASE DE DADOS - ABRIL DE 2021</t>
  </si>
  <si>
    <t>DESPESA FIXADA ATUALIZADA PARA 2021</t>
  </si>
  <si>
    <t>DESPESA EMPENHADA ATÉ ABRIL DE 2021</t>
  </si>
  <si>
    <t>DESPESA ESTIMADA/EMPENHADA DE MAIO A DEZEMBRO DE 2021</t>
  </si>
  <si>
    <t>TOTAL ESTIMADO/EMPENHADO ATÉ DEZEMBRO     2021</t>
  </si>
  <si>
    <t>DESPESA LIQUIDADA ATÉ ABRIL DE 2021</t>
  </si>
  <si>
    <t>DESPESA ESTIMADA/LIQUIDADA DE MAIO A DEZEMBRO DE 2021</t>
  </si>
  <si>
    <t>DESPESA REESTIMADA - LIQUIDADA -ATÉ DEZEMBRO DE 2021</t>
  </si>
  <si>
    <t>DIFERENÇA DA LIQUIDADO EM RELAÇÃO AO ORÇAMENTO ATUALIZADO</t>
  </si>
  <si>
    <t>DESPESAS CORRENTE</t>
  </si>
  <si>
    <t>Pessoal e Encargos Sociais</t>
  </si>
  <si>
    <t>Obrigações patronais - RPPS municípios</t>
  </si>
  <si>
    <t>Venctos  e vantagens fixas -HCSC</t>
  </si>
  <si>
    <t>Obrigações Patronais - HCSC</t>
  </si>
  <si>
    <t>Rateio a Consórcios Públicos</t>
  </si>
  <si>
    <t>Aposentadorias</t>
  </si>
  <si>
    <t>Pensões  RPPS</t>
  </si>
  <si>
    <t>Contratação por tempo determinado</t>
  </si>
  <si>
    <t>Venctos  e vantagens fixas - civil</t>
  </si>
  <si>
    <t>Venctos  e vantagens fixas - civil - RPPS</t>
  </si>
  <si>
    <t>Obrigações Patronais</t>
  </si>
  <si>
    <t>Outras Despesas Variáveis-P.Civil</t>
  </si>
  <si>
    <t>Indenizações e Restituições</t>
  </si>
  <si>
    <t>Sentenças Judiciais</t>
  </si>
  <si>
    <t>Operações - Intra-orçamentárias</t>
  </si>
  <si>
    <t>Obrigações patronais -RPPS</t>
  </si>
  <si>
    <t>Amortização do  Passivo Atuarial</t>
  </si>
  <si>
    <t>Juros e Encargos da Dívida</t>
  </si>
  <si>
    <t>Juros e Encargos por Contrato</t>
  </si>
  <si>
    <t>Outros Encargos s/ a Dívida</t>
  </si>
  <si>
    <t xml:space="preserve"> </t>
  </si>
  <si>
    <t>Outras Despesas Correntes</t>
  </si>
  <si>
    <t>Transferências</t>
  </si>
  <si>
    <t>Aposent e Refor -  PREV RPPS</t>
  </si>
  <si>
    <t>Aposent e Reformas -  PREV EXEC</t>
  </si>
  <si>
    <t>Indenizações e Restituições a  União</t>
  </si>
  <si>
    <t>Contribuições  ao Estado</t>
  </si>
  <si>
    <t>Indenizações e Restituições ao Estado</t>
  </si>
  <si>
    <t>Contribuições a instituições privadas</t>
  </si>
  <si>
    <t>Subvenções Sociais</t>
  </si>
  <si>
    <t>Contribuições - Consórcio</t>
  </si>
  <si>
    <t>Aplicações Diretas</t>
  </si>
  <si>
    <t>Outros benefícios assistenciais</t>
  </si>
  <si>
    <t>Diárias-Pessoal Civil</t>
  </si>
  <si>
    <t>Diárias-Pessoal Civil - RPPS</t>
  </si>
  <si>
    <t>Auxílio a Estudantes</t>
  </si>
  <si>
    <t>Material de Consumo</t>
  </si>
  <si>
    <t>Premiações Culturais</t>
  </si>
  <si>
    <t>Material de Distribuição Gratuita</t>
  </si>
  <si>
    <t>Passagens e Despesas c/ locomoção</t>
  </si>
  <si>
    <t>Passagens e Desp C/ LOCOM - RPPS</t>
  </si>
  <si>
    <t>Serviços de Consultoria</t>
  </si>
  <si>
    <t>Outros Serv. Terceiros - P. Física</t>
  </si>
  <si>
    <t>Outros Serv. Terceiros - P. Jurídica</t>
  </si>
  <si>
    <t>Outros Serv. Terceiros - P. J- RPPS</t>
  </si>
  <si>
    <t>Serviços de tecnologia da informção</t>
  </si>
  <si>
    <t>Contribuições- autonomia Financ</t>
  </si>
  <si>
    <t>Subvenções Econômicas</t>
  </si>
  <si>
    <t>Auxílio-Alimentação</t>
  </si>
  <si>
    <t>Obrigações Tributárias e Contrib</t>
  </si>
  <si>
    <t>Outros Aux. Financ a P Física</t>
  </si>
  <si>
    <t>Auxílio Transporte</t>
  </si>
  <si>
    <t>Pensões Especiais</t>
  </si>
  <si>
    <t>despesas de exercícios anteriores</t>
  </si>
  <si>
    <t>.</t>
  </si>
  <si>
    <t>Indenizações e Restituições- RPPS</t>
  </si>
  <si>
    <t>aplic decorrentes de operações consorcio</t>
  </si>
  <si>
    <t>Despesa de Capital</t>
  </si>
  <si>
    <t>Investimentos</t>
  </si>
  <si>
    <t>Inden e Rest a União</t>
  </si>
  <si>
    <t>Transf a Estados e DF</t>
  </si>
  <si>
    <t>Obras e Instalações</t>
  </si>
  <si>
    <t>Equipamentos e Material Permanente</t>
  </si>
  <si>
    <t>Aquisição de Imóveis</t>
  </si>
  <si>
    <t>APLICAÇÕES INTRA</t>
  </si>
  <si>
    <t>INVERSÕES FINANCEIRAS</t>
  </si>
  <si>
    <t>Concessão de Emprést. E Financi</t>
  </si>
  <si>
    <t>Amortização da Dívida Pública</t>
  </si>
  <si>
    <t>Principal da Dívida por Contrato</t>
  </si>
  <si>
    <t>Reserva Contingência - RPPS</t>
  </si>
  <si>
    <t xml:space="preserve">Reserva Contingência </t>
  </si>
  <si>
    <t>despesa executada</t>
  </si>
  <si>
    <t>despesa orçada</t>
  </si>
  <si>
    <t>Dívida Fundada</t>
  </si>
  <si>
    <t>saldo inicial</t>
  </si>
  <si>
    <t>Saldo em 30/04/2021</t>
  </si>
  <si>
    <t>Amortização estimada de maio a  Dezembro de 2021</t>
  </si>
  <si>
    <t>SALDO EM          30/04/2020 ANTES DA ATUALIZAÇÃO</t>
  </si>
  <si>
    <t>Novas Dívidas</t>
  </si>
  <si>
    <t>Atualização</t>
  </si>
  <si>
    <t>Previsão de saldo em 31/12/2021</t>
  </si>
  <si>
    <t>Parcelamento PASEP</t>
  </si>
  <si>
    <t>Precatórios</t>
  </si>
  <si>
    <t xml:space="preserve">OPERAÇÃO DE CRÉDITO </t>
  </si>
  <si>
    <t>TOTAL DA DÍVIDA</t>
  </si>
  <si>
    <t>Projeção de depósitos e consignações</t>
  </si>
  <si>
    <t xml:space="preserve">Reajuste pela previsão do IGP-M para o ano </t>
  </si>
  <si>
    <t>de 2021  32,02%</t>
  </si>
  <si>
    <t xml:space="preserve">Para o PASEP foi usada a Taxa de Juros SELIC de </t>
  </si>
  <si>
    <t>5,50%, previsão para 2021</t>
  </si>
</sst>
</file>

<file path=xl/styles.xml><?xml version="1.0" encoding="utf-8"?>
<styleSheet xmlns="http://schemas.openxmlformats.org/spreadsheetml/2006/main">
  <numFmts count="7">
    <numFmt numFmtId="176" formatCode="_-* #,##0_-;\-* #,##0_-;_-* &quot;-&quot;_-;_-@_-"/>
    <numFmt numFmtId="177" formatCode="_-* #,##0.00_-;\-* #,##0.00_-;_-* &quot;-&quot;??_-;_-@_-"/>
    <numFmt numFmtId="178" formatCode="#,##0.00;\-#,##0.00"/>
    <numFmt numFmtId="179" formatCode="_-&quot;£&quot;* #,##0_-;\-&quot;£&quot;* #,##0_-;_-&quot;£&quot;* &quot;-&quot;_-;_-@_-"/>
    <numFmt numFmtId="180" formatCode="_-&quot;£&quot;* #,##0.00_-;\-&quot;£&quot;* #,##0.00_-;_-&quot;£&quot;* &quot;-&quot;??_-;_-@_-"/>
    <numFmt numFmtId="181" formatCode="&quot;R$&quot;#,##0.00;\-&quot;R$&quot;#,##0.00"/>
    <numFmt numFmtId="182" formatCode="#,##0.00;[Red]#,##0.00"/>
  </numFmts>
  <fonts count="29">
    <font>
      <sz val="11"/>
      <color theme="1"/>
      <name val="Calibri"/>
      <charset val="134"/>
      <scheme val="minor"/>
    </font>
    <font>
      <sz val="10"/>
      <name val="Arial"/>
      <charset val="134"/>
    </font>
    <font>
      <b/>
      <sz val="8"/>
      <name val="Arial"/>
      <charset val="134"/>
    </font>
    <font>
      <sz val="8"/>
      <name val="Arial"/>
      <charset val="134"/>
    </font>
    <font>
      <b/>
      <sz val="14"/>
      <name val="Arial"/>
      <charset val="134"/>
    </font>
    <font>
      <b/>
      <sz val="10"/>
      <name val="Arial"/>
      <charset val="134"/>
    </font>
    <font>
      <sz val="9"/>
      <name val="Arial"/>
      <charset val="134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0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5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7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0" fillId="44" borderId="13" applyNumberFormat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180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52" borderId="18" applyNumberFormat="0" applyFont="0" applyAlignment="0" applyProtection="0">
      <alignment vertical="center"/>
    </xf>
    <xf numFmtId="0" fontId="1" fillId="0" borderId="0"/>
    <xf numFmtId="0" fontId="14" fillId="5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3" fillId="58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51" borderId="16" applyNumberFormat="0" applyAlignment="0" applyProtection="0">
      <alignment vertical="center"/>
    </xf>
    <xf numFmtId="0" fontId="26" fillId="49" borderId="19" applyNumberFormat="0" applyAlignment="0" applyProtection="0">
      <alignment vertical="center"/>
    </xf>
    <xf numFmtId="0" fontId="18" fillId="49" borderId="16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3" fillId="5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62" borderId="0" applyNumberFormat="0" applyBorder="0" applyAlignment="0" applyProtection="0">
      <alignment vertical="center"/>
    </xf>
    <xf numFmtId="0" fontId="14" fillId="56" borderId="0" applyNumberFormat="0" applyBorder="0" applyAlignment="0" applyProtection="0">
      <alignment vertical="center"/>
    </xf>
    <xf numFmtId="0" fontId="13" fillId="61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48" borderId="0" applyNumberFormat="0" applyBorder="0" applyAlignment="0" applyProtection="0">
      <alignment vertical="center"/>
    </xf>
    <xf numFmtId="0" fontId="1" fillId="0" borderId="0"/>
  </cellStyleXfs>
  <cellXfs count="229">
    <xf numFmtId="0" fontId="0" fillId="0" borderId="0" xfId="0"/>
    <xf numFmtId="0" fontId="1" fillId="0" borderId="0" xfId="50"/>
    <xf numFmtId="0" fontId="2" fillId="0" borderId="1" xfId="50" applyFont="1" applyBorder="1" applyAlignment="1">
      <alignment horizontal="center"/>
    </xf>
    <xf numFmtId="0" fontId="2" fillId="0" borderId="2" xfId="50" applyFont="1" applyBorder="1"/>
    <xf numFmtId="58" fontId="3" fillId="0" borderId="2" xfId="50" applyNumberFormat="1" applyFont="1" applyBorder="1" applyAlignment="1">
      <alignment horizontal="center" vertical="distributed"/>
    </xf>
    <xf numFmtId="0" fontId="3" fillId="0" borderId="2" xfId="50" applyFont="1" applyBorder="1" applyAlignment="1">
      <alignment horizontal="center" vertical="distributed"/>
    </xf>
    <xf numFmtId="0" fontId="3" fillId="2" borderId="2" xfId="50" applyFont="1" applyFill="1" applyBorder="1" applyAlignment="1">
      <alignment horizontal="center" vertical="distributed"/>
    </xf>
    <xf numFmtId="0" fontId="3" fillId="0" borderId="2" xfId="50" applyFont="1" applyBorder="1"/>
    <xf numFmtId="178" fontId="3" fillId="0" borderId="2" xfId="50" applyNumberFormat="1" applyFont="1" applyBorder="1"/>
    <xf numFmtId="178" fontId="3" fillId="3" borderId="2" xfId="50" applyNumberFormat="1" applyFont="1" applyFill="1" applyBorder="1"/>
    <xf numFmtId="178" fontId="3" fillId="0" borderId="2" xfId="14" applyNumberFormat="1" applyFont="1" applyBorder="1"/>
    <xf numFmtId="178" fontId="3" fillId="4" borderId="2" xfId="50" applyNumberFormat="1" applyFont="1" applyFill="1" applyBorder="1"/>
    <xf numFmtId="178" fontId="2" fillId="0" borderId="2" xfId="50" applyNumberFormat="1" applyFont="1" applyBorder="1"/>
    <xf numFmtId="178" fontId="2" fillId="5" borderId="2" xfId="50" applyNumberFormat="1" applyFont="1" applyFill="1" applyBorder="1"/>
    <xf numFmtId="0" fontId="2" fillId="0" borderId="2" xfId="50" applyFont="1" applyFill="1" applyBorder="1"/>
    <xf numFmtId="0" fontId="2" fillId="0" borderId="3" xfId="50" applyFont="1" applyBorder="1"/>
    <xf numFmtId="0" fontId="2" fillId="0" borderId="4" xfId="50" applyFont="1" applyBorder="1"/>
    <xf numFmtId="178" fontId="2" fillId="0" borderId="2" xfId="50" applyNumberFormat="1" applyFont="1" applyFill="1" applyBorder="1"/>
    <xf numFmtId="0" fontId="2" fillId="0" borderId="5" xfId="50" applyFont="1" applyFill="1" applyBorder="1"/>
    <xf numFmtId="0" fontId="1" fillId="0" borderId="0" xfId="50" applyFill="1" applyBorder="1"/>
    <xf numFmtId="178" fontId="1" fillId="0" borderId="0" xfId="50" applyNumberFormat="1"/>
    <xf numFmtId="0" fontId="1" fillId="0" borderId="6" xfId="50" applyBorder="1"/>
    <xf numFmtId="0" fontId="1" fillId="0" borderId="7" xfId="50" applyBorder="1"/>
    <xf numFmtId="0" fontId="1" fillId="0" borderId="8" xfId="50" applyBorder="1"/>
    <xf numFmtId="10" fontId="1" fillId="0" borderId="9" xfId="50" applyNumberFormat="1" applyFont="1" applyBorder="1" applyAlignment="1">
      <alignment horizontal="left"/>
    </xf>
    <xf numFmtId="0" fontId="1" fillId="0" borderId="1" xfId="50" applyBorder="1"/>
    <xf numFmtId="10" fontId="1" fillId="0" borderId="10" xfId="50" applyNumberFormat="1" applyBorder="1"/>
    <xf numFmtId="0" fontId="1" fillId="0" borderId="9" xfId="50" applyFont="1" applyBorder="1"/>
    <xf numFmtId="0" fontId="1" fillId="0" borderId="10" xfId="50" applyBorder="1"/>
    <xf numFmtId="0" fontId="1" fillId="0" borderId="0" xfId="14"/>
    <xf numFmtId="0" fontId="4" fillId="0" borderId="0" xfId="14" applyFont="1" applyAlignment="1">
      <alignment horizontal="center"/>
    </xf>
    <xf numFmtId="0" fontId="5" fillId="0" borderId="2" xfId="14" applyFont="1" applyBorder="1" applyAlignment="1">
      <alignment horizontal="center" vertical="distributed"/>
    </xf>
    <xf numFmtId="0" fontId="5" fillId="6" borderId="2" xfId="14" applyFont="1" applyFill="1" applyBorder="1" applyAlignment="1">
      <alignment horizontal="center" vertical="distributed"/>
    </xf>
    <xf numFmtId="0" fontId="5" fillId="7" borderId="2" xfId="14" applyFont="1" applyFill="1" applyBorder="1" applyAlignment="1">
      <alignment horizontal="center" vertical="distributed"/>
    </xf>
    <xf numFmtId="0" fontId="5" fillId="5" borderId="2" xfId="14" applyFont="1" applyFill="1" applyBorder="1" applyAlignment="1">
      <alignment horizontal="center" vertical="distributed"/>
    </xf>
    <xf numFmtId="0" fontId="5" fillId="8" borderId="2" xfId="14" applyFont="1" applyFill="1" applyBorder="1" applyAlignment="1">
      <alignment horizontal="center" vertical="distributed"/>
    </xf>
    <xf numFmtId="0" fontId="5" fillId="0" borderId="2" xfId="14" applyFont="1" applyBorder="1"/>
    <xf numFmtId="178" fontId="5" fillId="0" borderId="2" xfId="14" applyNumberFormat="1" applyFont="1" applyBorder="1"/>
    <xf numFmtId="178" fontId="5" fillId="7" borderId="2" xfId="14" applyNumberFormat="1" applyFont="1" applyFill="1" applyBorder="1"/>
    <xf numFmtId="0" fontId="5" fillId="9" borderId="2" xfId="14" applyFont="1" applyFill="1" applyBorder="1"/>
    <xf numFmtId="178" fontId="5" fillId="9" borderId="2" xfId="14" applyNumberFormat="1" applyFont="1" applyFill="1" applyBorder="1"/>
    <xf numFmtId="0" fontId="1" fillId="0" borderId="2" xfId="14" applyFont="1" applyBorder="1"/>
    <xf numFmtId="178" fontId="1" fillId="0" borderId="2" xfId="14" applyNumberFormat="1" applyFont="1" applyBorder="1"/>
    <xf numFmtId="178" fontId="1" fillId="7" borderId="2" xfId="14" applyNumberFormat="1" applyFont="1" applyFill="1" applyBorder="1"/>
    <xf numFmtId="178" fontId="1" fillId="0" borderId="2" xfId="14" applyNumberFormat="1" applyBorder="1"/>
    <xf numFmtId="0" fontId="1" fillId="10" borderId="2" xfId="14" applyFont="1" applyFill="1" applyBorder="1"/>
    <xf numFmtId="178" fontId="1" fillId="10" borderId="2" xfId="14" applyNumberFormat="1" applyFill="1" applyBorder="1"/>
    <xf numFmtId="178" fontId="1" fillId="10" borderId="2" xfId="14" applyNumberFormat="1" applyFont="1" applyFill="1" applyBorder="1"/>
    <xf numFmtId="178" fontId="1" fillId="7" borderId="2" xfId="14" applyNumberFormat="1" applyFill="1" applyBorder="1"/>
    <xf numFmtId="178" fontId="5" fillId="4" borderId="2" xfId="14" applyNumberFormat="1" applyFont="1" applyFill="1" applyBorder="1"/>
    <xf numFmtId="0" fontId="6" fillId="0" borderId="2" xfId="14" applyFont="1" applyBorder="1"/>
    <xf numFmtId="0" fontId="1" fillId="4" borderId="2" xfId="14" applyFont="1" applyFill="1" applyBorder="1"/>
    <xf numFmtId="178" fontId="1" fillId="4" borderId="2" xfId="14" applyNumberFormat="1" applyFill="1" applyBorder="1"/>
    <xf numFmtId="178" fontId="1" fillId="4" borderId="2" xfId="14" applyNumberFormat="1" applyFont="1" applyFill="1" applyBorder="1"/>
    <xf numFmtId="0" fontId="1" fillId="0" borderId="2" xfId="14" applyBorder="1"/>
    <xf numFmtId="178" fontId="5" fillId="11" borderId="2" xfId="14" applyNumberFormat="1" applyFont="1" applyFill="1" applyBorder="1"/>
    <xf numFmtId="0" fontId="5" fillId="12" borderId="2" xfId="14" applyFont="1" applyFill="1" applyBorder="1" applyAlignment="1">
      <alignment horizontal="center" vertical="distributed"/>
    </xf>
    <xf numFmtId="178" fontId="1" fillId="5" borderId="2" xfId="14" applyNumberFormat="1" applyFill="1" applyBorder="1"/>
    <xf numFmtId="178" fontId="1" fillId="0" borderId="2" xfId="14" applyNumberFormat="1" applyFill="1" applyBorder="1"/>
    <xf numFmtId="178" fontId="1" fillId="9" borderId="11" xfId="14" applyNumberFormat="1" applyFill="1" applyBorder="1"/>
    <xf numFmtId="178" fontId="1" fillId="6" borderId="11" xfId="14" applyNumberFormat="1" applyFill="1" applyBorder="1"/>
    <xf numFmtId="178" fontId="1" fillId="7" borderId="8" xfId="14" applyNumberFormat="1" applyFill="1" applyBorder="1"/>
    <xf numFmtId="178" fontId="1" fillId="12" borderId="11" xfId="14" applyNumberFormat="1" applyFill="1" applyBorder="1"/>
    <xf numFmtId="0" fontId="5" fillId="0" borderId="0" xfId="14" applyFont="1" applyFill="1" applyBorder="1"/>
    <xf numFmtId="178" fontId="5" fillId="9" borderId="12" xfId="14" applyNumberFormat="1" applyFont="1" applyFill="1" applyBorder="1"/>
    <xf numFmtId="178" fontId="5" fillId="6" borderId="12" xfId="14" applyNumberFormat="1" applyFont="1" applyFill="1" applyBorder="1"/>
    <xf numFmtId="178" fontId="5" fillId="7" borderId="10" xfId="14" applyNumberFormat="1" applyFont="1" applyFill="1" applyBorder="1"/>
    <xf numFmtId="178" fontId="5" fillId="12" borderId="12" xfId="14" applyNumberFormat="1" applyFont="1" applyFill="1" applyBorder="1"/>
    <xf numFmtId="178" fontId="1" fillId="0" borderId="0" xfId="14" applyNumberFormat="1"/>
    <xf numFmtId="0" fontId="1" fillId="13" borderId="0" xfId="14" applyFill="1"/>
    <xf numFmtId="181" fontId="1" fillId="0" borderId="0" xfId="14" applyNumberFormat="1"/>
    <xf numFmtId="0" fontId="1" fillId="0" borderId="11" xfId="14" applyFill="1" applyBorder="1"/>
    <xf numFmtId="178" fontId="5" fillId="0" borderId="12" xfId="14" applyNumberFormat="1" applyFont="1" applyFill="1" applyBorder="1"/>
    <xf numFmtId="0" fontId="1" fillId="10" borderId="0" xfId="14" applyFill="1"/>
    <xf numFmtId="0" fontId="1" fillId="4" borderId="0" xfId="14" applyFill="1"/>
    <xf numFmtId="0" fontId="1" fillId="0" borderId="0" xfId="0" applyFont="1" applyFill="1" applyAlignment="1"/>
    <xf numFmtId="0" fontId="4" fillId="0" borderId="5" xfId="14" applyFont="1" applyBorder="1" applyAlignment="1">
      <alignment horizontal="center"/>
    </xf>
    <xf numFmtId="0" fontId="4" fillId="0" borderId="3" xfId="14" applyFont="1" applyBorder="1" applyAlignment="1">
      <alignment horizontal="center"/>
    </xf>
    <xf numFmtId="0" fontId="4" fillId="0" borderId="4" xfId="14" applyFont="1" applyBorder="1" applyAlignment="1">
      <alignment horizontal="center"/>
    </xf>
    <xf numFmtId="0" fontId="5" fillId="0" borderId="2" xfId="14" applyFont="1" applyBorder="1" applyAlignment="1">
      <alignment horizontal="center" vertical="center"/>
    </xf>
    <xf numFmtId="0" fontId="1" fillId="0" borderId="2" xfId="14" applyBorder="1" applyAlignment="1">
      <alignment horizontal="center" vertical="distributed"/>
    </xf>
    <xf numFmtId="0" fontId="5" fillId="4" borderId="2" xfId="14" applyFont="1" applyFill="1" applyBorder="1" applyAlignment="1">
      <alignment horizontal="center" vertical="distributed"/>
    </xf>
    <xf numFmtId="0" fontId="1" fillId="4" borderId="0" xfId="14" applyFill="1" applyAlignment="1">
      <alignment horizontal="center" vertical="distributed"/>
    </xf>
    <xf numFmtId="0" fontId="5" fillId="10" borderId="2" xfId="14" applyFont="1" applyFill="1" applyBorder="1"/>
    <xf numFmtId="178" fontId="5" fillId="10" borderId="2" xfId="14" applyNumberFormat="1" applyFont="1" applyFill="1" applyBorder="1" applyAlignment="1">
      <alignment horizontal="right" vertical="distributed"/>
    </xf>
    <xf numFmtId="178" fontId="5" fillId="4" borderId="0" xfId="14" applyNumberFormat="1" applyFont="1" applyFill="1" applyAlignment="1">
      <alignment horizontal="right" vertical="distributed"/>
    </xf>
    <xf numFmtId="0" fontId="1" fillId="4" borderId="2" xfId="14" applyFill="1" applyBorder="1"/>
    <xf numFmtId="178" fontId="1" fillId="4" borderId="2" xfId="14" applyNumberFormat="1" applyFill="1" applyBorder="1" applyAlignment="1">
      <alignment horizontal="right"/>
    </xf>
    <xf numFmtId="178" fontId="1" fillId="0" borderId="2" xfId="14" applyNumberFormat="1" applyBorder="1" applyAlignment="1">
      <alignment horizontal="right"/>
    </xf>
    <xf numFmtId="178" fontId="5" fillId="4" borderId="2" xfId="14" applyNumberFormat="1" applyFont="1" applyFill="1" applyBorder="1" applyAlignment="1">
      <alignment horizontal="right"/>
    </xf>
    <xf numFmtId="178" fontId="1" fillId="4" borderId="0" xfId="14" applyNumberFormat="1" applyFill="1"/>
    <xf numFmtId="178" fontId="1" fillId="0" borderId="2" xfId="14" applyNumberFormat="1" applyFill="1" applyBorder="1" applyAlignment="1">
      <alignment horizontal="right"/>
    </xf>
    <xf numFmtId="0" fontId="1" fillId="10" borderId="2" xfId="14" applyFill="1" applyBorder="1"/>
    <xf numFmtId="178" fontId="1" fillId="10" borderId="2" xfId="14" applyNumberFormat="1" applyFill="1" applyBorder="1" applyAlignment="1">
      <alignment horizontal="right"/>
    </xf>
    <xf numFmtId="178" fontId="1" fillId="4" borderId="0" xfId="14" applyNumberFormat="1" applyFill="1" applyAlignment="1">
      <alignment horizontal="right"/>
    </xf>
    <xf numFmtId="178" fontId="5" fillId="10" borderId="2" xfId="14" applyNumberFormat="1" applyFont="1" applyFill="1" applyBorder="1" applyAlignment="1">
      <alignment horizontal="right"/>
    </xf>
    <xf numFmtId="178" fontId="5" fillId="4" borderId="0" xfId="14" applyNumberFormat="1" applyFont="1" applyFill="1" applyAlignment="1">
      <alignment horizontal="right"/>
    </xf>
    <xf numFmtId="178" fontId="5" fillId="13" borderId="2" xfId="14" applyNumberFormat="1" applyFont="1" applyFill="1" applyBorder="1" applyAlignment="1">
      <alignment horizontal="right"/>
    </xf>
    <xf numFmtId="178" fontId="5" fillId="0" borderId="2" xfId="14" applyNumberFormat="1" applyFont="1" applyFill="1" applyBorder="1" applyAlignment="1">
      <alignment horizontal="right"/>
    </xf>
    <xf numFmtId="178" fontId="1" fillId="4" borderId="2" xfId="14" applyNumberFormat="1" applyFont="1" applyFill="1" applyBorder="1" applyAlignment="1">
      <alignment horizontal="right"/>
    </xf>
    <xf numFmtId="0" fontId="5" fillId="14" borderId="2" xfId="14" applyFont="1" applyFill="1" applyBorder="1"/>
    <xf numFmtId="178" fontId="5" fillId="14" borderId="2" xfId="14" applyNumberFormat="1" applyFont="1" applyFill="1" applyBorder="1" applyAlignment="1">
      <alignment horizontal="right"/>
    </xf>
    <xf numFmtId="0" fontId="1" fillId="15" borderId="2" xfId="14" applyFill="1" applyBorder="1"/>
    <xf numFmtId="178" fontId="1" fillId="15" borderId="2" xfId="14" applyNumberFormat="1" applyFill="1" applyBorder="1" applyAlignment="1">
      <alignment horizontal="right"/>
    </xf>
    <xf numFmtId="178" fontId="5" fillId="15" borderId="2" xfId="14" applyNumberFormat="1" applyFont="1" applyFill="1" applyBorder="1" applyAlignment="1">
      <alignment horizontal="right"/>
    </xf>
    <xf numFmtId="178" fontId="1" fillId="15" borderId="2" xfId="14" applyNumberFormat="1" applyFill="1" applyBorder="1"/>
    <xf numFmtId="0" fontId="1" fillId="16" borderId="2" xfId="14" applyFill="1" applyBorder="1"/>
    <xf numFmtId="178" fontId="1" fillId="16" borderId="2" xfId="14" applyNumberFormat="1" applyFill="1" applyBorder="1" applyAlignment="1">
      <alignment horizontal="right"/>
    </xf>
    <xf numFmtId="0" fontId="1" fillId="17" borderId="2" xfId="14" applyFill="1" applyBorder="1"/>
    <xf numFmtId="178" fontId="1" fillId="17" borderId="2" xfId="14" applyNumberFormat="1" applyFill="1" applyBorder="1" applyAlignment="1">
      <alignment horizontal="right"/>
    </xf>
    <xf numFmtId="178" fontId="5" fillId="17" borderId="2" xfId="14" applyNumberFormat="1" applyFont="1" applyFill="1" applyBorder="1" applyAlignment="1">
      <alignment horizontal="right"/>
    </xf>
    <xf numFmtId="178" fontId="1" fillId="17" borderId="2" xfId="14" applyNumberFormat="1" applyFill="1" applyBorder="1"/>
    <xf numFmtId="182" fontId="1" fillId="4" borderId="2" xfId="14" applyNumberFormat="1" applyFill="1" applyBorder="1" applyAlignment="1">
      <alignment horizontal="right"/>
    </xf>
    <xf numFmtId="0" fontId="1" fillId="18" borderId="2" xfId="14" applyFill="1" applyBorder="1"/>
    <xf numFmtId="182" fontId="1" fillId="18" borderId="2" xfId="14" applyNumberFormat="1" applyFill="1" applyBorder="1" applyAlignment="1">
      <alignment horizontal="right"/>
    </xf>
    <xf numFmtId="178" fontId="1" fillId="18" borderId="2" xfId="14" applyNumberFormat="1" applyFill="1" applyBorder="1" applyAlignment="1">
      <alignment horizontal="right"/>
    </xf>
    <xf numFmtId="178" fontId="5" fillId="18" borderId="2" xfId="14" applyNumberFormat="1" applyFont="1" applyFill="1" applyBorder="1" applyAlignment="1">
      <alignment horizontal="right"/>
    </xf>
    <xf numFmtId="0" fontId="1" fillId="19" borderId="2" xfId="14" applyFill="1" applyBorder="1"/>
    <xf numFmtId="182" fontId="1" fillId="19" borderId="2" xfId="14" applyNumberFormat="1" applyFill="1" applyBorder="1" applyAlignment="1">
      <alignment horizontal="right"/>
    </xf>
    <xf numFmtId="178" fontId="1" fillId="19" borderId="2" xfId="14" applyNumberFormat="1" applyFill="1" applyBorder="1" applyAlignment="1">
      <alignment horizontal="right"/>
    </xf>
    <xf numFmtId="178" fontId="5" fillId="19" borderId="2" xfId="14" applyNumberFormat="1" applyFont="1" applyFill="1" applyBorder="1" applyAlignment="1">
      <alignment horizontal="right"/>
    </xf>
    <xf numFmtId="178" fontId="1" fillId="19" borderId="2" xfId="14" applyNumberFormat="1" applyFill="1" applyBorder="1"/>
    <xf numFmtId="0" fontId="1" fillId="20" borderId="2" xfId="14" applyFill="1" applyBorder="1"/>
    <xf numFmtId="182" fontId="1" fillId="20" borderId="2" xfId="14" applyNumberFormat="1" applyFill="1" applyBorder="1" applyAlignment="1">
      <alignment horizontal="right"/>
    </xf>
    <xf numFmtId="182" fontId="5" fillId="20" borderId="2" xfId="14" applyNumberFormat="1" applyFont="1" applyFill="1" applyBorder="1" applyAlignment="1">
      <alignment horizontal="right"/>
    </xf>
    <xf numFmtId="0" fontId="1" fillId="21" borderId="2" xfId="14" applyFill="1" applyBorder="1"/>
    <xf numFmtId="182" fontId="1" fillId="21" borderId="2" xfId="14" applyNumberFormat="1" applyFill="1" applyBorder="1" applyAlignment="1">
      <alignment horizontal="right"/>
    </xf>
    <xf numFmtId="178" fontId="1" fillId="11" borderId="2" xfId="14" applyNumberFormat="1" applyFill="1" applyBorder="1" applyAlignment="1">
      <alignment horizontal="right"/>
    </xf>
    <xf numFmtId="178" fontId="5" fillId="21" borderId="2" xfId="14" applyNumberFormat="1" applyFont="1" applyFill="1" applyBorder="1" applyAlignment="1">
      <alignment horizontal="right"/>
    </xf>
    <xf numFmtId="178" fontId="1" fillId="21" borderId="2" xfId="14" applyNumberFormat="1" applyFill="1" applyBorder="1"/>
    <xf numFmtId="0" fontId="1" fillId="22" borderId="2" xfId="14" applyFill="1" applyBorder="1"/>
    <xf numFmtId="182" fontId="1" fillId="22" borderId="2" xfId="14" applyNumberFormat="1" applyFill="1" applyBorder="1" applyAlignment="1">
      <alignment horizontal="right"/>
    </xf>
    <xf numFmtId="182" fontId="1" fillId="4" borderId="0" xfId="14" applyNumberFormat="1" applyFill="1" applyAlignment="1">
      <alignment horizontal="right"/>
    </xf>
    <xf numFmtId="0" fontId="1" fillId="23" borderId="2" xfId="14" applyFill="1" applyBorder="1"/>
    <xf numFmtId="182" fontId="1" fillId="23" borderId="2" xfId="14" applyNumberFormat="1" applyFill="1" applyBorder="1" applyAlignment="1">
      <alignment horizontal="right"/>
    </xf>
    <xf numFmtId="178" fontId="5" fillId="23" borderId="2" xfId="14" applyNumberFormat="1" applyFont="1" applyFill="1" applyBorder="1" applyAlignment="1">
      <alignment horizontal="right"/>
    </xf>
    <xf numFmtId="178" fontId="1" fillId="23" borderId="2" xfId="14" applyNumberFormat="1" applyFill="1" applyBorder="1"/>
    <xf numFmtId="0" fontId="1" fillId="4" borderId="0" xfId="0" applyFont="1" applyFill="1" applyAlignment="1"/>
    <xf numFmtId="0" fontId="1" fillId="24" borderId="2" xfId="14" applyFill="1" applyBorder="1"/>
    <xf numFmtId="182" fontId="1" fillId="24" borderId="2" xfId="14" applyNumberFormat="1" applyFill="1" applyBorder="1" applyAlignment="1">
      <alignment horizontal="right"/>
    </xf>
    <xf numFmtId="182" fontId="5" fillId="24" borderId="2" xfId="14" applyNumberFormat="1" applyFont="1" applyFill="1" applyBorder="1" applyAlignment="1">
      <alignment horizontal="right"/>
    </xf>
    <xf numFmtId="182" fontId="5" fillId="4" borderId="0" xfId="14" applyNumberFormat="1" applyFont="1" applyFill="1" applyAlignment="1">
      <alignment horizontal="right"/>
    </xf>
    <xf numFmtId="0" fontId="1" fillId="25" borderId="2" xfId="14" applyFill="1" applyBorder="1"/>
    <xf numFmtId="182" fontId="1" fillId="25" borderId="2" xfId="14" applyNumberFormat="1" applyFill="1" applyBorder="1" applyAlignment="1">
      <alignment horizontal="right"/>
    </xf>
    <xf numFmtId="178" fontId="5" fillId="25" borderId="2" xfId="14" applyNumberFormat="1" applyFont="1" applyFill="1" applyBorder="1" applyAlignment="1">
      <alignment horizontal="right"/>
    </xf>
    <xf numFmtId="178" fontId="1" fillId="25" borderId="2" xfId="14" applyNumberFormat="1" applyFill="1" applyBorder="1"/>
    <xf numFmtId="0" fontId="1" fillId="26" borderId="2" xfId="14" applyFill="1" applyBorder="1"/>
    <xf numFmtId="182" fontId="1" fillId="26" borderId="2" xfId="14" applyNumberFormat="1" applyFill="1" applyBorder="1" applyAlignment="1">
      <alignment horizontal="right"/>
    </xf>
    <xf numFmtId="182" fontId="5" fillId="26" borderId="2" xfId="14" applyNumberFormat="1" applyFont="1" applyFill="1" applyBorder="1" applyAlignment="1">
      <alignment horizontal="right"/>
    </xf>
    <xf numFmtId="0" fontId="1" fillId="27" borderId="2" xfId="14" applyFill="1" applyBorder="1"/>
    <xf numFmtId="182" fontId="1" fillId="27" borderId="2" xfId="14" applyNumberFormat="1" applyFill="1" applyBorder="1" applyAlignment="1">
      <alignment horizontal="right"/>
    </xf>
    <xf numFmtId="178" fontId="7" fillId="28" borderId="2" xfId="14" applyNumberFormat="1" applyFont="1" applyFill="1" applyBorder="1" applyAlignment="1">
      <alignment horizontal="right"/>
    </xf>
    <xf numFmtId="178" fontId="5" fillId="28" borderId="2" xfId="14" applyNumberFormat="1" applyFont="1" applyFill="1" applyBorder="1" applyAlignment="1">
      <alignment horizontal="right"/>
    </xf>
    <xf numFmtId="178" fontId="1" fillId="27" borderId="2" xfId="14" applyNumberFormat="1" applyFill="1" applyBorder="1"/>
    <xf numFmtId="0" fontId="1" fillId="29" borderId="2" xfId="14" applyFill="1" applyBorder="1"/>
    <xf numFmtId="182" fontId="1" fillId="29" borderId="2" xfId="14" applyNumberFormat="1" applyFill="1" applyBorder="1" applyAlignment="1">
      <alignment horizontal="right"/>
    </xf>
    <xf numFmtId="182" fontId="5" fillId="29" borderId="2" xfId="14" applyNumberFormat="1" applyFont="1" applyFill="1" applyBorder="1" applyAlignment="1">
      <alignment horizontal="right"/>
    </xf>
    <xf numFmtId="0" fontId="1" fillId="30" borderId="2" xfId="14" applyFill="1" applyBorder="1"/>
    <xf numFmtId="182" fontId="1" fillId="30" borderId="2" xfId="14" applyNumberFormat="1" applyFill="1" applyBorder="1" applyAlignment="1">
      <alignment horizontal="right"/>
    </xf>
    <xf numFmtId="178" fontId="5" fillId="30" borderId="2" xfId="14" applyNumberFormat="1" applyFont="1" applyFill="1" applyBorder="1" applyAlignment="1">
      <alignment horizontal="right"/>
    </xf>
    <xf numFmtId="178" fontId="1" fillId="30" borderId="2" xfId="14" applyNumberFormat="1" applyFill="1" applyBorder="1"/>
    <xf numFmtId="0" fontId="1" fillId="31" borderId="2" xfId="14" applyFill="1" applyBorder="1"/>
    <xf numFmtId="182" fontId="1" fillId="31" borderId="2" xfId="14" applyNumberFormat="1" applyFill="1" applyBorder="1" applyAlignment="1">
      <alignment horizontal="right"/>
    </xf>
    <xf numFmtId="178" fontId="5" fillId="31" borderId="2" xfId="14" applyNumberFormat="1" applyFont="1" applyFill="1" applyBorder="1" applyAlignment="1">
      <alignment horizontal="right"/>
    </xf>
    <xf numFmtId="178" fontId="1" fillId="31" borderId="2" xfId="14" applyNumberFormat="1" applyFill="1" applyBorder="1"/>
    <xf numFmtId="0" fontId="1" fillId="32" borderId="2" xfId="14" applyFill="1" applyBorder="1"/>
    <xf numFmtId="182" fontId="1" fillId="32" borderId="2" xfId="14" applyNumberFormat="1" applyFill="1" applyBorder="1" applyAlignment="1">
      <alignment horizontal="right"/>
    </xf>
    <xf numFmtId="178" fontId="1" fillId="32" borderId="2" xfId="14" applyNumberFormat="1" applyFill="1" applyBorder="1" applyAlignment="1">
      <alignment horizontal="right"/>
    </xf>
    <xf numFmtId="178" fontId="5" fillId="32" borderId="2" xfId="14" applyNumberFormat="1" applyFont="1" applyFill="1" applyBorder="1" applyAlignment="1">
      <alignment horizontal="right"/>
    </xf>
    <xf numFmtId="178" fontId="1" fillId="32" borderId="2" xfId="14" applyNumberFormat="1" applyFill="1" applyBorder="1"/>
    <xf numFmtId="182" fontId="1" fillId="0" borderId="2" xfId="14" applyNumberFormat="1" applyBorder="1" applyAlignment="1">
      <alignment horizontal="right"/>
    </xf>
    <xf numFmtId="0" fontId="1" fillId="33" borderId="2" xfId="14" applyFill="1" applyBorder="1"/>
    <xf numFmtId="182" fontId="1" fillId="33" borderId="2" xfId="14" applyNumberFormat="1" applyFill="1" applyBorder="1" applyAlignment="1">
      <alignment horizontal="right"/>
    </xf>
    <xf numFmtId="0" fontId="1" fillId="34" borderId="2" xfId="14" applyFill="1" applyBorder="1"/>
    <xf numFmtId="182" fontId="1" fillId="34" borderId="2" xfId="14" applyNumberFormat="1" applyFill="1" applyBorder="1" applyAlignment="1">
      <alignment horizontal="right"/>
    </xf>
    <xf numFmtId="178" fontId="5" fillId="34" borderId="2" xfId="14" applyNumberFormat="1" applyFont="1" applyFill="1" applyBorder="1" applyAlignment="1">
      <alignment horizontal="right"/>
    </xf>
    <xf numFmtId="178" fontId="1" fillId="34" borderId="2" xfId="14" applyNumberFormat="1" applyFill="1" applyBorder="1"/>
    <xf numFmtId="182" fontId="5" fillId="10" borderId="2" xfId="14" applyNumberFormat="1" applyFont="1" applyFill="1" applyBorder="1" applyAlignment="1">
      <alignment horizontal="right"/>
    </xf>
    <xf numFmtId="0" fontId="5" fillId="4" borderId="2" xfId="14" applyFont="1" applyFill="1" applyBorder="1"/>
    <xf numFmtId="182" fontId="5" fillId="4" borderId="2" xfId="14" applyNumberFormat="1" applyFont="1" applyFill="1" applyBorder="1" applyAlignment="1">
      <alignment horizontal="right"/>
    </xf>
    <xf numFmtId="0" fontId="5" fillId="35" borderId="2" xfId="14" applyFont="1" applyFill="1" applyBorder="1"/>
    <xf numFmtId="182" fontId="5" fillId="35" borderId="2" xfId="14" applyNumberFormat="1" applyFont="1" applyFill="1" applyBorder="1" applyAlignment="1">
      <alignment horizontal="right"/>
    </xf>
    <xf numFmtId="0" fontId="1" fillId="36" borderId="2" xfId="14" applyFill="1" applyBorder="1"/>
    <xf numFmtId="182" fontId="5" fillId="36" borderId="2" xfId="14" applyNumberFormat="1" applyFont="1" applyFill="1" applyBorder="1" applyAlignment="1">
      <alignment horizontal="right"/>
    </xf>
    <xf numFmtId="178" fontId="1" fillId="36" borderId="2" xfId="14" applyNumberFormat="1" applyFill="1" applyBorder="1" applyAlignment="1">
      <alignment horizontal="right"/>
    </xf>
    <xf numFmtId="178" fontId="5" fillId="36" borderId="2" xfId="14" applyNumberFormat="1" applyFont="1" applyFill="1" applyBorder="1" applyAlignment="1">
      <alignment horizontal="right"/>
    </xf>
    <xf numFmtId="178" fontId="1" fillId="36" borderId="2" xfId="14" applyNumberFormat="1" applyFill="1" applyBorder="1"/>
    <xf numFmtId="182" fontId="1" fillId="36" borderId="2" xfId="14" applyNumberFormat="1" applyFill="1" applyBorder="1" applyAlignment="1">
      <alignment horizontal="right"/>
    </xf>
    <xf numFmtId="182" fontId="1" fillId="36" borderId="2" xfId="14" applyNumberFormat="1" applyFill="1" applyBorder="1"/>
    <xf numFmtId="182" fontId="1" fillId="0" borderId="2" xfId="14" applyNumberFormat="1" applyBorder="1"/>
    <xf numFmtId="0" fontId="1" fillId="37" borderId="0" xfId="14" applyFill="1"/>
    <xf numFmtId="182" fontId="1" fillId="37" borderId="2" xfId="14" applyNumberFormat="1" applyFill="1" applyBorder="1"/>
    <xf numFmtId="0" fontId="1" fillId="38" borderId="2" xfId="14" applyFill="1" applyBorder="1"/>
    <xf numFmtId="182" fontId="1" fillId="38" borderId="2" xfId="14" applyNumberFormat="1" applyFill="1" applyBorder="1"/>
    <xf numFmtId="182" fontId="1" fillId="32" borderId="2" xfId="14" applyNumberFormat="1" applyFill="1" applyBorder="1"/>
    <xf numFmtId="182" fontId="5" fillId="32" borderId="2" xfId="14" applyNumberFormat="1" applyFont="1" applyFill="1" applyBorder="1" applyAlignment="1">
      <alignment horizontal="right"/>
    </xf>
    <xf numFmtId="0" fontId="1" fillId="39" borderId="2" xfId="14" applyFill="1" applyBorder="1"/>
    <xf numFmtId="182" fontId="1" fillId="39" borderId="2" xfId="14" applyNumberFormat="1" applyFill="1" applyBorder="1"/>
    <xf numFmtId="178" fontId="1" fillId="39" borderId="2" xfId="14" applyNumberFormat="1" applyFill="1" applyBorder="1"/>
    <xf numFmtId="0" fontId="1" fillId="40" borderId="2" xfId="14" applyFill="1" applyBorder="1"/>
    <xf numFmtId="182" fontId="7" fillId="40" borderId="2" xfId="14" applyNumberFormat="1" applyFont="1" applyFill="1" applyBorder="1"/>
    <xf numFmtId="182" fontId="5" fillId="40" borderId="2" xfId="14" applyNumberFormat="1" applyFont="1" applyFill="1" applyBorder="1" applyAlignment="1">
      <alignment horizontal="right"/>
    </xf>
    <xf numFmtId="178" fontId="1" fillId="40" borderId="2" xfId="14" applyNumberFormat="1" applyFill="1" applyBorder="1"/>
    <xf numFmtId="182" fontId="1" fillId="4" borderId="2" xfId="14" applyNumberFormat="1" applyFill="1" applyBorder="1"/>
    <xf numFmtId="182" fontId="8" fillId="40" borderId="2" xfId="14" applyNumberFormat="1" applyFont="1" applyFill="1" applyBorder="1"/>
    <xf numFmtId="182" fontId="1" fillId="4" borderId="0" xfId="14" applyNumberFormat="1" applyFill="1"/>
    <xf numFmtId="0" fontId="1" fillId="41" borderId="2" xfId="14" applyFill="1" applyBorder="1"/>
    <xf numFmtId="182" fontId="1" fillId="41" borderId="2" xfId="14" applyNumberFormat="1" applyFill="1" applyBorder="1"/>
    <xf numFmtId="178" fontId="1" fillId="41" borderId="2" xfId="14" applyNumberFormat="1" applyFill="1" applyBorder="1"/>
    <xf numFmtId="182" fontId="5" fillId="13" borderId="2" xfId="14" applyNumberFormat="1" applyFont="1" applyFill="1" applyBorder="1" applyAlignment="1">
      <alignment horizontal="right"/>
    </xf>
    <xf numFmtId="182" fontId="1" fillId="0" borderId="0" xfId="14" applyNumberFormat="1"/>
    <xf numFmtId="0" fontId="1" fillId="42" borderId="2" xfId="14" applyFill="1" applyBorder="1"/>
    <xf numFmtId="2" fontId="1" fillId="42" borderId="2" xfId="14" applyNumberFormat="1" applyFill="1" applyBorder="1"/>
    <xf numFmtId="182" fontId="1" fillId="42" borderId="2" xfId="14" applyNumberFormat="1" applyFill="1" applyBorder="1" applyAlignment="1">
      <alignment horizontal="right"/>
    </xf>
    <xf numFmtId="2" fontId="5" fillId="42" borderId="2" xfId="14" applyNumberFormat="1" applyFont="1" applyFill="1" applyBorder="1"/>
    <xf numFmtId="178" fontId="1" fillId="42" borderId="2" xfId="14" applyNumberFormat="1" applyFill="1" applyBorder="1"/>
    <xf numFmtId="182" fontId="5" fillId="10" borderId="2" xfId="14" applyNumberFormat="1" applyFont="1" applyFill="1" applyBorder="1"/>
    <xf numFmtId="178" fontId="5" fillId="10" borderId="2" xfId="14" applyNumberFormat="1" applyFont="1" applyFill="1" applyBorder="1"/>
    <xf numFmtId="178" fontId="5" fillId="13" borderId="2" xfId="14" applyNumberFormat="1" applyFont="1" applyFill="1" applyBorder="1"/>
    <xf numFmtId="178" fontId="5" fillId="4" borderId="0" xfId="14" applyNumberFormat="1" applyFont="1" applyFill="1"/>
    <xf numFmtId="182" fontId="5" fillId="4" borderId="2" xfId="14" applyNumberFormat="1" applyFont="1" applyFill="1" applyBorder="1"/>
    <xf numFmtId="182" fontId="5" fillId="4" borderId="0" xfId="14" applyNumberFormat="1" applyFont="1" applyFill="1"/>
    <xf numFmtId="182" fontId="5" fillId="0" borderId="2" xfId="14" applyNumberFormat="1" applyFont="1" applyFill="1" applyBorder="1"/>
    <xf numFmtId="182" fontId="1" fillId="0" borderId="2" xfId="14" applyNumberFormat="1" applyFont="1" applyBorder="1" applyAlignment="1">
      <alignment horizontal="right"/>
    </xf>
    <xf numFmtId="182" fontId="1" fillId="4" borderId="2" xfId="14" applyNumberFormat="1" applyFont="1" applyFill="1" applyBorder="1"/>
    <xf numFmtId="178" fontId="1" fillId="4" borderId="0" xfId="14" applyNumberFormat="1" applyFont="1" applyFill="1"/>
    <xf numFmtId="0" fontId="1" fillId="0" borderId="0" xfId="14" applyFont="1"/>
    <xf numFmtId="0" fontId="5" fillId="0" borderId="2" xfId="14" applyFont="1" applyBorder="1" applyAlignment="1">
      <alignment horizontal="center"/>
    </xf>
    <xf numFmtId="178" fontId="5" fillId="0" borderId="0" xfId="14" applyNumberFormat="1" applyFont="1"/>
  </cellXfs>
  <cellStyles count="51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Normal 2" xfId="14"/>
    <cellStyle name="40% - Ênfase 6" xfId="15" builtinId="51"/>
    <cellStyle name="Texto de Aviso" xfId="16" builtinId="11"/>
    <cellStyle name="Título" xfId="17" builtinId="15"/>
    <cellStyle name="Texto Explicativo" xfId="18" builtinId="53"/>
    <cellStyle name="Ênfase 3" xfId="19" builtinId="37"/>
    <cellStyle name="Título 1" xfId="20" builtinId="16"/>
    <cellStyle name="Ênfase 4" xfId="21" builtinId="41"/>
    <cellStyle name="Título 2" xfId="22" builtinId="17"/>
    <cellStyle name="Ênfase 5" xfId="23" builtinId="45"/>
    <cellStyle name="Título 3" xfId="24" builtinId="18"/>
    <cellStyle name="Ênfase 6" xfId="25" builtinId="49"/>
    <cellStyle name="Título 4" xfId="26" builtinId="19"/>
    <cellStyle name="Entrada" xfId="27" builtinId="20"/>
    <cellStyle name="Saída" xfId="28" builtinId="21"/>
    <cellStyle name="Cálculo" xfId="29" builtinId="22"/>
    <cellStyle name="Total" xfId="30" builtinId="25"/>
    <cellStyle name="40% - Ênfase 1" xfId="31" builtinId="31"/>
    <cellStyle name="Bom" xfId="32" builtinId="26"/>
    <cellStyle name="Ruim" xfId="33" builtinId="27"/>
    <cellStyle name="Neutro" xfId="34" builtinId="28"/>
    <cellStyle name="20% - Ênfase 5" xfId="35" builtinId="46"/>
    <cellStyle name="Ênfase 1" xfId="36" builtinId="29"/>
    <cellStyle name="20% - Ênfase 1" xfId="37" builtinId="30"/>
    <cellStyle name="60% - Ênfase 1" xfId="38" builtinId="32"/>
    <cellStyle name="20% - Ênfase 6" xfId="39" builtinId="50"/>
    <cellStyle name="Ênfase 2" xfId="40" builtinId="33"/>
    <cellStyle name="20% - Ênfase 2" xfId="41" builtinId="34"/>
    <cellStyle name="60% - Ênfase 2" xfId="42" builtinId="36"/>
    <cellStyle name="40% - Ênfase 3" xfId="43" builtinId="39"/>
    <cellStyle name="60% - Ênfase 3" xfId="44" builtinId="40"/>
    <cellStyle name="20% - Ênfase 4" xfId="45" builtinId="42"/>
    <cellStyle name="60% - Ênfase 4" xfId="46" builtinId="44"/>
    <cellStyle name="40% - Ênfase 5" xfId="47" builtinId="47"/>
    <cellStyle name="60% - Ênfase 5" xfId="48" builtinId="48"/>
    <cellStyle name="60% - Ênfase 6" xfId="49" builtinId="52"/>
    <cellStyle name="Normal 3" xfId="50"/>
  </cellStyles>
  <tableStyles count="0" defaultTableStyle="TableStyleMedium9"/>
  <colors>
    <mruColors>
      <color rgb="00E6FBB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4"/>
  <sheetViews>
    <sheetView showGridLines="0" tabSelected="1" zoomScale="80" zoomScaleNormal="80" topLeftCell="A113" workbookViewId="0">
      <selection activeCell="E131" sqref="E131"/>
    </sheetView>
  </sheetViews>
  <sheetFormatPr defaultColWidth="9" defaultRowHeight="12.75"/>
  <cols>
    <col min="1" max="1" width="64.2857142857143" style="29" customWidth="1"/>
    <col min="2" max="2" width="15.2857142857143" style="29" customWidth="1"/>
    <col min="3" max="3" width="15" style="29" customWidth="1"/>
    <col min="4" max="4" width="13.7142857142857" style="29" customWidth="1"/>
    <col min="5" max="7" width="15.5714285714286" style="29" customWidth="1"/>
    <col min="8" max="8" width="9.14285714285714" style="29"/>
    <col min="9" max="9" width="15.2857142857143" style="29" customWidth="1"/>
    <col min="10" max="16384" width="9.14285714285714" style="29"/>
  </cols>
  <sheetData>
    <row r="1" ht="18" spans="1:7">
      <c r="A1" s="76" t="s">
        <v>0</v>
      </c>
      <c r="B1" s="77"/>
      <c r="C1" s="77"/>
      <c r="D1" s="77"/>
      <c r="E1" s="77"/>
      <c r="F1" s="78"/>
      <c r="G1" s="30"/>
    </row>
    <row r="2" ht="66.75" customHeight="1" spans="1:8">
      <c r="A2" s="79" t="s">
        <v>1</v>
      </c>
      <c r="B2" s="80" t="s">
        <v>2</v>
      </c>
      <c r="C2" s="80" t="s">
        <v>3</v>
      </c>
      <c r="D2" s="80" t="s">
        <v>4</v>
      </c>
      <c r="E2" s="81" t="s">
        <v>5</v>
      </c>
      <c r="F2" s="80" t="s">
        <v>6</v>
      </c>
      <c r="G2" s="82"/>
      <c r="H2" s="74"/>
    </row>
    <row r="3" spans="1:9">
      <c r="A3" s="83" t="s">
        <v>7</v>
      </c>
      <c r="B3" s="84">
        <f>B4+B24+B45</f>
        <v>10691200</v>
      </c>
      <c r="C3" s="84">
        <f>C4+C24+C45</f>
        <v>2713696.58</v>
      </c>
      <c r="D3" s="84">
        <f>D4+D24+D45</f>
        <v>7244952.3775</v>
      </c>
      <c r="E3" s="84">
        <f>E4+E24+E45</f>
        <v>9958648.9575</v>
      </c>
      <c r="F3" s="84">
        <f>F4+F24+F45</f>
        <v>-732551.0425</v>
      </c>
      <c r="G3" s="85"/>
      <c r="H3" s="74"/>
      <c r="I3" s="68"/>
    </row>
    <row r="4" spans="1:9">
      <c r="A4" s="83" t="s">
        <v>8</v>
      </c>
      <c r="B4" s="84">
        <f>SUM(B5:B23)</f>
        <v>7799400</v>
      </c>
      <c r="C4" s="84">
        <f>SUM(C5:C23)</f>
        <v>2233463.06</v>
      </c>
      <c r="D4" s="84">
        <f>SUM(D5:D23)</f>
        <v>5897173.0375</v>
      </c>
      <c r="E4" s="84">
        <f>SUM(E5:E23)</f>
        <v>8130636.0975</v>
      </c>
      <c r="F4" s="84">
        <f>SUM(F5:F23)</f>
        <v>331236.0975</v>
      </c>
      <c r="G4" s="85"/>
      <c r="H4" s="74"/>
      <c r="I4" s="68"/>
    </row>
    <row r="5" spans="1:8">
      <c r="A5" s="86" t="s">
        <v>9</v>
      </c>
      <c r="B5" s="87">
        <v>1400000</v>
      </c>
      <c r="C5" s="87">
        <v>418656.86</v>
      </c>
      <c r="D5" s="88">
        <f>(C5/4)*9</f>
        <v>941977.935</v>
      </c>
      <c r="E5" s="89">
        <f t="shared" ref="E5:E23" si="0">C5+D5</f>
        <v>1360634.795</v>
      </c>
      <c r="F5" s="44">
        <f t="shared" ref="F5:F23" si="1">E5-B5</f>
        <v>-39365.2050000001</v>
      </c>
      <c r="G5" s="90"/>
      <c r="H5" s="74"/>
    </row>
    <row r="6" spans="1:8">
      <c r="A6" s="86" t="s">
        <v>10</v>
      </c>
      <c r="B6" s="87">
        <v>13000</v>
      </c>
      <c r="C6" s="87">
        <v>4254.77</v>
      </c>
      <c r="D6" s="88">
        <f>(C6/4)*9</f>
        <v>9573.2325</v>
      </c>
      <c r="E6" s="89">
        <f t="shared" si="0"/>
        <v>13828.0025</v>
      </c>
      <c r="F6" s="44">
        <f t="shared" si="1"/>
        <v>828.002500000002</v>
      </c>
      <c r="G6" s="90"/>
      <c r="H6" s="74"/>
    </row>
    <row r="7" spans="1:8">
      <c r="A7" s="86" t="s">
        <v>11</v>
      </c>
      <c r="B7" s="87">
        <v>265000</v>
      </c>
      <c r="C7" s="87">
        <v>94348.16</v>
      </c>
      <c r="D7" s="88">
        <f>(C7/4)*9</f>
        <v>212283.36</v>
      </c>
      <c r="E7" s="89">
        <f t="shared" si="0"/>
        <v>306631.52</v>
      </c>
      <c r="F7" s="44">
        <f t="shared" si="1"/>
        <v>41631.52</v>
      </c>
      <c r="G7" s="90"/>
      <c r="H7" s="74"/>
    </row>
    <row r="8" spans="1:8">
      <c r="A8" s="86" t="s">
        <v>12</v>
      </c>
      <c r="B8" s="87">
        <v>55000</v>
      </c>
      <c r="C8" s="87">
        <v>15503.32</v>
      </c>
      <c r="D8" s="88">
        <f>(C8/4)*9</f>
        <v>34882.47</v>
      </c>
      <c r="E8" s="89">
        <f t="shared" si="0"/>
        <v>50385.79</v>
      </c>
      <c r="F8" s="44">
        <f t="shared" si="1"/>
        <v>-4614.21</v>
      </c>
      <c r="G8" s="90"/>
      <c r="H8" s="74"/>
    </row>
    <row r="9" spans="1:8">
      <c r="A9" s="86" t="s">
        <v>13</v>
      </c>
      <c r="B9" s="87">
        <v>28000</v>
      </c>
      <c r="C9" s="87">
        <v>7426.24</v>
      </c>
      <c r="D9" s="88">
        <f>(C9/4)*9</f>
        <v>16709.04</v>
      </c>
      <c r="E9" s="89">
        <f t="shared" si="0"/>
        <v>24135.28</v>
      </c>
      <c r="F9" s="44">
        <f t="shared" si="1"/>
        <v>-3864.72</v>
      </c>
      <c r="G9" s="90"/>
      <c r="H9" s="74"/>
    </row>
    <row r="10" spans="1:8">
      <c r="A10" s="86" t="s">
        <v>14</v>
      </c>
      <c r="B10" s="87">
        <v>25000</v>
      </c>
      <c r="C10" s="87">
        <v>8508.52</v>
      </c>
      <c r="D10" s="88">
        <f>(C10/4)*8</f>
        <v>17017.04</v>
      </c>
      <c r="E10" s="89">
        <f t="shared" si="0"/>
        <v>25525.56</v>
      </c>
      <c r="F10" s="44">
        <f t="shared" si="1"/>
        <v>525.560000000001</v>
      </c>
      <c r="G10" s="90"/>
      <c r="H10" s="74"/>
    </row>
    <row r="11" spans="1:8">
      <c r="A11" s="86" t="s">
        <v>15</v>
      </c>
      <c r="B11" s="87">
        <v>100</v>
      </c>
      <c r="C11" s="87">
        <v>70.86</v>
      </c>
      <c r="D11" s="88">
        <f>(C11/4)*8</f>
        <v>141.72</v>
      </c>
      <c r="E11" s="89">
        <f t="shared" si="0"/>
        <v>212.58</v>
      </c>
      <c r="F11" s="44">
        <f t="shared" si="1"/>
        <v>112.58</v>
      </c>
      <c r="G11" s="90"/>
      <c r="H11" s="74"/>
    </row>
    <row r="12" spans="1:8">
      <c r="A12" s="86" t="s">
        <v>16</v>
      </c>
      <c r="B12" s="87">
        <v>1640000</v>
      </c>
      <c r="C12" s="87">
        <v>115636.92</v>
      </c>
      <c r="D12" s="91">
        <f>B12-C12</f>
        <v>1524363.08</v>
      </c>
      <c r="E12" s="89">
        <f t="shared" si="0"/>
        <v>1640000</v>
      </c>
      <c r="F12" s="44">
        <f t="shared" si="1"/>
        <v>0</v>
      </c>
      <c r="G12" s="90"/>
      <c r="H12" s="74"/>
    </row>
    <row r="13" spans="1:8">
      <c r="A13" s="86" t="s">
        <v>17</v>
      </c>
      <c r="B13" s="87">
        <v>3000</v>
      </c>
      <c r="C13" s="87">
        <v>0</v>
      </c>
      <c r="D13" s="88">
        <v>2000</v>
      </c>
      <c r="E13" s="89">
        <f t="shared" si="0"/>
        <v>2000</v>
      </c>
      <c r="F13" s="44">
        <f t="shared" si="1"/>
        <v>-1000</v>
      </c>
      <c r="G13" s="90"/>
      <c r="H13" s="74"/>
    </row>
    <row r="14" spans="1:8">
      <c r="A14" s="86" t="s">
        <v>18</v>
      </c>
      <c r="B14" s="87">
        <v>100000</v>
      </c>
      <c r="C14" s="87">
        <v>58262.16</v>
      </c>
      <c r="D14" s="91">
        <f>C14/4*8</f>
        <v>116524.32</v>
      </c>
      <c r="E14" s="89">
        <f t="shared" si="0"/>
        <v>174786.48</v>
      </c>
      <c r="F14" s="44">
        <f t="shared" si="1"/>
        <v>74786.48</v>
      </c>
      <c r="G14" s="90"/>
      <c r="H14" s="74"/>
    </row>
    <row r="15" spans="1:8">
      <c r="A15" s="86" t="s">
        <v>19</v>
      </c>
      <c r="B15" s="87">
        <v>20000</v>
      </c>
      <c r="C15" s="87">
        <v>24933.92</v>
      </c>
      <c r="D15" s="91">
        <f>C15/4*8</f>
        <v>49867.84</v>
      </c>
      <c r="E15" s="89">
        <f t="shared" si="0"/>
        <v>74801.76</v>
      </c>
      <c r="F15" s="44">
        <f t="shared" si="1"/>
        <v>54801.76</v>
      </c>
      <c r="G15" s="90"/>
      <c r="H15" s="74"/>
    </row>
    <row r="16" spans="1:8">
      <c r="A16" s="86" t="s">
        <v>20</v>
      </c>
      <c r="B16" s="87">
        <v>746000</v>
      </c>
      <c r="C16" s="87">
        <v>297015.09</v>
      </c>
      <c r="D16" s="88">
        <f>(C16/4)*8</f>
        <v>594030.18</v>
      </c>
      <c r="E16" s="89">
        <f t="shared" si="0"/>
        <v>891045.27</v>
      </c>
      <c r="F16" s="44">
        <f t="shared" si="1"/>
        <v>145045.27</v>
      </c>
      <c r="G16" s="90"/>
      <c r="H16" s="74"/>
    </row>
    <row r="17" spans="1:8">
      <c r="A17" s="86" t="s">
        <v>21</v>
      </c>
      <c r="B17" s="87">
        <v>100</v>
      </c>
      <c r="C17" s="87">
        <v>244.83</v>
      </c>
      <c r="D17" s="88">
        <v>50</v>
      </c>
      <c r="E17" s="89">
        <f t="shared" si="0"/>
        <v>294.83</v>
      </c>
      <c r="F17" s="44">
        <f t="shared" si="1"/>
        <v>194.83</v>
      </c>
      <c r="G17" s="90"/>
      <c r="H17" s="74"/>
    </row>
    <row r="18" spans="1:8">
      <c r="A18" s="86" t="s">
        <v>22</v>
      </c>
      <c r="B18" s="87">
        <v>1000</v>
      </c>
      <c r="C18" s="87">
        <v>0</v>
      </c>
      <c r="D18" s="88">
        <v>500</v>
      </c>
      <c r="E18" s="89">
        <f t="shared" si="0"/>
        <v>500</v>
      </c>
      <c r="F18" s="44">
        <f t="shared" si="1"/>
        <v>-500</v>
      </c>
      <c r="G18" s="90"/>
      <c r="H18" s="74"/>
    </row>
    <row r="19" spans="1:8">
      <c r="A19" s="86" t="s">
        <v>23</v>
      </c>
      <c r="B19" s="87">
        <v>200</v>
      </c>
      <c r="C19" s="87">
        <v>0</v>
      </c>
      <c r="D19" s="88">
        <v>50</v>
      </c>
      <c r="E19" s="89">
        <f t="shared" si="0"/>
        <v>50</v>
      </c>
      <c r="F19" s="44">
        <f t="shared" si="1"/>
        <v>-150</v>
      </c>
      <c r="G19" s="90"/>
      <c r="H19" s="74"/>
    </row>
    <row r="20" spans="1:8">
      <c r="A20" s="86" t="s">
        <v>24</v>
      </c>
      <c r="B20" s="87">
        <v>3425000</v>
      </c>
      <c r="C20" s="87">
        <v>1096527.75</v>
      </c>
      <c r="D20" s="88">
        <f t="shared" ref="D20:D28" si="2">(C20/4)*8</f>
        <v>2193055.5</v>
      </c>
      <c r="E20" s="89">
        <f t="shared" si="0"/>
        <v>3289583.25</v>
      </c>
      <c r="F20" s="44">
        <f t="shared" si="1"/>
        <v>-135416.75</v>
      </c>
      <c r="G20" s="90"/>
      <c r="H20" s="74"/>
    </row>
    <row r="21" spans="1:8">
      <c r="A21" s="86" t="s">
        <v>25</v>
      </c>
      <c r="B21" s="87">
        <v>18000</v>
      </c>
      <c r="C21" s="87">
        <v>39468.98</v>
      </c>
      <c r="D21" s="88">
        <f t="shared" si="2"/>
        <v>78937.96</v>
      </c>
      <c r="E21" s="89">
        <f t="shared" si="0"/>
        <v>118406.94</v>
      </c>
      <c r="F21" s="44">
        <f t="shared" si="1"/>
        <v>100406.94</v>
      </c>
      <c r="G21" s="90"/>
      <c r="H21" s="74"/>
    </row>
    <row r="22" spans="1:8">
      <c r="A22" s="86" t="s">
        <v>26</v>
      </c>
      <c r="B22" s="87">
        <v>50000</v>
      </c>
      <c r="C22" s="87">
        <v>33350.58</v>
      </c>
      <c r="D22" s="88">
        <f t="shared" si="2"/>
        <v>66701.16</v>
      </c>
      <c r="E22" s="89">
        <f t="shared" si="0"/>
        <v>100051.74</v>
      </c>
      <c r="F22" s="44">
        <f t="shared" si="1"/>
        <v>50051.74</v>
      </c>
      <c r="G22" s="90"/>
      <c r="H22" s="74"/>
    </row>
    <row r="23" spans="1:8">
      <c r="A23" s="86" t="s">
        <v>27</v>
      </c>
      <c r="B23" s="87">
        <v>10000</v>
      </c>
      <c r="C23" s="87">
        <v>19254.1</v>
      </c>
      <c r="D23" s="88">
        <f t="shared" si="2"/>
        <v>38508.2</v>
      </c>
      <c r="E23" s="89">
        <f t="shared" si="0"/>
        <v>57762.3</v>
      </c>
      <c r="F23" s="44">
        <f t="shared" si="1"/>
        <v>47762.3</v>
      </c>
      <c r="G23" s="90"/>
      <c r="H23" s="74"/>
    </row>
    <row r="24" s="73" customFormat="1" spans="1:20">
      <c r="A24" s="92" t="s">
        <v>28</v>
      </c>
      <c r="B24" s="93">
        <f>SUM(B25:B44)</f>
        <v>1086800</v>
      </c>
      <c r="C24" s="93">
        <f>SUM(C25:C44)</f>
        <v>207107.13</v>
      </c>
      <c r="D24" s="93">
        <f>SUM(D25:D44)</f>
        <v>801526.56</v>
      </c>
      <c r="E24" s="93">
        <f>SUM(E25:E44)</f>
        <v>1008633.69</v>
      </c>
      <c r="F24" s="93">
        <f>SUM(F25:F44)</f>
        <v>-78166.31</v>
      </c>
      <c r="G24" s="9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</row>
    <row r="25" spans="1:8">
      <c r="A25" s="86" t="s">
        <v>29</v>
      </c>
      <c r="B25" s="87">
        <v>48000</v>
      </c>
      <c r="C25" s="87">
        <v>19423.35</v>
      </c>
      <c r="D25" s="88">
        <f t="shared" si="2"/>
        <v>38846.7</v>
      </c>
      <c r="E25" s="89">
        <f t="shared" ref="E25:E44" si="3">C25+D25</f>
        <v>58270.05</v>
      </c>
      <c r="F25" s="44">
        <f t="shared" ref="F25:F44" si="4">E25-B25</f>
        <v>10270.05</v>
      </c>
      <c r="G25" s="90"/>
      <c r="H25" s="74"/>
    </row>
    <row r="26" spans="1:8">
      <c r="A26" s="86" t="s">
        <v>30</v>
      </c>
      <c r="B26" s="87">
        <v>100</v>
      </c>
      <c r="C26" s="87">
        <v>0</v>
      </c>
      <c r="D26" s="88">
        <f t="shared" si="2"/>
        <v>0</v>
      </c>
      <c r="E26" s="89">
        <f t="shared" si="3"/>
        <v>0</v>
      </c>
      <c r="F26" s="44">
        <f t="shared" si="4"/>
        <v>-100</v>
      </c>
      <c r="G26" s="90"/>
      <c r="H26" s="74"/>
    </row>
    <row r="27" spans="1:8">
      <c r="A27" s="86" t="s">
        <v>30</v>
      </c>
      <c r="B27" s="87">
        <v>1000</v>
      </c>
      <c r="C27" s="87">
        <v>0</v>
      </c>
      <c r="D27" s="88">
        <f t="shared" si="2"/>
        <v>0</v>
      </c>
      <c r="E27" s="89">
        <f t="shared" si="3"/>
        <v>0</v>
      </c>
      <c r="F27" s="44">
        <f t="shared" si="4"/>
        <v>-1000</v>
      </c>
      <c r="G27" s="90"/>
      <c r="H27" s="74"/>
    </row>
    <row r="28" spans="1:8">
      <c r="A28" s="86" t="s">
        <v>30</v>
      </c>
      <c r="B28" s="87">
        <v>200</v>
      </c>
      <c r="C28" s="87">
        <v>0</v>
      </c>
      <c r="D28" s="88">
        <f t="shared" si="2"/>
        <v>0</v>
      </c>
      <c r="E28" s="89">
        <f t="shared" si="3"/>
        <v>0</v>
      </c>
      <c r="F28" s="44">
        <f t="shared" si="4"/>
        <v>-200</v>
      </c>
      <c r="G28" s="90"/>
      <c r="H28" s="74"/>
    </row>
    <row r="29" spans="1:8">
      <c r="A29" s="86" t="s">
        <v>31</v>
      </c>
      <c r="B29" s="87">
        <v>31000</v>
      </c>
      <c r="C29" s="87">
        <v>13548.43</v>
      </c>
      <c r="D29" s="88">
        <f t="shared" ref="D29:D36" si="5">(C29/4)*8</f>
        <v>27096.86</v>
      </c>
      <c r="E29" s="89">
        <f t="shared" si="3"/>
        <v>40645.29</v>
      </c>
      <c r="F29" s="44">
        <f t="shared" si="4"/>
        <v>9645.29</v>
      </c>
      <c r="G29" s="90"/>
      <c r="H29" s="74"/>
    </row>
    <row r="30" spans="1:8">
      <c r="A30" s="86" t="s">
        <v>32</v>
      </c>
      <c r="B30" s="87">
        <v>1000</v>
      </c>
      <c r="C30" s="87">
        <v>77.5</v>
      </c>
      <c r="D30" s="88">
        <f t="shared" si="5"/>
        <v>155</v>
      </c>
      <c r="E30" s="89">
        <f t="shared" si="3"/>
        <v>232.5</v>
      </c>
      <c r="F30" s="44">
        <f t="shared" si="4"/>
        <v>-767.5</v>
      </c>
      <c r="G30" s="90"/>
      <c r="H30" s="74"/>
    </row>
    <row r="31" spans="1:7">
      <c r="A31" s="86" t="s">
        <v>33</v>
      </c>
      <c r="B31" s="87">
        <v>5000</v>
      </c>
      <c r="C31" s="87">
        <v>1454.39</v>
      </c>
      <c r="D31" s="88">
        <f t="shared" si="5"/>
        <v>2908.78</v>
      </c>
      <c r="E31" s="89">
        <f t="shared" si="3"/>
        <v>4363.17</v>
      </c>
      <c r="F31" s="44">
        <f t="shared" si="4"/>
        <v>-636.83</v>
      </c>
      <c r="G31" s="68"/>
    </row>
    <row r="32" spans="1:7">
      <c r="A32" s="86" t="s">
        <v>34</v>
      </c>
      <c r="B32" s="87">
        <v>10000</v>
      </c>
      <c r="C32" s="87">
        <v>448.78</v>
      </c>
      <c r="D32" s="88">
        <f t="shared" si="5"/>
        <v>897.56</v>
      </c>
      <c r="E32" s="89">
        <f t="shared" si="3"/>
        <v>1346.34</v>
      </c>
      <c r="F32" s="44">
        <f t="shared" si="4"/>
        <v>-8653.66</v>
      </c>
      <c r="G32" s="68"/>
    </row>
    <row r="33" spans="1:7">
      <c r="A33" s="86" t="s">
        <v>35</v>
      </c>
      <c r="B33" s="87">
        <v>300000</v>
      </c>
      <c r="C33" s="87">
        <v>32803.35</v>
      </c>
      <c r="D33" s="88">
        <f t="shared" si="5"/>
        <v>65606.7</v>
      </c>
      <c r="E33" s="89">
        <f t="shared" si="3"/>
        <v>98410.05</v>
      </c>
      <c r="F33" s="44">
        <f t="shared" si="4"/>
        <v>-201589.95</v>
      </c>
      <c r="G33" s="68"/>
    </row>
    <row r="34" spans="1:7">
      <c r="A34" s="86" t="s">
        <v>36</v>
      </c>
      <c r="B34" s="87">
        <v>2000</v>
      </c>
      <c r="C34" s="87">
        <v>5.85</v>
      </c>
      <c r="D34" s="88">
        <f t="shared" si="5"/>
        <v>11.7</v>
      </c>
      <c r="E34" s="89">
        <f t="shared" si="3"/>
        <v>17.55</v>
      </c>
      <c r="F34" s="44">
        <f t="shared" si="4"/>
        <v>-1982.45</v>
      </c>
      <c r="G34" s="68"/>
    </row>
    <row r="35" spans="1:7">
      <c r="A35" s="86" t="s">
        <v>37</v>
      </c>
      <c r="B35" s="87">
        <v>40000</v>
      </c>
      <c r="C35" s="87">
        <v>22055.38</v>
      </c>
      <c r="D35" s="88">
        <f t="shared" si="5"/>
        <v>44110.76</v>
      </c>
      <c r="E35" s="89">
        <f t="shared" si="3"/>
        <v>66166.14</v>
      </c>
      <c r="F35" s="44">
        <f t="shared" si="4"/>
        <v>26166.14</v>
      </c>
      <c r="G35" s="68"/>
    </row>
    <row r="36" spans="1:7">
      <c r="A36" s="86" t="s">
        <v>38</v>
      </c>
      <c r="B36" s="87">
        <v>10000</v>
      </c>
      <c r="C36" s="87">
        <v>6586.8</v>
      </c>
      <c r="D36" s="88">
        <f t="shared" si="5"/>
        <v>13173.6</v>
      </c>
      <c r="E36" s="89">
        <f t="shared" si="3"/>
        <v>19760.4</v>
      </c>
      <c r="F36" s="44">
        <f t="shared" si="4"/>
        <v>9760.4</v>
      </c>
      <c r="G36" s="68"/>
    </row>
    <row r="37" spans="1:7">
      <c r="A37" s="86" t="s">
        <v>39</v>
      </c>
      <c r="B37" s="87">
        <v>500000</v>
      </c>
      <c r="C37" s="87">
        <v>37595.9</v>
      </c>
      <c r="D37" s="91">
        <f>B37-C37</f>
        <v>462404.1</v>
      </c>
      <c r="E37" s="89">
        <f t="shared" si="3"/>
        <v>500000</v>
      </c>
      <c r="F37" s="44">
        <f t="shared" si="4"/>
        <v>0</v>
      </c>
      <c r="G37" s="68"/>
    </row>
    <row r="38" spans="1:7">
      <c r="A38" s="86" t="s">
        <v>40</v>
      </c>
      <c r="B38" s="87">
        <v>500</v>
      </c>
      <c r="C38" s="87">
        <v>0</v>
      </c>
      <c r="D38" s="88">
        <v>100</v>
      </c>
      <c r="E38" s="89">
        <f t="shared" si="3"/>
        <v>100</v>
      </c>
      <c r="F38" s="44">
        <f t="shared" si="4"/>
        <v>-400</v>
      </c>
      <c r="G38" s="68"/>
    </row>
    <row r="39" spans="1:7">
      <c r="A39" s="86" t="s">
        <v>41</v>
      </c>
      <c r="B39" s="87">
        <v>40000</v>
      </c>
      <c r="C39" s="87">
        <v>14619.35</v>
      </c>
      <c r="D39" s="88">
        <f t="shared" ref="D39:D44" si="6">(C39/4)*8</f>
        <v>29238.7</v>
      </c>
      <c r="E39" s="89">
        <f t="shared" si="3"/>
        <v>43858.05</v>
      </c>
      <c r="F39" s="44">
        <f t="shared" si="4"/>
        <v>3858.05</v>
      </c>
      <c r="G39" s="68"/>
    </row>
    <row r="40" spans="1:7">
      <c r="A40" s="86" t="s">
        <v>42</v>
      </c>
      <c r="B40" s="87">
        <v>5000</v>
      </c>
      <c r="C40" s="87">
        <v>4255.11</v>
      </c>
      <c r="D40" s="88">
        <f t="shared" si="6"/>
        <v>8510.22</v>
      </c>
      <c r="E40" s="89">
        <f t="shared" si="3"/>
        <v>12765.33</v>
      </c>
      <c r="F40" s="44">
        <f t="shared" si="4"/>
        <v>7765.33</v>
      </c>
      <c r="G40" s="68"/>
    </row>
    <row r="41" spans="1:7">
      <c r="A41" s="86" t="s">
        <v>43</v>
      </c>
      <c r="B41" s="87">
        <v>90000</v>
      </c>
      <c r="C41" s="87">
        <v>51966.64</v>
      </c>
      <c r="D41" s="88">
        <f t="shared" si="6"/>
        <v>103933.28</v>
      </c>
      <c r="E41" s="89">
        <f t="shared" si="3"/>
        <v>155899.92</v>
      </c>
      <c r="F41" s="44">
        <f t="shared" si="4"/>
        <v>65899.92</v>
      </c>
      <c r="G41" s="68"/>
    </row>
    <row r="42" spans="1:7">
      <c r="A42" s="86" t="s">
        <v>44</v>
      </c>
      <c r="B42" s="87">
        <v>500</v>
      </c>
      <c r="C42" s="87">
        <v>109.32</v>
      </c>
      <c r="D42" s="88">
        <f t="shared" si="6"/>
        <v>218.64</v>
      </c>
      <c r="E42" s="89">
        <f t="shared" si="3"/>
        <v>327.96</v>
      </c>
      <c r="F42" s="44">
        <f t="shared" si="4"/>
        <v>-172.04</v>
      </c>
      <c r="G42" s="90"/>
    </row>
    <row r="43" spans="1:7">
      <c r="A43" s="86" t="s">
        <v>45</v>
      </c>
      <c r="B43" s="87">
        <v>2000</v>
      </c>
      <c r="C43" s="87">
        <v>1397.54</v>
      </c>
      <c r="D43" s="88">
        <f t="shared" si="6"/>
        <v>2795.08</v>
      </c>
      <c r="E43" s="89">
        <f t="shared" si="3"/>
        <v>4192.62</v>
      </c>
      <c r="F43" s="44">
        <f t="shared" si="4"/>
        <v>2192.62</v>
      </c>
      <c r="G43" s="90"/>
    </row>
    <row r="44" spans="1:7">
      <c r="A44" s="86" t="s">
        <v>46</v>
      </c>
      <c r="B44" s="87">
        <v>500</v>
      </c>
      <c r="C44" s="87">
        <v>759.44</v>
      </c>
      <c r="D44" s="88">
        <f t="shared" si="6"/>
        <v>1518.88</v>
      </c>
      <c r="E44" s="89">
        <f t="shared" si="3"/>
        <v>2278.32</v>
      </c>
      <c r="F44" s="44">
        <f t="shared" si="4"/>
        <v>1778.32</v>
      </c>
      <c r="G44" s="90"/>
    </row>
    <row r="45" spans="1:7">
      <c r="A45" s="92" t="s">
        <v>47</v>
      </c>
      <c r="B45" s="93">
        <f>SUM(B46:B49)</f>
        <v>1805000</v>
      </c>
      <c r="C45" s="93">
        <f>SUM(C46:C49)</f>
        <v>273126.39</v>
      </c>
      <c r="D45" s="93">
        <f>SUM(D46:D49)</f>
        <v>546252.78</v>
      </c>
      <c r="E45" s="93">
        <f>SUM(E46:E49)</f>
        <v>819379.17</v>
      </c>
      <c r="F45" s="93">
        <f>SUM(F46:F49)</f>
        <v>-985620.83</v>
      </c>
      <c r="G45" s="94"/>
    </row>
    <row r="46" spans="1:7">
      <c r="A46" s="86" t="s">
        <v>48</v>
      </c>
      <c r="B46" s="87">
        <v>1700000</v>
      </c>
      <c r="C46" s="87">
        <v>252234.74</v>
      </c>
      <c r="D46" s="88">
        <f t="shared" ref="D46:D49" si="7">(C46/4)*8</f>
        <v>504469.48</v>
      </c>
      <c r="E46" s="89">
        <f>C46+D46</f>
        <v>756704.22</v>
      </c>
      <c r="F46" s="44">
        <f>E46-B46</f>
        <v>-943295.78</v>
      </c>
      <c r="G46" s="90"/>
    </row>
    <row r="47" spans="1:7">
      <c r="A47" s="86" t="s">
        <v>49</v>
      </c>
      <c r="B47" s="87">
        <v>5000</v>
      </c>
      <c r="C47" s="87">
        <v>229.46</v>
      </c>
      <c r="D47" s="88">
        <f t="shared" si="7"/>
        <v>458.92</v>
      </c>
      <c r="E47" s="89">
        <f>C47+D47</f>
        <v>688.38</v>
      </c>
      <c r="F47" s="44">
        <f>E47-B47</f>
        <v>-4311.62</v>
      </c>
      <c r="G47" s="90"/>
    </row>
    <row r="48" spans="1:7">
      <c r="A48" s="86" t="s">
        <v>50</v>
      </c>
      <c r="B48" s="87">
        <v>90000</v>
      </c>
      <c r="C48" s="87">
        <v>19943.99</v>
      </c>
      <c r="D48" s="88">
        <f t="shared" si="7"/>
        <v>39887.98</v>
      </c>
      <c r="E48" s="89">
        <f>C48+D48</f>
        <v>59831.97</v>
      </c>
      <c r="F48" s="44">
        <f>E48-B48</f>
        <v>-30168.03</v>
      </c>
      <c r="G48" s="90"/>
    </row>
    <row r="49" spans="1:7">
      <c r="A49" s="86" t="s">
        <v>51</v>
      </c>
      <c r="B49" s="87">
        <v>10000</v>
      </c>
      <c r="C49" s="87">
        <v>718.2</v>
      </c>
      <c r="D49" s="88">
        <f t="shared" si="7"/>
        <v>1436.4</v>
      </c>
      <c r="E49" s="89">
        <f>C49+D49</f>
        <v>2154.6</v>
      </c>
      <c r="F49" s="44">
        <f>E49-B49</f>
        <v>-7845.4</v>
      </c>
      <c r="G49" s="90"/>
    </row>
    <row r="50" spans="1:7">
      <c r="A50" s="86"/>
      <c r="B50" s="87"/>
      <c r="C50" s="87"/>
      <c r="D50" s="88"/>
      <c r="E50" s="89"/>
      <c r="F50" s="44"/>
      <c r="G50" s="90"/>
    </row>
    <row r="51" spans="1:9">
      <c r="A51" s="83" t="s">
        <v>52</v>
      </c>
      <c r="B51" s="95">
        <f>B52+B53</f>
        <v>2600000</v>
      </c>
      <c r="C51" s="95">
        <f>C52+C53</f>
        <v>833595.99</v>
      </c>
      <c r="D51" s="95">
        <f>D52+D53</f>
        <v>1846792.48</v>
      </c>
      <c r="E51" s="95">
        <f>E52+E53</f>
        <v>2680388.47</v>
      </c>
      <c r="F51" s="95">
        <f>F52+F53</f>
        <v>80388.4700000001</v>
      </c>
      <c r="G51" s="96"/>
      <c r="I51" s="68"/>
    </row>
    <row r="52" spans="1:7">
      <c r="A52" s="86" t="s">
        <v>53</v>
      </c>
      <c r="B52" s="87">
        <v>2100000</v>
      </c>
      <c r="C52" s="87">
        <v>618556.36</v>
      </c>
      <c r="D52" s="88">
        <f>157412.58*9</f>
        <v>1416713.22</v>
      </c>
      <c r="E52" s="97">
        <f>C52+D52</f>
        <v>2035269.58</v>
      </c>
      <c r="F52" s="44">
        <f>E52-B52</f>
        <v>-64730.4199999999</v>
      </c>
      <c r="G52" s="90"/>
    </row>
    <row r="53" spans="1:7">
      <c r="A53" s="86" t="s">
        <v>54</v>
      </c>
      <c r="B53" s="87">
        <v>500000</v>
      </c>
      <c r="C53" s="87">
        <v>215039.63</v>
      </c>
      <c r="D53" s="88">
        <f>(C53/4)*8</f>
        <v>430079.26</v>
      </c>
      <c r="E53" s="89">
        <f>C53+D53</f>
        <v>645118.89</v>
      </c>
      <c r="F53" s="44">
        <f>E53-B53</f>
        <v>145118.89</v>
      </c>
      <c r="G53" s="90"/>
    </row>
    <row r="54" spans="1:7">
      <c r="A54" s="86"/>
      <c r="B54" s="87"/>
      <c r="C54" s="87"/>
      <c r="D54" s="88"/>
      <c r="E54" s="98"/>
      <c r="F54" s="44"/>
      <c r="G54" s="90"/>
    </row>
    <row r="55" spans="1:9">
      <c r="A55" s="83" t="s">
        <v>55</v>
      </c>
      <c r="B55" s="95">
        <f>SUM(B56:B59)</f>
        <v>1326311.74</v>
      </c>
      <c r="C55" s="95">
        <f>SUM(C56:C59)</f>
        <v>71026.54</v>
      </c>
      <c r="D55" s="95">
        <f>SUM(D56:D59)</f>
        <v>142053.08</v>
      </c>
      <c r="E55" s="95">
        <f>SUM(E56:E59)</f>
        <v>213079.62</v>
      </c>
      <c r="F55" s="95">
        <f>SUM(F56:F59)</f>
        <v>-1113232.12</v>
      </c>
      <c r="G55" s="96"/>
      <c r="I55" s="68"/>
    </row>
    <row r="56" spans="1:7">
      <c r="A56" s="51" t="s">
        <v>56</v>
      </c>
      <c r="B56" s="99">
        <v>3000</v>
      </c>
      <c r="C56" s="99">
        <v>116.3</v>
      </c>
      <c r="D56" s="88">
        <f>(C56/4)*8</f>
        <v>232.6</v>
      </c>
      <c r="E56" s="89">
        <f>C56+D56</f>
        <v>348.9</v>
      </c>
      <c r="F56" s="44">
        <f>E56-B56</f>
        <v>-2651.1</v>
      </c>
      <c r="G56" s="90"/>
    </row>
    <row r="57" spans="1:7">
      <c r="A57" s="51" t="s">
        <v>57</v>
      </c>
      <c r="B57" s="99">
        <v>100</v>
      </c>
      <c r="C57" s="99">
        <v>0</v>
      </c>
      <c r="D57" s="88">
        <f>(C57/4)*8</f>
        <v>0</v>
      </c>
      <c r="E57" s="89">
        <f>C57+D57</f>
        <v>0</v>
      </c>
      <c r="F57" s="44">
        <f>E57-B57</f>
        <v>-100</v>
      </c>
      <c r="G57" s="90"/>
    </row>
    <row r="58" spans="1:7">
      <c r="A58" s="86" t="s">
        <v>58</v>
      </c>
      <c r="B58" s="87">
        <v>283211.74</v>
      </c>
      <c r="C58" s="87">
        <v>62582.96</v>
      </c>
      <c r="D58" s="88">
        <f>(C58/4)*8</f>
        <v>125165.92</v>
      </c>
      <c r="E58" s="89">
        <f>C58+D58</f>
        <v>187748.88</v>
      </c>
      <c r="F58" s="44">
        <f>E58-B58</f>
        <v>-95462.86</v>
      </c>
      <c r="G58" s="90"/>
    </row>
    <row r="59" spans="1:7">
      <c r="A59" s="86" t="s">
        <v>59</v>
      </c>
      <c r="B59" s="87">
        <v>1040000</v>
      </c>
      <c r="C59" s="87">
        <v>8327.28</v>
      </c>
      <c r="D59" s="88">
        <f>(C59/4)*8</f>
        <v>16654.56</v>
      </c>
      <c r="E59" s="97">
        <f>C59+D59</f>
        <v>24981.84</v>
      </c>
      <c r="F59" s="44">
        <f>E59-B59</f>
        <v>-1015018.16</v>
      </c>
      <c r="G59" s="90"/>
    </row>
    <row r="60" spans="1:7">
      <c r="A60" s="86"/>
      <c r="B60" s="87"/>
      <c r="C60" s="87"/>
      <c r="D60" s="88"/>
      <c r="E60" s="89"/>
      <c r="F60" s="44"/>
      <c r="G60" s="90"/>
    </row>
    <row r="61" spans="1:9">
      <c r="A61" s="83" t="s">
        <v>60</v>
      </c>
      <c r="B61" s="95">
        <f>SUM(B62:B78)</f>
        <v>1199100</v>
      </c>
      <c r="C61" s="95">
        <f>SUM(C62:C78)</f>
        <v>401193.63</v>
      </c>
      <c r="D61" s="95">
        <f>SUM(D62:D78)</f>
        <v>804308.28</v>
      </c>
      <c r="E61" s="95">
        <f>SUM(E62:E78)</f>
        <v>1205501.91</v>
      </c>
      <c r="F61" s="95">
        <f>SUM(F62:F78)</f>
        <v>6401.90999999987</v>
      </c>
      <c r="G61" s="96"/>
      <c r="I61" s="68"/>
    </row>
    <row r="62" spans="1:9">
      <c r="A62" s="51" t="s">
        <v>61</v>
      </c>
      <c r="B62" s="99">
        <v>1500</v>
      </c>
      <c r="C62" s="99">
        <v>0</v>
      </c>
      <c r="D62" s="88">
        <v>500</v>
      </c>
      <c r="E62" s="89">
        <f t="shared" ref="E62:E78" si="8">C62+D62</f>
        <v>500</v>
      </c>
      <c r="F62" s="44">
        <f t="shared" ref="F62:F78" si="9">E62-B62</f>
        <v>-1000</v>
      </c>
      <c r="G62" s="68"/>
      <c r="I62" s="68"/>
    </row>
    <row r="63" spans="1:9">
      <c r="A63" s="51" t="s">
        <v>62</v>
      </c>
      <c r="B63" s="99">
        <v>200</v>
      </c>
      <c r="C63" s="99">
        <v>0</v>
      </c>
      <c r="D63" s="88">
        <v>50</v>
      </c>
      <c r="E63" s="89">
        <f t="shared" si="8"/>
        <v>50</v>
      </c>
      <c r="F63" s="44">
        <f t="shared" si="9"/>
        <v>-150</v>
      </c>
      <c r="G63" s="68"/>
      <c r="I63" s="68"/>
    </row>
    <row r="64" spans="1:9">
      <c r="A64" s="51" t="s">
        <v>63</v>
      </c>
      <c r="B64" s="99">
        <v>500</v>
      </c>
      <c r="C64" s="99">
        <v>0</v>
      </c>
      <c r="D64" s="88">
        <v>100</v>
      </c>
      <c r="E64" s="89">
        <f t="shared" si="8"/>
        <v>100</v>
      </c>
      <c r="F64" s="44">
        <f t="shared" si="9"/>
        <v>-400</v>
      </c>
      <c r="G64" s="68"/>
      <c r="I64" s="68"/>
    </row>
    <row r="65" spans="1:9">
      <c r="A65" s="51" t="s">
        <v>64</v>
      </c>
      <c r="B65" s="99">
        <v>200</v>
      </c>
      <c r="C65" s="99">
        <v>0</v>
      </c>
      <c r="D65" s="88">
        <v>50</v>
      </c>
      <c r="E65" s="89">
        <f t="shared" si="8"/>
        <v>50</v>
      </c>
      <c r="F65" s="44">
        <f t="shared" si="9"/>
        <v>-150</v>
      </c>
      <c r="G65" s="68"/>
      <c r="I65" s="68"/>
    </row>
    <row r="66" spans="1:7">
      <c r="A66" s="86" t="s">
        <v>65</v>
      </c>
      <c r="B66" s="87">
        <v>500</v>
      </c>
      <c r="C66" s="87">
        <v>451.22</v>
      </c>
      <c r="D66" s="88">
        <f>(C66/4)*8</f>
        <v>902.44</v>
      </c>
      <c r="E66" s="89">
        <f t="shared" si="8"/>
        <v>1353.66</v>
      </c>
      <c r="F66" s="44">
        <f t="shared" si="9"/>
        <v>853.66</v>
      </c>
      <c r="G66" s="68"/>
    </row>
    <row r="67" spans="1:7">
      <c r="A67" s="86" t="s">
        <v>66</v>
      </c>
      <c r="B67" s="87">
        <v>10000</v>
      </c>
      <c r="C67" s="87">
        <v>2144.7</v>
      </c>
      <c r="D67" s="88">
        <f>(C67/4)*8</f>
        <v>4289.4</v>
      </c>
      <c r="E67" s="89">
        <f t="shared" si="8"/>
        <v>6434.1</v>
      </c>
      <c r="F67" s="44">
        <f t="shared" si="9"/>
        <v>-3565.9</v>
      </c>
      <c r="G67" s="68"/>
    </row>
    <row r="68" spans="1:7">
      <c r="A68" s="86" t="s">
        <v>67</v>
      </c>
      <c r="B68" s="87">
        <v>100</v>
      </c>
      <c r="C68" s="87">
        <v>20.06</v>
      </c>
      <c r="D68" s="88">
        <f>(C68/4)*8</f>
        <v>40.12</v>
      </c>
      <c r="E68" s="89">
        <f t="shared" si="8"/>
        <v>60.18</v>
      </c>
      <c r="F68" s="44">
        <f t="shared" si="9"/>
        <v>-39.82</v>
      </c>
      <c r="G68" s="68"/>
    </row>
    <row r="69" spans="1:7">
      <c r="A69" s="86" t="s">
        <v>68</v>
      </c>
      <c r="B69" s="87">
        <v>0</v>
      </c>
      <c r="C69" s="87">
        <v>0</v>
      </c>
      <c r="D69" s="88">
        <f>(C69/7)*5</f>
        <v>0</v>
      </c>
      <c r="E69" s="89">
        <f t="shared" si="8"/>
        <v>0</v>
      </c>
      <c r="F69" s="44">
        <f t="shared" si="9"/>
        <v>0</v>
      </c>
      <c r="G69" s="68"/>
    </row>
    <row r="70" spans="1:7">
      <c r="A70" s="86" t="s">
        <v>69</v>
      </c>
      <c r="B70" s="87">
        <v>0</v>
      </c>
      <c r="C70" s="87">
        <v>0</v>
      </c>
      <c r="D70" s="88">
        <f>(C70/7)*5</f>
        <v>0</v>
      </c>
      <c r="E70" s="89">
        <f t="shared" si="8"/>
        <v>0</v>
      </c>
      <c r="F70" s="44">
        <f t="shared" si="9"/>
        <v>0</v>
      </c>
      <c r="G70" s="68"/>
    </row>
    <row r="71" spans="1:7">
      <c r="A71" s="86" t="s">
        <v>70</v>
      </c>
      <c r="B71" s="87">
        <v>1125000</v>
      </c>
      <c r="C71" s="87">
        <v>340906.79</v>
      </c>
      <c r="D71" s="88">
        <f>(C71/4)*8</f>
        <v>681813.58</v>
      </c>
      <c r="E71" s="89">
        <f t="shared" si="8"/>
        <v>1022720.37</v>
      </c>
      <c r="F71" s="44">
        <f t="shared" si="9"/>
        <v>-102279.63</v>
      </c>
      <c r="G71" s="68"/>
    </row>
    <row r="72" spans="1:7">
      <c r="A72" s="86" t="s">
        <v>71</v>
      </c>
      <c r="B72" s="87">
        <v>10000</v>
      </c>
      <c r="C72" s="87">
        <v>1841</v>
      </c>
      <c r="D72" s="88">
        <f>(C72/4)*8</f>
        <v>3682</v>
      </c>
      <c r="E72" s="89">
        <f t="shared" si="8"/>
        <v>5523</v>
      </c>
      <c r="F72" s="44">
        <f t="shared" si="9"/>
        <v>-4477</v>
      </c>
      <c r="G72" s="68"/>
    </row>
    <row r="73" spans="1:7">
      <c r="A73" s="86" t="s">
        <v>72</v>
      </c>
      <c r="B73" s="87">
        <v>10000</v>
      </c>
      <c r="C73" s="87">
        <v>46033.82</v>
      </c>
      <c r="D73" s="88">
        <f>(C73/4)*8</f>
        <v>92067.64</v>
      </c>
      <c r="E73" s="89">
        <f t="shared" si="8"/>
        <v>138101.46</v>
      </c>
      <c r="F73" s="44">
        <f t="shared" si="9"/>
        <v>128101.46</v>
      </c>
      <c r="G73" s="68"/>
    </row>
    <row r="74" spans="1:7">
      <c r="A74" s="86" t="s">
        <v>73</v>
      </c>
      <c r="B74" s="87">
        <v>15000</v>
      </c>
      <c r="C74" s="87">
        <v>5852.2</v>
      </c>
      <c r="D74" s="88">
        <f>(C74/4)*8</f>
        <v>11704.4</v>
      </c>
      <c r="E74" s="89">
        <f t="shared" si="8"/>
        <v>17556.6</v>
      </c>
      <c r="F74" s="44">
        <f t="shared" si="9"/>
        <v>2556.6</v>
      </c>
      <c r="G74" s="68"/>
    </row>
    <row r="75" spans="1:7">
      <c r="A75" s="86" t="s">
        <v>74</v>
      </c>
      <c r="B75" s="87">
        <v>20000</v>
      </c>
      <c r="C75" s="87">
        <v>3929.35</v>
      </c>
      <c r="D75" s="88">
        <f>(C75/4)*8</f>
        <v>7858.7</v>
      </c>
      <c r="E75" s="89">
        <f t="shared" si="8"/>
        <v>11788.05</v>
      </c>
      <c r="F75" s="44">
        <f t="shared" si="9"/>
        <v>-8211.95</v>
      </c>
      <c r="G75" s="68"/>
    </row>
    <row r="76" spans="1:7">
      <c r="A76" s="86" t="s">
        <v>75</v>
      </c>
      <c r="B76" s="87">
        <v>100</v>
      </c>
      <c r="C76" s="87">
        <v>0</v>
      </c>
      <c r="D76" s="88">
        <v>50</v>
      </c>
      <c r="E76" s="89">
        <f t="shared" si="8"/>
        <v>50</v>
      </c>
      <c r="F76" s="44">
        <f t="shared" si="9"/>
        <v>-50</v>
      </c>
      <c r="G76" s="68"/>
    </row>
    <row r="77" spans="1:7">
      <c r="A77" s="86" t="s">
        <v>76</v>
      </c>
      <c r="B77" s="87">
        <v>5000</v>
      </c>
      <c r="C77" s="87">
        <v>10.13</v>
      </c>
      <c r="D77" s="88">
        <v>1000</v>
      </c>
      <c r="E77" s="89">
        <f t="shared" si="8"/>
        <v>1010.13</v>
      </c>
      <c r="F77" s="44">
        <f t="shared" si="9"/>
        <v>-3989.87</v>
      </c>
      <c r="G77" s="68"/>
    </row>
    <row r="78" spans="1:7">
      <c r="A78" s="86" t="s">
        <v>77</v>
      </c>
      <c r="B78" s="87">
        <v>1000</v>
      </c>
      <c r="C78" s="87">
        <v>4.36</v>
      </c>
      <c r="D78" s="88">
        <v>200</v>
      </c>
      <c r="E78" s="89">
        <f t="shared" si="8"/>
        <v>204.36</v>
      </c>
      <c r="F78" s="44">
        <f t="shared" si="9"/>
        <v>-795.64</v>
      </c>
      <c r="G78" s="68"/>
    </row>
    <row r="79" spans="1:6">
      <c r="A79" s="86"/>
      <c r="B79" s="87"/>
      <c r="C79" s="87"/>
      <c r="D79" s="88"/>
      <c r="E79" s="89"/>
      <c r="F79" s="44"/>
    </row>
    <row r="80" spans="1:9">
      <c r="A80" s="83" t="s">
        <v>78</v>
      </c>
      <c r="B80" s="95">
        <f>B81+B113+B134+B136</f>
        <v>44974600</v>
      </c>
      <c r="C80" s="95">
        <f>C81+C113+C134+C136</f>
        <v>17682146.96</v>
      </c>
      <c r="D80" s="95">
        <f>D81+D113+D134+D136</f>
        <v>30699573.45</v>
      </c>
      <c r="E80" s="95">
        <f>E81+E113+E134+E136</f>
        <v>48381720.41</v>
      </c>
      <c r="F80" s="95">
        <f>F81+F113+F134+F136</f>
        <v>3407120.41</v>
      </c>
      <c r="I80" s="68"/>
    </row>
    <row r="81" spans="1:9">
      <c r="A81" s="100" t="s">
        <v>79</v>
      </c>
      <c r="B81" s="101">
        <f>SUM(B82:B86)+B87+B93+B100+B110</f>
        <v>18613000</v>
      </c>
      <c r="C81" s="101">
        <f>SUM(C82:C86)+C87+C93+C100+C110</f>
        <v>7201687.46</v>
      </c>
      <c r="D81" s="101">
        <f>SUM(D82:D86)+D87+D93+D100+D110</f>
        <v>11659483.05</v>
      </c>
      <c r="E81" s="101">
        <f>SUM(E82:E86)+E87+E93+E100+E110</f>
        <v>18861170.51</v>
      </c>
      <c r="F81" s="101">
        <f>SUM(F82:F86)+F87+F93+F100+F110</f>
        <v>248170.51</v>
      </c>
      <c r="I81" s="68"/>
    </row>
    <row r="82" spans="1:9">
      <c r="A82" s="102" t="s">
        <v>80</v>
      </c>
      <c r="B82" s="103">
        <v>13400000</v>
      </c>
      <c r="C82" s="103">
        <v>5796343.97</v>
      </c>
      <c r="D82" s="103">
        <f>13657744-C82</f>
        <v>7861400.03</v>
      </c>
      <c r="E82" s="104">
        <f>C82+D82</f>
        <v>13657744</v>
      </c>
      <c r="F82" s="105">
        <f>E82-B82</f>
        <v>257744</v>
      </c>
      <c r="I82" s="68"/>
    </row>
    <row r="83" spans="1:9">
      <c r="A83" s="102" t="s">
        <v>81</v>
      </c>
      <c r="B83" s="103">
        <v>625000</v>
      </c>
      <c r="C83" s="103">
        <v>0</v>
      </c>
      <c r="D83" s="103">
        <v>625000</v>
      </c>
      <c r="E83" s="104">
        <f>C83+D83</f>
        <v>625000</v>
      </c>
      <c r="F83" s="105">
        <f>E83-B83</f>
        <v>0</v>
      </c>
      <c r="I83" s="68"/>
    </row>
    <row r="84" spans="1:9">
      <c r="A84" s="102" t="s">
        <v>82</v>
      </c>
      <c r="B84" s="103">
        <v>610000</v>
      </c>
      <c r="C84" s="103">
        <v>0</v>
      </c>
      <c r="D84" s="103">
        <v>610000</v>
      </c>
      <c r="E84" s="104">
        <f>C84+D84</f>
        <v>610000</v>
      </c>
      <c r="F84" s="105">
        <f>E84-B84</f>
        <v>0</v>
      </c>
      <c r="I84" s="68"/>
    </row>
    <row r="85" spans="1:9">
      <c r="A85" s="102" t="s">
        <v>83</v>
      </c>
      <c r="B85" s="103">
        <v>15000</v>
      </c>
      <c r="C85" s="103">
        <v>370.18</v>
      </c>
      <c r="D85" s="103">
        <f>B85-C85</f>
        <v>14629.82</v>
      </c>
      <c r="E85" s="104">
        <f>C85+D85</f>
        <v>15000</v>
      </c>
      <c r="F85" s="105">
        <f>E85-B85</f>
        <v>0</v>
      </c>
      <c r="I85" s="68"/>
    </row>
    <row r="86" spans="1:6">
      <c r="A86" s="86" t="s">
        <v>84</v>
      </c>
      <c r="B86" s="87">
        <v>210000</v>
      </c>
      <c r="C86" s="87">
        <v>84859.92</v>
      </c>
      <c r="D86" s="87">
        <f>(C86/4)*8</f>
        <v>169719.84</v>
      </c>
      <c r="E86" s="89">
        <f>C86+D86</f>
        <v>254579.76</v>
      </c>
      <c r="F86" s="52">
        <f>E86-B86</f>
        <v>44579.76</v>
      </c>
    </row>
    <row r="87" spans="1:6">
      <c r="A87" s="106" t="s">
        <v>85</v>
      </c>
      <c r="B87" s="107">
        <f>SUM(B88:B91)</f>
        <v>2624800</v>
      </c>
      <c r="C87" s="107">
        <f>SUM(C88:C91)</f>
        <v>785483.63</v>
      </c>
      <c r="D87" s="107">
        <f>SUM(D88:D91)</f>
        <v>1570967.26</v>
      </c>
      <c r="E87" s="107">
        <f>SUM(E88:E91)</f>
        <v>2356450.89</v>
      </c>
      <c r="F87" s="107">
        <f>SUM(F88:F91)</f>
        <v>-268349.11</v>
      </c>
    </row>
    <row r="88" spans="1:8">
      <c r="A88" s="108" t="s">
        <v>86</v>
      </c>
      <c r="B88" s="109">
        <v>2037000</v>
      </c>
      <c r="C88" s="109">
        <v>577293.2</v>
      </c>
      <c r="D88" s="109">
        <f>(C88/4)*8</f>
        <v>1154586.4</v>
      </c>
      <c r="E88" s="110">
        <f>C88+D88</f>
        <v>1731879.6</v>
      </c>
      <c r="F88" s="111">
        <f>E88-B88</f>
        <v>-305120.4</v>
      </c>
      <c r="G88" s="90"/>
      <c r="H88" s="74"/>
    </row>
    <row r="89" spans="1:8">
      <c r="A89" s="108" t="s">
        <v>87</v>
      </c>
      <c r="B89" s="109">
        <v>386300</v>
      </c>
      <c r="C89" s="109">
        <v>136295.52</v>
      </c>
      <c r="D89" s="109">
        <f>(C89/4)*8</f>
        <v>272591.04</v>
      </c>
      <c r="E89" s="110">
        <f>C89+D89</f>
        <v>408886.56</v>
      </c>
      <c r="F89" s="111">
        <f>E89-B89</f>
        <v>22586.5599999999</v>
      </c>
      <c r="G89" s="96"/>
      <c r="H89" s="74"/>
    </row>
    <row r="90" spans="1:8">
      <c r="A90" s="108" t="s">
        <v>88</v>
      </c>
      <c r="B90" s="109">
        <v>116000</v>
      </c>
      <c r="C90" s="109">
        <v>43856.15</v>
      </c>
      <c r="D90" s="109">
        <f>(C90/4)*8</f>
        <v>87712.3</v>
      </c>
      <c r="E90" s="110">
        <f>C90+D90</f>
        <v>131568.45</v>
      </c>
      <c r="F90" s="111">
        <f>E90-B90</f>
        <v>15568.45</v>
      </c>
      <c r="G90" s="96"/>
      <c r="H90" s="74"/>
    </row>
    <row r="91" spans="1:8">
      <c r="A91" s="108" t="s">
        <v>89</v>
      </c>
      <c r="B91" s="109">
        <v>85500</v>
      </c>
      <c r="C91" s="109">
        <v>28038.76</v>
      </c>
      <c r="D91" s="109">
        <f>(C91/4)*8</f>
        <v>56077.52</v>
      </c>
      <c r="E91" s="110">
        <f>C91+D91</f>
        <v>84116.28</v>
      </c>
      <c r="F91" s="111">
        <f>E91-B91</f>
        <v>-1383.72</v>
      </c>
      <c r="G91" s="90"/>
      <c r="H91" s="74"/>
    </row>
    <row r="92" spans="1:8">
      <c r="A92" s="86"/>
      <c r="B92" s="112"/>
      <c r="C92" s="112"/>
      <c r="D92" s="87"/>
      <c r="E92" s="89"/>
      <c r="F92" s="52"/>
      <c r="G92" s="90"/>
      <c r="H92" s="74"/>
    </row>
    <row r="93" spans="1:8">
      <c r="A93" s="113" t="s">
        <v>90</v>
      </c>
      <c r="B93" s="114">
        <f>SUM(B94:B98)</f>
        <v>181200</v>
      </c>
      <c r="C93" s="114">
        <f>SUM(C94:C98)</f>
        <v>12534.86</v>
      </c>
      <c r="D93" s="115">
        <f>SUM(D94:D98)</f>
        <v>90780</v>
      </c>
      <c r="E93" s="116">
        <f>SUM(E94:E98)</f>
        <v>103314.86</v>
      </c>
      <c r="F93" s="116">
        <f>SUM(F94:F98)</f>
        <v>-77885.14</v>
      </c>
      <c r="G93" s="90"/>
      <c r="H93" s="74"/>
    </row>
    <row r="94" spans="1:8">
      <c r="A94" s="117" t="s">
        <v>91</v>
      </c>
      <c r="B94" s="118">
        <v>18000</v>
      </c>
      <c r="C94" s="118">
        <v>4290</v>
      </c>
      <c r="D94" s="119">
        <f>C94/4*8</f>
        <v>8580</v>
      </c>
      <c r="E94" s="120">
        <f>C94+D94</f>
        <v>12870</v>
      </c>
      <c r="F94" s="121">
        <f>E94-B94</f>
        <v>-5130</v>
      </c>
      <c r="G94" s="90"/>
      <c r="H94" s="74"/>
    </row>
    <row r="95" spans="1:8">
      <c r="A95" s="117" t="s">
        <v>92</v>
      </c>
      <c r="B95" s="118">
        <v>72000</v>
      </c>
      <c r="C95" s="118">
        <v>4584.6</v>
      </c>
      <c r="D95" s="119">
        <v>36000</v>
      </c>
      <c r="E95" s="120">
        <f>C95+D95</f>
        <v>40584.6</v>
      </c>
      <c r="F95" s="121">
        <f>E95-B95</f>
        <v>-31415.4</v>
      </c>
      <c r="G95" s="94"/>
      <c r="H95" s="74"/>
    </row>
    <row r="96" spans="1:8">
      <c r="A96" s="117" t="s">
        <v>93</v>
      </c>
      <c r="B96" s="118">
        <v>84000</v>
      </c>
      <c r="C96" s="118">
        <v>3660.26</v>
      </c>
      <c r="D96" s="119">
        <v>42000</v>
      </c>
      <c r="E96" s="120">
        <f>C96+D96</f>
        <v>45660.26</v>
      </c>
      <c r="F96" s="121">
        <f>E96-B96</f>
        <v>-38339.74</v>
      </c>
      <c r="G96" s="90"/>
      <c r="H96" s="74"/>
    </row>
    <row r="97" spans="1:8">
      <c r="A97" s="117" t="s">
        <v>94</v>
      </c>
      <c r="B97" s="118">
        <v>0</v>
      </c>
      <c r="C97" s="118">
        <v>0</v>
      </c>
      <c r="D97" s="119">
        <f>C97/6*6</f>
        <v>0</v>
      </c>
      <c r="E97" s="120">
        <f>C97+D97</f>
        <v>0</v>
      </c>
      <c r="F97" s="121">
        <f>E97-B97</f>
        <v>0</v>
      </c>
      <c r="G97" s="90"/>
      <c r="H97" s="74"/>
    </row>
    <row r="98" spans="1:8">
      <c r="A98" s="117" t="s">
        <v>95</v>
      </c>
      <c r="B98" s="118">
        <v>7200</v>
      </c>
      <c r="C98" s="118">
        <v>0</v>
      </c>
      <c r="D98" s="119">
        <v>4200</v>
      </c>
      <c r="E98" s="120">
        <f>C98+D98</f>
        <v>4200</v>
      </c>
      <c r="F98" s="121">
        <f>E98-B98</f>
        <v>-3000</v>
      </c>
      <c r="G98" s="90"/>
      <c r="H98" s="74"/>
    </row>
    <row r="99" s="74" customFormat="1" spans="1:7">
      <c r="A99" s="86"/>
      <c r="B99" s="112"/>
      <c r="C99" s="112"/>
      <c r="D99" s="87"/>
      <c r="E99" s="89"/>
      <c r="F99" s="52"/>
      <c r="G99" s="90"/>
    </row>
    <row r="100" spans="1:8">
      <c r="A100" s="122" t="s">
        <v>96</v>
      </c>
      <c r="B100" s="123">
        <f>SUM(B101:B108)</f>
        <v>947000</v>
      </c>
      <c r="C100" s="123">
        <f>SUM(C101:C108)</f>
        <v>335801.29</v>
      </c>
      <c r="D100" s="123">
        <f>SUM(D101:D108)</f>
        <v>611189.71</v>
      </c>
      <c r="E100" s="124">
        <f>SUM(E101:E108)</f>
        <v>946991</v>
      </c>
      <c r="F100" s="124">
        <f>SUM(F101:F108)</f>
        <v>-9</v>
      </c>
      <c r="G100" s="90"/>
      <c r="H100" s="74"/>
    </row>
    <row r="101" spans="1:8">
      <c r="A101" s="125" t="s">
        <v>97</v>
      </c>
      <c r="B101" s="126">
        <v>658000</v>
      </c>
      <c r="C101" s="126">
        <v>230241.89</v>
      </c>
      <c r="D101" s="127">
        <f>657645-C101</f>
        <v>427403.11</v>
      </c>
      <c r="E101" s="128">
        <f>C101+D101:D102</f>
        <v>657645</v>
      </c>
      <c r="F101" s="129">
        <f t="shared" ref="F101:F108" si="10">E101-B101</f>
        <v>-355</v>
      </c>
      <c r="G101" s="96"/>
      <c r="H101" s="74"/>
    </row>
    <row r="102" spans="1:8">
      <c r="A102" s="125" t="s">
        <v>98</v>
      </c>
      <c r="B102" s="126">
        <v>82200</v>
      </c>
      <c r="C102" s="126">
        <v>33196</v>
      </c>
      <c r="D102" s="126">
        <f>8299*6</f>
        <v>49794</v>
      </c>
      <c r="E102" s="128">
        <f>C102+D102:D106</f>
        <v>82990</v>
      </c>
      <c r="F102" s="129">
        <f t="shared" si="10"/>
        <v>790</v>
      </c>
      <c r="G102" s="90"/>
      <c r="H102" s="74"/>
    </row>
    <row r="103" spans="1:8">
      <c r="A103" s="125" t="s">
        <v>99</v>
      </c>
      <c r="B103" s="126">
        <v>62800</v>
      </c>
      <c r="C103" s="126">
        <v>25080.8</v>
      </c>
      <c r="D103" s="126">
        <f>6270.2*6</f>
        <v>37621.2</v>
      </c>
      <c r="E103" s="128">
        <f>C103+D103:D107</f>
        <v>62702</v>
      </c>
      <c r="F103" s="129">
        <f t="shared" si="10"/>
        <v>-98</v>
      </c>
      <c r="G103" s="90"/>
      <c r="H103" s="74"/>
    </row>
    <row r="104" spans="1:8">
      <c r="A104" s="125" t="s">
        <v>100</v>
      </c>
      <c r="B104" s="126">
        <v>40500</v>
      </c>
      <c r="C104" s="126">
        <v>16279.2</v>
      </c>
      <c r="D104" s="126">
        <f>4069.8*6</f>
        <v>24418.8</v>
      </c>
      <c r="E104" s="128">
        <f>C104+D104:D113</f>
        <v>40698</v>
      </c>
      <c r="F104" s="129">
        <f t="shared" si="10"/>
        <v>198</v>
      </c>
      <c r="G104" s="90"/>
      <c r="H104" s="74"/>
    </row>
    <row r="105" spans="1:8">
      <c r="A105" s="125" t="s">
        <v>101</v>
      </c>
      <c r="B105" s="126">
        <v>1000</v>
      </c>
      <c r="C105" s="126">
        <v>466.4</v>
      </c>
      <c r="D105" s="126">
        <f>116.6*6</f>
        <v>699.6</v>
      </c>
      <c r="E105" s="128">
        <f>C105+D105:D114</f>
        <v>1166</v>
      </c>
      <c r="F105" s="129">
        <f t="shared" si="10"/>
        <v>166</v>
      </c>
      <c r="G105" s="90"/>
      <c r="H105" s="74"/>
    </row>
    <row r="106" spans="1:8">
      <c r="A106" s="125" t="s">
        <v>102</v>
      </c>
      <c r="B106" s="126">
        <v>69500</v>
      </c>
      <c r="C106" s="126">
        <v>19955.94</v>
      </c>
      <c r="D106" s="126">
        <f>6651.98*7</f>
        <v>46563.86</v>
      </c>
      <c r="E106" s="128">
        <f>C106+D106:D107</f>
        <v>66519.8</v>
      </c>
      <c r="F106" s="129">
        <f t="shared" si="10"/>
        <v>-2980.2</v>
      </c>
      <c r="G106" s="90"/>
      <c r="H106" s="74"/>
    </row>
    <row r="107" spans="1:8">
      <c r="A107" s="125" t="s">
        <v>103</v>
      </c>
      <c r="B107" s="126">
        <v>13000</v>
      </c>
      <c r="C107" s="126">
        <v>3010.95</v>
      </c>
      <c r="D107" s="126">
        <f>1003.65*7</f>
        <v>7025.55</v>
      </c>
      <c r="E107" s="128">
        <f>SUM(C107:D107)</f>
        <v>10036.5</v>
      </c>
      <c r="F107" s="129">
        <f t="shared" si="10"/>
        <v>-2963.5</v>
      </c>
      <c r="G107" s="90"/>
      <c r="H107" s="74"/>
    </row>
    <row r="108" spans="1:8">
      <c r="A108" s="125" t="s">
        <v>104</v>
      </c>
      <c r="B108" s="126">
        <v>20000</v>
      </c>
      <c r="C108" s="126">
        <v>7570.11</v>
      </c>
      <c r="D108" s="126">
        <f>2523.37*7</f>
        <v>17663.59</v>
      </c>
      <c r="E108" s="128">
        <f>SUM(C108:D108)</f>
        <v>25233.7</v>
      </c>
      <c r="F108" s="129">
        <f t="shared" si="10"/>
        <v>5233.7</v>
      </c>
      <c r="G108" s="90"/>
      <c r="H108" s="74"/>
    </row>
    <row r="109" s="74" customFormat="1" spans="1:7">
      <c r="A109" s="86"/>
      <c r="B109" s="112"/>
      <c r="C109" s="112"/>
      <c r="D109" s="112"/>
      <c r="E109" s="89"/>
      <c r="F109" s="52"/>
      <c r="G109" s="90"/>
    </row>
    <row r="110" spans="1:8">
      <c r="A110" s="130" t="s">
        <v>105</v>
      </c>
      <c r="B110" s="131">
        <f>SUM(B111)</f>
        <v>0</v>
      </c>
      <c r="C110" s="131">
        <f>C111</f>
        <v>186293.61</v>
      </c>
      <c r="D110" s="131">
        <f>SUM(D111)</f>
        <v>105796.39</v>
      </c>
      <c r="E110" s="131">
        <f>SUM(+E111)</f>
        <v>292090</v>
      </c>
      <c r="F110" s="131">
        <f>SUM(F111)</f>
        <v>292090</v>
      </c>
      <c r="G110" s="132"/>
      <c r="H110" s="74"/>
    </row>
    <row r="111" s="75" customFormat="1" spans="1:8">
      <c r="A111" s="133" t="s">
        <v>106</v>
      </c>
      <c r="B111" s="134">
        <v>0</v>
      </c>
      <c r="C111" s="134">
        <v>186293.61</v>
      </c>
      <c r="D111" s="134">
        <f>292090-C111</f>
        <v>105796.39</v>
      </c>
      <c r="E111" s="135">
        <f>C111+D111</f>
        <v>292090</v>
      </c>
      <c r="F111" s="136">
        <f>E111-B111</f>
        <v>292090</v>
      </c>
      <c r="G111" s="90"/>
      <c r="H111" s="137"/>
    </row>
    <row r="112" s="74" customFormat="1" spans="1:7">
      <c r="A112" s="86"/>
      <c r="B112" s="112"/>
      <c r="C112" s="112"/>
      <c r="D112" s="112"/>
      <c r="E112" s="89"/>
      <c r="F112" s="52"/>
      <c r="G112" s="90"/>
    </row>
    <row r="113" spans="1:8">
      <c r="A113" s="138" t="s">
        <v>107</v>
      </c>
      <c r="B113" s="139">
        <f>SUM(B114:B117)+B118+B127+B131</f>
        <v>18479600</v>
      </c>
      <c r="C113" s="139">
        <f>SUM(C114:C117)+C118+C127</f>
        <v>7073024.38</v>
      </c>
      <c r="D113" s="139">
        <f>SUM(D114:D117)+D118+D127</f>
        <v>13137820.52</v>
      </c>
      <c r="E113" s="140">
        <f>SUM(E114:E117)+E118+E127</f>
        <v>20210844.9</v>
      </c>
      <c r="F113" s="140">
        <f>SUM(F114:F117)+F118+F127</f>
        <v>1731244.9</v>
      </c>
      <c r="G113" s="141"/>
      <c r="H113" s="74"/>
    </row>
    <row r="114" spans="1:8">
      <c r="A114" s="142" t="s">
        <v>108</v>
      </c>
      <c r="B114" s="143">
        <v>14870000</v>
      </c>
      <c r="C114" s="143">
        <v>5231056.09</v>
      </c>
      <c r="D114" s="143">
        <f>16375222-C114</f>
        <v>11144165.91</v>
      </c>
      <c r="E114" s="144">
        <f>C114+D114</f>
        <v>16375222</v>
      </c>
      <c r="F114" s="145">
        <f>E114-B114</f>
        <v>1505222</v>
      </c>
      <c r="G114" s="90"/>
      <c r="H114" s="74"/>
    </row>
    <row r="115" spans="1:8">
      <c r="A115" s="142" t="s">
        <v>109</v>
      </c>
      <c r="B115" s="143">
        <v>2050000</v>
      </c>
      <c r="C115" s="143">
        <v>1442182.38</v>
      </c>
      <c r="D115" s="143">
        <f>2204157-C115</f>
        <v>761974.62</v>
      </c>
      <c r="E115" s="144">
        <f>C115+D115</f>
        <v>2204157</v>
      </c>
      <c r="F115" s="145">
        <f>E115-B115</f>
        <v>154157</v>
      </c>
      <c r="G115" s="90"/>
      <c r="H115" s="74"/>
    </row>
    <row r="116" spans="1:8">
      <c r="A116" s="142" t="s">
        <v>110</v>
      </c>
      <c r="B116" s="143">
        <v>221000</v>
      </c>
      <c r="C116" s="143">
        <v>68667.61</v>
      </c>
      <c r="D116" s="143">
        <f>222111-C116</f>
        <v>153443.39</v>
      </c>
      <c r="E116" s="144">
        <f>C116+D116</f>
        <v>222111</v>
      </c>
      <c r="F116" s="145">
        <f>E116-B116</f>
        <v>1111</v>
      </c>
      <c r="G116" s="90"/>
      <c r="H116" s="74"/>
    </row>
    <row r="117" spans="1:8">
      <c r="A117" s="142" t="s">
        <v>111</v>
      </c>
      <c r="B117" s="143">
        <v>17000</v>
      </c>
      <c r="C117" s="143">
        <v>3583.26</v>
      </c>
      <c r="D117" s="143">
        <f>C117*2</f>
        <v>7166.52</v>
      </c>
      <c r="E117" s="144">
        <f>C117+D117</f>
        <v>10749.78</v>
      </c>
      <c r="F117" s="145">
        <f>E117-B117</f>
        <v>-6250.22</v>
      </c>
      <c r="G117" s="90"/>
      <c r="H117" s="74"/>
    </row>
    <row r="118" spans="1:8">
      <c r="A118" s="146" t="s">
        <v>112</v>
      </c>
      <c r="B118" s="147">
        <f>SUM(B119:B125)</f>
        <v>795600</v>
      </c>
      <c r="C118" s="147">
        <f>SUM(C119:C125)</f>
        <v>326996.8</v>
      </c>
      <c r="D118" s="147">
        <f>SUM(D119:D125)</f>
        <v>653993.6</v>
      </c>
      <c r="E118" s="148">
        <f>SUM(E119:E125)</f>
        <v>980990.4</v>
      </c>
      <c r="F118" s="148">
        <f>SUM(F119:F125)</f>
        <v>185390.4</v>
      </c>
      <c r="G118" s="141"/>
      <c r="H118" s="74"/>
    </row>
    <row r="119" spans="1:8">
      <c r="A119" s="149" t="s">
        <v>113</v>
      </c>
      <c r="B119" s="150">
        <v>35000</v>
      </c>
      <c r="C119" s="150">
        <v>14501.2</v>
      </c>
      <c r="D119" s="151">
        <f t="shared" ref="D119:D125" si="11">(C119/4)*8</f>
        <v>29002.4</v>
      </c>
      <c r="E119" s="152">
        <f t="shared" ref="E119:E125" si="12">C119+D119</f>
        <v>43503.6</v>
      </c>
      <c r="F119" s="153">
        <f t="shared" ref="F119:F125" si="13">E119-B119</f>
        <v>8503.60000000001</v>
      </c>
      <c r="G119" s="90"/>
      <c r="H119" s="74"/>
    </row>
    <row r="120" spans="1:8">
      <c r="A120" s="149" t="s">
        <v>114</v>
      </c>
      <c r="B120" s="150">
        <v>132000</v>
      </c>
      <c r="C120" s="150">
        <v>54797.5</v>
      </c>
      <c r="D120" s="151">
        <f t="shared" si="11"/>
        <v>109595</v>
      </c>
      <c r="E120" s="152">
        <f t="shared" si="12"/>
        <v>164392.5</v>
      </c>
      <c r="F120" s="153">
        <f t="shared" si="13"/>
        <v>32392.5</v>
      </c>
      <c r="G120" s="90"/>
      <c r="H120" s="74"/>
    </row>
    <row r="121" spans="1:8">
      <c r="A121" s="149" t="s">
        <v>115</v>
      </c>
      <c r="B121" s="150">
        <v>192000</v>
      </c>
      <c r="C121" s="150">
        <v>90000</v>
      </c>
      <c r="D121" s="151">
        <f t="shared" si="11"/>
        <v>180000</v>
      </c>
      <c r="E121" s="152">
        <f t="shared" si="12"/>
        <v>270000</v>
      </c>
      <c r="F121" s="153">
        <f t="shared" si="13"/>
        <v>78000</v>
      </c>
      <c r="G121" s="90"/>
      <c r="H121" s="74"/>
    </row>
    <row r="122" spans="1:8">
      <c r="A122" s="149" t="s">
        <v>116</v>
      </c>
      <c r="B122" s="150">
        <v>232000</v>
      </c>
      <c r="C122" s="150">
        <v>97576.1</v>
      </c>
      <c r="D122" s="151">
        <f t="shared" si="11"/>
        <v>195152.2</v>
      </c>
      <c r="E122" s="152">
        <f t="shared" si="12"/>
        <v>292728.3</v>
      </c>
      <c r="F122" s="153">
        <f t="shared" si="13"/>
        <v>60728.3</v>
      </c>
      <c r="G122" s="90"/>
      <c r="H122" s="74"/>
    </row>
    <row r="123" spans="1:8">
      <c r="A123" s="149" t="s">
        <v>117</v>
      </c>
      <c r="B123" s="150">
        <v>60000</v>
      </c>
      <c r="C123" s="150">
        <v>25000</v>
      </c>
      <c r="D123" s="151">
        <f t="shared" si="11"/>
        <v>50000</v>
      </c>
      <c r="E123" s="152">
        <f t="shared" si="12"/>
        <v>75000</v>
      </c>
      <c r="F123" s="153">
        <f t="shared" si="13"/>
        <v>15000</v>
      </c>
      <c r="G123" s="90"/>
      <c r="H123" s="74"/>
    </row>
    <row r="124" spans="1:8">
      <c r="A124" s="149" t="s">
        <v>118</v>
      </c>
      <c r="B124" s="150">
        <v>135000</v>
      </c>
      <c r="C124" s="150">
        <v>43482</v>
      </c>
      <c r="D124" s="151">
        <f t="shared" si="11"/>
        <v>86964</v>
      </c>
      <c r="E124" s="152">
        <f t="shared" si="12"/>
        <v>130446</v>
      </c>
      <c r="F124" s="153">
        <f t="shared" si="13"/>
        <v>-4554</v>
      </c>
      <c r="G124" s="90"/>
      <c r="H124" s="74"/>
    </row>
    <row r="125" spans="1:8">
      <c r="A125" s="149" t="s">
        <v>119</v>
      </c>
      <c r="B125" s="150">
        <v>9600</v>
      </c>
      <c r="C125" s="150">
        <v>1640</v>
      </c>
      <c r="D125" s="151">
        <f t="shared" si="11"/>
        <v>3280</v>
      </c>
      <c r="E125" s="152">
        <f t="shared" si="12"/>
        <v>4920</v>
      </c>
      <c r="F125" s="153">
        <f t="shared" si="13"/>
        <v>-4680</v>
      </c>
      <c r="G125" s="90"/>
      <c r="H125" s="74"/>
    </row>
    <row r="126" spans="1:8">
      <c r="A126" s="86"/>
      <c r="B126" s="112"/>
      <c r="C126" s="112"/>
      <c r="D126" s="112"/>
      <c r="E126" s="89"/>
      <c r="F126" s="52"/>
      <c r="G126" s="90"/>
      <c r="H126" s="74"/>
    </row>
    <row r="127" spans="1:8">
      <c r="A127" s="154" t="s">
        <v>120</v>
      </c>
      <c r="B127" s="155">
        <f>B128+B129</f>
        <v>520000</v>
      </c>
      <c r="C127" s="155">
        <f>C128+C129+C131</f>
        <v>538.24</v>
      </c>
      <c r="D127" s="155">
        <f>D128+D129+D131</f>
        <v>417076.48</v>
      </c>
      <c r="E127" s="156">
        <f>E128+E129+E131</f>
        <v>417614.72</v>
      </c>
      <c r="F127" s="156">
        <f>F128+F129+F131</f>
        <v>-108385.28</v>
      </c>
      <c r="G127" s="141"/>
      <c r="H127" s="74"/>
    </row>
    <row r="128" spans="1:8">
      <c r="A128" s="157" t="s">
        <v>121</v>
      </c>
      <c r="B128" s="158">
        <v>520000</v>
      </c>
      <c r="C128" s="158">
        <v>0</v>
      </c>
      <c r="D128" s="158">
        <f>52000*8</f>
        <v>416000</v>
      </c>
      <c r="E128" s="159">
        <f>C128+D128</f>
        <v>416000</v>
      </c>
      <c r="F128" s="160">
        <f>E128-B128</f>
        <v>-104000</v>
      </c>
      <c r="G128" s="90"/>
      <c r="H128" s="74"/>
    </row>
    <row r="129" spans="1:8">
      <c r="A129" s="157" t="s">
        <v>122</v>
      </c>
      <c r="B129" s="158">
        <v>0</v>
      </c>
      <c r="C129" s="158">
        <v>0</v>
      </c>
      <c r="D129" s="158">
        <v>0</v>
      </c>
      <c r="E129" s="159">
        <f>C129+D129:D129</f>
        <v>0</v>
      </c>
      <c r="F129" s="160">
        <f>E129-B129</f>
        <v>0</v>
      </c>
      <c r="G129" s="90"/>
      <c r="H129" s="74"/>
    </row>
    <row r="130" spans="1:8">
      <c r="A130" s="86"/>
      <c r="B130" s="112"/>
      <c r="C130" s="112"/>
      <c r="D130" s="112"/>
      <c r="E130" s="89"/>
      <c r="F130" s="52"/>
      <c r="G130" s="90"/>
      <c r="H130" s="74"/>
    </row>
    <row r="131" spans="1:8">
      <c r="A131" s="161" t="s">
        <v>123</v>
      </c>
      <c r="B131" s="162">
        <f>B132</f>
        <v>6000</v>
      </c>
      <c r="C131" s="162">
        <f>C132</f>
        <v>538.24</v>
      </c>
      <c r="D131" s="162">
        <f>D132</f>
        <v>1076.48</v>
      </c>
      <c r="E131" s="163">
        <f>C131+D131:D131</f>
        <v>1614.72</v>
      </c>
      <c r="F131" s="164">
        <f>E131-B131</f>
        <v>-4385.28</v>
      </c>
      <c r="G131" s="90"/>
      <c r="H131" s="74"/>
    </row>
    <row r="132" spans="1:8">
      <c r="A132" s="165" t="s">
        <v>124</v>
      </c>
      <c r="B132" s="166">
        <v>6000</v>
      </c>
      <c r="C132" s="166">
        <v>538.24</v>
      </c>
      <c r="D132" s="167">
        <f>(C132/4)*8</f>
        <v>1076.48</v>
      </c>
      <c r="E132" s="168">
        <f>C132+D132:D132</f>
        <v>1614.72</v>
      </c>
      <c r="F132" s="169">
        <f>E132-B132</f>
        <v>-4385.28</v>
      </c>
      <c r="G132" s="90"/>
      <c r="H132" s="74"/>
    </row>
    <row r="133" spans="1:8">
      <c r="A133" s="86"/>
      <c r="B133" s="112"/>
      <c r="C133" s="112"/>
      <c r="D133" s="87"/>
      <c r="E133" s="89"/>
      <c r="F133" s="52"/>
      <c r="G133" s="90"/>
      <c r="H133" s="74"/>
    </row>
    <row r="134" spans="1:8">
      <c r="A134" s="54" t="s">
        <v>125</v>
      </c>
      <c r="B134" s="170">
        <v>7800000</v>
      </c>
      <c r="C134" s="170">
        <v>3407435.12</v>
      </c>
      <c r="D134" s="170">
        <f>9295705-C134</f>
        <v>5888269.88</v>
      </c>
      <c r="E134" s="89">
        <f>C134+D134</f>
        <v>9295705</v>
      </c>
      <c r="F134" s="44">
        <f>E134-B134</f>
        <v>1495705</v>
      </c>
      <c r="G134" s="90"/>
      <c r="H134" s="74"/>
    </row>
    <row r="135" spans="1:8">
      <c r="A135" s="54"/>
      <c r="B135" s="170"/>
      <c r="C135" s="170"/>
      <c r="D135" s="170"/>
      <c r="E135" s="89"/>
      <c r="F135" s="44"/>
      <c r="G135" s="90"/>
      <c r="H135" s="74"/>
    </row>
    <row r="136" spans="1:8">
      <c r="A136" s="171" t="s">
        <v>126</v>
      </c>
      <c r="B136" s="172">
        <f>B137+B138+B139</f>
        <v>82000</v>
      </c>
      <c r="C136" s="172">
        <f>C137+C138+C139</f>
        <v>0</v>
      </c>
      <c r="D136" s="172">
        <f>D137+D138+D139</f>
        <v>14000</v>
      </c>
      <c r="E136" s="172">
        <f>E137+E138+E139</f>
        <v>14000</v>
      </c>
      <c r="F136" s="172">
        <f>F137+F138+F139</f>
        <v>-68000</v>
      </c>
      <c r="G136" s="90"/>
      <c r="H136" s="74"/>
    </row>
    <row r="137" spans="1:8">
      <c r="A137" s="173" t="s">
        <v>127</v>
      </c>
      <c r="B137" s="174">
        <v>2000</v>
      </c>
      <c r="C137" s="174">
        <v>0</v>
      </c>
      <c r="D137" s="174">
        <v>2000</v>
      </c>
      <c r="E137" s="175">
        <f>C137+D137:D137</f>
        <v>2000</v>
      </c>
      <c r="F137" s="176">
        <f>E137-B137</f>
        <v>0</v>
      </c>
      <c r="G137" s="132"/>
      <c r="H137" s="74"/>
    </row>
    <row r="138" spans="1:8">
      <c r="A138" s="173" t="s">
        <v>128</v>
      </c>
      <c r="B138" s="174">
        <v>25000</v>
      </c>
      <c r="C138" s="174">
        <v>0</v>
      </c>
      <c r="D138" s="174">
        <v>2000</v>
      </c>
      <c r="E138" s="175">
        <f>C138+D138:D138</f>
        <v>2000</v>
      </c>
      <c r="F138" s="176">
        <f>E138-B138</f>
        <v>-23000</v>
      </c>
      <c r="G138" s="90"/>
      <c r="H138" s="74"/>
    </row>
    <row r="139" spans="1:8">
      <c r="A139" s="173" t="s">
        <v>129</v>
      </c>
      <c r="B139" s="174">
        <v>55000</v>
      </c>
      <c r="C139" s="174">
        <v>0</v>
      </c>
      <c r="D139" s="174">
        <v>10000</v>
      </c>
      <c r="E139" s="175">
        <f>C139+D139:D139</f>
        <v>10000</v>
      </c>
      <c r="F139" s="176">
        <f>E139-B139</f>
        <v>-45000</v>
      </c>
      <c r="G139" s="90"/>
      <c r="H139" s="74"/>
    </row>
    <row r="140" spans="1:8">
      <c r="A140" s="86"/>
      <c r="B140" s="112"/>
      <c r="C140" s="112"/>
      <c r="D140" s="112"/>
      <c r="E140" s="89"/>
      <c r="F140" s="52"/>
      <c r="G140" s="90"/>
      <c r="H140" s="74"/>
    </row>
    <row r="141" spans="1:9">
      <c r="A141" s="83" t="s">
        <v>130</v>
      </c>
      <c r="B141" s="177">
        <f>B143+B157+B187</f>
        <v>255650</v>
      </c>
      <c r="C141" s="177">
        <f>C143+C157+C187</f>
        <v>49097.21</v>
      </c>
      <c r="D141" s="177">
        <f>D143+D157+D187</f>
        <v>101744.42</v>
      </c>
      <c r="E141" s="177">
        <f>E143+E157+E187</f>
        <v>150841.63</v>
      </c>
      <c r="F141" s="177">
        <f>F143+F157+F187</f>
        <v>-104808.37</v>
      </c>
      <c r="G141" s="90"/>
      <c r="H141" s="74"/>
      <c r="I141" s="210"/>
    </row>
    <row r="142" spans="1:9">
      <c r="A142" s="178"/>
      <c r="B142" s="179"/>
      <c r="C142" s="179"/>
      <c r="D142" s="179"/>
      <c r="E142" s="179"/>
      <c r="F142" s="52"/>
      <c r="G142" s="141"/>
      <c r="H142" s="74"/>
      <c r="I142" s="210"/>
    </row>
    <row r="143" spans="1:9">
      <c r="A143" s="180" t="s">
        <v>131</v>
      </c>
      <c r="B143" s="181">
        <f>SUM(B144:B155)</f>
        <v>8750</v>
      </c>
      <c r="C143" s="181">
        <f>SUM(C144:C155)</f>
        <v>7534.38</v>
      </c>
      <c r="D143" s="181">
        <f>SUM(D144:D155)</f>
        <v>15068.76</v>
      </c>
      <c r="E143" s="181">
        <f>SUM(E144:E155)</f>
        <v>22603.14</v>
      </c>
      <c r="F143" s="181">
        <f>SUM(F144:F155)</f>
        <v>13853.14</v>
      </c>
      <c r="G143" s="90"/>
      <c r="H143" s="74"/>
      <c r="I143" s="210"/>
    </row>
    <row r="144" spans="1:9">
      <c r="A144" s="182" t="s">
        <v>132</v>
      </c>
      <c r="B144" s="183">
        <v>1000</v>
      </c>
      <c r="C144" s="183">
        <v>495.28</v>
      </c>
      <c r="D144" s="184">
        <f>(C144/4)*8</f>
        <v>990.56</v>
      </c>
      <c r="E144" s="185">
        <f>C144+D144:D144</f>
        <v>1485.84</v>
      </c>
      <c r="F144" s="186">
        <f t="shared" ref="F144:F155" si="14">E144-B144</f>
        <v>485.84</v>
      </c>
      <c r="G144" s="141"/>
      <c r="H144" s="74"/>
      <c r="I144" s="210"/>
    </row>
    <row r="145" spans="1:9">
      <c r="A145" s="182" t="s">
        <v>133</v>
      </c>
      <c r="B145" s="183">
        <v>50</v>
      </c>
      <c r="C145" s="183">
        <v>0</v>
      </c>
      <c r="D145" s="184">
        <f>(C145/7)*4</f>
        <v>0</v>
      </c>
      <c r="E145" s="185">
        <f>C145+D145:D145</f>
        <v>0</v>
      </c>
      <c r="F145" s="186">
        <f t="shared" si="14"/>
        <v>-50</v>
      </c>
      <c r="I145" s="210"/>
    </row>
    <row r="146" spans="1:6">
      <c r="A146" s="182" t="s">
        <v>134</v>
      </c>
      <c r="B146" s="187">
        <v>1000</v>
      </c>
      <c r="C146" s="187">
        <v>5561.62</v>
      </c>
      <c r="D146" s="187">
        <f>(C146/4)*8</f>
        <v>11123.24</v>
      </c>
      <c r="E146" s="183">
        <f t="shared" ref="E146:E155" si="15">C146+D146</f>
        <v>16684.86</v>
      </c>
      <c r="F146" s="186">
        <f t="shared" si="14"/>
        <v>15684.86</v>
      </c>
    </row>
    <row r="147" spans="1:6">
      <c r="A147" s="182" t="s">
        <v>135</v>
      </c>
      <c r="B147" s="187">
        <v>500</v>
      </c>
      <c r="C147" s="187">
        <v>1477.48</v>
      </c>
      <c r="D147" s="187">
        <f>(C147/4)*8</f>
        <v>2954.96</v>
      </c>
      <c r="E147" s="183">
        <f t="shared" si="15"/>
        <v>4432.44</v>
      </c>
      <c r="F147" s="186">
        <f t="shared" si="14"/>
        <v>3932.44</v>
      </c>
    </row>
    <row r="148" spans="1:6">
      <c r="A148" s="182" t="s">
        <v>136</v>
      </c>
      <c r="B148" s="188">
        <v>1000</v>
      </c>
      <c r="C148" s="188">
        <v>0</v>
      </c>
      <c r="D148" s="187">
        <f t="shared" ref="D148:D155" si="16">(C148/7)*5</f>
        <v>0</v>
      </c>
      <c r="E148" s="183">
        <f t="shared" si="15"/>
        <v>0</v>
      </c>
      <c r="F148" s="186">
        <f t="shared" si="14"/>
        <v>-1000</v>
      </c>
    </row>
    <row r="149" spans="1:6">
      <c r="A149" s="182" t="s">
        <v>137</v>
      </c>
      <c r="B149" s="188">
        <v>500</v>
      </c>
      <c r="C149" s="188">
        <v>0</v>
      </c>
      <c r="D149" s="187">
        <f t="shared" si="16"/>
        <v>0</v>
      </c>
      <c r="E149" s="183">
        <f t="shared" si="15"/>
        <v>0</v>
      </c>
      <c r="F149" s="186">
        <f t="shared" si="14"/>
        <v>-500</v>
      </c>
    </row>
    <row r="150" spans="1:6">
      <c r="A150" s="182" t="s">
        <v>138</v>
      </c>
      <c r="B150" s="188">
        <v>3000</v>
      </c>
      <c r="C150" s="188">
        <v>0</v>
      </c>
      <c r="D150" s="187">
        <f t="shared" si="16"/>
        <v>0</v>
      </c>
      <c r="E150" s="183">
        <f t="shared" si="15"/>
        <v>0</v>
      </c>
      <c r="F150" s="186">
        <f t="shared" si="14"/>
        <v>-3000</v>
      </c>
    </row>
    <row r="151" spans="1:6">
      <c r="A151" s="182" t="s">
        <v>139</v>
      </c>
      <c r="B151" s="188">
        <v>500</v>
      </c>
      <c r="C151" s="188">
        <v>0</v>
      </c>
      <c r="D151" s="187">
        <f t="shared" si="16"/>
        <v>0</v>
      </c>
      <c r="E151" s="183">
        <f t="shared" si="15"/>
        <v>0</v>
      </c>
      <c r="F151" s="186">
        <f t="shared" si="14"/>
        <v>-500</v>
      </c>
    </row>
    <row r="152" spans="1:6">
      <c r="A152" s="182" t="s">
        <v>140</v>
      </c>
      <c r="B152" s="188">
        <v>500</v>
      </c>
      <c r="C152" s="188">
        <v>0</v>
      </c>
      <c r="D152" s="187">
        <f t="shared" si="16"/>
        <v>0</v>
      </c>
      <c r="E152" s="183">
        <f t="shared" si="15"/>
        <v>0</v>
      </c>
      <c r="F152" s="186">
        <f t="shared" si="14"/>
        <v>-500</v>
      </c>
    </row>
    <row r="153" spans="1:6">
      <c r="A153" s="182" t="s">
        <v>141</v>
      </c>
      <c r="B153" s="188">
        <v>100</v>
      </c>
      <c r="C153" s="188">
        <v>0</v>
      </c>
      <c r="D153" s="187">
        <f t="shared" si="16"/>
        <v>0</v>
      </c>
      <c r="E153" s="183">
        <f t="shared" si="15"/>
        <v>0</v>
      </c>
      <c r="F153" s="186">
        <f t="shared" si="14"/>
        <v>-100</v>
      </c>
    </row>
    <row r="154" spans="1:6">
      <c r="A154" s="182" t="s">
        <v>142</v>
      </c>
      <c r="B154" s="188">
        <v>500</v>
      </c>
      <c r="C154" s="188">
        <v>0</v>
      </c>
      <c r="D154" s="187">
        <f t="shared" si="16"/>
        <v>0</v>
      </c>
      <c r="E154" s="183">
        <f t="shared" si="15"/>
        <v>0</v>
      </c>
      <c r="F154" s="186">
        <f t="shared" si="14"/>
        <v>-500</v>
      </c>
    </row>
    <row r="155" spans="1:6">
      <c r="A155" s="182" t="s">
        <v>143</v>
      </c>
      <c r="B155" s="188">
        <v>100</v>
      </c>
      <c r="C155" s="188">
        <v>0</v>
      </c>
      <c r="D155" s="187">
        <f t="shared" si="16"/>
        <v>0</v>
      </c>
      <c r="E155" s="183">
        <f t="shared" si="15"/>
        <v>0</v>
      </c>
      <c r="F155" s="186">
        <f t="shared" si="14"/>
        <v>-100</v>
      </c>
    </row>
    <row r="156" spans="1:6">
      <c r="A156" s="54"/>
      <c r="B156" s="189"/>
      <c r="C156" s="189"/>
      <c r="D156" s="170"/>
      <c r="E156" s="179"/>
      <c r="F156" s="44"/>
    </row>
    <row r="157" spans="1:6">
      <c r="A157" s="190" t="s">
        <v>144</v>
      </c>
      <c r="B157" s="191">
        <f>B159+B166</f>
        <v>119400</v>
      </c>
      <c r="C157" s="191">
        <f>C159+C166</f>
        <v>26009.57</v>
      </c>
      <c r="D157" s="191">
        <f>D159+D166</f>
        <v>55569.14</v>
      </c>
      <c r="E157" s="191">
        <f>E159+E166</f>
        <v>81578.71</v>
      </c>
      <c r="F157" s="186">
        <f>E157-B157</f>
        <v>-37821.29</v>
      </c>
    </row>
    <row r="158" spans="1:6">
      <c r="A158" s="54"/>
      <c r="B158" s="189"/>
      <c r="C158" s="189"/>
      <c r="D158" s="170"/>
      <c r="E158" s="179"/>
      <c r="F158" s="44"/>
    </row>
    <row r="159" spans="1:6">
      <c r="A159" s="192" t="s">
        <v>145</v>
      </c>
      <c r="B159" s="193">
        <f>SUM(B160:B164)</f>
        <v>6700</v>
      </c>
      <c r="C159" s="193">
        <f>SUM(C160:C164)</f>
        <v>4722.37</v>
      </c>
      <c r="D159" s="193">
        <f>SUM(D160:D164)</f>
        <v>10494.74</v>
      </c>
      <c r="E159" s="193">
        <f>SUM(E160:E164)</f>
        <v>15217.11</v>
      </c>
      <c r="F159" s="193">
        <f>SUM(F160:F164)</f>
        <v>8517.11</v>
      </c>
    </row>
    <row r="160" spans="1:6">
      <c r="A160" s="165" t="s">
        <v>146</v>
      </c>
      <c r="B160" s="194">
        <v>1500</v>
      </c>
      <c r="C160" s="194">
        <v>4321.12</v>
      </c>
      <c r="D160" s="166">
        <f>(C160/4)*8</f>
        <v>8642.24</v>
      </c>
      <c r="E160" s="195">
        <f>C160+D160</f>
        <v>12963.36</v>
      </c>
      <c r="F160" s="169">
        <f>E160-B160</f>
        <v>11463.36</v>
      </c>
    </row>
    <row r="161" spans="1:6">
      <c r="A161" s="165" t="s">
        <v>147</v>
      </c>
      <c r="B161" s="194">
        <v>3000</v>
      </c>
      <c r="C161" s="194">
        <v>398.13</v>
      </c>
      <c r="D161" s="166">
        <f>(C161/4)*8</f>
        <v>796.26</v>
      </c>
      <c r="E161" s="195">
        <f>C161+D161</f>
        <v>1194.39</v>
      </c>
      <c r="F161" s="169">
        <f>E161-B161</f>
        <v>-1805.61</v>
      </c>
    </row>
    <row r="162" spans="1:6">
      <c r="A162" s="165" t="s">
        <v>148</v>
      </c>
      <c r="B162" s="194">
        <v>100</v>
      </c>
      <c r="C162" s="194">
        <v>3.12</v>
      </c>
      <c r="D162" s="166">
        <f>(C162/4)*8</f>
        <v>6.24</v>
      </c>
      <c r="E162" s="195">
        <f>C162+D162</f>
        <v>9.36</v>
      </c>
      <c r="F162" s="169">
        <f>E162-B162</f>
        <v>-90.64</v>
      </c>
    </row>
    <row r="163" spans="1:6">
      <c r="A163" s="165" t="s">
        <v>149</v>
      </c>
      <c r="B163" s="194">
        <v>2000</v>
      </c>
      <c r="C163" s="194">
        <v>0</v>
      </c>
      <c r="D163" s="166">
        <v>1000</v>
      </c>
      <c r="E163" s="195">
        <f>C163+D163</f>
        <v>1000</v>
      </c>
      <c r="F163" s="169">
        <f>E163-B163</f>
        <v>-1000</v>
      </c>
    </row>
    <row r="164" spans="1:6">
      <c r="A164" s="165" t="s">
        <v>150</v>
      </c>
      <c r="B164" s="194">
        <v>100</v>
      </c>
      <c r="C164" s="194">
        <v>0</v>
      </c>
      <c r="D164" s="166">
        <v>50</v>
      </c>
      <c r="E164" s="195">
        <f>C164+D164</f>
        <v>50</v>
      </c>
      <c r="F164" s="169">
        <f>E164-B164</f>
        <v>-50</v>
      </c>
    </row>
    <row r="165" spans="1:6">
      <c r="A165" s="54"/>
      <c r="B165" s="189"/>
      <c r="C165" s="189"/>
      <c r="D165" s="170"/>
      <c r="E165" s="179"/>
      <c r="F165" s="44"/>
    </row>
    <row r="166" spans="1:7">
      <c r="A166" s="196" t="s">
        <v>151</v>
      </c>
      <c r="B166" s="197">
        <f>B167+B171+B175+B181</f>
        <v>112700</v>
      </c>
      <c r="C166" s="197">
        <f>C167+C171+C175+C181</f>
        <v>21287.2</v>
      </c>
      <c r="D166" s="197">
        <f>D167+D171+D175+D181</f>
        <v>45074.4</v>
      </c>
      <c r="E166" s="197">
        <f>E167+E171+E175+E181</f>
        <v>66361.6</v>
      </c>
      <c r="F166" s="198"/>
      <c r="G166" s="74"/>
    </row>
    <row r="167" spans="1:7">
      <c r="A167" s="199" t="s">
        <v>152</v>
      </c>
      <c r="B167" s="200">
        <f>B168+B169</f>
        <v>21000</v>
      </c>
      <c r="C167" s="200">
        <f>C168+C169</f>
        <v>0</v>
      </c>
      <c r="D167" s="200">
        <f>D168+D169</f>
        <v>2000</v>
      </c>
      <c r="E167" s="201">
        <f>C167+D167</f>
        <v>2000</v>
      </c>
      <c r="F167" s="202">
        <f>E167-B167</f>
        <v>-19000</v>
      </c>
      <c r="G167" s="90"/>
    </row>
    <row r="168" spans="1:7">
      <c r="A168" s="86" t="s">
        <v>153</v>
      </c>
      <c r="B168" s="203">
        <v>20000</v>
      </c>
      <c r="C168" s="203">
        <v>0</v>
      </c>
      <c r="D168" s="112">
        <v>2000</v>
      </c>
      <c r="E168" s="179">
        <f>C168+D168</f>
        <v>2000</v>
      </c>
      <c r="F168" s="52">
        <f>E168-B168</f>
        <v>-18000</v>
      </c>
      <c r="G168" s="90"/>
    </row>
    <row r="169" spans="1:8">
      <c r="A169" s="86" t="s">
        <v>154</v>
      </c>
      <c r="B169" s="203">
        <v>1000</v>
      </c>
      <c r="C169" s="203">
        <v>0</v>
      </c>
      <c r="D169" s="112">
        <f>(C169/7)*5</f>
        <v>0</v>
      </c>
      <c r="E169" s="179">
        <f>C169+D169</f>
        <v>0</v>
      </c>
      <c r="F169" s="52">
        <f>E169-B169</f>
        <v>-1000</v>
      </c>
      <c r="G169" s="90"/>
      <c r="H169" s="74"/>
    </row>
    <row r="170" spans="1:8">
      <c r="A170" s="54"/>
      <c r="B170" s="189"/>
      <c r="C170" s="189"/>
      <c r="D170" s="170"/>
      <c r="E170" s="179"/>
      <c r="F170" s="44"/>
      <c r="G170" s="90"/>
      <c r="H170" s="74"/>
    </row>
    <row r="171" spans="1:8">
      <c r="A171" s="199" t="s">
        <v>155</v>
      </c>
      <c r="B171" s="200">
        <f>B172+B173</f>
        <v>1100</v>
      </c>
      <c r="C171" s="200">
        <f>C172+C173</f>
        <v>0</v>
      </c>
      <c r="D171" s="200">
        <f>D172+D173</f>
        <v>500</v>
      </c>
      <c r="E171" s="200">
        <f>E172+E173</f>
        <v>500</v>
      </c>
      <c r="F171" s="202">
        <f>E171-B171</f>
        <v>-600</v>
      </c>
      <c r="G171" s="90"/>
      <c r="H171" s="74"/>
    </row>
    <row r="172" spans="1:8">
      <c r="A172" s="86" t="s">
        <v>156</v>
      </c>
      <c r="B172" s="203">
        <v>1000</v>
      </c>
      <c r="C172" s="203">
        <v>0</v>
      </c>
      <c r="D172" s="112">
        <v>500</v>
      </c>
      <c r="E172" s="179">
        <f>C172+D172</f>
        <v>500</v>
      </c>
      <c r="F172" s="52">
        <f>E172-B172</f>
        <v>-500</v>
      </c>
      <c r="G172" s="90"/>
      <c r="H172" s="74"/>
    </row>
    <row r="173" spans="1:8">
      <c r="A173" s="86" t="s">
        <v>157</v>
      </c>
      <c r="B173" s="203">
        <v>100</v>
      </c>
      <c r="C173" s="203">
        <v>0</v>
      </c>
      <c r="D173" s="112">
        <f>(C173/7)*5</f>
        <v>0</v>
      </c>
      <c r="E173" s="179">
        <f>C173+D173</f>
        <v>0</v>
      </c>
      <c r="F173" s="52">
        <f>E173-B173</f>
        <v>-100</v>
      </c>
      <c r="G173" s="90"/>
      <c r="H173" s="74"/>
    </row>
    <row r="174" spans="1:8">
      <c r="A174" s="86"/>
      <c r="B174" s="203"/>
      <c r="C174" s="203"/>
      <c r="D174" s="112"/>
      <c r="E174" s="179"/>
      <c r="F174" s="52"/>
      <c r="G174" s="90"/>
      <c r="H174" s="74"/>
    </row>
    <row r="175" spans="1:8">
      <c r="A175" s="199" t="s">
        <v>158</v>
      </c>
      <c r="B175" s="200">
        <f>B176+B177+B178+B179</f>
        <v>75500</v>
      </c>
      <c r="C175" s="200">
        <f>C176+C177+C178+C179</f>
        <v>17329.93</v>
      </c>
      <c r="D175" s="200">
        <f>D176+D177+D178+D179</f>
        <v>34659.86</v>
      </c>
      <c r="E175" s="204">
        <f>E176+E177+E178+E179</f>
        <v>51989.79</v>
      </c>
      <c r="F175" s="202">
        <f>E175-B175</f>
        <v>-23510.21</v>
      </c>
      <c r="G175" s="90"/>
      <c r="H175" s="74"/>
    </row>
    <row r="176" spans="1:8">
      <c r="A176" s="86" t="s">
        <v>159</v>
      </c>
      <c r="B176" s="203">
        <v>15000</v>
      </c>
      <c r="C176" s="203">
        <v>308.93</v>
      </c>
      <c r="D176" s="112">
        <f>(C176/4)*8</f>
        <v>617.86</v>
      </c>
      <c r="E176" s="179">
        <f>C176+D176</f>
        <v>926.79</v>
      </c>
      <c r="F176" s="52">
        <f>E176-B176</f>
        <v>-14073.21</v>
      </c>
      <c r="G176" s="90"/>
      <c r="H176" s="74"/>
    </row>
    <row r="177" spans="1:8">
      <c r="A177" s="86" t="s">
        <v>160</v>
      </c>
      <c r="B177" s="203">
        <v>500</v>
      </c>
      <c r="C177" s="203">
        <v>108.26</v>
      </c>
      <c r="D177" s="112">
        <f>(C177/4)*8</f>
        <v>216.52</v>
      </c>
      <c r="E177" s="179">
        <f>C177+D177</f>
        <v>324.78</v>
      </c>
      <c r="F177" s="52">
        <f>E177-B177</f>
        <v>-175.22</v>
      </c>
      <c r="G177" s="90"/>
      <c r="H177" s="74"/>
    </row>
    <row r="178" spans="1:8">
      <c r="A178" s="86" t="s">
        <v>161</v>
      </c>
      <c r="B178" s="203">
        <v>50000</v>
      </c>
      <c r="C178" s="203">
        <v>12648.2</v>
      </c>
      <c r="D178" s="112">
        <f>(C178/4)*8</f>
        <v>25296.4</v>
      </c>
      <c r="E178" s="179">
        <f>C178+D178</f>
        <v>37944.6</v>
      </c>
      <c r="F178" s="52">
        <f>E178-B178</f>
        <v>-12055.4</v>
      </c>
      <c r="G178" s="90"/>
      <c r="H178" s="74"/>
    </row>
    <row r="179" spans="1:8">
      <c r="A179" s="86" t="s">
        <v>162</v>
      </c>
      <c r="B179" s="203">
        <v>10000</v>
      </c>
      <c r="C179" s="203">
        <v>4264.54</v>
      </c>
      <c r="D179" s="112">
        <f>(C179/4)*8</f>
        <v>8529.08</v>
      </c>
      <c r="E179" s="179">
        <f>C179+D179</f>
        <v>12793.62</v>
      </c>
      <c r="F179" s="52">
        <f>E179-B179</f>
        <v>2793.62</v>
      </c>
      <c r="G179" s="90"/>
      <c r="H179" s="74"/>
    </row>
    <row r="180" spans="1:8">
      <c r="A180" s="86"/>
      <c r="B180" s="203"/>
      <c r="C180" s="203"/>
      <c r="D180" s="112"/>
      <c r="E180" s="179"/>
      <c r="F180" s="52"/>
      <c r="G180" s="90"/>
      <c r="H180" s="74"/>
    </row>
    <row r="181" spans="1:8">
      <c r="A181" s="199" t="s">
        <v>163</v>
      </c>
      <c r="B181" s="200">
        <f>B182+B183+B184+B185</f>
        <v>15100</v>
      </c>
      <c r="C181" s="200">
        <f>C182+C183+C184+C185</f>
        <v>3957.27</v>
      </c>
      <c r="D181" s="200">
        <f>D182+D183+D184+D185</f>
        <v>7914.54</v>
      </c>
      <c r="E181" s="201">
        <f>C181+D181</f>
        <v>11871.81</v>
      </c>
      <c r="F181" s="202">
        <f>E181-B181</f>
        <v>-3228.19</v>
      </c>
      <c r="G181" s="90"/>
      <c r="H181" s="74"/>
    </row>
    <row r="182" spans="1:8">
      <c r="A182" s="86" t="s">
        <v>164</v>
      </c>
      <c r="B182" s="203">
        <v>5000</v>
      </c>
      <c r="C182" s="203">
        <v>89.5</v>
      </c>
      <c r="D182" s="112">
        <f>(C182/4)*8</f>
        <v>179</v>
      </c>
      <c r="E182" s="179">
        <f>C182+D182</f>
        <v>268.5</v>
      </c>
      <c r="F182" s="52">
        <f>E182-B182</f>
        <v>-4731.5</v>
      </c>
      <c r="G182" s="90"/>
      <c r="H182" s="74"/>
    </row>
    <row r="183" spans="1:8">
      <c r="A183" s="86" t="s">
        <v>165</v>
      </c>
      <c r="B183" s="203">
        <v>100</v>
      </c>
      <c r="C183" s="203">
        <v>3.24</v>
      </c>
      <c r="D183" s="112">
        <f>(C183/4)*8</f>
        <v>6.48</v>
      </c>
      <c r="E183" s="179">
        <f>C183+D183</f>
        <v>9.72</v>
      </c>
      <c r="F183" s="52">
        <f>E183-B183</f>
        <v>-90.28</v>
      </c>
      <c r="G183" s="90"/>
      <c r="H183" s="74"/>
    </row>
    <row r="184" spans="1:8">
      <c r="A184" s="86" t="s">
        <v>166</v>
      </c>
      <c r="B184" s="203">
        <v>5000</v>
      </c>
      <c r="C184" s="203">
        <v>2720.89</v>
      </c>
      <c r="D184" s="112">
        <f>(C184/4)*8</f>
        <v>5441.78</v>
      </c>
      <c r="E184" s="179">
        <f>C184+D184</f>
        <v>8162.67</v>
      </c>
      <c r="F184" s="52">
        <f>E184-B184</f>
        <v>3162.67</v>
      </c>
      <c r="G184" s="205"/>
      <c r="H184" s="74"/>
    </row>
    <row r="185" spans="1:8">
      <c r="A185" s="86" t="s">
        <v>167</v>
      </c>
      <c r="B185" s="203">
        <v>5000</v>
      </c>
      <c r="C185" s="203">
        <v>1143.64</v>
      </c>
      <c r="D185" s="112">
        <f>(C185/4)*8</f>
        <v>2287.28</v>
      </c>
      <c r="E185" s="179">
        <f>C185+D185</f>
        <v>3430.92</v>
      </c>
      <c r="F185" s="52">
        <f>E185-B185</f>
        <v>-1569.08</v>
      </c>
      <c r="G185" s="90"/>
      <c r="H185" s="74"/>
    </row>
    <row r="186" spans="1:8">
      <c r="A186" s="86"/>
      <c r="B186" s="203"/>
      <c r="C186" s="203"/>
      <c r="D186" s="112"/>
      <c r="E186" s="179"/>
      <c r="F186" s="52"/>
      <c r="G186" s="90"/>
      <c r="H186" s="74"/>
    </row>
    <row r="187" spans="1:8">
      <c r="A187" s="206" t="s">
        <v>168</v>
      </c>
      <c r="B187" s="207">
        <f>SUM(B188:B193)</f>
        <v>127500</v>
      </c>
      <c r="C187" s="207">
        <f>SUM(C188:C193)</f>
        <v>15553.26</v>
      </c>
      <c r="D187" s="207">
        <f>SUM(D188:D193)</f>
        <v>31106.52</v>
      </c>
      <c r="E187" s="207">
        <f>SUM(E188:E193)</f>
        <v>46659.78</v>
      </c>
      <c r="F187" s="208">
        <f t="shared" ref="F187:F193" si="17">E187-B187</f>
        <v>-80840.22</v>
      </c>
      <c r="G187" s="90"/>
      <c r="H187" s="74"/>
    </row>
    <row r="188" spans="1:8">
      <c r="A188" s="54" t="s">
        <v>169</v>
      </c>
      <c r="B188" s="189">
        <v>50000</v>
      </c>
      <c r="C188" s="189">
        <v>3654.5</v>
      </c>
      <c r="D188" s="170">
        <f t="shared" ref="D188:D193" si="18">(C188/4)*8</f>
        <v>7309</v>
      </c>
      <c r="E188" s="209">
        <f t="shared" ref="E188:E193" si="19">C188+D188</f>
        <v>10963.5</v>
      </c>
      <c r="F188" s="44">
        <f t="shared" si="17"/>
        <v>-39036.5</v>
      </c>
      <c r="G188" s="90"/>
      <c r="H188" s="74"/>
    </row>
    <row r="189" spans="1:8">
      <c r="A189" s="54" t="s">
        <v>170</v>
      </c>
      <c r="B189" s="189">
        <v>45000</v>
      </c>
      <c r="C189" s="189">
        <v>7073.19</v>
      </c>
      <c r="D189" s="170">
        <f t="shared" si="18"/>
        <v>14146.38</v>
      </c>
      <c r="E189" s="179">
        <f t="shared" si="19"/>
        <v>21219.57</v>
      </c>
      <c r="F189" s="44">
        <f t="shared" si="17"/>
        <v>-23780.43</v>
      </c>
      <c r="G189" s="90"/>
      <c r="H189" s="74"/>
    </row>
    <row r="190" spans="1:8">
      <c r="A190" s="54" t="s">
        <v>171</v>
      </c>
      <c r="B190" s="189">
        <v>500</v>
      </c>
      <c r="C190" s="189">
        <v>25.2</v>
      </c>
      <c r="D190" s="170">
        <f t="shared" si="18"/>
        <v>50.4</v>
      </c>
      <c r="E190" s="179">
        <f t="shared" si="19"/>
        <v>75.6</v>
      </c>
      <c r="F190" s="44">
        <f t="shared" si="17"/>
        <v>-424.4</v>
      </c>
      <c r="G190" s="90"/>
      <c r="H190" s="74"/>
    </row>
    <row r="191" spans="1:7">
      <c r="A191" s="54" t="s">
        <v>172</v>
      </c>
      <c r="B191" s="189">
        <v>1000</v>
      </c>
      <c r="C191" s="189">
        <v>1391.72</v>
      </c>
      <c r="D191" s="170">
        <f t="shared" si="18"/>
        <v>2783.44</v>
      </c>
      <c r="E191" s="179">
        <f t="shared" si="19"/>
        <v>4175.16</v>
      </c>
      <c r="F191" s="44">
        <f t="shared" si="17"/>
        <v>3175.16</v>
      </c>
      <c r="G191" s="68"/>
    </row>
    <row r="192" spans="1:7">
      <c r="A192" s="54" t="s">
        <v>173</v>
      </c>
      <c r="B192" s="189">
        <v>1000</v>
      </c>
      <c r="C192" s="189">
        <v>959.06</v>
      </c>
      <c r="D192" s="170">
        <f t="shared" si="18"/>
        <v>1918.12</v>
      </c>
      <c r="E192" s="179">
        <f t="shared" si="19"/>
        <v>2877.18</v>
      </c>
      <c r="F192" s="44">
        <f t="shared" si="17"/>
        <v>1877.18</v>
      </c>
      <c r="G192" s="68"/>
    </row>
    <row r="193" spans="1:7">
      <c r="A193" s="54" t="s">
        <v>174</v>
      </c>
      <c r="B193" s="189">
        <v>30000</v>
      </c>
      <c r="C193" s="189">
        <v>2449.59</v>
      </c>
      <c r="D193" s="170">
        <f t="shared" si="18"/>
        <v>4899.18</v>
      </c>
      <c r="E193" s="179">
        <f t="shared" si="19"/>
        <v>7348.77</v>
      </c>
      <c r="F193" s="44">
        <f t="shared" si="17"/>
        <v>-22651.23</v>
      </c>
      <c r="G193" s="68"/>
    </row>
    <row r="194" spans="1:8">
      <c r="A194" s="211"/>
      <c r="B194" s="212"/>
      <c r="C194" s="212"/>
      <c r="D194" s="213"/>
      <c r="E194" s="214"/>
      <c r="F194" s="215"/>
      <c r="G194" s="90"/>
      <c r="H194" s="74"/>
    </row>
    <row r="195" spans="1:9">
      <c r="A195" s="83" t="s">
        <v>175</v>
      </c>
      <c r="B195" s="216">
        <f>B196+B197</f>
        <v>7087000</v>
      </c>
      <c r="C195" s="216">
        <f>C196+C197</f>
        <v>2111042.51</v>
      </c>
      <c r="D195" s="216">
        <f>D196+D197</f>
        <v>4835036.61</v>
      </c>
      <c r="E195" s="216">
        <f>E196+E197</f>
        <v>6946079.12</v>
      </c>
      <c r="F195" s="217">
        <f>F196+F197</f>
        <v>-140920.879999999</v>
      </c>
      <c r="G195" s="90"/>
      <c r="H195" s="74"/>
      <c r="I195" s="210"/>
    </row>
    <row r="196" spans="1:8">
      <c r="A196" s="54" t="s">
        <v>176</v>
      </c>
      <c r="B196" s="189">
        <v>2167000</v>
      </c>
      <c r="C196" s="189">
        <v>653017.9</v>
      </c>
      <c r="D196" s="44">
        <f>166182.48*9</f>
        <v>1495642.32</v>
      </c>
      <c r="E196" s="218">
        <f>C196+D196</f>
        <v>2148660.22</v>
      </c>
      <c r="F196" s="44">
        <f>E196-B196</f>
        <v>-18339.7799999998</v>
      </c>
      <c r="G196" s="219"/>
      <c r="H196" s="74"/>
    </row>
    <row r="197" spans="1:8">
      <c r="A197" s="54" t="s">
        <v>177</v>
      </c>
      <c r="B197" s="189">
        <v>4920000</v>
      </c>
      <c r="C197" s="189">
        <v>1458024.61</v>
      </c>
      <c r="D197" s="44">
        <f>371043.81*9</f>
        <v>3339394.29</v>
      </c>
      <c r="E197" s="218">
        <f>C197+D197</f>
        <v>4797418.9</v>
      </c>
      <c r="F197" s="44">
        <f>E197-B197</f>
        <v>-122581.1</v>
      </c>
      <c r="G197" s="90"/>
      <c r="H197" s="74"/>
    </row>
    <row r="198" spans="1:8">
      <c r="A198" s="54"/>
      <c r="B198" s="54"/>
      <c r="C198" s="54"/>
      <c r="D198" s="54"/>
      <c r="E198" s="178"/>
      <c r="F198" s="44"/>
      <c r="G198" s="90"/>
      <c r="H198" s="74"/>
    </row>
    <row r="199" spans="1:9">
      <c r="A199" s="83" t="s">
        <v>178</v>
      </c>
      <c r="B199" s="216">
        <f>B201+B205+B211+B220</f>
        <v>2945838.26</v>
      </c>
      <c r="C199" s="216">
        <f>C201+C205+C211+C220</f>
        <v>76040.12</v>
      </c>
      <c r="D199" s="216">
        <f>D201+D205+D211+D220</f>
        <v>2861457.02</v>
      </c>
      <c r="E199" s="216">
        <f>E201+E205+E211+E220</f>
        <v>2937497.14</v>
      </c>
      <c r="F199" s="216">
        <f>F201+F205+F211+F220</f>
        <v>-8341.12000000001</v>
      </c>
      <c r="G199" s="90"/>
      <c r="H199" s="74"/>
      <c r="I199" s="210"/>
    </row>
    <row r="200" spans="1:9">
      <c r="A200" s="178"/>
      <c r="B200" s="220"/>
      <c r="C200" s="220"/>
      <c r="D200" s="220"/>
      <c r="E200" s="220"/>
      <c r="F200" s="49"/>
      <c r="G200" s="221"/>
      <c r="H200" s="74"/>
      <c r="I200" s="210"/>
    </row>
    <row r="201" spans="1:8">
      <c r="A201" s="83" t="s">
        <v>179</v>
      </c>
      <c r="B201" s="216">
        <f>B202+B203</f>
        <v>1000500</v>
      </c>
      <c r="C201" s="216">
        <f>C202+C203</f>
        <v>0</v>
      </c>
      <c r="D201" s="216">
        <f>D202+D203</f>
        <v>1350000</v>
      </c>
      <c r="E201" s="216">
        <f>E202+E203</f>
        <v>1350000</v>
      </c>
      <c r="F201" s="216">
        <f>F202+F203</f>
        <v>349500</v>
      </c>
      <c r="G201" s="219"/>
      <c r="H201" s="74"/>
    </row>
    <row r="202" spans="1:8">
      <c r="A202" s="54" t="s">
        <v>180</v>
      </c>
      <c r="B202" s="189">
        <v>0</v>
      </c>
      <c r="C202" s="189">
        <v>0</v>
      </c>
      <c r="D202" s="112">
        <v>350000</v>
      </c>
      <c r="E202" s="220">
        <f>C202+D202</f>
        <v>350000</v>
      </c>
      <c r="F202" s="44">
        <f>E202-B202</f>
        <v>350000</v>
      </c>
      <c r="G202" s="221"/>
      <c r="H202" s="74"/>
    </row>
    <row r="203" spans="1:8">
      <c r="A203" s="54" t="s">
        <v>181</v>
      </c>
      <c r="B203" s="189">
        <v>1000500</v>
      </c>
      <c r="C203" s="189">
        <v>0</v>
      </c>
      <c r="D203" s="170">
        <v>1000000</v>
      </c>
      <c r="E203" s="220">
        <f>C203+D203</f>
        <v>1000000</v>
      </c>
      <c r="F203" s="44">
        <f>E203-B203</f>
        <v>-500</v>
      </c>
      <c r="G203" s="90"/>
      <c r="H203" s="74"/>
    </row>
    <row r="204" spans="1:8">
      <c r="A204" s="54"/>
      <c r="B204" s="189"/>
      <c r="C204" s="189"/>
      <c r="D204" s="170"/>
      <c r="E204" s="220"/>
      <c r="F204" s="44"/>
      <c r="G204" s="90"/>
      <c r="H204" s="74"/>
    </row>
    <row r="205" spans="1:8">
      <c r="A205" s="83" t="s">
        <v>182</v>
      </c>
      <c r="B205" s="216">
        <f>B206+B207+B208+B209</f>
        <v>213000</v>
      </c>
      <c r="C205" s="216">
        <f>C206+C207+C208+C209</f>
        <v>70295.53</v>
      </c>
      <c r="D205" s="216">
        <f>D206+D207+D208+D209</f>
        <v>140591.06</v>
      </c>
      <c r="E205" s="216">
        <f>E206+E207+E208+E209</f>
        <v>210886.59</v>
      </c>
      <c r="F205" s="216">
        <f>F206+F207+F208+F209</f>
        <v>-2113.41000000001</v>
      </c>
      <c r="G205" s="90"/>
      <c r="H205" s="74"/>
    </row>
    <row r="206" spans="1:8">
      <c r="A206" s="54" t="s">
        <v>183</v>
      </c>
      <c r="B206" s="189">
        <v>200000</v>
      </c>
      <c r="C206" s="189">
        <v>61258.84</v>
      </c>
      <c r="D206" s="44">
        <f>(C206/4)*8</f>
        <v>122517.68</v>
      </c>
      <c r="E206" s="220">
        <f>C206+D206</f>
        <v>183776.52</v>
      </c>
      <c r="F206" s="44">
        <f>E206-B206</f>
        <v>-16223.48</v>
      </c>
      <c r="G206" s="221"/>
      <c r="H206" s="74"/>
    </row>
    <row r="207" spans="1:8">
      <c r="A207" s="54" t="s">
        <v>184</v>
      </c>
      <c r="B207" s="189">
        <v>1000</v>
      </c>
      <c r="C207" s="189">
        <v>237.06</v>
      </c>
      <c r="D207" s="44">
        <f>(C207/4)*8</f>
        <v>474.12</v>
      </c>
      <c r="E207" s="220">
        <f>C207+D207</f>
        <v>711.18</v>
      </c>
      <c r="F207" s="44">
        <f>E207-B207</f>
        <v>-288.82</v>
      </c>
      <c r="G207" s="90"/>
      <c r="H207" s="74"/>
    </row>
    <row r="208" spans="1:8">
      <c r="A208" s="54" t="s">
        <v>185</v>
      </c>
      <c r="B208" s="189">
        <v>10000</v>
      </c>
      <c r="C208" s="189">
        <v>7688</v>
      </c>
      <c r="D208" s="44">
        <f>(C208/4)*8</f>
        <v>15376</v>
      </c>
      <c r="E208" s="220">
        <f>C208+D208</f>
        <v>23064</v>
      </c>
      <c r="F208" s="44">
        <f>E208-B208</f>
        <v>13064</v>
      </c>
      <c r="G208" s="90"/>
      <c r="H208" s="74"/>
    </row>
    <row r="209" spans="1:8">
      <c r="A209" s="54" t="s">
        <v>186</v>
      </c>
      <c r="B209" s="189">
        <v>2000</v>
      </c>
      <c r="C209" s="189">
        <v>1111.63</v>
      </c>
      <c r="D209" s="44">
        <f>(C209/4)*8</f>
        <v>2223.26</v>
      </c>
      <c r="E209" s="220">
        <f>C209+D209</f>
        <v>3334.89</v>
      </c>
      <c r="F209" s="44">
        <f>E209-B209</f>
        <v>1334.89</v>
      </c>
      <c r="G209" s="90"/>
      <c r="H209" s="74"/>
    </row>
    <row r="210" spans="1:8">
      <c r="A210" s="54"/>
      <c r="B210" s="189"/>
      <c r="C210" s="189"/>
      <c r="D210" s="44"/>
      <c r="E210" s="222"/>
      <c r="F210" s="44"/>
      <c r="G210" s="90"/>
      <c r="H210" s="74"/>
    </row>
    <row r="211" spans="1:9">
      <c r="A211" s="83" t="s">
        <v>187</v>
      </c>
      <c r="B211" s="217">
        <f>SUM(B212+B218)</f>
        <v>1681155.26</v>
      </c>
      <c r="C211" s="217">
        <f>SUM(C212+C218)</f>
        <v>0</v>
      </c>
      <c r="D211" s="217">
        <f>SUM(D212+D218)</f>
        <v>1359376.78</v>
      </c>
      <c r="E211" s="217">
        <f>SUM(E212+E218)</f>
        <v>1359376.78</v>
      </c>
      <c r="F211" s="217">
        <f>SUM(F212+F218)</f>
        <v>-321778.48</v>
      </c>
      <c r="G211" s="90"/>
      <c r="H211" s="74"/>
      <c r="I211" s="68"/>
    </row>
    <row r="212" spans="1:9">
      <c r="A212" s="83" t="s">
        <v>188</v>
      </c>
      <c r="B212" s="217">
        <f>SUM(B213:B217)</f>
        <v>1675155.26</v>
      </c>
      <c r="C212" s="217">
        <f>SUM(C213:C214)</f>
        <v>0</v>
      </c>
      <c r="D212" s="217">
        <f>SUM(D213:D217)</f>
        <v>1359376.78</v>
      </c>
      <c r="E212" s="217">
        <f>SUM(E213:E217)</f>
        <v>1359376.78</v>
      </c>
      <c r="F212" s="217">
        <f>SUM(F213:F217)</f>
        <v>-315778.48</v>
      </c>
      <c r="G212" s="219"/>
      <c r="H212" s="74"/>
      <c r="I212" s="68"/>
    </row>
    <row r="213" spans="1:8">
      <c r="A213" s="86" t="s">
        <v>189</v>
      </c>
      <c r="B213" s="52">
        <v>344990</v>
      </c>
      <c r="C213" s="52">
        <v>0</v>
      </c>
      <c r="D213" s="52">
        <v>344990</v>
      </c>
      <c r="E213" s="220">
        <f t="shared" ref="E213:E217" si="20">C213+D213</f>
        <v>344990</v>
      </c>
      <c r="F213" s="44">
        <f t="shared" ref="F213:F217" si="21">E213-B213</f>
        <v>0</v>
      </c>
      <c r="G213" s="90"/>
      <c r="H213" s="74"/>
    </row>
    <row r="214" ht="15" customHeight="1" spans="1:8">
      <c r="A214" s="86" t="s">
        <v>190</v>
      </c>
      <c r="B214" s="52">
        <v>172319.78</v>
      </c>
      <c r="C214" s="44">
        <v>0</v>
      </c>
      <c r="D214" s="44">
        <f>B214-C214</f>
        <v>172319.78</v>
      </c>
      <c r="E214" s="220">
        <f t="shared" si="20"/>
        <v>172319.78</v>
      </c>
      <c r="F214" s="44">
        <f t="shared" si="21"/>
        <v>0</v>
      </c>
      <c r="G214" s="90"/>
      <c r="H214" s="74"/>
    </row>
    <row r="215" spans="1:9">
      <c r="A215" s="41" t="s">
        <v>191</v>
      </c>
      <c r="B215" s="42">
        <v>842067</v>
      </c>
      <c r="C215" s="37">
        <v>0</v>
      </c>
      <c r="D215" s="37">
        <v>842067</v>
      </c>
      <c r="E215" s="220">
        <f t="shared" si="20"/>
        <v>842067</v>
      </c>
      <c r="F215" s="44">
        <f t="shared" si="21"/>
        <v>0</v>
      </c>
      <c r="G215" s="90"/>
      <c r="H215" s="74"/>
      <c r="I215" s="68"/>
    </row>
    <row r="216" spans="1:9">
      <c r="A216" s="41" t="s">
        <v>192</v>
      </c>
      <c r="B216" s="42">
        <v>92190.48</v>
      </c>
      <c r="C216" s="44">
        <v>0</v>
      </c>
      <c r="D216" s="44">
        <v>0</v>
      </c>
      <c r="E216" s="220">
        <f t="shared" si="20"/>
        <v>0</v>
      </c>
      <c r="F216" s="44">
        <f t="shared" si="21"/>
        <v>-92190.48</v>
      </c>
      <c r="G216" s="90"/>
      <c r="H216" s="74"/>
      <c r="I216" s="68"/>
    </row>
    <row r="217" spans="1:9">
      <c r="A217" s="41" t="s">
        <v>193</v>
      </c>
      <c r="B217" s="42">
        <v>223588</v>
      </c>
      <c r="C217" s="44">
        <v>0</v>
      </c>
      <c r="D217" s="44">
        <v>0</v>
      </c>
      <c r="E217" s="220">
        <f t="shared" si="20"/>
        <v>0</v>
      </c>
      <c r="F217" s="44">
        <f t="shared" si="21"/>
        <v>-223588</v>
      </c>
      <c r="G217" s="90"/>
      <c r="H217" s="74"/>
      <c r="I217" s="68"/>
    </row>
    <row r="218" spans="1:9">
      <c r="A218" s="83" t="s">
        <v>194</v>
      </c>
      <c r="B218" s="217">
        <f t="shared" ref="B218:B222" si="22">SUM(B219:B219)</f>
        <v>6000</v>
      </c>
      <c r="C218" s="217">
        <f t="shared" ref="C218:C222" si="23">SUM(C219:C219)</f>
        <v>0</v>
      </c>
      <c r="D218" s="217">
        <f t="shared" ref="D218:D222" si="24">SUM(D219:D219)</f>
        <v>0</v>
      </c>
      <c r="E218" s="217">
        <f t="shared" ref="E218:E222" si="25">SUM(E219:E219)</f>
        <v>0</v>
      </c>
      <c r="F218" s="217">
        <f t="shared" ref="F218:F222" si="26">SUM(F219:F219)</f>
        <v>-6000</v>
      </c>
      <c r="G218" s="219"/>
      <c r="H218" s="74"/>
      <c r="I218" s="68"/>
    </row>
    <row r="219" spans="1:9">
      <c r="A219" s="41" t="s">
        <v>195</v>
      </c>
      <c r="B219" s="42">
        <v>6000</v>
      </c>
      <c r="C219" s="42">
        <v>0</v>
      </c>
      <c r="D219" s="37">
        <v>0</v>
      </c>
      <c r="E219" s="220">
        <f t="shared" ref="E219:E223" si="27">C219+D219</f>
        <v>0</v>
      </c>
      <c r="F219" s="44">
        <f t="shared" ref="F219:F223" si="28">E219-B219</f>
        <v>-6000</v>
      </c>
      <c r="G219" s="219"/>
      <c r="H219" s="74"/>
      <c r="I219" s="68"/>
    </row>
    <row r="220" spans="1:9">
      <c r="A220" s="83" t="s">
        <v>196</v>
      </c>
      <c r="B220" s="47">
        <f t="shared" si="22"/>
        <v>51183</v>
      </c>
      <c r="C220" s="47">
        <f t="shared" si="23"/>
        <v>5744.59</v>
      </c>
      <c r="D220" s="47">
        <f t="shared" si="24"/>
        <v>11489.18</v>
      </c>
      <c r="E220" s="47">
        <f t="shared" si="25"/>
        <v>17233.77</v>
      </c>
      <c r="F220" s="47">
        <f t="shared" si="26"/>
        <v>-33949.23</v>
      </c>
      <c r="G220" s="90"/>
      <c r="H220" s="74"/>
      <c r="I220" s="68"/>
    </row>
    <row r="221" spans="1:9">
      <c r="A221" s="41" t="s">
        <v>197</v>
      </c>
      <c r="B221" s="42">
        <v>51183</v>
      </c>
      <c r="C221" s="42">
        <v>5744.59</v>
      </c>
      <c r="D221" s="223">
        <f>(C221/4)*8</f>
        <v>11489.18</v>
      </c>
      <c r="E221" s="224">
        <f t="shared" si="27"/>
        <v>17233.77</v>
      </c>
      <c r="F221" s="42">
        <f t="shared" si="28"/>
        <v>-33949.23</v>
      </c>
      <c r="G221" s="225"/>
      <c r="H221" s="226"/>
      <c r="I221" s="68"/>
    </row>
    <row r="222" spans="1:9">
      <c r="A222" s="45" t="s">
        <v>198</v>
      </c>
      <c r="B222" s="47">
        <f t="shared" si="22"/>
        <v>0</v>
      </c>
      <c r="C222" s="47">
        <f t="shared" si="23"/>
        <v>2218.88</v>
      </c>
      <c r="D222" s="47">
        <f t="shared" si="24"/>
        <v>6609.09</v>
      </c>
      <c r="E222" s="47">
        <f t="shared" si="25"/>
        <v>8827.97</v>
      </c>
      <c r="F222" s="42">
        <f t="shared" si="28"/>
        <v>8827.97</v>
      </c>
      <c r="G222" s="225"/>
      <c r="H222" s="226"/>
      <c r="I222" s="68"/>
    </row>
    <row r="223" spans="1:9">
      <c r="A223" s="41" t="s">
        <v>199</v>
      </c>
      <c r="B223" s="42">
        <v>0</v>
      </c>
      <c r="C223" s="42">
        <v>2218.88</v>
      </c>
      <c r="D223" s="223">
        <v>6609.09</v>
      </c>
      <c r="E223" s="224">
        <f t="shared" si="27"/>
        <v>8827.97</v>
      </c>
      <c r="F223" s="42">
        <f t="shared" si="28"/>
        <v>8827.97</v>
      </c>
      <c r="G223" s="219"/>
      <c r="I223" s="68"/>
    </row>
    <row r="224" spans="1:9">
      <c r="A224" s="83" t="s">
        <v>200</v>
      </c>
      <c r="B224" s="217">
        <f>SUM(B225+B234)</f>
        <v>6209700</v>
      </c>
      <c r="C224" s="217">
        <f>SUM(C225+C234)</f>
        <v>2575987.83</v>
      </c>
      <c r="D224" s="217">
        <f>SUM(D225+D234)</f>
        <v>4618374.07</v>
      </c>
      <c r="E224" s="217">
        <f>SUM(E225+E234)</f>
        <v>7194361.9</v>
      </c>
      <c r="F224" s="217">
        <f>SUM(F225+F234)</f>
        <v>984661.900000001</v>
      </c>
      <c r="G224" s="219"/>
      <c r="I224" s="68"/>
    </row>
    <row r="225" spans="1:9">
      <c r="A225" s="83" t="s">
        <v>201</v>
      </c>
      <c r="B225" s="217">
        <f>SUM(B226+B229)</f>
        <v>6208700</v>
      </c>
      <c r="C225" s="217">
        <f>SUM(C226+C229)</f>
        <v>2575846</v>
      </c>
      <c r="D225" s="217">
        <f>SUM(D226+D229)</f>
        <v>4123366.77</v>
      </c>
      <c r="E225" s="217">
        <f>SUM(E226+E229)</f>
        <v>6699212.77</v>
      </c>
      <c r="F225" s="217">
        <f>SUM(F226+F229)</f>
        <v>490512.770000001</v>
      </c>
      <c r="G225" s="219"/>
      <c r="I225" s="68"/>
    </row>
    <row r="226" spans="1:9">
      <c r="A226" s="83" t="s">
        <v>202</v>
      </c>
      <c r="B226" s="217">
        <f>SUM(B227:B227)</f>
        <v>6111200</v>
      </c>
      <c r="C226" s="217">
        <f>SUM(C227:C227)</f>
        <v>2507724.01</v>
      </c>
      <c r="D226" s="217">
        <f>SUM(D227:D227)</f>
        <v>3987122.79</v>
      </c>
      <c r="E226" s="217">
        <f>SUM(E227:E227)</f>
        <v>6494846.8</v>
      </c>
      <c r="F226" s="217">
        <f>SUM(F227:F227)</f>
        <v>383646.800000001</v>
      </c>
      <c r="G226" s="219"/>
      <c r="I226" s="68"/>
    </row>
    <row r="227" spans="1:9">
      <c r="A227" s="86" t="s">
        <v>203</v>
      </c>
      <c r="B227" s="52">
        <v>6111200</v>
      </c>
      <c r="C227" s="52">
        <v>2507724.01</v>
      </c>
      <c r="D227" s="52">
        <f>(E82+E85+E114+E115+E116)*20%-C227</f>
        <v>3987122.79</v>
      </c>
      <c r="E227" s="49">
        <f>C227+D227</f>
        <v>6494846.8</v>
      </c>
      <c r="F227" s="52">
        <f>E227-B227</f>
        <v>383646.800000001</v>
      </c>
      <c r="G227" s="219"/>
      <c r="I227" s="68"/>
    </row>
    <row r="228" spans="1:7">
      <c r="A228" s="86"/>
      <c r="B228" s="52"/>
      <c r="C228" s="52"/>
      <c r="D228" s="52"/>
      <c r="E228" s="49"/>
      <c r="F228" s="52"/>
      <c r="G228" s="90"/>
    </row>
    <row r="229" spans="1:7">
      <c r="A229" s="178" t="s">
        <v>204</v>
      </c>
      <c r="B229" s="49">
        <f>SUM(B230:B232)</f>
        <v>97500</v>
      </c>
      <c r="C229" s="49">
        <f>SUM(C230:C232)</f>
        <v>68121.99</v>
      </c>
      <c r="D229" s="49">
        <f>SUM(D230:D232)</f>
        <v>136243.98</v>
      </c>
      <c r="E229" s="49">
        <f>SUM(E230:E232)</f>
        <v>204365.97</v>
      </c>
      <c r="F229" s="49">
        <f>SUM(F230:F232)</f>
        <v>106865.97</v>
      </c>
      <c r="G229" s="90"/>
    </row>
    <row r="230" spans="1:7">
      <c r="A230" s="86" t="s">
        <v>205</v>
      </c>
      <c r="B230" s="52">
        <v>86500</v>
      </c>
      <c r="C230" s="52">
        <v>66962.8</v>
      </c>
      <c r="D230" s="44">
        <f>C230/4*8</f>
        <v>133925.6</v>
      </c>
      <c r="E230" s="49">
        <f>C230+D230</f>
        <v>200888.4</v>
      </c>
      <c r="F230" s="44">
        <f>E230-B230</f>
        <v>114388.4</v>
      </c>
      <c r="G230" s="219"/>
    </row>
    <row r="231" spans="1:7">
      <c r="A231" s="86" t="s">
        <v>206</v>
      </c>
      <c r="B231" s="52">
        <v>5000</v>
      </c>
      <c r="C231" s="52">
        <v>1.92</v>
      </c>
      <c r="D231" s="44">
        <f t="shared" ref="D231:D236" si="29">C231/4*8</f>
        <v>3.84</v>
      </c>
      <c r="E231" s="49">
        <f>C231+D231</f>
        <v>5.76</v>
      </c>
      <c r="F231" s="44">
        <f>E231-B231</f>
        <v>-4994.24</v>
      </c>
      <c r="G231" s="68"/>
    </row>
    <row r="232" spans="1:7">
      <c r="A232" s="86" t="s">
        <v>207</v>
      </c>
      <c r="B232" s="52">
        <v>6000</v>
      </c>
      <c r="C232" s="52">
        <v>1157.27</v>
      </c>
      <c r="D232" s="44">
        <f t="shared" si="29"/>
        <v>2314.54</v>
      </c>
      <c r="E232" s="49">
        <f>C232+D232</f>
        <v>3471.81</v>
      </c>
      <c r="F232" s="44">
        <f>E232-B232</f>
        <v>-2528.19</v>
      </c>
      <c r="G232" s="68"/>
    </row>
    <row r="233" spans="1:7">
      <c r="A233" s="86"/>
      <c r="B233" s="52"/>
      <c r="C233" s="52"/>
      <c r="D233" s="44"/>
      <c r="E233" s="49"/>
      <c r="F233" s="44"/>
      <c r="G233" s="68"/>
    </row>
    <row r="234" spans="1:7">
      <c r="A234" s="178" t="s">
        <v>208</v>
      </c>
      <c r="B234" s="49">
        <f>B237+B236+B235</f>
        <v>1000</v>
      </c>
      <c r="C234" s="49">
        <f>C237+C236+C235</f>
        <v>141.83</v>
      </c>
      <c r="D234" s="49">
        <f>D237+D236+D235</f>
        <v>495007.3</v>
      </c>
      <c r="E234" s="49">
        <f>E237+E236+E235</f>
        <v>495149.13</v>
      </c>
      <c r="F234" s="49">
        <f>F237+F236+F235</f>
        <v>494149.13</v>
      </c>
      <c r="G234" s="68"/>
    </row>
    <row r="235" spans="1:7">
      <c r="A235" s="178" t="s">
        <v>179</v>
      </c>
      <c r="B235" s="49">
        <v>0</v>
      </c>
      <c r="C235" s="49">
        <v>0</v>
      </c>
      <c r="D235" s="49">
        <v>0</v>
      </c>
      <c r="E235" s="49">
        <f>C235+D235</f>
        <v>0</v>
      </c>
      <c r="F235" s="44">
        <f>E235-B235</f>
        <v>0</v>
      </c>
      <c r="G235" s="219"/>
    </row>
    <row r="236" spans="1:7">
      <c r="A236" s="51" t="s">
        <v>182</v>
      </c>
      <c r="B236" s="49">
        <v>1000</v>
      </c>
      <c r="C236" s="49">
        <v>3.65</v>
      </c>
      <c r="D236" s="44">
        <f t="shared" si="29"/>
        <v>7.3</v>
      </c>
      <c r="E236" s="49">
        <f>C236+D236</f>
        <v>10.95</v>
      </c>
      <c r="F236" s="44">
        <f>E236-B236</f>
        <v>-989.05</v>
      </c>
      <c r="G236" s="68"/>
    </row>
    <row r="237" spans="1:7">
      <c r="A237" s="86" t="s">
        <v>208</v>
      </c>
      <c r="B237" s="52">
        <v>0</v>
      </c>
      <c r="C237" s="52">
        <v>138.18</v>
      </c>
      <c r="D237" s="44">
        <v>495000</v>
      </c>
      <c r="E237" s="49">
        <f>C237+D237</f>
        <v>495138.18</v>
      </c>
      <c r="F237" s="44">
        <f>E237-B237</f>
        <v>495138.18</v>
      </c>
      <c r="G237" s="68"/>
    </row>
    <row r="238" spans="1:7">
      <c r="A238" s="227" t="s">
        <v>209</v>
      </c>
      <c r="B238" s="37">
        <f>B3+B51+B55+B61+B80+B141+B195+B199-B224</f>
        <v>64870000</v>
      </c>
      <c r="C238" s="37">
        <f>C3+C51+C55+C61+C80+C141+C195+C199+C222-C224</f>
        <v>21364070.59</v>
      </c>
      <c r="D238" s="37">
        <f>D3+D51+D55+D61+D80+D141+D195+D199+D222-D224</f>
        <v>43924152.7375</v>
      </c>
      <c r="E238" s="37">
        <f>E3+E51+E55+E61+E80+E141+E195+E199+E222-E224</f>
        <v>65288223.3275</v>
      </c>
      <c r="F238" s="37">
        <f>F3+F51+F55+F61+F80+F141+F195+F199+F222-F224</f>
        <v>418223.3275</v>
      </c>
      <c r="G238" s="68"/>
    </row>
    <row r="239" spans="2:7">
      <c r="B239" s="68"/>
      <c r="C239" s="68"/>
      <c r="D239" s="68"/>
      <c r="E239" s="68"/>
      <c r="G239" s="228"/>
    </row>
    <row r="240" spans="2:5">
      <c r="B240" s="68"/>
      <c r="C240" s="68"/>
      <c r="D240" s="68"/>
      <c r="E240" s="68"/>
    </row>
    <row r="243" spans="2:6">
      <c r="B243" s="69" t="s">
        <v>210</v>
      </c>
      <c r="C243" s="70">
        <f>E52+E59+E196+E197+E188</f>
        <v>9017294.04</v>
      </c>
      <c r="E243" s="29" t="s">
        <v>211</v>
      </c>
      <c r="F243" s="70">
        <f>C243-C244</f>
        <v>-1259705.96</v>
      </c>
    </row>
    <row r="244" spans="2:7">
      <c r="B244" s="69" t="s">
        <v>212</v>
      </c>
      <c r="C244" s="70">
        <f>B52+B59+B196+B197+B188</f>
        <v>10277000</v>
      </c>
      <c r="G244" s="70"/>
    </row>
  </sheetData>
  <mergeCells count="1">
    <mergeCell ref="A1:F1"/>
  </mergeCells>
  <pageMargins left="0.432638888888889" right="0.471527777777778" top="0.984027777777778" bottom="0.984027777777778" header="0.511805555555556" footer="0.511805555555556"/>
  <pageSetup paperSize="9" scale="7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0"/>
  <sheetViews>
    <sheetView showGridLines="0" zoomScale="75" zoomScaleNormal="75" topLeftCell="A72" workbookViewId="0">
      <selection activeCell="D102" sqref="D102"/>
    </sheetView>
  </sheetViews>
  <sheetFormatPr defaultColWidth="9" defaultRowHeight="12.75"/>
  <cols>
    <col min="1" max="1" width="33.7142857142857" style="29" customWidth="1"/>
    <col min="2" max="2" width="18" style="29" customWidth="1"/>
    <col min="3" max="4" width="17.4285714285714" style="29" customWidth="1"/>
    <col min="5" max="5" width="16.8571428571429" style="29" customWidth="1"/>
    <col min="6" max="6" width="16.2857142857143" style="29" customWidth="1"/>
    <col min="7" max="7" width="17.2857142857143" style="29" customWidth="1"/>
    <col min="8" max="8" width="16.7142857142857" style="29" customWidth="1"/>
    <col min="9" max="9" width="17.8571428571429" style="29" customWidth="1"/>
    <col min="10" max="16384" width="9.14285714285714" style="29"/>
  </cols>
  <sheetData>
    <row r="1" ht="18" spans="1:8">
      <c r="A1" s="30" t="s">
        <v>213</v>
      </c>
      <c r="B1" s="30"/>
      <c r="C1" s="30"/>
      <c r="D1" s="30"/>
      <c r="E1" s="30"/>
      <c r="F1" s="30"/>
      <c r="G1" s="30"/>
      <c r="H1" s="30"/>
    </row>
    <row r="2" ht="95.25" customHeight="1" spans="1:9">
      <c r="A2" s="31" t="s">
        <v>214</v>
      </c>
      <c r="B2" s="31" t="s">
        <v>215</v>
      </c>
      <c r="C2" s="32" t="s">
        <v>216</v>
      </c>
      <c r="D2" s="32" t="s">
        <v>217</v>
      </c>
      <c r="E2" s="33" t="s">
        <v>218</v>
      </c>
      <c r="F2" s="34" t="s">
        <v>219</v>
      </c>
      <c r="G2" s="34" t="s">
        <v>220</v>
      </c>
      <c r="H2" s="35" t="s">
        <v>221</v>
      </c>
      <c r="I2" s="56" t="s">
        <v>222</v>
      </c>
    </row>
    <row r="3" spans="1:9">
      <c r="A3" s="36" t="s">
        <v>223</v>
      </c>
      <c r="B3" s="37">
        <f t="shared" ref="B3:G3" si="0">B4+B22+B26</f>
        <v>60839025.5</v>
      </c>
      <c r="C3" s="37">
        <f t="shared" si="0"/>
        <v>23656016.08</v>
      </c>
      <c r="D3" s="37">
        <f t="shared" si="0"/>
        <v>34546051.915</v>
      </c>
      <c r="E3" s="38">
        <f t="shared" ref="E3:E19" si="1">C3+D3</f>
        <v>58202067.995</v>
      </c>
      <c r="F3" s="37">
        <f t="shared" si="0"/>
        <v>15695808.41</v>
      </c>
      <c r="G3" s="37">
        <f t="shared" si="0"/>
        <v>42506259.585</v>
      </c>
      <c r="H3" s="38">
        <f t="shared" ref="H3:H19" si="2">F3+G3</f>
        <v>58202067.995</v>
      </c>
      <c r="I3" s="37">
        <f>I4+I22+I26</f>
        <v>2636957.505</v>
      </c>
    </row>
    <row r="4" spans="1:9">
      <c r="A4" s="39" t="s">
        <v>224</v>
      </c>
      <c r="B4" s="40">
        <f>SUM(B5:B17)+B18</f>
        <v>38921335.46</v>
      </c>
      <c r="C4" s="40">
        <f>SUM(C5:C17)+C18</f>
        <v>11927568.09</v>
      </c>
      <c r="D4" s="40">
        <f>SUM(D5:D17)+D18</f>
        <v>24831986.215</v>
      </c>
      <c r="E4" s="40">
        <f t="shared" si="1"/>
        <v>36759554.305</v>
      </c>
      <c r="F4" s="40">
        <f>SUM(F5:F17)+F18</f>
        <v>11379735.68</v>
      </c>
      <c r="G4" s="40">
        <f>SUM(G5:G17)+G18</f>
        <v>25379818.625</v>
      </c>
      <c r="H4" s="40">
        <f t="shared" si="2"/>
        <v>36759554.305</v>
      </c>
      <c r="I4" s="40">
        <f>SUM(I5:I17)+I18</f>
        <v>2161781.155</v>
      </c>
    </row>
    <row r="5" spans="1:9">
      <c r="A5" s="41" t="s">
        <v>225</v>
      </c>
      <c r="B5" s="42">
        <v>5200</v>
      </c>
      <c r="C5" s="42">
        <v>1652.68</v>
      </c>
      <c r="D5" s="42">
        <f>413.17*8</f>
        <v>3305.36</v>
      </c>
      <c r="E5" s="43">
        <f t="shared" si="1"/>
        <v>4958.04</v>
      </c>
      <c r="F5" s="42">
        <f>C5</f>
        <v>1652.68</v>
      </c>
      <c r="G5" s="42">
        <f t="shared" ref="G5:G11" si="3">E5-F5</f>
        <v>3305.36</v>
      </c>
      <c r="H5" s="43">
        <f t="shared" si="2"/>
        <v>4958.04</v>
      </c>
      <c r="I5" s="44">
        <f t="shared" ref="I5:I19" si="4">B5-H5</f>
        <v>241.96</v>
      </c>
    </row>
    <row r="6" spans="1:9">
      <c r="A6" s="41" t="s">
        <v>226</v>
      </c>
      <c r="B6" s="42">
        <v>365400</v>
      </c>
      <c r="C6" s="42">
        <v>243084.24</v>
      </c>
      <c r="D6" s="42">
        <f>30385.53*4</f>
        <v>121542.12</v>
      </c>
      <c r="E6" s="43">
        <f t="shared" si="1"/>
        <v>364626.36</v>
      </c>
      <c r="F6" s="42">
        <v>121542.12</v>
      </c>
      <c r="G6" s="42">
        <f t="shared" si="3"/>
        <v>243084.24</v>
      </c>
      <c r="H6" s="43">
        <f t="shared" si="2"/>
        <v>364626.36</v>
      </c>
      <c r="I6" s="57">
        <f t="shared" si="4"/>
        <v>773.640000000014</v>
      </c>
    </row>
    <row r="7" spans="1:9">
      <c r="A7" s="41" t="s">
        <v>227</v>
      </c>
      <c r="B7" s="42">
        <v>30000</v>
      </c>
      <c r="C7" s="42">
        <v>19943.76</v>
      </c>
      <c r="D7" s="42">
        <f>2492.97*4</f>
        <v>9971.88</v>
      </c>
      <c r="E7" s="43">
        <f t="shared" si="1"/>
        <v>29915.64</v>
      </c>
      <c r="F7" s="42">
        <v>9971.88</v>
      </c>
      <c r="G7" s="42">
        <f t="shared" si="3"/>
        <v>19943.76</v>
      </c>
      <c r="H7" s="43">
        <f t="shared" si="2"/>
        <v>29915.64</v>
      </c>
      <c r="I7" s="44">
        <f t="shared" si="4"/>
        <v>84.3600000000006</v>
      </c>
    </row>
    <row r="8" spans="1:9">
      <c r="A8" s="41" t="s">
        <v>228</v>
      </c>
      <c r="B8" s="44">
        <v>19000</v>
      </c>
      <c r="C8" s="44">
        <v>18600.36</v>
      </c>
      <c r="D8" s="44">
        <v>0</v>
      </c>
      <c r="E8" s="43">
        <f t="shared" si="1"/>
        <v>18600.36</v>
      </c>
      <c r="F8" s="42">
        <v>6200.12</v>
      </c>
      <c r="G8" s="42">
        <f t="shared" si="3"/>
        <v>12400.24</v>
      </c>
      <c r="H8" s="43">
        <f t="shared" si="2"/>
        <v>18600.36</v>
      </c>
      <c r="I8" s="44">
        <f t="shared" si="4"/>
        <v>399.639999999999</v>
      </c>
    </row>
    <row r="9" spans="1:9">
      <c r="A9" s="45" t="s">
        <v>229</v>
      </c>
      <c r="B9" s="46">
        <v>6310000</v>
      </c>
      <c r="C9" s="46">
        <v>1930612.26</v>
      </c>
      <c r="D9" s="46">
        <f>507333.58*9</f>
        <v>4566002.22</v>
      </c>
      <c r="E9" s="47">
        <f t="shared" si="1"/>
        <v>6496614.48</v>
      </c>
      <c r="F9" s="47">
        <f>C9</f>
        <v>1930612.26</v>
      </c>
      <c r="G9" s="47">
        <f t="shared" si="3"/>
        <v>4566002.22</v>
      </c>
      <c r="H9" s="47">
        <f t="shared" si="2"/>
        <v>6496614.48</v>
      </c>
      <c r="I9" s="46">
        <f t="shared" si="4"/>
        <v>-186614.48</v>
      </c>
    </row>
    <row r="10" spans="1:9">
      <c r="A10" s="45" t="s">
        <v>230</v>
      </c>
      <c r="B10" s="46">
        <v>1505000</v>
      </c>
      <c r="C10" s="46">
        <v>438731.33</v>
      </c>
      <c r="D10" s="46">
        <f>113195.71*9</f>
        <v>1018761.39</v>
      </c>
      <c r="E10" s="47">
        <f t="shared" si="1"/>
        <v>1457492.72</v>
      </c>
      <c r="F10" s="47">
        <f>C10</f>
        <v>438731.33</v>
      </c>
      <c r="G10" s="47">
        <f t="shared" si="3"/>
        <v>1018761.39</v>
      </c>
      <c r="H10" s="47">
        <f t="shared" si="2"/>
        <v>1457492.72</v>
      </c>
      <c r="I10" s="46">
        <f t="shared" si="4"/>
        <v>47507.28</v>
      </c>
    </row>
    <row r="11" spans="1:9">
      <c r="A11" s="41" t="s">
        <v>231</v>
      </c>
      <c r="B11" s="44">
        <v>40000</v>
      </c>
      <c r="C11" s="44">
        <v>25593.13</v>
      </c>
      <c r="D11" s="44">
        <f>4369.8*9</f>
        <v>39328.2</v>
      </c>
      <c r="E11" s="43">
        <f t="shared" si="1"/>
        <v>64921.33</v>
      </c>
      <c r="F11" s="42">
        <f>C11</f>
        <v>25593.13</v>
      </c>
      <c r="G11" s="42">
        <f t="shared" si="3"/>
        <v>39328.2</v>
      </c>
      <c r="H11" s="43">
        <f t="shared" si="2"/>
        <v>64921.33</v>
      </c>
      <c r="I11" s="44">
        <f t="shared" si="4"/>
        <v>-24921.33</v>
      </c>
    </row>
    <row r="12" spans="1:9">
      <c r="A12" s="41" t="s">
        <v>232</v>
      </c>
      <c r="B12" s="44">
        <v>21782503.02</v>
      </c>
      <c r="C12" s="44">
        <v>6234628.28</v>
      </c>
      <c r="D12" s="44">
        <f>1509941.19*9</f>
        <v>13589470.71</v>
      </c>
      <c r="E12" s="43">
        <f t="shared" si="1"/>
        <v>19824098.99</v>
      </c>
      <c r="F12" s="42">
        <f t="shared" ref="F12:F17" si="5">C12</f>
        <v>6234628.28</v>
      </c>
      <c r="G12" s="42">
        <f t="shared" ref="G12:G17" si="6">E12-F12</f>
        <v>13589470.71</v>
      </c>
      <c r="H12" s="43">
        <f t="shared" si="2"/>
        <v>19824098.99</v>
      </c>
      <c r="I12" s="58">
        <f t="shared" si="4"/>
        <v>1958404.03</v>
      </c>
    </row>
    <row r="13" spans="1:9">
      <c r="A13" s="45" t="s">
        <v>233</v>
      </c>
      <c r="B13" s="46">
        <v>40000</v>
      </c>
      <c r="C13" s="46">
        <v>12331.94</v>
      </c>
      <c r="D13" s="46">
        <f>3161.11*9</f>
        <v>28449.99</v>
      </c>
      <c r="E13" s="47">
        <f t="shared" si="1"/>
        <v>40781.93</v>
      </c>
      <c r="F13" s="47">
        <f t="shared" si="5"/>
        <v>12331.94</v>
      </c>
      <c r="G13" s="47">
        <f t="shared" si="6"/>
        <v>28449.99</v>
      </c>
      <c r="H13" s="47">
        <f t="shared" si="2"/>
        <v>40781.93</v>
      </c>
      <c r="I13" s="46">
        <f t="shared" si="4"/>
        <v>-781.93</v>
      </c>
    </row>
    <row r="14" spans="1:9">
      <c r="A14" s="41" t="s">
        <v>234</v>
      </c>
      <c r="B14" s="44">
        <v>604500</v>
      </c>
      <c r="C14" s="44">
        <v>162645.5</v>
      </c>
      <c r="D14" s="44">
        <f>40784.21*9</f>
        <v>367057.89</v>
      </c>
      <c r="E14" s="43">
        <f t="shared" si="1"/>
        <v>529703.39</v>
      </c>
      <c r="F14" s="42">
        <f t="shared" si="5"/>
        <v>162645.5</v>
      </c>
      <c r="G14" s="42">
        <f t="shared" si="6"/>
        <v>367057.89</v>
      </c>
      <c r="H14" s="43">
        <f t="shared" si="2"/>
        <v>529703.39</v>
      </c>
      <c r="I14" s="44">
        <f t="shared" si="4"/>
        <v>74796.61</v>
      </c>
    </row>
    <row r="15" spans="1:9">
      <c r="A15" s="41" t="s">
        <v>235</v>
      </c>
      <c r="B15" s="44">
        <v>302100</v>
      </c>
      <c r="C15" s="44">
        <v>50185.48</v>
      </c>
      <c r="D15" s="44">
        <f t="shared" ref="D15:D17" si="7">(C15/4)*8</f>
        <v>100370.96</v>
      </c>
      <c r="E15" s="43">
        <f t="shared" si="1"/>
        <v>150556.44</v>
      </c>
      <c r="F15" s="42">
        <f t="shared" si="5"/>
        <v>50185.48</v>
      </c>
      <c r="G15" s="42">
        <f t="shared" si="6"/>
        <v>100370.96</v>
      </c>
      <c r="H15" s="43">
        <f t="shared" si="2"/>
        <v>150556.44</v>
      </c>
      <c r="I15" s="44">
        <f t="shared" si="4"/>
        <v>151543.56</v>
      </c>
    </row>
    <row r="16" spans="1:9">
      <c r="A16" s="41" t="s">
        <v>236</v>
      </c>
      <c r="B16" s="44">
        <v>130632.44</v>
      </c>
      <c r="C16" s="44">
        <v>66344.42</v>
      </c>
      <c r="D16" s="44">
        <f t="shared" si="7"/>
        <v>132688.84</v>
      </c>
      <c r="E16" s="43">
        <f t="shared" si="1"/>
        <v>199033.26</v>
      </c>
      <c r="F16" s="44">
        <f t="shared" si="5"/>
        <v>66344.42</v>
      </c>
      <c r="G16" s="44">
        <f t="shared" si="6"/>
        <v>132688.84</v>
      </c>
      <c r="H16" s="48">
        <f t="shared" si="2"/>
        <v>199033.26</v>
      </c>
      <c r="I16" s="44">
        <f t="shared" si="4"/>
        <v>-68400.82</v>
      </c>
    </row>
    <row r="17" spans="1:9">
      <c r="A17" s="41" t="s">
        <v>237</v>
      </c>
      <c r="B17" s="44">
        <v>700000</v>
      </c>
      <c r="C17" s="44">
        <v>612172.2</v>
      </c>
      <c r="D17" s="44">
        <v>20000</v>
      </c>
      <c r="E17" s="43">
        <f t="shared" si="1"/>
        <v>632172.2</v>
      </c>
      <c r="F17" s="44">
        <v>208254.03</v>
      </c>
      <c r="G17" s="44">
        <f t="shared" si="6"/>
        <v>423918.17</v>
      </c>
      <c r="H17" s="48">
        <f t="shared" si="2"/>
        <v>632172.2</v>
      </c>
      <c r="I17" s="44">
        <f t="shared" si="4"/>
        <v>67827.8</v>
      </c>
    </row>
    <row r="18" spans="1:9">
      <c r="A18" s="36" t="s">
        <v>238</v>
      </c>
      <c r="B18" s="37">
        <f t="shared" ref="B18:G18" si="8">B19+B20</f>
        <v>7087000</v>
      </c>
      <c r="C18" s="37">
        <f t="shared" si="8"/>
        <v>2111042.51</v>
      </c>
      <c r="D18" s="37">
        <f t="shared" si="8"/>
        <v>4835036.655</v>
      </c>
      <c r="E18" s="38">
        <f t="shared" ref="E18:E20" si="9">C18+D18</f>
        <v>6946079.165</v>
      </c>
      <c r="F18" s="37">
        <f t="shared" si="8"/>
        <v>2111042.51</v>
      </c>
      <c r="G18" s="37">
        <f t="shared" si="8"/>
        <v>4835036.655</v>
      </c>
      <c r="H18" s="38">
        <f t="shared" ref="H18:H20" si="10">F18+G18</f>
        <v>6946079.165</v>
      </c>
      <c r="I18" s="37">
        <f t="shared" ref="I18:I20" si="11">B18-H18</f>
        <v>140920.835000001</v>
      </c>
    </row>
    <row r="19" spans="1:9">
      <c r="A19" s="41" t="s">
        <v>239</v>
      </c>
      <c r="B19" s="44">
        <v>2167000</v>
      </c>
      <c r="C19" s="44">
        <v>653017.9</v>
      </c>
      <c r="D19" s="44">
        <f>166182.485*9</f>
        <v>1495642.365</v>
      </c>
      <c r="E19" s="43">
        <f t="shared" si="9"/>
        <v>2148660.265</v>
      </c>
      <c r="F19" s="44">
        <f t="shared" ref="F19:F24" si="12">C19</f>
        <v>653017.9</v>
      </c>
      <c r="G19" s="44">
        <f t="shared" ref="G19:G24" si="13">E19-F19</f>
        <v>1495642.365</v>
      </c>
      <c r="H19" s="48">
        <f t="shared" si="10"/>
        <v>2148660.265</v>
      </c>
      <c r="I19" s="44">
        <f t="shared" si="11"/>
        <v>18339.7350000003</v>
      </c>
    </row>
    <row r="20" spans="1:9">
      <c r="A20" s="41" t="s">
        <v>240</v>
      </c>
      <c r="B20" s="44">
        <v>4920000</v>
      </c>
      <c r="C20" s="44">
        <v>1458024.61</v>
      </c>
      <c r="D20" s="44">
        <f>371043.81*9</f>
        <v>3339394.29</v>
      </c>
      <c r="E20" s="43">
        <f t="shared" si="9"/>
        <v>4797418.9</v>
      </c>
      <c r="F20" s="44">
        <f t="shared" si="12"/>
        <v>1458024.61</v>
      </c>
      <c r="G20" s="44">
        <f t="shared" si="13"/>
        <v>3339394.29</v>
      </c>
      <c r="H20" s="48">
        <f t="shared" si="10"/>
        <v>4797418.9</v>
      </c>
      <c r="I20" s="44">
        <f t="shared" si="11"/>
        <v>122581.1</v>
      </c>
    </row>
    <row r="21" spans="1:9">
      <c r="A21" s="41"/>
      <c r="B21" s="44"/>
      <c r="C21" s="44"/>
      <c r="D21" s="44"/>
      <c r="E21" s="43"/>
      <c r="F21" s="44"/>
      <c r="G21" s="44"/>
      <c r="H21" s="48"/>
      <c r="I21" s="44"/>
    </row>
    <row r="22" spans="1:9">
      <c r="A22" s="36" t="s">
        <v>241</v>
      </c>
      <c r="B22" s="37">
        <f t="shared" ref="B22:G22" si="14">B23+B24</f>
        <v>95900</v>
      </c>
      <c r="C22" s="37">
        <f t="shared" si="14"/>
        <v>95000</v>
      </c>
      <c r="D22" s="49">
        <f t="shared" si="14"/>
        <v>0</v>
      </c>
      <c r="E22" s="40">
        <f t="shared" ref="E22:E24" si="15">C22+D22</f>
        <v>95000</v>
      </c>
      <c r="F22" s="40">
        <f t="shared" si="14"/>
        <v>25521.41</v>
      </c>
      <c r="G22" s="40">
        <f t="shared" si="14"/>
        <v>69478.59</v>
      </c>
      <c r="H22" s="40">
        <f t="shared" ref="H22:H24" si="16">F22+G22</f>
        <v>95000</v>
      </c>
      <c r="I22" s="40">
        <f>I23+I24</f>
        <v>900</v>
      </c>
    </row>
    <row r="23" spans="1:9">
      <c r="A23" s="41" t="s">
        <v>242</v>
      </c>
      <c r="B23" s="44">
        <v>95200</v>
      </c>
      <c r="C23" s="44">
        <v>95000</v>
      </c>
      <c r="D23" s="44">
        <v>0</v>
      </c>
      <c r="E23" s="43">
        <f t="shared" si="15"/>
        <v>95000</v>
      </c>
      <c r="F23" s="44">
        <v>25521.41</v>
      </c>
      <c r="G23" s="44">
        <f t="shared" si="13"/>
        <v>69478.59</v>
      </c>
      <c r="H23" s="48">
        <f t="shared" si="16"/>
        <v>95000</v>
      </c>
      <c r="I23" s="44">
        <f>B23-H23</f>
        <v>200</v>
      </c>
    </row>
    <row r="24" spans="1:9">
      <c r="A24" s="41" t="s">
        <v>243</v>
      </c>
      <c r="B24" s="44">
        <v>700</v>
      </c>
      <c r="C24" s="44">
        <v>0</v>
      </c>
      <c r="D24" s="44">
        <v>0</v>
      </c>
      <c r="E24" s="43">
        <f t="shared" si="15"/>
        <v>0</v>
      </c>
      <c r="F24" s="44">
        <f t="shared" si="12"/>
        <v>0</v>
      </c>
      <c r="G24" s="44">
        <f t="shared" si="13"/>
        <v>0</v>
      </c>
      <c r="H24" s="48">
        <f t="shared" si="16"/>
        <v>0</v>
      </c>
      <c r="I24" s="44">
        <f>B24-H24</f>
        <v>700</v>
      </c>
    </row>
    <row r="25" spans="1:9">
      <c r="A25" s="41"/>
      <c r="B25" s="44"/>
      <c r="C25" s="44"/>
      <c r="D25" s="44" t="s">
        <v>244</v>
      </c>
      <c r="E25" s="43"/>
      <c r="F25" s="44"/>
      <c r="G25" s="44"/>
      <c r="H25" s="48"/>
      <c r="I25" s="44"/>
    </row>
    <row r="26" spans="1:9">
      <c r="A26" s="39" t="s">
        <v>245</v>
      </c>
      <c r="B26" s="40">
        <f t="shared" ref="B26:G26" si="17">B27+B36</f>
        <v>21821790.04</v>
      </c>
      <c r="C26" s="40">
        <f t="shared" si="17"/>
        <v>11633447.99</v>
      </c>
      <c r="D26" s="40">
        <f t="shared" si="17"/>
        <v>9714065.7</v>
      </c>
      <c r="E26" s="40">
        <f>C26+D26</f>
        <v>21347513.69</v>
      </c>
      <c r="F26" s="40">
        <f t="shared" si="17"/>
        <v>4290551.32</v>
      </c>
      <c r="G26" s="40">
        <f t="shared" si="17"/>
        <v>17056962.37</v>
      </c>
      <c r="H26" s="40">
        <f>F26+G26</f>
        <v>21347513.69</v>
      </c>
      <c r="I26" s="40">
        <f>I27+I36</f>
        <v>474276.349999999</v>
      </c>
    </row>
    <row r="27" spans="1:9">
      <c r="A27" s="36" t="s">
        <v>246</v>
      </c>
      <c r="B27" s="37">
        <f t="shared" ref="B27:I27" si="18">SUM(B28:B35)</f>
        <v>580500</v>
      </c>
      <c r="C27" s="37">
        <f t="shared" si="18"/>
        <v>324425.6</v>
      </c>
      <c r="D27" s="37">
        <f t="shared" si="18"/>
        <v>248731.92</v>
      </c>
      <c r="E27" s="38">
        <f t="shared" ref="E27:E35" si="19">C27+D27</f>
        <v>573157.52</v>
      </c>
      <c r="F27" s="37">
        <f t="shared" si="18"/>
        <v>197797.19</v>
      </c>
      <c r="G27" s="37">
        <f t="shared" si="18"/>
        <v>375360.33</v>
      </c>
      <c r="H27" s="38">
        <f t="shared" si="18"/>
        <v>573157.52</v>
      </c>
      <c r="I27" s="37">
        <f t="shared" si="18"/>
        <v>7342.47999999998</v>
      </c>
    </row>
    <row r="28" spans="1:9">
      <c r="A28" s="45" t="s">
        <v>247</v>
      </c>
      <c r="B28" s="46">
        <v>10000</v>
      </c>
      <c r="C28" s="46">
        <v>0</v>
      </c>
      <c r="D28" s="46">
        <v>0</v>
      </c>
      <c r="E28" s="47">
        <f t="shared" si="19"/>
        <v>0</v>
      </c>
      <c r="F28" s="46">
        <v>0</v>
      </c>
      <c r="G28" s="46">
        <f t="shared" ref="G28:G35" si="20">E28-F28</f>
        <v>0</v>
      </c>
      <c r="H28" s="46">
        <f t="shared" ref="H28:H35" si="21">F28+G28</f>
        <v>0</v>
      </c>
      <c r="I28" s="46">
        <f t="shared" ref="I28:I35" si="22">B28-H28</f>
        <v>10000</v>
      </c>
    </row>
    <row r="29" spans="1:9">
      <c r="A29" s="41" t="s">
        <v>248</v>
      </c>
      <c r="B29" s="44">
        <v>0</v>
      </c>
      <c r="C29" s="44">
        <v>0</v>
      </c>
      <c r="D29" s="44">
        <v>0</v>
      </c>
      <c r="E29" s="43">
        <f t="shared" si="19"/>
        <v>0</v>
      </c>
      <c r="F29" s="44">
        <v>0</v>
      </c>
      <c r="G29" s="44">
        <f t="shared" si="20"/>
        <v>0</v>
      </c>
      <c r="H29" s="48">
        <f t="shared" si="21"/>
        <v>0</v>
      </c>
      <c r="I29" s="44">
        <f t="shared" si="22"/>
        <v>0</v>
      </c>
    </row>
    <row r="30" spans="1:9">
      <c r="A30" s="41" t="s">
        <v>249</v>
      </c>
      <c r="B30" s="44">
        <v>200</v>
      </c>
      <c r="C30" s="44">
        <v>0</v>
      </c>
      <c r="D30" s="44">
        <v>0</v>
      </c>
      <c r="E30" s="43">
        <f t="shared" ref="E30" si="23">C30+D30</f>
        <v>0</v>
      </c>
      <c r="F30" s="44">
        <v>0</v>
      </c>
      <c r="G30" s="44">
        <f t="shared" ref="G30" si="24">E30-F30</f>
        <v>0</v>
      </c>
      <c r="H30" s="48">
        <f t="shared" ref="H30" si="25">F30+G30</f>
        <v>0</v>
      </c>
      <c r="I30" s="44">
        <f t="shared" ref="I30" si="26">B30-H30</f>
        <v>200</v>
      </c>
    </row>
    <row r="31" spans="1:9">
      <c r="A31" s="41" t="s">
        <v>250</v>
      </c>
      <c r="B31" s="44">
        <v>105000</v>
      </c>
      <c r="C31" s="44">
        <v>35000</v>
      </c>
      <c r="D31" s="44">
        <f>70000</f>
        <v>70000</v>
      </c>
      <c r="E31" s="43">
        <f t="shared" si="19"/>
        <v>105000</v>
      </c>
      <c r="F31" s="44">
        <v>21634.79</v>
      </c>
      <c r="G31" s="44">
        <f t="shared" si="20"/>
        <v>83365.21</v>
      </c>
      <c r="H31" s="48">
        <f t="shared" si="21"/>
        <v>105000</v>
      </c>
      <c r="I31" s="44">
        <f t="shared" si="22"/>
        <v>0</v>
      </c>
    </row>
    <row r="32" spans="1:9">
      <c r="A32" s="41" t="s">
        <v>251</v>
      </c>
      <c r="B32" s="44">
        <v>100</v>
      </c>
      <c r="C32" s="44">
        <v>0</v>
      </c>
      <c r="D32" s="44">
        <v>50</v>
      </c>
      <c r="E32" s="43">
        <f t="shared" si="19"/>
        <v>50</v>
      </c>
      <c r="F32" s="44">
        <v>0</v>
      </c>
      <c r="G32" s="44">
        <v>50</v>
      </c>
      <c r="H32" s="48">
        <v>50</v>
      </c>
      <c r="I32" s="44">
        <f t="shared" si="22"/>
        <v>50</v>
      </c>
    </row>
    <row r="33" spans="1:9">
      <c r="A33" s="50" t="s">
        <v>252</v>
      </c>
      <c r="B33" s="44">
        <v>218100</v>
      </c>
      <c r="C33" s="44">
        <v>42363.84</v>
      </c>
      <c r="D33" s="44">
        <f>2170.48*4+130000</f>
        <v>138681.92</v>
      </c>
      <c r="E33" s="43">
        <f t="shared" si="19"/>
        <v>181045.76</v>
      </c>
      <c r="F33" s="44">
        <v>21181.92</v>
      </c>
      <c r="G33" s="44">
        <f t="shared" si="20"/>
        <v>159863.84</v>
      </c>
      <c r="H33" s="48">
        <f t="shared" si="21"/>
        <v>181045.76</v>
      </c>
      <c r="I33" s="44">
        <f t="shared" si="22"/>
        <v>37054.24</v>
      </c>
    </row>
    <row r="34" spans="1:9">
      <c r="A34" s="41" t="s">
        <v>253</v>
      </c>
      <c r="B34" s="44">
        <v>100000</v>
      </c>
      <c r="C34" s="44">
        <v>100000</v>
      </c>
      <c r="D34" s="44">
        <v>20000</v>
      </c>
      <c r="E34" s="43">
        <f t="shared" si="19"/>
        <v>120000</v>
      </c>
      <c r="F34" s="44">
        <f>C34</f>
        <v>100000</v>
      </c>
      <c r="G34" s="44">
        <f t="shared" si="20"/>
        <v>20000</v>
      </c>
      <c r="H34" s="48">
        <f t="shared" si="21"/>
        <v>120000</v>
      </c>
      <c r="I34" s="44">
        <f t="shared" si="22"/>
        <v>-20000</v>
      </c>
    </row>
    <row r="35" spans="1:9">
      <c r="A35" s="41" t="s">
        <v>254</v>
      </c>
      <c r="B35" s="44">
        <v>147100</v>
      </c>
      <c r="C35" s="44">
        <v>147061.76</v>
      </c>
      <c r="D35" s="44">
        <v>20000</v>
      </c>
      <c r="E35" s="43">
        <f t="shared" si="19"/>
        <v>167061.76</v>
      </c>
      <c r="F35" s="44">
        <v>54980.48</v>
      </c>
      <c r="G35" s="44">
        <f t="shared" si="20"/>
        <v>112081.28</v>
      </c>
      <c r="H35" s="48">
        <f t="shared" si="21"/>
        <v>167061.76</v>
      </c>
      <c r="I35" s="44">
        <f t="shared" si="22"/>
        <v>-19961.76</v>
      </c>
    </row>
    <row r="36" spans="1:9">
      <c r="A36" s="36" t="s">
        <v>255</v>
      </c>
      <c r="B36" s="37">
        <f t="shared" ref="B36:I36" si="27">SUM(B37:B62)</f>
        <v>21241290.04</v>
      </c>
      <c r="C36" s="37">
        <f t="shared" si="27"/>
        <v>11309022.39</v>
      </c>
      <c r="D36" s="37">
        <f t="shared" si="27"/>
        <v>9465333.78</v>
      </c>
      <c r="E36" s="38">
        <f>SUM(E38:E62)</f>
        <v>19891358.62</v>
      </c>
      <c r="F36" s="37">
        <f t="shared" si="27"/>
        <v>4092754.13</v>
      </c>
      <c r="G36" s="37">
        <f t="shared" si="27"/>
        <v>16681602.04</v>
      </c>
      <c r="H36" s="37">
        <f t="shared" si="27"/>
        <v>20774356.17</v>
      </c>
      <c r="I36" s="37">
        <f t="shared" si="27"/>
        <v>466933.869999999</v>
      </c>
    </row>
    <row r="37" spans="1:9">
      <c r="A37" s="41" t="s">
        <v>256</v>
      </c>
      <c r="B37" s="44">
        <v>1176700</v>
      </c>
      <c r="C37" s="44">
        <v>289346.91</v>
      </c>
      <c r="D37" s="44">
        <f>74206.33*8</f>
        <v>593650.64</v>
      </c>
      <c r="E37" s="43">
        <f>C37+D37</f>
        <v>882997.55</v>
      </c>
      <c r="F37" s="44">
        <f>C37</f>
        <v>289346.91</v>
      </c>
      <c r="G37" s="44">
        <f>E37-F37</f>
        <v>593650.64</v>
      </c>
      <c r="H37" s="48">
        <f>F37+G37</f>
        <v>882997.55</v>
      </c>
      <c r="I37" s="44">
        <f>B37-H37</f>
        <v>293702.45</v>
      </c>
    </row>
    <row r="38" spans="1:9">
      <c r="A38" s="41" t="s">
        <v>257</v>
      </c>
      <c r="B38" s="44">
        <v>111800</v>
      </c>
      <c r="C38" s="44">
        <v>11708.74</v>
      </c>
      <c r="D38" s="44">
        <f>(C38/4)*8</f>
        <v>23417.48</v>
      </c>
      <c r="E38" s="43">
        <f t="shared" ref="E38:E40" si="28">C38+D38</f>
        <v>35126.22</v>
      </c>
      <c r="F38" s="44">
        <v>5598.74</v>
      </c>
      <c r="G38" s="44">
        <f t="shared" ref="G38:G40" si="29">E38-F38</f>
        <v>29527.48</v>
      </c>
      <c r="H38" s="48">
        <f t="shared" ref="H38:H40" si="30">F38+G38</f>
        <v>35126.22</v>
      </c>
      <c r="I38" s="44">
        <f t="shared" ref="I38:I40" si="31">B38-H38</f>
        <v>76673.78</v>
      </c>
    </row>
    <row r="39" spans="1:9">
      <c r="A39" s="45" t="s">
        <v>258</v>
      </c>
      <c r="B39" s="46">
        <v>6000</v>
      </c>
      <c r="C39" s="46">
        <v>0</v>
      </c>
      <c r="D39" s="46">
        <v>1000</v>
      </c>
      <c r="E39" s="47">
        <f t="shared" si="28"/>
        <v>1000</v>
      </c>
      <c r="F39" s="46">
        <f>C39</f>
        <v>0</v>
      </c>
      <c r="G39" s="46">
        <f t="shared" si="29"/>
        <v>1000</v>
      </c>
      <c r="H39" s="46">
        <f t="shared" si="30"/>
        <v>1000</v>
      </c>
      <c r="I39" s="46">
        <f t="shared" si="31"/>
        <v>5000</v>
      </c>
    </row>
    <row r="40" spans="1:9">
      <c r="A40" s="51" t="s">
        <v>259</v>
      </c>
      <c r="B40" s="52">
        <v>52000</v>
      </c>
      <c r="C40" s="52">
        <v>0</v>
      </c>
      <c r="D40" s="52">
        <v>52000</v>
      </c>
      <c r="E40" s="53">
        <f t="shared" si="28"/>
        <v>52000</v>
      </c>
      <c r="F40" s="52">
        <f>C40</f>
        <v>0</v>
      </c>
      <c r="G40" s="52">
        <f t="shared" si="29"/>
        <v>52000</v>
      </c>
      <c r="H40" s="52">
        <f t="shared" si="30"/>
        <v>52000</v>
      </c>
      <c r="I40" s="52">
        <f t="shared" si="31"/>
        <v>0</v>
      </c>
    </row>
    <row r="41" spans="1:9">
      <c r="A41" s="41" t="s">
        <v>260</v>
      </c>
      <c r="B41" s="44">
        <v>5133681.59</v>
      </c>
      <c r="C41" s="44">
        <v>2114947.27</v>
      </c>
      <c r="D41" s="44">
        <f>(C41/4)*8</f>
        <v>4229894.54</v>
      </c>
      <c r="E41" s="43">
        <f t="shared" ref="E41:E60" si="32">C41+D41</f>
        <v>6344841.81</v>
      </c>
      <c r="F41" s="44">
        <v>664523.8</v>
      </c>
      <c r="G41" s="44">
        <f t="shared" ref="G41:G60" si="33">E41-F41</f>
        <v>5680318.01</v>
      </c>
      <c r="H41" s="48">
        <f t="shared" ref="H41:H60" si="34">F41+G41</f>
        <v>6344841.81</v>
      </c>
      <c r="I41" s="44">
        <f t="shared" ref="I41:I60" si="35">B41-H41</f>
        <v>-1211160.22</v>
      </c>
    </row>
    <row r="42" spans="1:9">
      <c r="A42" s="41" t="s">
        <v>261</v>
      </c>
      <c r="B42" s="44">
        <v>131000</v>
      </c>
      <c r="C42" s="44">
        <v>1500</v>
      </c>
      <c r="D42" s="44">
        <f>(C42/4)*8</f>
        <v>3000</v>
      </c>
      <c r="E42" s="43">
        <f t="shared" si="32"/>
        <v>4500</v>
      </c>
      <c r="F42" s="44">
        <v>1500</v>
      </c>
      <c r="G42" s="44">
        <f t="shared" si="33"/>
        <v>3000</v>
      </c>
      <c r="H42" s="48">
        <f t="shared" si="34"/>
        <v>4500</v>
      </c>
      <c r="I42" s="44">
        <f t="shared" si="35"/>
        <v>126500</v>
      </c>
    </row>
    <row r="43" spans="1:9">
      <c r="A43" s="41" t="s">
        <v>262</v>
      </c>
      <c r="B43" s="44">
        <v>1204950</v>
      </c>
      <c r="C43" s="44">
        <v>469216.13</v>
      </c>
      <c r="D43" s="44">
        <f>(C43/4)*8</f>
        <v>938432.26</v>
      </c>
      <c r="E43" s="43">
        <f t="shared" si="32"/>
        <v>1407648.39</v>
      </c>
      <c r="F43" s="44">
        <v>344895.52</v>
      </c>
      <c r="G43" s="44">
        <f t="shared" si="33"/>
        <v>1062752.87</v>
      </c>
      <c r="H43" s="48">
        <f t="shared" si="34"/>
        <v>1407648.39</v>
      </c>
      <c r="I43" s="44">
        <f t="shared" si="35"/>
        <v>-202698.39</v>
      </c>
    </row>
    <row r="44" spans="1:9">
      <c r="A44" s="41" t="s">
        <v>263</v>
      </c>
      <c r="B44" s="44">
        <v>45400</v>
      </c>
      <c r="C44" s="44">
        <v>0</v>
      </c>
      <c r="D44" s="44">
        <v>2000</v>
      </c>
      <c r="E44" s="43">
        <f t="shared" si="32"/>
        <v>2000</v>
      </c>
      <c r="F44" s="44">
        <f>C44</f>
        <v>0</v>
      </c>
      <c r="G44" s="44">
        <f t="shared" si="33"/>
        <v>2000</v>
      </c>
      <c r="H44" s="48">
        <f t="shared" si="34"/>
        <v>2000</v>
      </c>
      <c r="I44" s="44">
        <f t="shared" si="35"/>
        <v>43400</v>
      </c>
    </row>
    <row r="45" spans="1:9">
      <c r="A45" s="45" t="s">
        <v>264</v>
      </c>
      <c r="B45" s="46">
        <v>3000</v>
      </c>
      <c r="C45" s="46">
        <v>0</v>
      </c>
      <c r="D45" s="46">
        <v>500</v>
      </c>
      <c r="E45" s="47">
        <f t="shared" si="32"/>
        <v>500</v>
      </c>
      <c r="F45" s="46">
        <f>C45</f>
        <v>0</v>
      </c>
      <c r="G45" s="46">
        <f t="shared" si="33"/>
        <v>500</v>
      </c>
      <c r="H45" s="46">
        <f t="shared" si="34"/>
        <v>500</v>
      </c>
      <c r="I45" s="46">
        <f t="shared" si="35"/>
        <v>2500</v>
      </c>
    </row>
    <row r="46" spans="1:9">
      <c r="A46" s="41" t="s">
        <v>265</v>
      </c>
      <c r="B46" s="44">
        <v>52000</v>
      </c>
      <c r="C46" s="44">
        <v>25680.42</v>
      </c>
      <c r="D46" s="44">
        <f>4233.28*8</f>
        <v>33866.24</v>
      </c>
      <c r="E46" s="43">
        <f t="shared" si="32"/>
        <v>59546.66</v>
      </c>
      <c r="F46" s="44">
        <v>11507.36</v>
      </c>
      <c r="G46" s="44">
        <f t="shared" si="33"/>
        <v>48039.3</v>
      </c>
      <c r="H46" s="48">
        <f t="shared" si="34"/>
        <v>59546.66</v>
      </c>
      <c r="I46" s="52">
        <f t="shared" si="35"/>
        <v>-7546.66</v>
      </c>
    </row>
    <row r="47" spans="1:9">
      <c r="A47" s="41" t="s">
        <v>266</v>
      </c>
      <c r="B47" s="44">
        <v>183498.14</v>
      </c>
      <c r="C47" s="44">
        <v>59375.9</v>
      </c>
      <c r="D47" s="44">
        <f>(C47/4)*8</f>
        <v>118751.8</v>
      </c>
      <c r="E47" s="43">
        <f t="shared" si="32"/>
        <v>178127.7</v>
      </c>
      <c r="F47" s="44">
        <v>32025.57</v>
      </c>
      <c r="G47" s="44">
        <f t="shared" si="33"/>
        <v>146102.13</v>
      </c>
      <c r="H47" s="48">
        <f t="shared" si="34"/>
        <v>178127.7</v>
      </c>
      <c r="I47" s="44">
        <f t="shared" si="35"/>
        <v>5370.44</v>
      </c>
    </row>
    <row r="48" spans="1:9">
      <c r="A48" s="41" t="s">
        <v>267</v>
      </c>
      <c r="B48" s="44">
        <v>8382336.56</v>
      </c>
      <c r="C48" s="44">
        <v>6313959.83</v>
      </c>
      <c r="D48" s="44">
        <f>1500000</f>
        <v>1500000</v>
      </c>
      <c r="E48" s="43">
        <f t="shared" si="32"/>
        <v>7813959.83</v>
      </c>
      <c r="F48" s="44">
        <v>1533519.93</v>
      </c>
      <c r="G48" s="44">
        <f t="shared" si="33"/>
        <v>6280439.9</v>
      </c>
      <c r="H48" s="48">
        <f t="shared" si="34"/>
        <v>7813959.83</v>
      </c>
      <c r="I48" s="44">
        <f t="shared" si="35"/>
        <v>568376.73</v>
      </c>
    </row>
    <row r="49" spans="1:9">
      <c r="A49" s="45" t="s">
        <v>268</v>
      </c>
      <c r="B49" s="46">
        <v>10000</v>
      </c>
      <c r="C49" s="46">
        <v>520</v>
      </c>
      <c r="D49" s="46">
        <f>(C49/4)*8+8000</f>
        <v>9040</v>
      </c>
      <c r="E49" s="47">
        <f t="shared" si="32"/>
        <v>9560</v>
      </c>
      <c r="F49" s="46">
        <v>361.8</v>
      </c>
      <c r="G49" s="46">
        <f t="shared" si="33"/>
        <v>9198.2</v>
      </c>
      <c r="H49" s="46">
        <f t="shared" si="34"/>
        <v>9560</v>
      </c>
      <c r="I49" s="46">
        <f t="shared" si="35"/>
        <v>440</v>
      </c>
    </row>
    <row r="50" spans="1:9">
      <c r="A50" s="51" t="s">
        <v>269</v>
      </c>
      <c r="B50" s="52">
        <v>373000</v>
      </c>
      <c r="C50" s="52">
        <v>200014.66</v>
      </c>
      <c r="D50" s="52">
        <f>26836.29*6</f>
        <v>161017.74</v>
      </c>
      <c r="E50" s="53">
        <f t="shared" si="32"/>
        <v>361032.4</v>
      </c>
      <c r="F50" s="52">
        <v>82304.14</v>
      </c>
      <c r="G50" s="52">
        <f t="shared" si="33"/>
        <v>278728.26</v>
      </c>
      <c r="H50" s="52">
        <f t="shared" si="34"/>
        <v>361032.4</v>
      </c>
      <c r="I50" s="52">
        <f t="shared" si="35"/>
        <v>11967.6</v>
      </c>
    </row>
    <row r="51" spans="1:9">
      <c r="A51" s="41" t="s">
        <v>270</v>
      </c>
      <c r="B51" s="44">
        <v>7000</v>
      </c>
      <c r="C51" s="44">
        <v>0</v>
      </c>
      <c r="D51" s="44">
        <v>0</v>
      </c>
      <c r="E51" s="43">
        <f t="shared" si="32"/>
        <v>0</v>
      </c>
      <c r="F51" s="44">
        <f t="shared" ref="F51:F56" si="36">C51</f>
        <v>0</v>
      </c>
      <c r="G51" s="44">
        <f t="shared" si="33"/>
        <v>0</v>
      </c>
      <c r="H51" s="48">
        <f t="shared" si="34"/>
        <v>0</v>
      </c>
      <c r="I51" s="44">
        <f t="shared" si="35"/>
        <v>7000</v>
      </c>
    </row>
    <row r="52" spans="1:9">
      <c r="A52" s="41" t="s">
        <v>271</v>
      </c>
      <c r="B52" s="44">
        <v>80000</v>
      </c>
      <c r="C52" s="44">
        <v>49994</v>
      </c>
      <c r="D52" s="44">
        <v>0</v>
      </c>
      <c r="E52" s="43">
        <f t="shared" ref="E52:E53" si="37">C52+D52</f>
        <v>49994</v>
      </c>
      <c r="F52" s="44">
        <v>6027</v>
      </c>
      <c r="G52" s="44">
        <f t="shared" ref="G52:G53" si="38">E52-F52</f>
        <v>43967</v>
      </c>
      <c r="H52" s="48">
        <f t="shared" ref="H52:H53" si="39">F52+G52</f>
        <v>49994</v>
      </c>
      <c r="I52" s="44">
        <f t="shared" ref="I52:I53" si="40">B52-H52</f>
        <v>30006</v>
      </c>
    </row>
    <row r="53" spans="1:9">
      <c r="A53" s="41" t="s">
        <v>272</v>
      </c>
      <c r="B53" s="44">
        <v>2724720</v>
      </c>
      <c r="C53" s="44">
        <v>711075</v>
      </c>
      <c r="D53" s="44">
        <f>176700*8</f>
        <v>1413600</v>
      </c>
      <c r="E53" s="43">
        <f t="shared" si="37"/>
        <v>2124675</v>
      </c>
      <c r="F53" s="44">
        <f>C53</f>
        <v>711075</v>
      </c>
      <c r="G53" s="44">
        <f t="shared" si="38"/>
        <v>1413600</v>
      </c>
      <c r="H53" s="48">
        <f t="shared" si="39"/>
        <v>2124675</v>
      </c>
      <c r="I53" s="44">
        <f t="shared" si="40"/>
        <v>600045</v>
      </c>
    </row>
    <row r="54" spans="1:9">
      <c r="A54" s="41" t="s">
        <v>273</v>
      </c>
      <c r="B54" s="44">
        <v>563530</v>
      </c>
      <c r="C54" s="44">
        <v>549101.99</v>
      </c>
      <c r="D54" s="44">
        <v>20000</v>
      </c>
      <c r="E54" s="43">
        <f t="shared" ref="E54:E60" si="41">C54+D54</f>
        <v>569101.99</v>
      </c>
      <c r="F54" s="44">
        <v>159819.78</v>
      </c>
      <c r="G54" s="44">
        <f t="shared" ref="G54:G60" si="42">E54-F54</f>
        <v>409282.21</v>
      </c>
      <c r="H54" s="48">
        <f t="shared" ref="H54:H60" si="43">F54+G54</f>
        <v>569101.99</v>
      </c>
      <c r="I54" s="52">
        <f t="shared" ref="I54:I60" si="44">B54-H54</f>
        <v>-5571.98999999999</v>
      </c>
    </row>
    <row r="55" spans="1:9">
      <c r="A55" s="41" t="s">
        <v>274</v>
      </c>
      <c r="B55" s="44">
        <v>72000</v>
      </c>
      <c r="C55" s="44">
        <v>20000</v>
      </c>
      <c r="D55" s="44">
        <f t="shared" ref="D54:D61" si="45">(C55/4)*8</f>
        <v>40000</v>
      </c>
      <c r="E55" s="43">
        <f t="shared" si="41"/>
        <v>60000</v>
      </c>
      <c r="F55" s="44">
        <f t="shared" si="36"/>
        <v>20000</v>
      </c>
      <c r="G55" s="44">
        <f t="shared" si="42"/>
        <v>40000</v>
      </c>
      <c r="H55" s="48">
        <f t="shared" si="43"/>
        <v>60000</v>
      </c>
      <c r="I55" s="44">
        <f t="shared" si="44"/>
        <v>12000</v>
      </c>
    </row>
    <row r="56" spans="1:9">
      <c r="A56" s="41" t="s">
        <v>275</v>
      </c>
      <c r="B56" s="44">
        <v>0</v>
      </c>
      <c r="C56" s="44">
        <v>0</v>
      </c>
      <c r="D56" s="44">
        <f t="shared" si="45"/>
        <v>0</v>
      </c>
      <c r="E56" s="43">
        <f t="shared" si="41"/>
        <v>0</v>
      </c>
      <c r="F56" s="44">
        <f t="shared" si="36"/>
        <v>0</v>
      </c>
      <c r="G56" s="44">
        <f t="shared" si="42"/>
        <v>0</v>
      </c>
      <c r="H56" s="48">
        <f t="shared" si="43"/>
        <v>0</v>
      </c>
      <c r="I56" s="44">
        <f t="shared" si="44"/>
        <v>0</v>
      </c>
    </row>
    <row r="57" spans="1:9">
      <c r="A57" s="41" t="s">
        <v>276</v>
      </c>
      <c r="B57" s="44">
        <v>300000</v>
      </c>
      <c r="C57" s="44">
        <v>86941.54</v>
      </c>
      <c r="D57" s="44">
        <f t="shared" si="45"/>
        <v>173883.08</v>
      </c>
      <c r="E57" s="43">
        <f t="shared" ref="E57" si="46">C57+D57</f>
        <v>260824.62</v>
      </c>
      <c r="F57" s="44">
        <v>79807.6</v>
      </c>
      <c r="G57" s="44">
        <f t="shared" ref="G57" si="47">E57-F57</f>
        <v>181017.02</v>
      </c>
      <c r="H57" s="48">
        <f t="shared" ref="H57" si="48">F57+G57</f>
        <v>260824.62</v>
      </c>
      <c r="I57" s="44">
        <f t="shared" ref="I57" si="49">B57-H57</f>
        <v>39175.38</v>
      </c>
    </row>
    <row r="58" spans="1:9">
      <c r="A58" s="41" t="s">
        <v>237</v>
      </c>
      <c r="B58" s="44">
        <v>25000</v>
      </c>
      <c r="C58" s="44">
        <v>0</v>
      </c>
      <c r="D58" s="44">
        <v>20000</v>
      </c>
      <c r="E58" s="43">
        <f t="shared" si="41"/>
        <v>20000</v>
      </c>
      <c r="F58" s="44">
        <f>C58</f>
        <v>0</v>
      </c>
      <c r="G58" s="44">
        <f t="shared" si="42"/>
        <v>20000</v>
      </c>
      <c r="H58" s="48">
        <f t="shared" si="43"/>
        <v>20000</v>
      </c>
      <c r="I58" s="44">
        <f t="shared" si="44"/>
        <v>5000</v>
      </c>
    </row>
    <row r="59" spans="1:10">
      <c r="A59" s="41" t="s">
        <v>277</v>
      </c>
      <c r="B59" s="44">
        <v>3500</v>
      </c>
      <c r="C59" s="44">
        <v>0</v>
      </c>
      <c r="D59" s="44">
        <f t="shared" si="45"/>
        <v>0</v>
      </c>
      <c r="E59" s="43">
        <f t="shared" si="41"/>
        <v>0</v>
      </c>
      <c r="F59" s="44">
        <f>C59</f>
        <v>0</v>
      </c>
      <c r="G59" s="44">
        <f t="shared" si="42"/>
        <v>0</v>
      </c>
      <c r="H59" s="48">
        <f t="shared" si="43"/>
        <v>0</v>
      </c>
      <c r="I59" s="44">
        <f t="shared" si="44"/>
        <v>3500</v>
      </c>
      <c r="J59" s="29" t="s">
        <v>278</v>
      </c>
    </row>
    <row r="60" spans="1:9">
      <c r="A60" s="41" t="s">
        <v>236</v>
      </c>
      <c r="B60" s="44">
        <v>146400</v>
      </c>
      <c r="C60" s="44">
        <v>40640</v>
      </c>
      <c r="D60" s="44">
        <f t="shared" si="45"/>
        <v>81280</v>
      </c>
      <c r="E60" s="43">
        <f t="shared" si="41"/>
        <v>121920</v>
      </c>
      <c r="F60" s="44">
        <v>37794.55</v>
      </c>
      <c r="G60" s="44">
        <f t="shared" si="42"/>
        <v>84125.45</v>
      </c>
      <c r="H60" s="48">
        <f t="shared" si="43"/>
        <v>121920</v>
      </c>
      <c r="I60" s="44">
        <f t="shared" si="44"/>
        <v>24480</v>
      </c>
    </row>
    <row r="61" spans="1:9">
      <c r="A61" s="45" t="s">
        <v>279</v>
      </c>
      <c r="B61" s="46">
        <v>500</v>
      </c>
      <c r="C61" s="46">
        <v>0</v>
      </c>
      <c r="D61" s="46">
        <f t="shared" si="45"/>
        <v>0</v>
      </c>
      <c r="E61" s="47">
        <f t="shared" ref="E61:E62" si="50">C61+D61</f>
        <v>0</v>
      </c>
      <c r="F61" s="46">
        <v>0</v>
      </c>
      <c r="G61" s="46">
        <f t="shared" ref="G61:G62" si="51">E61-F61</f>
        <v>0</v>
      </c>
      <c r="H61" s="46">
        <f t="shared" ref="H61:H62" si="52">F61+G61</f>
        <v>0</v>
      </c>
      <c r="I61" s="46">
        <f t="shared" ref="I61:I62" si="53">B61-H61</f>
        <v>500</v>
      </c>
    </row>
    <row r="62" spans="1:9">
      <c r="A62" s="54" t="s">
        <v>280</v>
      </c>
      <c r="B62" s="44">
        <v>453273.75</v>
      </c>
      <c r="C62" s="44">
        <v>365000</v>
      </c>
      <c r="D62" s="44">
        <v>50000</v>
      </c>
      <c r="E62" s="43">
        <f t="shared" si="50"/>
        <v>415000</v>
      </c>
      <c r="F62" s="44">
        <v>112646.43</v>
      </c>
      <c r="G62" s="44">
        <f t="shared" si="51"/>
        <v>302353.57</v>
      </c>
      <c r="H62" s="48">
        <f t="shared" si="52"/>
        <v>415000</v>
      </c>
      <c r="I62" s="44">
        <f t="shared" si="53"/>
        <v>38273.75</v>
      </c>
    </row>
    <row r="63" spans="1:9">
      <c r="A63" s="39" t="s">
        <v>281</v>
      </c>
      <c r="B63" s="40">
        <f t="shared" ref="B63:I63" si="54">B64+B74+B77</f>
        <v>10252621.96</v>
      </c>
      <c r="C63" s="40">
        <f t="shared" si="54"/>
        <v>2960254.48</v>
      </c>
      <c r="D63" s="40">
        <f t="shared" si="54"/>
        <v>4610034</v>
      </c>
      <c r="E63" s="40">
        <f t="shared" si="54"/>
        <v>7570288.48</v>
      </c>
      <c r="F63" s="40">
        <f t="shared" si="54"/>
        <v>448318.6</v>
      </c>
      <c r="G63" s="40">
        <f t="shared" si="54"/>
        <v>7121969.88</v>
      </c>
      <c r="H63" s="40">
        <f t="shared" si="54"/>
        <v>7570288.48</v>
      </c>
      <c r="I63" s="40">
        <f t="shared" si="54"/>
        <v>2682333.48</v>
      </c>
    </row>
    <row r="64" spans="1:9">
      <c r="A64" s="36" t="s">
        <v>282</v>
      </c>
      <c r="B64" s="37">
        <f t="shared" ref="B64:I64" si="55">SUM(B65:B69)+B71</f>
        <v>9413387.78</v>
      </c>
      <c r="C64" s="37">
        <f t="shared" si="55"/>
        <v>2306384.87</v>
      </c>
      <c r="D64" s="37">
        <f t="shared" si="55"/>
        <v>4506050</v>
      </c>
      <c r="E64" s="55">
        <f t="shared" si="55"/>
        <v>6812434.87</v>
      </c>
      <c r="F64" s="37">
        <f t="shared" si="55"/>
        <v>217519.79</v>
      </c>
      <c r="G64" s="37">
        <f t="shared" si="55"/>
        <v>6594915.08</v>
      </c>
      <c r="H64" s="37">
        <f t="shared" si="55"/>
        <v>6812434.87</v>
      </c>
      <c r="I64" s="37">
        <f t="shared" si="55"/>
        <v>2600952.91</v>
      </c>
    </row>
    <row r="65" spans="1:9">
      <c r="A65" s="41" t="s">
        <v>283</v>
      </c>
      <c r="B65" s="42">
        <v>4875.85</v>
      </c>
      <c r="C65" s="42">
        <v>4775.85</v>
      </c>
      <c r="D65" s="42">
        <v>0</v>
      </c>
      <c r="E65" s="43">
        <f>C65+D65</f>
        <v>4775.85</v>
      </c>
      <c r="F65" s="42">
        <v>4775.85</v>
      </c>
      <c r="G65" s="42">
        <f>E65-F65</f>
        <v>0</v>
      </c>
      <c r="H65" s="43">
        <f>F65+G65</f>
        <v>4775.85</v>
      </c>
      <c r="I65" s="44">
        <f>B65-H65</f>
        <v>100</v>
      </c>
    </row>
    <row r="66" spans="1:9">
      <c r="A66" s="41" t="s">
        <v>284</v>
      </c>
      <c r="B66" s="42">
        <v>262.32</v>
      </c>
      <c r="C66" s="42">
        <v>162.32</v>
      </c>
      <c r="D66" s="42">
        <v>0</v>
      </c>
      <c r="E66" s="43">
        <f>C66+D66</f>
        <v>162.32</v>
      </c>
      <c r="F66" s="42">
        <v>162.32</v>
      </c>
      <c r="G66" s="42">
        <v>0</v>
      </c>
      <c r="H66" s="43">
        <f>F66+G66</f>
        <v>162.32</v>
      </c>
      <c r="I66" s="44">
        <f>B66-H66</f>
        <v>100</v>
      </c>
    </row>
    <row r="67" spans="1:9">
      <c r="A67" s="54" t="s">
        <v>285</v>
      </c>
      <c r="B67" s="44">
        <v>6491236.26</v>
      </c>
      <c r="C67" s="44">
        <v>2105505.52</v>
      </c>
      <c r="D67" s="44">
        <v>3000000</v>
      </c>
      <c r="E67" s="43">
        <f t="shared" ref="E67:E72" si="56">C67+D67</f>
        <v>5105505.52</v>
      </c>
      <c r="F67" s="42">
        <v>122158.08</v>
      </c>
      <c r="G67" s="42">
        <f t="shared" ref="G67:G72" si="57">E67-F67</f>
        <v>4983347.44</v>
      </c>
      <c r="H67" s="43">
        <f t="shared" ref="H67:H72" si="58">F67+G67</f>
        <v>5105505.52</v>
      </c>
      <c r="I67" s="44">
        <f t="shared" ref="I67:I72" si="59">B67-H67</f>
        <v>1385730.74</v>
      </c>
    </row>
    <row r="68" spans="1:9">
      <c r="A68" s="54" t="s">
        <v>286</v>
      </c>
      <c r="B68" s="44">
        <v>2914694.47</v>
      </c>
      <c r="C68" s="44">
        <v>193722.3</v>
      </c>
      <c r="D68" s="44">
        <v>1500000</v>
      </c>
      <c r="E68" s="43">
        <f t="shared" si="56"/>
        <v>1693722.3</v>
      </c>
      <c r="F68" s="42">
        <v>88204.66</v>
      </c>
      <c r="G68" s="42">
        <f t="shared" si="57"/>
        <v>1605517.64</v>
      </c>
      <c r="H68" s="43">
        <f t="shared" si="58"/>
        <v>1693722.3</v>
      </c>
      <c r="I68" s="44">
        <f t="shared" si="59"/>
        <v>1220972.17</v>
      </c>
    </row>
    <row r="69" spans="1:9">
      <c r="A69" s="54" t="s">
        <v>287</v>
      </c>
      <c r="B69" s="44">
        <v>100</v>
      </c>
      <c r="C69" s="44">
        <v>0</v>
      </c>
      <c r="D69" s="44">
        <v>0</v>
      </c>
      <c r="E69" s="43">
        <f t="shared" si="56"/>
        <v>0</v>
      </c>
      <c r="F69" s="42">
        <v>0</v>
      </c>
      <c r="G69" s="42">
        <f t="shared" si="57"/>
        <v>0</v>
      </c>
      <c r="H69" s="43">
        <f t="shared" si="58"/>
        <v>0</v>
      </c>
      <c r="I69" s="44">
        <f t="shared" si="59"/>
        <v>100</v>
      </c>
    </row>
    <row r="70" spans="1:9">
      <c r="A70" s="54"/>
      <c r="B70" s="44"/>
      <c r="C70" s="44"/>
      <c r="D70" s="44"/>
      <c r="E70" s="43"/>
      <c r="F70" s="44"/>
      <c r="G70" s="44"/>
      <c r="H70" s="48"/>
      <c r="I70" s="44"/>
    </row>
    <row r="71" spans="1:9">
      <c r="A71" s="36" t="s">
        <v>288</v>
      </c>
      <c r="B71" s="37">
        <f t="shared" ref="B71:I71" si="60">B72</f>
        <v>2218.88</v>
      </c>
      <c r="C71" s="37">
        <f t="shared" si="60"/>
        <v>2218.88</v>
      </c>
      <c r="D71" s="37">
        <f t="shared" si="60"/>
        <v>6050</v>
      </c>
      <c r="E71" s="37">
        <f t="shared" si="60"/>
        <v>8268.88</v>
      </c>
      <c r="F71" s="37">
        <f t="shared" si="60"/>
        <v>2218.88</v>
      </c>
      <c r="G71" s="37">
        <f t="shared" si="60"/>
        <v>6050</v>
      </c>
      <c r="H71" s="37">
        <f t="shared" si="60"/>
        <v>8268.88</v>
      </c>
      <c r="I71" s="37">
        <f t="shared" si="60"/>
        <v>-6050</v>
      </c>
    </row>
    <row r="72" spans="1:9">
      <c r="A72" s="54" t="s">
        <v>286</v>
      </c>
      <c r="B72" s="44">
        <v>2218.88</v>
      </c>
      <c r="C72" s="44">
        <v>2218.88</v>
      </c>
      <c r="D72" s="44">
        <v>6050</v>
      </c>
      <c r="E72" s="43">
        <f t="shared" si="56"/>
        <v>8268.88</v>
      </c>
      <c r="F72" s="42">
        <v>2218.88</v>
      </c>
      <c r="G72" s="42">
        <f t="shared" si="57"/>
        <v>6050</v>
      </c>
      <c r="H72" s="43">
        <f t="shared" si="58"/>
        <v>8268.88</v>
      </c>
      <c r="I72" s="44">
        <f t="shared" si="59"/>
        <v>-6050</v>
      </c>
    </row>
    <row r="73" spans="1:9">
      <c r="A73" s="54"/>
      <c r="B73" s="44"/>
      <c r="C73" s="44"/>
      <c r="D73" s="44"/>
      <c r="E73" s="43"/>
      <c r="F73" s="44"/>
      <c r="G73" s="44"/>
      <c r="H73" s="48"/>
      <c r="I73" s="44"/>
    </row>
    <row r="74" spans="1:9">
      <c r="A74" s="36" t="s">
        <v>289</v>
      </c>
      <c r="B74" s="37">
        <f t="shared" ref="B74:I74" si="61">B75</f>
        <v>236534.18</v>
      </c>
      <c r="C74" s="37">
        <f t="shared" si="61"/>
        <v>51992</v>
      </c>
      <c r="D74" s="37">
        <f t="shared" si="61"/>
        <v>103984</v>
      </c>
      <c r="E74" s="38">
        <f t="shared" ref="E72:E75" si="62">C74+D74</f>
        <v>155976</v>
      </c>
      <c r="F74" s="37">
        <f t="shared" si="61"/>
        <v>31992</v>
      </c>
      <c r="G74" s="37">
        <f t="shared" si="61"/>
        <v>123984</v>
      </c>
      <c r="H74" s="38">
        <f t="shared" si="61"/>
        <v>155976</v>
      </c>
      <c r="I74" s="37">
        <f t="shared" si="61"/>
        <v>80558.18</v>
      </c>
    </row>
    <row r="75" spans="1:9">
      <c r="A75" s="54" t="s">
        <v>290</v>
      </c>
      <c r="B75" s="44">
        <v>236534.18</v>
      </c>
      <c r="C75" s="44">
        <v>51992</v>
      </c>
      <c r="D75" s="44">
        <f>C75/4*8</f>
        <v>103984</v>
      </c>
      <c r="E75" s="43">
        <f t="shared" si="62"/>
        <v>155976</v>
      </c>
      <c r="F75" s="44">
        <v>31992</v>
      </c>
      <c r="G75" s="44">
        <f t="shared" ref="G75:G79" si="63">E75-F75</f>
        <v>123984</v>
      </c>
      <c r="H75" s="48">
        <f t="shared" ref="H75:H79" si="64">F75+G75</f>
        <v>155976</v>
      </c>
      <c r="I75" s="44">
        <f t="shared" ref="I75:I79" si="65">B75-H75</f>
        <v>80558.18</v>
      </c>
    </row>
    <row r="76" spans="1:9">
      <c r="A76" s="54"/>
      <c r="B76" s="44"/>
      <c r="C76" s="44"/>
      <c r="D76" s="44"/>
      <c r="E76" s="43"/>
      <c r="F76" s="44"/>
      <c r="G76" s="44"/>
      <c r="H76" s="48"/>
      <c r="I76" s="44"/>
    </row>
    <row r="77" spans="1:9">
      <c r="A77" s="36" t="s">
        <v>291</v>
      </c>
      <c r="B77" s="37">
        <f t="shared" ref="B77:H77" si="66">B78+B79+B80</f>
        <v>602700</v>
      </c>
      <c r="C77" s="37">
        <f t="shared" si="66"/>
        <v>601877.61</v>
      </c>
      <c r="D77" s="37">
        <f t="shared" si="66"/>
        <v>0</v>
      </c>
      <c r="E77" s="38">
        <f t="shared" ref="E77:E79" si="67">C77+D77</f>
        <v>601877.61</v>
      </c>
      <c r="F77" s="37">
        <f t="shared" si="66"/>
        <v>198806.81</v>
      </c>
      <c r="G77" s="37">
        <f t="shared" si="66"/>
        <v>403070.8</v>
      </c>
      <c r="H77" s="38">
        <f t="shared" si="66"/>
        <v>601877.61</v>
      </c>
      <c r="I77" s="37">
        <f>I78+I79</f>
        <v>822.390000000014</v>
      </c>
    </row>
    <row r="78" spans="1:9">
      <c r="A78" s="41" t="s">
        <v>292</v>
      </c>
      <c r="B78" s="42">
        <v>602200</v>
      </c>
      <c r="C78" s="42">
        <v>601877.61</v>
      </c>
      <c r="D78" s="42">
        <v>0</v>
      </c>
      <c r="E78" s="43">
        <f t="shared" si="67"/>
        <v>601877.61</v>
      </c>
      <c r="F78" s="42">
        <v>198806.81</v>
      </c>
      <c r="G78" s="42">
        <f t="shared" si="63"/>
        <v>403070.8</v>
      </c>
      <c r="H78" s="43">
        <f t="shared" si="64"/>
        <v>601877.61</v>
      </c>
      <c r="I78" s="44">
        <f t="shared" si="65"/>
        <v>322.390000000014</v>
      </c>
    </row>
    <row r="79" spans="1:9">
      <c r="A79" s="41" t="s">
        <v>237</v>
      </c>
      <c r="B79" s="42">
        <v>500</v>
      </c>
      <c r="C79" s="42">
        <v>0</v>
      </c>
      <c r="D79" s="42">
        <v>0</v>
      </c>
      <c r="E79" s="43">
        <f t="shared" si="67"/>
        <v>0</v>
      </c>
      <c r="F79" s="42">
        <v>0</v>
      </c>
      <c r="G79" s="42">
        <f t="shared" si="63"/>
        <v>0</v>
      </c>
      <c r="H79" s="43">
        <f t="shared" si="64"/>
        <v>0</v>
      </c>
      <c r="I79" s="44">
        <f t="shared" si="65"/>
        <v>500</v>
      </c>
    </row>
    <row r="80" spans="1:9">
      <c r="A80" s="41"/>
      <c r="B80" s="42"/>
      <c r="C80" s="42"/>
      <c r="D80" s="42"/>
      <c r="E80" s="43"/>
      <c r="F80" s="42"/>
      <c r="G80" s="42"/>
      <c r="H80" s="43"/>
      <c r="I80" s="42"/>
    </row>
    <row r="81" spans="1:9">
      <c r="A81" s="54"/>
      <c r="B81" s="44"/>
      <c r="C81" s="44"/>
      <c r="D81" s="44"/>
      <c r="E81" s="43"/>
      <c r="F81" s="44"/>
      <c r="G81" s="42"/>
      <c r="H81" s="48"/>
      <c r="I81" s="44"/>
    </row>
    <row r="82" spans="1:9">
      <c r="A82" s="36" t="s">
        <v>293</v>
      </c>
      <c r="B82" s="37">
        <v>2392500</v>
      </c>
      <c r="C82" s="37">
        <v>0</v>
      </c>
      <c r="D82" s="37">
        <v>0</v>
      </c>
      <c r="E82" s="43">
        <f>C82+D82</f>
        <v>0</v>
      </c>
      <c r="F82" s="44">
        <v>0</v>
      </c>
      <c r="G82" s="42">
        <f>E82-F82</f>
        <v>0</v>
      </c>
      <c r="H82" s="48">
        <f>F82+G82</f>
        <v>0</v>
      </c>
      <c r="I82" s="44">
        <f>B82-H82</f>
        <v>2392500</v>
      </c>
    </row>
    <row r="83" spans="1:9">
      <c r="A83" s="36" t="s">
        <v>294</v>
      </c>
      <c r="B83" s="37">
        <v>10000</v>
      </c>
      <c r="C83" s="37">
        <v>0</v>
      </c>
      <c r="D83" s="37">
        <v>0</v>
      </c>
      <c r="E83" s="43">
        <f>C83+D83</f>
        <v>0</v>
      </c>
      <c r="F83" s="44">
        <v>0</v>
      </c>
      <c r="G83" s="42">
        <f>E83-F83</f>
        <v>0</v>
      </c>
      <c r="H83" s="48">
        <f>F83+G83</f>
        <v>0</v>
      </c>
      <c r="I83" s="44">
        <f>B83-H83</f>
        <v>10000</v>
      </c>
    </row>
    <row r="84" spans="2:9">
      <c r="B84" s="59"/>
      <c r="C84" s="60"/>
      <c r="D84" s="60"/>
      <c r="E84" s="61"/>
      <c r="F84" s="62"/>
      <c r="G84" s="62"/>
      <c r="H84" s="61"/>
      <c r="I84" s="71"/>
    </row>
    <row r="85" spans="1:9">
      <c r="A85" s="63" t="s">
        <v>209</v>
      </c>
      <c r="B85" s="64">
        <f t="shared" ref="B85:I85" si="68">B3+B63+B82+B83</f>
        <v>73494147.46</v>
      </c>
      <c r="C85" s="65">
        <f t="shared" si="68"/>
        <v>26616270.56</v>
      </c>
      <c r="D85" s="65">
        <f t="shared" si="68"/>
        <v>39156085.915</v>
      </c>
      <c r="E85" s="66">
        <f t="shared" si="68"/>
        <v>65772356.475</v>
      </c>
      <c r="F85" s="67">
        <f t="shared" si="68"/>
        <v>16144127.01</v>
      </c>
      <c r="G85" s="67">
        <f t="shared" si="68"/>
        <v>49628229.465</v>
      </c>
      <c r="H85" s="66">
        <f t="shared" si="68"/>
        <v>65772356.475</v>
      </c>
      <c r="I85" s="72">
        <f t="shared" si="68"/>
        <v>7721790.985</v>
      </c>
    </row>
    <row r="86" spans="2:8">
      <c r="B86" s="68"/>
      <c r="C86" s="68"/>
      <c r="D86" s="68"/>
      <c r="E86" s="68"/>
      <c r="F86" s="68"/>
      <c r="G86" s="68"/>
      <c r="H86" s="68"/>
    </row>
    <row r="87" spans="2:8">
      <c r="B87" s="68"/>
      <c r="C87" s="68"/>
      <c r="D87" s="68"/>
      <c r="E87" s="68"/>
      <c r="F87" s="68"/>
      <c r="G87" s="68"/>
      <c r="H87" s="68"/>
    </row>
    <row r="88" spans="2:8">
      <c r="B88" s="68"/>
      <c r="C88" s="68"/>
      <c r="D88" s="68"/>
      <c r="E88" s="68"/>
      <c r="F88" s="68"/>
      <c r="G88" s="68"/>
      <c r="H88" s="68"/>
    </row>
    <row r="89" spans="2:8">
      <c r="B89" s="68"/>
      <c r="C89" s="68"/>
      <c r="D89" s="68"/>
      <c r="E89" s="68"/>
      <c r="F89" s="68"/>
      <c r="G89" s="68"/>
      <c r="H89" s="68"/>
    </row>
    <row r="90" spans="2:8">
      <c r="B90" s="68"/>
      <c r="C90" s="68"/>
      <c r="D90" s="68"/>
      <c r="E90" s="68"/>
      <c r="F90" s="68"/>
      <c r="G90" s="68"/>
      <c r="H90" s="68"/>
    </row>
    <row r="91" spans="2:8">
      <c r="B91" s="68"/>
      <c r="C91" s="68"/>
      <c r="D91" s="68"/>
      <c r="E91" s="68"/>
      <c r="F91" s="68"/>
      <c r="G91" s="68"/>
      <c r="H91" s="68"/>
    </row>
    <row r="92" spans="2:8">
      <c r="B92" s="68"/>
      <c r="C92" s="68"/>
      <c r="D92" s="68"/>
      <c r="E92" s="68"/>
      <c r="F92" s="68"/>
      <c r="G92" s="68"/>
      <c r="H92" s="68"/>
    </row>
    <row r="93" spans="2:8">
      <c r="B93" s="68"/>
      <c r="C93" s="68"/>
      <c r="D93" s="68"/>
      <c r="E93" s="68"/>
      <c r="F93" s="68"/>
      <c r="G93" s="68"/>
      <c r="H93" s="68"/>
    </row>
    <row r="94" spans="2:8">
      <c r="B94" s="68"/>
      <c r="C94" s="68"/>
      <c r="D94" s="68"/>
      <c r="E94" s="68"/>
      <c r="F94" s="68"/>
      <c r="G94" s="68"/>
      <c r="H94" s="68"/>
    </row>
    <row r="95" spans="2:8">
      <c r="B95" s="68"/>
      <c r="C95" s="68"/>
      <c r="D95" s="68"/>
      <c r="E95" s="68"/>
      <c r="F95" s="68"/>
      <c r="G95" s="68"/>
      <c r="H95" s="68"/>
    </row>
    <row r="96" spans="2:8">
      <c r="B96" s="68"/>
      <c r="C96" s="68"/>
      <c r="D96" s="68"/>
      <c r="E96" s="68"/>
      <c r="F96" s="68"/>
      <c r="G96" s="68"/>
      <c r="H96" s="68"/>
    </row>
    <row r="97" spans="2:8">
      <c r="B97" s="68"/>
      <c r="C97" s="68"/>
      <c r="D97" s="68"/>
      <c r="E97" s="68"/>
      <c r="F97" s="68"/>
      <c r="G97" s="68"/>
      <c r="H97" s="68"/>
    </row>
    <row r="98" spans="2:8">
      <c r="B98" s="68"/>
      <c r="C98" s="68"/>
      <c r="D98" s="68"/>
      <c r="E98" s="68"/>
      <c r="F98" s="68"/>
      <c r="G98" s="68"/>
      <c r="H98" s="68"/>
    </row>
    <row r="99" spans="2:8">
      <c r="B99" s="68"/>
      <c r="C99" s="68"/>
      <c r="D99" s="68"/>
      <c r="E99" s="68"/>
      <c r="F99" s="68"/>
      <c r="G99" s="68"/>
      <c r="H99" s="68"/>
    </row>
    <row r="100" spans="2:8">
      <c r="B100" s="68"/>
      <c r="C100" s="68"/>
      <c r="D100" s="68"/>
      <c r="E100" s="68"/>
      <c r="F100" s="68"/>
      <c r="G100" s="68"/>
      <c r="H100" s="68"/>
    </row>
    <row r="101" spans="2:8">
      <c r="B101" s="68"/>
      <c r="C101" s="69" t="s">
        <v>295</v>
      </c>
      <c r="D101" s="70">
        <f>H9+H10+H13+H28+H39+H45+H49</f>
        <v>8005949.13</v>
      </c>
      <c r="F101" s="29" t="s">
        <v>211</v>
      </c>
      <c r="G101" s="70">
        <f>D101-D102</f>
        <v>-2271050.87</v>
      </c>
      <c r="H101" s="68"/>
    </row>
    <row r="102" spans="2:8">
      <c r="B102" s="68"/>
      <c r="C102" s="69" t="s">
        <v>296</v>
      </c>
      <c r="D102" s="70">
        <f>B9+B10+B13+B28+B39+B45+B49+B61+B82</f>
        <v>10277000</v>
      </c>
      <c r="H102" s="68"/>
    </row>
    <row r="103" spans="2:8">
      <c r="B103" s="68"/>
      <c r="C103" s="68"/>
      <c r="D103" s="68"/>
      <c r="E103" s="68"/>
      <c r="F103" s="68"/>
      <c r="G103" s="68"/>
      <c r="H103" s="68"/>
    </row>
    <row r="104" spans="2:8">
      <c r="B104" s="68"/>
      <c r="C104" s="68"/>
      <c r="D104" s="68"/>
      <c r="E104" s="68"/>
      <c r="F104" s="68"/>
      <c r="G104" s="68"/>
      <c r="H104" s="68"/>
    </row>
    <row r="105" spans="2:8">
      <c r="B105" s="68"/>
      <c r="C105" s="68"/>
      <c r="D105" s="68"/>
      <c r="E105" s="68"/>
      <c r="F105" s="68"/>
      <c r="G105" s="68"/>
      <c r="H105" s="68"/>
    </row>
    <row r="106" spans="2:8">
      <c r="B106" s="68"/>
      <c r="C106" s="68"/>
      <c r="D106" s="68"/>
      <c r="E106" s="68"/>
      <c r="F106" s="68"/>
      <c r="G106" s="68"/>
      <c r="H106" s="68"/>
    </row>
    <row r="107" spans="2:8">
      <c r="B107" s="68"/>
      <c r="C107" s="68"/>
      <c r="D107" s="68"/>
      <c r="E107" s="68"/>
      <c r="F107" s="68"/>
      <c r="G107" s="68"/>
      <c r="H107" s="68"/>
    </row>
    <row r="108" spans="2:8">
      <c r="B108" s="68"/>
      <c r="C108" s="68"/>
      <c r="D108" s="68"/>
      <c r="E108" s="68"/>
      <c r="F108" s="68"/>
      <c r="G108" s="68"/>
      <c r="H108" s="68"/>
    </row>
    <row r="109" spans="2:8">
      <c r="B109" s="68"/>
      <c r="C109" s="68"/>
      <c r="D109" s="68"/>
      <c r="E109" s="68"/>
      <c r="F109" s="68"/>
      <c r="G109" s="68"/>
      <c r="H109" s="68"/>
    </row>
    <row r="110" spans="2:8">
      <c r="B110" s="68"/>
      <c r="C110" s="68"/>
      <c r="D110" s="68"/>
      <c r="E110" s="68"/>
      <c r="F110" s="68"/>
      <c r="G110" s="68"/>
      <c r="H110" s="68"/>
    </row>
    <row r="111" spans="2:8">
      <c r="B111" s="68"/>
      <c r="C111" s="68"/>
      <c r="D111" s="68"/>
      <c r="E111" s="68"/>
      <c r="F111" s="68"/>
      <c r="G111" s="68"/>
      <c r="H111" s="68"/>
    </row>
    <row r="112" spans="2:8">
      <c r="B112" s="68"/>
      <c r="C112" s="68"/>
      <c r="D112" s="68"/>
      <c r="E112" s="68"/>
      <c r="F112" s="68"/>
      <c r="G112" s="68"/>
      <c r="H112" s="68"/>
    </row>
    <row r="113" spans="2:8">
      <c r="B113" s="68"/>
      <c r="C113" s="68"/>
      <c r="D113" s="68"/>
      <c r="E113" s="68"/>
      <c r="F113" s="68"/>
      <c r="G113" s="68"/>
      <c r="H113" s="68"/>
    </row>
    <row r="114" spans="2:8">
      <c r="B114" s="68"/>
      <c r="C114" s="68"/>
      <c r="D114" s="68"/>
      <c r="E114" s="68"/>
      <c r="F114" s="68"/>
      <c r="G114" s="68"/>
      <c r="H114" s="68"/>
    </row>
    <row r="115" spans="2:8">
      <c r="B115" s="68"/>
      <c r="C115" s="68"/>
      <c r="D115" s="68"/>
      <c r="E115" s="68"/>
      <c r="F115" s="68"/>
      <c r="G115" s="68"/>
      <c r="H115" s="68"/>
    </row>
    <row r="116" spans="2:8">
      <c r="B116" s="68"/>
      <c r="C116" s="68"/>
      <c r="D116" s="68"/>
      <c r="E116" s="68"/>
      <c r="F116" s="68"/>
      <c r="G116" s="68"/>
      <c r="H116" s="68"/>
    </row>
    <row r="117" spans="2:8">
      <c r="B117" s="68"/>
      <c r="C117" s="68"/>
      <c r="D117" s="68"/>
      <c r="E117" s="68"/>
      <c r="F117" s="68"/>
      <c r="G117" s="68"/>
      <c r="H117" s="68"/>
    </row>
    <row r="118" spans="2:8">
      <c r="B118" s="68"/>
      <c r="C118" s="68"/>
      <c r="D118" s="68"/>
      <c r="E118" s="68"/>
      <c r="F118" s="68"/>
      <c r="G118" s="68"/>
      <c r="H118" s="68"/>
    </row>
    <row r="119" spans="2:8">
      <c r="B119" s="68"/>
      <c r="C119" s="68"/>
      <c r="D119" s="68"/>
      <c r="E119" s="68"/>
      <c r="F119" s="68"/>
      <c r="G119" s="68"/>
      <c r="H119" s="68"/>
    </row>
    <row r="120" spans="2:8">
      <c r="B120" s="68"/>
      <c r="C120" s="68"/>
      <c r="D120" s="68"/>
      <c r="E120" s="68"/>
      <c r="F120" s="68"/>
      <c r="G120" s="68"/>
      <c r="H120" s="68"/>
    </row>
  </sheetData>
  <mergeCells count="1">
    <mergeCell ref="A1:H1"/>
  </mergeCells>
  <pageMargins left="0.4" right="0.339583333333333" top="0.419444444444444" bottom="0.489583333333333" header="0.269444444444444" footer="0.491666666666667"/>
  <pageSetup paperSize="9" scale="7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5"/>
  <sheetViews>
    <sheetView showGridLines="0" zoomScale="80" zoomScaleNormal="80" workbookViewId="0">
      <selection activeCell="G7" sqref="G7"/>
    </sheetView>
  </sheetViews>
  <sheetFormatPr defaultColWidth="9" defaultRowHeight="12.75" outlineLevelCol="7"/>
  <cols>
    <col min="1" max="1" width="28.5714285714286" style="1" customWidth="1"/>
    <col min="2" max="2" width="13.5714285714286" style="1" customWidth="1"/>
    <col min="3" max="3" width="10.8571428571429" style="1" customWidth="1"/>
    <col min="4" max="4" width="11.2857142857143" style="1" customWidth="1"/>
    <col min="5" max="6" width="15.2857142857143" style="1" customWidth="1"/>
    <col min="7" max="7" width="15.5714285714286" style="1" customWidth="1"/>
    <col min="8" max="8" width="16.5714285714286" style="1" customWidth="1"/>
    <col min="9" max="16379" width="9.14285714285714" style="1"/>
    <col min="16380" max="16384" width="9" style="1"/>
  </cols>
  <sheetData>
    <row r="2" spans="1:8">
      <c r="A2" s="2"/>
      <c r="B2" s="2"/>
      <c r="C2" s="2"/>
      <c r="D2" s="2"/>
      <c r="E2" s="2"/>
      <c r="F2" s="2"/>
      <c r="G2" s="2"/>
      <c r="H2" s="2"/>
    </row>
    <row r="3" ht="54.75" customHeight="1" spans="1:8">
      <c r="A3" s="3" t="s">
        <v>297</v>
      </c>
      <c r="B3" s="4" t="s">
        <v>298</v>
      </c>
      <c r="C3" s="5" t="s">
        <v>299</v>
      </c>
      <c r="D3" s="5" t="s">
        <v>300</v>
      </c>
      <c r="E3" s="6" t="s">
        <v>301</v>
      </c>
      <c r="F3" s="5" t="s">
        <v>302</v>
      </c>
      <c r="G3" s="5" t="s">
        <v>303</v>
      </c>
      <c r="H3" s="5" t="s">
        <v>304</v>
      </c>
    </row>
    <row r="4" spans="1:8">
      <c r="A4" s="7" t="s">
        <v>305</v>
      </c>
      <c r="B4" s="8">
        <v>147932.56</v>
      </c>
      <c r="C4" s="8">
        <v>143162.15</v>
      </c>
      <c r="D4" s="8">
        <v>14311.26</v>
      </c>
      <c r="E4" s="9">
        <f>C4-D4</f>
        <v>128850.89</v>
      </c>
      <c r="F4" s="8">
        <v>0</v>
      </c>
      <c r="G4" s="8">
        <f>E4*5.5%</f>
        <v>7086.79895</v>
      </c>
      <c r="H4" s="8">
        <f>E4+F4+G4</f>
        <v>135937.68895</v>
      </c>
    </row>
    <row r="5" customHeight="1" spans="1:8">
      <c r="A5" s="7" t="s">
        <v>306</v>
      </c>
      <c r="B5" s="8">
        <f>701396.55+1834965.71</f>
        <v>2536362.26</v>
      </c>
      <c r="C5" s="8">
        <f>738144.87+2067654.45</f>
        <v>2805799.32</v>
      </c>
      <c r="D5" s="10">
        <f>52063.51*8</f>
        <v>416508.08</v>
      </c>
      <c r="E5" s="9">
        <f>C5-D5</f>
        <v>2389291.24</v>
      </c>
      <c r="F5" s="8">
        <v>0</v>
      </c>
      <c r="G5" s="8">
        <f>E5*32.02%</f>
        <v>765051.055048</v>
      </c>
      <c r="H5" s="8">
        <f>E5+F5+G5</f>
        <v>3154342.295048</v>
      </c>
    </row>
    <row r="6" customHeight="1" spans="1:8">
      <c r="A6" s="7" t="s">
        <v>307</v>
      </c>
      <c r="B6" s="11">
        <v>1551605.82</v>
      </c>
      <c r="C6" s="8">
        <f>388072.92+969496.5</f>
        <v>1357569.42</v>
      </c>
      <c r="D6" s="11">
        <v>388072.92</v>
      </c>
      <c r="E6" s="9">
        <f>C6-D6</f>
        <v>969496.5</v>
      </c>
      <c r="F6" s="11">
        <v>0</v>
      </c>
      <c r="G6" s="8">
        <v>0</v>
      </c>
      <c r="H6" s="8">
        <f>E6+F6+G6</f>
        <v>969496.5</v>
      </c>
    </row>
    <row r="7" customHeight="1" spans="1:8">
      <c r="A7" s="3" t="s">
        <v>308</v>
      </c>
      <c r="B7" s="12">
        <f>SUM(B4:B6)</f>
        <v>4235900.64</v>
      </c>
      <c r="C7" s="12">
        <f>SUM(C4:C6)</f>
        <v>4306530.89</v>
      </c>
      <c r="D7" s="12">
        <f>SUM(D4:D6)</f>
        <v>818892.26</v>
      </c>
      <c r="E7" s="13">
        <f>SUM(E4:E5)</f>
        <v>2518142.13</v>
      </c>
      <c r="F7" s="13">
        <v>0</v>
      </c>
      <c r="G7" s="12">
        <f>SUM(G4:G5)</f>
        <v>772137.853998</v>
      </c>
      <c r="H7" s="12">
        <f>SUM(H4:H6)</f>
        <v>4259776.483998</v>
      </c>
    </row>
    <row r="8" spans="1:8">
      <c r="A8" s="14" t="s">
        <v>309</v>
      </c>
      <c r="B8" s="15"/>
      <c r="C8" s="15"/>
      <c r="D8" s="15"/>
      <c r="E8" s="15"/>
      <c r="F8" s="15"/>
      <c r="G8" s="16"/>
      <c r="H8" s="17">
        <v>0</v>
      </c>
    </row>
    <row r="9" spans="1:8">
      <c r="A9" s="18" t="s">
        <v>209</v>
      </c>
      <c r="B9" s="15"/>
      <c r="C9" s="15"/>
      <c r="D9" s="15"/>
      <c r="E9" s="15"/>
      <c r="F9" s="15"/>
      <c r="G9" s="16"/>
      <c r="H9" s="17">
        <f>H7+H8</f>
        <v>4259776.483998</v>
      </c>
    </row>
    <row r="10" spans="1:1">
      <c r="A10" s="19"/>
    </row>
    <row r="11" spans="3:8">
      <c r="C11" s="20"/>
      <c r="D11" s="20"/>
      <c r="F11" s="21" t="s">
        <v>310</v>
      </c>
      <c r="G11" s="22"/>
      <c r="H11" s="23"/>
    </row>
    <row r="12" spans="3:8">
      <c r="C12" s="20"/>
      <c r="F12" s="24" t="s">
        <v>311</v>
      </c>
      <c r="G12" s="25"/>
      <c r="H12" s="26"/>
    </row>
    <row r="14" spans="6:8">
      <c r="F14" s="21" t="s">
        <v>312</v>
      </c>
      <c r="G14" s="22"/>
      <c r="H14" s="23"/>
    </row>
    <row r="15" spans="6:8">
      <c r="F15" s="27" t="s">
        <v>313</v>
      </c>
      <c r="G15" s="25"/>
      <c r="H15" s="28"/>
    </row>
  </sheetData>
  <mergeCells count="1">
    <mergeCell ref="A2:H2"/>
  </mergeCells>
  <printOptions horizontalCentered="1"/>
  <pageMargins left="0.196527777777778" right="0.235416666666667" top="0.984027777777778" bottom="0.984027777777778" header="0.511805555555556" footer="0.511805555555556"/>
  <pageSetup paperSize="9" scale="65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511805555555556" right="0.511805555555556" top="0.786805555555556" bottom="0.786805555555556" header="0.314583333333333" footer="0.31458333333333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511805555555556" right="0.511805555555556" top="0.786805555555556" bottom="0.786805555555556" header="0.314583333333333" footer="0.31458333333333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511805555555556" right="0.511805555555556" top="0.786805555555556" bottom="0.786805555555556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Receita reestimada abril  2021</vt:lpstr>
      <vt:lpstr>Desp reestimada -liquid.-abr21 </vt:lpstr>
      <vt:lpstr>Dívida consolidada (2)</vt:lpstr>
      <vt:lpstr>Plan1</vt:lpstr>
      <vt:lpstr>Plan2</vt:lpstr>
      <vt:lpstr>Plan3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Aline Luiza Ullmann</cp:lastModifiedBy>
  <dcterms:created xsi:type="dcterms:W3CDTF">2006-09-25T12:47:00Z</dcterms:created>
  <dcterms:modified xsi:type="dcterms:W3CDTF">2021-06-17T18:52:28Z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1046-11.2.0.10152</vt:lpwstr>
  </property>
</Properties>
</file>