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770"/>
  </bookViews>
  <sheets>
    <sheet name="Planilha1" sheetId="1" r:id="rId1"/>
  </sheets>
  <calcPr calcId="144525"/>
</workbook>
</file>

<file path=xl/sharedStrings.xml><?xml version="1.0" encoding="utf-8"?>
<sst xmlns="http://schemas.openxmlformats.org/spreadsheetml/2006/main" count="171" uniqueCount="104">
  <si>
    <t xml:space="preserve">                                                        RPPS  2025</t>
  </si>
  <si>
    <t>DES ADM</t>
  </si>
  <si>
    <t xml:space="preserve">APOSENTADOS </t>
  </si>
  <si>
    <t>PENSIONISTAS</t>
  </si>
  <si>
    <t>TOTAL FOLHA</t>
  </si>
  <si>
    <t>COMPENSAÇÃO</t>
  </si>
  <si>
    <t>TOTAL ARRE</t>
  </si>
  <si>
    <t>RENDIMENTOS</t>
  </si>
  <si>
    <t>SOBRA</t>
  </si>
  <si>
    <t>PATRIMONIO</t>
  </si>
  <si>
    <t>META</t>
  </si>
  <si>
    <t>DAIR</t>
  </si>
  <si>
    <t>meta 2025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</si>
  <si>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</si>
  <si>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</si>
  <si>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</si>
  <si>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</si>
  <si>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</si>
  <si>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</si>
  <si>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</si>
  <si>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</si>
  <si>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</si>
  <si>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</si>
  <si>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</si>
  <si>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</si>
  <si>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</si>
  <si>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BANCO BRASIL</t>
  </si>
  <si>
    <t>BANRIRUL</t>
  </si>
  <si>
    <t>CAIXA ECONOMICA FEDERAL</t>
  </si>
  <si>
    <t>FUNDOS</t>
  </si>
  <si>
    <t>BB IMA-B</t>
  </si>
  <si>
    <t>BB VERT 2030</t>
  </si>
  <si>
    <t>BB COMP IRFM1</t>
  </si>
  <si>
    <t>DES ADM SOBERANO</t>
  </si>
  <si>
    <t>ABSOLUTO</t>
  </si>
  <si>
    <t>RPPS III</t>
  </si>
  <si>
    <t>IDKA IPCA 2</t>
  </si>
  <si>
    <t>IMA GERAL</t>
  </si>
  <si>
    <t>CEF DI</t>
  </si>
  <si>
    <t>IRF-M1</t>
  </si>
  <si>
    <t>IRFM1+</t>
  </si>
  <si>
    <t>RIO</t>
  </si>
  <si>
    <t>RENDI</t>
  </si>
  <si>
    <t>SALDO</t>
  </si>
  <si>
    <t>DISTRIBUIÇÃO FUNDOS</t>
  </si>
  <si>
    <t>ANO</t>
  </si>
  <si>
    <t>FUNDO</t>
  </si>
  <si>
    <t>CNPJ</t>
  </si>
  <si>
    <t>ATIVO</t>
  </si>
  <si>
    <t>INDICE</t>
  </si>
  <si>
    <t>VALOR</t>
  </si>
  <si>
    <t>%</t>
  </si>
  <si>
    <t>INICIO</t>
  </si>
  <si>
    <t>T. ADM</t>
  </si>
  <si>
    <t>CARENCIA</t>
  </si>
  <si>
    <t>C/COTAS</t>
  </si>
  <si>
    <t>04.828.795/0001-81</t>
  </si>
  <si>
    <t>7°, I,B</t>
  </si>
  <si>
    <t>IMA</t>
  </si>
  <si>
    <t>NAO</t>
  </si>
  <si>
    <t>D+0</t>
  </si>
  <si>
    <t>21.007.180/0001-03</t>
  </si>
  <si>
    <t>IDKA 2A</t>
  </si>
  <si>
    <t>11.311.874/0001-86</t>
  </si>
  <si>
    <t>SELIC</t>
  </si>
  <si>
    <t>NÃO</t>
  </si>
  <si>
    <t>49.034.567/0001-78</t>
  </si>
  <si>
    <t>IPCA</t>
  </si>
  <si>
    <t>21.743.480/0001-50</t>
  </si>
  <si>
    <t>BB PREVID RF IRFM-M1</t>
  </si>
  <si>
    <t>11.328.882/0001-35</t>
  </si>
  <si>
    <t>IRFM1</t>
  </si>
  <si>
    <t>0,1 a 0,3</t>
  </si>
  <si>
    <t xml:space="preserve">BB IMA-B </t>
  </si>
  <si>
    <t>07.442.078/0001-05</t>
  </si>
  <si>
    <t>IMA-B</t>
  </si>
  <si>
    <t>META ATUARIAL</t>
  </si>
  <si>
    <t>META SC</t>
  </si>
  <si>
    <t>BB IPCA 30</t>
  </si>
  <si>
    <t>46.134.117/0001-69</t>
  </si>
  <si>
    <t>2978 DIAS</t>
  </si>
  <si>
    <t>ok</t>
  </si>
  <si>
    <t>CX FI BRASIL</t>
  </si>
  <si>
    <t>03.737.206/0001-97</t>
  </si>
  <si>
    <t>7° III A</t>
  </si>
  <si>
    <t>CDI</t>
  </si>
  <si>
    <t>CX  IRFM-1</t>
  </si>
  <si>
    <t>10.740.670/0001-06</t>
  </si>
  <si>
    <t>CX  IRFM-1+</t>
  </si>
  <si>
    <t>10.577.519/0001-90</t>
  </si>
  <si>
    <t>IRFM-1+</t>
  </si>
  <si>
    <t>CX 2033</t>
  </si>
  <si>
    <t>50.569.054/0001-40</t>
  </si>
  <si>
    <t>cx 2032</t>
  </si>
  <si>
    <t>50.568.762/000167</t>
  </si>
  <si>
    <t>7° I,B</t>
  </si>
  <si>
    <t>CX RIOBRAVO</t>
  </si>
  <si>
    <t>17.098.794.0001-70</t>
  </si>
  <si>
    <t>11°</t>
  </si>
  <si>
    <t>IFIX</t>
  </si>
  <si>
    <t xml:space="preserve">FECHADOS </t>
  </si>
  <si>
    <t>LIMITE LEGISLAÇÃO</t>
  </si>
  <si>
    <t>7,I,B</t>
  </si>
  <si>
    <t>7,III, A</t>
  </si>
</sst>
</file>

<file path=xl/styles.xml><?xml version="1.0" encoding="utf-8"?>
<styleSheet xmlns="http://schemas.openxmlformats.org/spreadsheetml/2006/main">
  <numFmts count="6">
    <numFmt numFmtId="176" formatCode="_-&quot;R$&quot;\ * #,##0_-;\-&quot;R$&quot;\ * #,##0_-;_-&quot;R$&quot;\ * &quot;-&quot;_-;_-@_-"/>
    <numFmt numFmtId="177" formatCode="_-&quot;R$&quot;\ * #,##0.00_-;\-&quot;R$&quot;\ * #,##0.00_-;_-&quot;R$&quot;\ * &quot;-&quot;??_-;_-@_-"/>
    <numFmt numFmtId="178" formatCode="_-* #,##0.00_-;\-* #,##0.00_-;_-* &quot;-&quot;??_-;_-@_-"/>
    <numFmt numFmtId="179" formatCode="_-* #,##0_-;\-* #,##0_-;_-* &quot;-&quot;_-;_-@_-"/>
    <numFmt numFmtId="180" formatCode="&quot;R$&quot;\ #,##0.00_);[Red]\(&quot;R$&quot;\ #,##0.00\)"/>
    <numFmt numFmtId="181" formatCode="&quot;R$&quot;#,##0.00_);[Red]\(&quot;R$&quot;#,##0.00\)"/>
  </numFmts>
  <fonts count="29">
    <font>
      <sz val="10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0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3" fillId="15" borderId="2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22" borderId="30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0" borderId="27" applyNumberFormat="0" applyAlignment="0" applyProtection="0">
      <alignment vertical="center"/>
    </xf>
    <xf numFmtId="0" fontId="25" fillId="14" borderId="34" applyNumberFormat="0" applyAlignment="0" applyProtection="0">
      <alignment vertical="center"/>
    </xf>
    <xf numFmtId="0" fontId="12" fillId="14" borderId="27" applyNumberForma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9" fontId="2" fillId="0" borderId="3" xfId="0" applyNumberFormat="1" applyFont="1" applyFill="1" applyBorder="1" applyAlignment="1">
      <alignment vertical="center"/>
    </xf>
    <xf numFmtId="10" fontId="2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80" fontId="0" fillId="0" borderId="4" xfId="0" applyNumberFormat="1" applyFill="1" applyBorder="1" applyAlignment="1">
      <alignment vertical="center"/>
    </xf>
    <xf numFmtId="180" fontId="2" fillId="0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8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180" fontId="0" fillId="2" borderId="4" xfId="0" applyNumberFormat="1" applyFill="1" applyBorder="1" applyAlignment="1">
      <alignment vertical="center"/>
    </xf>
    <xf numFmtId="0" fontId="0" fillId="0" borderId="1" xfId="0" applyBorder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0" fillId="3" borderId="3" xfId="0" applyFill="1" applyBorder="1">
      <alignment vertical="center"/>
    </xf>
    <xf numFmtId="0" fontId="0" fillId="4" borderId="3" xfId="0" applyFill="1" applyBorder="1">
      <alignment vertical="center"/>
    </xf>
    <xf numFmtId="0" fontId="2" fillId="5" borderId="4" xfId="0" applyFont="1" applyFill="1" applyBorder="1">
      <alignment vertical="center"/>
    </xf>
    <xf numFmtId="180" fontId="0" fillId="3" borderId="4" xfId="0" applyNumberFormat="1" applyFill="1" applyBorder="1">
      <alignment vertical="center"/>
    </xf>
    <xf numFmtId="0" fontId="0" fillId="4" borderId="4" xfId="0" applyFill="1" applyBorder="1">
      <alignment vertical="center"/>
    </xf>
    <xf numFmtId="180" fontId="0" fillId="4" borderId="4" xfId="0" applyNumberFormat="1" applyFill="1" applyBorder="1">
      <alignment vertical="center"/>
    </xf>
    <xf numFmtId="0" fontId="3" fillId="5" borderId="4" xfId="0" applyFont="1" applyFill="1" applyBorder="1" applyAlignment="1">
      <alignment vertical="center"/>
    </xf>
    <xf numFmtId="180" fontId="2" fillId="6" borderId="0" xfId="0" applyNumberFormat="1" applyFont="1" applyFill="1">
      <alignment vertical="center"/>
    </xf>
    <xf numFmtId="180" fontId="0" fillId="0" borderId="0" xfId="0" applyNumberForma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7" borderId="12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181" fontId="7" fillId="4" borderId="4" xfId="0" applyNumberFormat="1" applyFont="1" applyFill="1" applyBorder="1" applyAlignment="1">
      <alignment vertical="center"/>
    </xf>
    <xf numFmtId="178" fontId="0" fillId="4" borderId="4" xfId="1" applyFont="1" applyFill="1" applyBorder="1" applyAlignment="1">
      <alignment vertical="center"/>
    </xf>
    <xf numFmtId="58" fontId="0" fillId="4" borderId="15" xfId="0" applyNumberFormat="1" applyFill="1" applyBorder="1" applyAlignment="1">
      <alignment vertical="center"/>
    </xf>
    <xf numFmtId="181" fontId="0" fillId="4" borderId="4" xfId="0" applyNumberFormat="1" applyFill="1" applyBorder="1" applyAlignment="1">
      <alignment vertical="center"/>
    </xf>
    <xf numFmtId="181" fontId="0" fillId="4" borderId="15" xfId="0" applyNumberForma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181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178" fontId="0" fillId="3" borderId="4" xfId="1" applyFont="1" applyFill="1" applyBorder="1" applyAlignment="1">
      <alignment vertical="center"/>
    </xf>
    <xf numFmtId="58" fontId="0" fillId="3" borderId="15" xfId="0" applyNumberForma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181" fontId="7" fillId="3" borderId="4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178" fontId="7" fillId="3" borderId="4" xfId="1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81" fontId="0" fillId="2" borderId="4" xfId="0" applyNumberFormat="1" applyFill="1" applyBorder="1" applyAlignment="1">
      <alignment vertical="center"/>
    </xf>
    <xf numFmtId="178" fontId="0" fillId="2" borderId="4" xfId="1" applyFont="1" applyFill="1" applyBorder="1">
      <alignment vertical="center"/>
    </xf>
    <xf numFmtId="58" fontId="0" fillId="2" borderId="15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78" fontId="0" fillId="2" borderId="4" xfId="1" applyFont="1" applyFill="1" applyBorder="1" applyAlignment="1">
      <alignment vertical="center"/>
    </xf>
    <xf numFmtId="58" fontId="0" fillId="2" borderId="0" xfId="0" applyNumberFormat="1" applyFill="1" applyAlignment="1">
      <alignment vertical="center"/>
    </xf>
    <xf numFmtId="0" fontId="0" fillId="2" borderId="14" xfId="0" applyFont="1" applyFill="1" applyBorder="1" applyAlignment="1">
      <alignment vertical="center"/>
    </xf>
    <xf numFmtId="181" fontId="0" fillId="2" borderId="4" xfId="0" applyNumberFormat="1" applyFont="1" applyFill="1" applyBorder="1" applyAlignment="1">
      <alignment vertical="center"/>
    </xf>
    <xf numFmtId="0" fontId="0" fillId="5" borderId="4" xfId="0" applyFill="1" applyBorder="1">
      <alignment vertical="center"/>
    </xf>
    <xf numFmtId="181" fontId="0" fillId="5" borderId="4" xfId="0" applyNumberFormat="1" applyFill="1" applyBorder="1">
      <alignment vertical="center"/>
    </xf>
    <xf numFmtId="0" fontId="0" fillId="5" borderId="4" xfId="0" applyNumberFormat="1" applyFill="1" applyBorder="1">
      <alignment vertical="center"/>
    </xf>
    <xf numFmtId="0" fontId="5" fillId="2" borderId="4" xfId="0" applyFont="1" applyFill="1" applyBorder="1" applyAlignment="1">
      <alignment vertical="center"/>
    </xf>
    <xf numFmtId="0" fontId="8" fillId="2" borderId="4" xfId="0" applyFont="1" applyFill="1" applyBorder="1" applyAlignment="1"/>
    <xf numFmtId="0" fontId="0" fillId="2" borderId="4" xfId="0" applyFont="1" applyFill="1" applyBorder="1" applyAlignment="1">
      <alignment vertical="center"/>
    </xf>
    <xf numFmtId="177" fontId="8" fillId="2" borderId="4" xfId="0" applyNumberFormat="1" applyFont="1" applyFill="1" applyBorder="1" applyAlignment="1"/>
    <xf numFmtId="178" fontId="8" fillId="2" borderId="4" xfId="1" applyFont="1" applyFill="1" applyBorder="1" applyAlignment="1"/>
    <xf numFmtId="0" fontId="8" fillId="8" borderId="4" xfId="0" applyFont="1" applyFill="1" applyBorder="1" applyAlignment="1"/>
    <xf numFmtId="177" fontId="8" fillId="8" borderId="4" xfId="0" applyNumberFormat="1" applyFont="1" applyFill="1" applyBorder="1" applyAlignment="1"/>
    <xf numFmtId="0" fontId="7" fillId="2" borderId="4" xfId="0" applyFont="1" applyFill="1" applyBorder="1" applyAlignment="1">
      <alignment vertical="center"/>
    </xf>
    <xf numFmtId="181" fontId="7" fillId="2" borderId="4" xfId="0" applyNumberFormat="1" applyFont="1" applyFill="1" applyBorder="1" applyAlignment="1">
      <alignment vertical="center"/>
    </xf>
    <xf numFmtId="178" fontId="7" fillId="2" borderId="4" xfId="1" applyFont="1" applyFill="1" applyBorder="1">
      <alignment vertical="center"/>
    </xf>
    <xf numFmtId="0" fontId="8" fillId="7" borderId="4" xfId="0" applyFont="1" applyFill="1" applyBorder="1" applyAlignment="1"/>
    <xf numFmtId="177" fontId="8" fillId="7" borderId="4" xfId="0" applyNumberFormat="1" applyFont="1" applyFill="1" applyBorder="1" applyAlignment="1"/>
    <xf numFmtId="178" fontId="7" fillId="4" borderId="4" xfId="1" applyFont="1" applyFill="1" applyBorder="1">
      <alignment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180" fontId="0" fillId="0" borderId="4" xfId="0" applyNumberFormat="1" applyBorder="1">
      <alignment vertical="center"/>
    </xf>
    <xf numFmtId="4" fontId="0" fillId="0" borderId="4" xfId="0" applyNumberFormat="1" applyBorder="1">
      <alignment vertical="center"/>
    </xf>
    <xf numFmtId="0" fontId="0" fillId="0" borderId="4" xfId="0" applyBorder="1">
      <alignment vertical="center"/>
    </xf>
    <xf numFmtId="180" fontId="0" fillId="2" borderId="4" xfId="0" applyNumberFormat="1" applyFill="1" applyBorder="1">
      <alignment vertical="center"/>
    </xf>
    <xf numFmtId="0" fontId="0" fillId="2" borderId="4" xfId="0" applyFill="1" applyBorder="1">
      <alignment vertical="center"/>
    </xf>
    <xf numFmtId="4" fontId="0" fillId="2" borderId="4" xfId="0" applyNumberFormat="1" applyFill="1" applyBorder="1">
      <alignment vertical="center"/>
    </xf>
    <xf numFmtId="0" fontId="0" fillId="2" borderId="4" xfId="0" applyNumberFormat="1" applyFill="1" applyBorder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4" borderId="13" xfId="0" applyFill="1" applyBorder="1">
      <alignment vertical="center"/>
    </xf>
    <xf numFmtId="0" fontId="0" fillId="7" borderId="3" xfId="0" applyFill="1" applyBorder="1">
      <alignment vertical="center"/>
    </xf>
    <xf numFmtId="0" fontId="0" fillId="7" borderId="13" xfId="0" applyFill="1" applyBorder="1">
      <alignment vertical="center"/>
    </xf>
    <xf numFmtId="0" fontId="0" fillId="7" borderId="18" xfId="0" applyFill="1" applyBorder="1">
      <alignment vertical="center"/>
    </xf>
    <xf numFmtId="180" fontId="0" fillId="4" borderId="19" xfId="0" applyNumberFormat="1" applyFill="1" applyBorder="1">
      <alignment vertical="center"/>
    </xf>
    <xf numFmtId="180" fontId="0" fillId="7" borderId="4" xfId="0" applyNumberFormat="1" applyFill="1" applyBorder="1">
      <alignment vertical="center"/>
    </xf>
    <xf numFmtId="180" fontId="0" fillId="7" borderId="19" xfId="0" applyNumberFormat="1" applyFill="1" applyBorder="1">
      <alignment vertical="center"/>
    </xf>
    <xf numFmtId="0" fontId="0" fillId="7" borderId="20" xfId="0" applyFill="1" applyBorder="1">
      <alignment vertical="center"/>
    </xf>
    <xf numFmtId="180" fontId="0" fillId="7" borderId="20" xfId="0" applyNumberFormat="1" applyFill="1" applyBorder="1">
      <alignment vertical="center"/>
    </xf>
    <xf numFmtId="0" fontId="0" fillId="7" borderId="20" xfId="0" applyNumberFormat="1" applyFill="1" applyBorder="1">
      <alignment vertical="center"/>
    </xf>
    <xf numFmtId="180" fontId="0" fillId="3" borderId="19" xfId="0" applyNumberFormat="1" applyFill="1" applyBorder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2" borderId="17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58" fontId="0" fillId="2" borderId="4" xfId="0" applyNumberFormat="1" applyFill="1" applyBorder="1" applyAlignment="1">
      <alignment vertical="center"/>
    </xf>
    <xf numFmtId="0" fontId="0" fillId="5" borderId="4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10" borderId="15" xfId="0" applyFont="1" applyFill="1" applyBorder="1">
      <alignment vertical="center"/>
    </xf>
    <xf numFmtId="0" fontId="9" fillId="10" borderId="15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80" fontId="0" fillId="0" borderId="0" xfId="0" applyNumberFormat="1" applyFill="1" applyBorder="1">
      <alignment vertical="center"/>
    </xf>
    <xf numFmtId="178" fontId="0" fillId="0" borderId="0" xfId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>
      <alignment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6"/>
  <sheetViews>
    <sheetView tabSelected="1" zoomScale="80" zoomScaleNormal="80" workbookViewId="0">
      <selection activeCell="J72" sqref="J72"/>
    </sheetView>
  </sheetViews>
  <sheetFormatPr defaultColWidth="9.14285714285714" defaultRowHeight="12.75"/>
  <cols>
    <col min="1" max="1" width="7.96190476190476" customWidth="1"/>
    <col min="2" max="2" width="16.4285714285714" customWidth="1"/>
    <col min="3" max="3" width="15.7142857142857" customWidth="1"/>
    <col min="4" max="4" width="17.4952380952381" customWidth="1"/>
    <col min="5" max="5" width="16.5714285714286" customWidth="1"/>
    <col min="6" max="6" width="15" customWidth="1"/>
    <col min="7" max="7" width="19.2857142857143" customWidth="1"/>
    <col min="8" max="8" width="15.2857142857143"/>
    <col min="9" max="10" width="16.1142857142857" customWidth="1"/>
    <col min="11" max="11" width="14.8190476190476" customWidth="1"/>
    <col min="12" max="12" width="15.2952380952381" customWidth="1"/>
    <col min="13" max="13" width="14.8857142857143" customWidth="1"/>
    <col min="14" max="14" width="15.2857142857143"/>
    <col min="15" max="15" width="16.4285714285714"/>
    <col min="16" max="16" width="15.7047619047619" customWidth="1"/>
  </cols>
  <sheetData>
    <row r="1" ht="24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1"/>
    </row>
    <row r="2" spans="1:16">
      <c r="A2" s="3"/>
      <c r="B2" s="4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5">
        <v>0.14</v>
      </c>
      <c r="H2" s="6">
        <v>0.1478</v>
      </c>
      <c r="I2" s="5">
        <v>0.46</v>
      </c>
      <c r="J2" s="4" t="s">
        <v>6</v>
      </c>
      <c r="K2" s="82" t="s">
        <v>7</v>
      </c>
      <c r="L2" s="82" t="s">
        <v>8</v>
      </c>
      <c r="M2" s="82" t="s">
        <v>9</v>
      </c>
      <c r="N2" s="82" t="s">
        <v>10</v>
      </c>
      <c r="O2" s="83" t="s">
        <v>11</v>
      </c>
      <c r="P2" s="83" t="s">
        <v>12</v>
      </c>
    </row>
    <row r="3" spans="1:16">
      <c r="A3" s="7" t="s">
        <v>13</v>
      </c>
      <c r="B3" s="8">
        <f>635.89+2119.63+635.89</f>
        <v>3391.41</v>
      </c>
      <c r="C3" s="8">
        <v>842411.54</v>
      </c>
      <c r="D3" s="8">
        <f>154021.17+248.19</f>
        <v>154269.36</v>
      </c>
      <c r="E3" s="8">
        <f>SUM(B3:D3)</f>
        <v>1000072.31</v>
      </c>
      <c r="F3" s="9">
        <f>1064.12+713.09</f>
        <v>1777.21</v>
      </c>
      <c r="G3" s="8">
        <f>214882.68+996.08</f>
        <v>215878.76</v>
      </c>
      <c r="H3" s="8">
        <f>226854.71+1051.58</f>
        <v>227906.29</v>
      </c>
      <c r="I3" s="8">
        <f>706043.08+3272.85</f>
        <v>709315.93</v>
      </c>
      <c r="J3" s="8">
        <f>SUM(G3:I3)</f>
        <v>1153100.98</v>
      </c>
      <c r="K3" s="84">
        <f>P20</f>
        <v>593361.03</v>
      </c>
      <c r="L3" s="84">
        <f>J3-E3</f>
        <v>153028.67</v>
      </c>
      <c r="M3" s="84">
        <v>50944572.3</v>
      </c>
      <c r="N3" s="85">
        <f>K3*100/M3</f>
        <v>1.1647188369859</v>
      </c>
      <c r="O3" s="86">
        <v>1.16</v>
      </c>
      <c r="P3" s="86">
        <f>0.41+0.16</f>
        <v>0.57</v>
      </c>
    </row>
    <row r="4" spans="1:16">
      <c r="A4" s="7" t="s">
        <v>14</v>
      </c>
      <c r="B4" s="8">
        <f>635.89+2119.63+1271.78</f>
        <v>4027.3</v>
      </c>
      <c r="C4" s="8">
        <f>835922.17+822.06</f>
        <v>836744.23</v>
      </c>
      <c r="D4" s="8">
        <v>152333.49</v>
      </c>
      <c r="E4" s="8">
        <f t="shared" ref="E4:E14" si="0">SUM(B4:D4)</f>
        <v>993105.02</v>
      </c>
      <c r="F4" s="9">
        <f>67902.34+1064.12</f>
        <v>68966.46</v>
      </c>
      <c r="G4" s="8">
        <f>217799.37+996.08</f>
        <v>218795.45</v>
      </c>
      <c r="H4" s="8">
        <f>229933.91+1051.58</f>
        <v>230985.49</v>
      </c>
      <c r="I4" s="8">
        <f>710891.37+8008</f>
        <v>718899.37</v>
      </c>
      <c r="J4" s="8">
        <f t="shared" ref="J4:J14" si="1">SUM(G4:I4)</f>
        <v>1168680.31</v>
      </c>
      <c r="K4" s="84">
        <f t="shared" ref="K4:K14" si="2">P21</f>
        <v>341184.83</v>
      </c>
      <c r="L4" s="84">
        <f t="shared" ref="L4:L14" si="3">J4-E4</f>
        <v>175575.29</v>
      </c>
      <c r="M4" s="84">
        <v>51692694.98</v>
      </c>
      <c r="N4" s="85">
        <f t="shared" ref="N4:N14" si="4">K4*100/M4</f>
        <v>0.660025232060362</v>
      </c>
      <c r="O4" s="86">
        <v>0.66</v>
      </c>
      <c r="P4" s="86">
        <f>0.41+1.31</f>
        <v>1.72</v>
      </c>
    </row>
    <row r="5" spans="1:16">
      <c r="A5" s="7" t="s">
        <v>15</v>
      </c>
      <c r="B5" s="8">
        <f>680.4+2268+1316.29</f>
        <v>4264.69</v>
      </c>
      <c r="C5" s="8">
        <f>892515.48</f>
        <v>892515.48</v>
      </c>
      <c r="D5" s="8">
        <f>174965.46</f>
        <v>174965.46</v>
      </c>
      <c r="E5" s="8">
        <f t="shared" si="0"/>
        <v>1071745.63</v>
      </c>
      <c r="F5" s="9">
        <f>1114.87+1879.39</f>
        <v>2994.26</v>
      </c>
      <c r="G5" s="8">
        <f>235591.89+1065.81</f>
        <v>236657.7</v>
      </c>
      <c r="H5" s="8">
        <f>1125.19+248717.72</f>
        <v>249842.91</v>
      </c>
      <c r="I5" s="8">
        <f>769581.59+8008</f>
        <v>777589.59</v>
      </c>
      <c r="J5" s="8">
        <f t="shared" si="1"/>
        <v>1264090.2</v>
      </c>
      <c r="K5" s="84">
        <f t="shared" si="2"/>
        <v>768375.24</v>
      </c>
      <c r="L5" s="84">
        <f t="shared" si="3"/>
        <v>192344.57</v>
      </c>
      <c r="M5" s="84">
        <v>52277902.64</v>
      </c>
      <c r="N5" s="85">
        <f t="shared" si="4"/>
        <v>1.46978972222976</v>
      </c>
      <c r="O5" s="86">
        <v>1.47</v>
      </c>
      <c r="P5" s="86">
        <f>0.41+0.56</f>
        <v>0.97</v>
      </c>
    </row>
    <row r="6" spans="1:16">
      <c r="A6" s="7" t="s">
        <v>16</v>
      </c>
      <c r="B6" s="8">
        <f>3628.8+680.4</f>
        <v>4309.2</v>
      </c>
      <c r="C6" s="8">
        <f>905401.18+1393.36</f>
        <v>906794.54</v>
      </c>
      <c r="D6" s="8">
        <v>169768.59</v>
      </c>
      <c r="E6" s="8">
        <f t="shared" si="0"/>
        <v>1080872.33</v>
      </c>
      <c r="F6" s="9">
        <f>1879.39+1114.87</f>
        <v>2994.26</v>
      </c>
      <c r="G6" s="8">
        <f>232784.37+1065.81</f>
        <v>233850.18</v>
      </c>
      <c r="H6" s="8">
        <f>245753.78+1125.19</f>
        <v>246878.97</v>
      </c>
      <c r="I6" s="8">
        <f>764862.93+3501.95</f>
        <v>768364.88</v>
      </c>
      <c r="J6" s="8">
        <f t="shared" si="1"/>
        <v>1249094.03</v>
      </c>
      <c r="K6" s="84">
        <f t="shared" si="2"/>
        <v>1068952.88</v>
      </c>
      <c r="L6" s="84">
        <f t="shared" si="3"/>
        <v>168221.7</v>
      </c>
      <c r="M6" s="84">
        <v>53245513.35</v>
      </c>
      <c r="N6" s="85">
        <f t="shared" si="4"/>
        <v>2.00759240121027</v>
      </c>
      <c r="O6" s="86">
        <v>2.01</v>
      </c>
      <c r="P6" s="86">
        <f>0.41+0.43</f>
        <v>0.84</v>
      </c>
    </row>
    <row r="7" spans="1:16">
      <c r="A7" s="7" t="s">
        <v>17</v>
      </c>
      <c r="B7" s="8">
        <f>3119.88-194.67+3628.8</f>
        <v>6554.01</v>
      </c>
      <c r="C7" s="8">
        <f>905346.46+2308.69</f>
        <v>907655.15</v>
      </c>
      <c r="D7" s="8">
        <f>176694.65</f>
        <v>176694.65</v>
      </c>
      <c r="E7" s="8">
        <f t="shared" si="0"/>
        <v>1090903.81</v>
      </c>
      <c r="F7" s="9">
        <f>1114.87+1486.77</f>
        <v>2601.64</v>
      </c>
      <c r="G7" s="8">
        <f>230302.3+1065.81</f>
        <v>231368.11</v>
      </c>
      <c r="H7" s="8">
        <f>1125.19+243133.43</f>
        <v>244258.62</v>
      </c>
      <c r="I7" s="8">
        <f>752201.51+8008</f>
        <v>760209.51</v>
      </c>
      <c r="J7" s="8">
        <f t="shared" si="1"/>
        <v>1235836.24</v>
      </c>
      <c r="K7" s="84">
        <f t="shared" si="2"/>
        <v>607661.98</v>
      </c>
      <c r="L7" s="84">
        <f t="shared" si="3"/>
        <v>144932.43</v>
      </c>
      <c r="M7" s="84">
        <v>54488675.91</v>
      </c>
      <c r="N7" s="85">
        <f t="shared" si="4"/>
        <v>1.11520782961158</v>
      </c>
      <c r="O7" s="86">
        <v>1.12</v>
      </c>
      <c r="P7" s="86">
        <f>0.41+0.26</f>
        <v>0.67</v>
      </c>
    </row>
    <row r="8" spans="1:16">
      <c r="A8" s="7" t="s">
        <v>18</v>
      </c>
      <c r="B8" s="8">
        <f>680.4+2268+1360.8+1814.4</f>
        <v>6123.6</v>
      </c>
      <c r="C8" s="8">
        <f>885304.96+430844.1</f>
        <v>1316149.06</v>
      </c>
      <c r="D8" s="8">
        <f>176694.65+86550.78</f>
        <v>263245.43</v>
      </c>
      <c r="E8" s="8">
        <f t="shared" si="0"/>
        <v>1585518.09</v>
      </c>
      <c r="F8" s="9">
        <f>1114.87+1222.18</f>
        <v>2337.05</v>
      </c>
      <c r="G8" s="8">
        <f>237555.73+61.44+1065.81</f>
        <v>238682.98</v>
      </c>
      <c r="H8" s="8">
        <f>250790.98+64.87+1125.19</f>
        <v>251981.04</v>
      </c>
      <c r="I8" s="8">
        <f>776034.21+8008+201.89</f>
        <v>784244.1</v>
      </c>
      <c r="J8" s="8">
        <f t="shared" si="1"/>
        <v>1274908.12</v>
      </c>
      <c r="K8" s="84">
        <f t="shared" si="2"/>
        <v>562407.33</v>
      </c>
      <c r="L8" s="84">
        <f t="shared" si="3"/>
        <v>-310609.97</v>
      </c>
      <c r="M8" s="84">
        <v>55241154.95</v>
      </c>
      <c r="N8" s="85">
        <f t="shared" si="4"/>
        <v>1.01809480723031</v>
      </c>
      <c r="O8" s="86">
        <v>1.02</v>
      </c>
      <c r="P8" s="86">
        <f>0.41+0.24</f>
        <v>0.65</v>
      </c>
    </row>
    <row r="9" spans="1:16">
      <c r="A9" s="7" t="s">
        <v>19</v>
      </c>
      <c r="B9" s="8">
        <f>680.4+2268+1360.8</f>
        <v>4309.2</v>
      </c>
      <c r="C9" s="8">
        <v>888209.36</v>
      </c>
      <c r="D9" s="8">
        <v>176694.65</v>
      </c>
      <c r="E9" s="8">
        <f t="shared" si="0"/>
        <v>1069213.21</v>
      </c>
      <c r="F9" s="9">
        <f>1234.24+1114.87</f>
        <v>2349.11</v>
      </c>
      <c r="G9" s="8">
        <f>229896.97+61.44+1065.81</f>
        <v>231024.22</v>
      </c>
      <c r="H9" s="8">
        <f>242705.3+64.87+1125.19</f>
        <v>243895.36</v>
      </c>
      <c r="I9" s="8">
        <f>750869.04+201.89+8008</f>
        <v>759078.93</v>
      </c>
      <c r="J9" s="8">
        <f t="shared" si="1"/>
        <v>1233998.51</v>
      </c>
      <c r="K9" s="84">
        <f t="shared" si="2"/>
        <v>16133.11</v>
      </c>
      <c r="L9" s="84">
        <f t="shared" si="3"/>
        <v>164785.3</v>
      </c>
      <c r="M9" s="84">
        <v>55494445.82</v>
      </c>
      <c r="N9" s="85">
        <f t="shared" si="4"/>
        <v>0.029071576013803</v>
      </c>
      <c r="O9" s="86">
        <v>0.05</v>
      </c>
      <c r="P9" s="86">
        <f>0.41+0.26</f>
        <v>0.67</v>
      </c>
    </row>
    <row r="10" spans="1:16">
      <c r="A10" s="7" t="s">
        <v>20</v>
      </c>
      <c r="B10" s="8">
        <f>680.4+2268+1360.8+220</f>
        <v>4529.2</v>
      </c>
      <c r="C10" s="8">
        <v>888318.57</v>
      </c>
      <c r="D10" s="8">
        <v>176694.65</v>
      </c>
      <c r="E10" s="8">
        <f t="shared" si="0"/>
        <v>1069542.42</v>
      </c>
      <c r="F10" s="9">
        <f>2349.11</f>
        <v>2349.11</v>
      </c>
      <c r="G10" s="8">
        <f>230507.4+61.44</f>
        <v>230568.84</v>
      </c>
      <c r="H10" s="8">
        <f>243349.95+1125.19+1065.81+64.87</f>
        <v>245605.82</v>
      </c>
      <c r="I10" s="8">
        <f>752875.4+201.89+8008</f>
        <v>761085.29</v>
      </c>
      <c r="J10" s="8">
        <f t="shared" si="1"/>
        <v>1237259.95</v>
      </c>
      <c r="K10" s="84">
        <f t="shared" si="2"/>
        <v>629490.02</v>
      </c>
      <c r="L10" s="84">
        <f t="shared" si="3"/>
        <v>167717.53</v>
      </c>
      <c r="M10" s="84">
        <v>56493828.07</v>
      </c>
      <c r="N10" s="85">
        <f>K11*100/M10</f>
        <v>0.740460284407843</v>
      </c>
      <c r="O10" s="86">
        <v>0.75</v>
      </c>
      <c r="P10" s="86">
        <f>0.41+0.57</f>
        <v>0.98</v>
      </c>
    </row>
    <row r="11" spans="1:16">
      <c r="A11" s="7" t="s">
        <v>21</v>
      </c>
      <c r="B11" s="8">
        <f>680.4+2268+1360.8</f>
        <v>4309.2</v>
      </c>
      <c r="C11" s="8">
        <f>900745.92</f>
        <v>900745.92</v>
      </c>
      <c r="D11" s="8">
        <v>176694.65</v>
      </c>
      <c r="E11" s="8">
        <f t="shared" si="0"/>
        <v>1081749.77</v>
      </c>
      <c r="F11" s="9">
        <f>1234.24+1114.87</f>
        <v>2349.11</v>
      </c>
      <c r="G11" s="8">
        <f>232071.13+674.53+1065.81</f>
        <v>233811.47</v>
      </c>
      <c r="H11" s="8">
        <f>245000.81+712.11+1125.19</f>
        <v>246838.11</v>
      </c>
      <c r="I11" s="8">
        <f>758013.39+2216.3+8008</f>
        <v>768237.69</v>
      </c>
      <c r="J11" s="8">
        <f t="shared" si="1"/>
        <v>1248887.27</v>
      </c>
      <c r="K11" s="84">
        <f t="shared" si="2"/>
        <v>418314.36</v>
      </c>
      <c r="L11" s="84">
        <f t="shared" si="3"/>
        <v>167137.5</v>
      </c>
      <c r="M11" s="84">
        <f>57145887.62</f>
        <v>57145887.62</v>
      </c>
      <c r="N11" s="85">
        <f t="shared" si="4"/>
        <v>0.732011308988047</v>
      </c>
      <c r="O11" s="86">
        <v>0.73</v>
      </c>
      <c r="P11" s="86">
        <f>0.48+0.41</f>
        <v>0.89</v>
      </c>
    </row>
    <row r="12" spans="1:16">
      <c r="A12" s="7" t="s">
        <v>22</v>
      </c>
      <c r="B12" s="8">
        <f>3628.8+680.4</f>
        <v>4309.2</v>
      </c>
      <c r="C12" s="8">
        <v>909084.64</v>
      </c>
      <c r="D12" s="8">
        <v>176694.65</v>
      </c>
      <c r="E12" s="8">
        <f t="shared" si="0"/>
        <v>1090088.49</v>
      </c>
      <c r="F12" s="9">
        <v>2349.11</v>
      </c>
      <c r="G12" s="8">
        <f>229593.47+674.53+1065.81</f>
        <v>231333.81</v>
      </c>
      <c r="H12" s="8">
        <f>242385.11+712.11</f>
        <v>243097.22</v>
      </c>
      <c r="I12" s="8">
        <f>1125.19+749872.5+2216.3+8008</f>
        <v>761221.99</v>
      </c>
      <c r="J12" s="8">
        <f t="shared" si="1"/>
        <v>1235653.02</v>
      </c>
      <c r="K12" s="84">
        <f t="shared" si="2"/>
        <v>654629.84</v>
      </c>
      <c r="L12" s="84">
        <f t="shared" si="3"/>
        <v>145564.53</v>
      </c>
      <c r="M12" s="84">
        <v>58014213.38</v>
      </c>
      <c r="N12" s="85">
        <f t="shared" si="4"/>
        <v>1.12839561524707</v>
      </c>
      <c r="O12" s="86">
        <v>1.15</v>
      </c>
      <c r="P12" s="86">
        <f>0.41+0.09</f>
        <v>0.5</v>
      </c>
    </row>
    <row r="13" spans="1:16">
      <c r="A13" s="7" t="s">
        <v>23</v>
      </c>
      <c r="B13" s="8">
        <f>680.4+2268+1360.8</f>
        <v>4309.2</v>
      </c>
      <c r="C13" s="8">
        <v>954394.75</v>
      </c>
      <c r="D13" s="8">
        <v>176694.65</v>
      </c>
      <c r="E13" s="8">
        <f t="shared" si="0"/>
        <v>1135398.6</v>
      </c>
      <c r="F13" s="9">
        <v>2349.11</v>
      </c>
      <c r="G13" s="8">
        <f>236751.17+674.53</f>
        <v>237425.7</v>
      </c>
      <c r="H13" s="8">
        <f>249941.6+1125.19</f>
        <v>251066.79</v>
      </c>
      <c r="I13" s="8">
        <f>1065.81+712.11+773390.66+2216.3+8008</f>
        <v>785392.88</v>
      </c>
      <c r="J13" s="8">
        <f t="shared" si="1"/>
        <v>1273885.37</v>
      </c>
      <c r="K13" s="84">
        <f t="shared" si="2"/>
        <v>833707.26</v>
      </c>
      <c r="L13" s="84">
        <f t="shared" si="3"/>
        <v>138486.77</v>
      </c>
      <c r="M13" s="84">
        <v>59053833.11</v>
      </c>
      <c r="N13" s="85">
        <f t="shared" si="4"/>
        <v>1.41177501288874</v>
      </c>
      <c r="O13" s="86">
        <v>1.43</v>
      </c>
      <c r="P13" s="86">
        <f>0.18+0.41</f>
        <v>0.59</v>
      </c>
    </row>
    <row r="14" spans="1:16">
      <c r="A14" s="7" t="s">
        <v>24</v>
      </c>
      <c r="B14" s="8">
        <f>3628.8+567+680.4+2268+1360.8</f>
        <v>8505</v>
      </c>
      <c r="C14" s="8">
        <f>482393.79+963271.73</f>
        <v>1445665.52</v>
      </c>
      <c r="D14" s="8">
        <f>86663.94+174028.17</f>
        <v>260692.11</v>
      </c>
      <c r="E14" s="8">
        <f t="shared" si="0"/>
        <v>1714862.63</v>
      </c>
      <c r="F14" s="9">
        <f>2468.48+2229.74</f>
        <v>4698.22</v>
      </c>
      <c r="G14" s="8">
        <f>229485.87+1065.81+236692.46+1065.81</f>
        <v>468309.95</v>
      </c>
      <c r="H14" s="8">
        <f>242271.51+1125.19+674.53+249879.61</f>
        <v>493950.84</v>
      </c>
      <c r="I14" s="8">
        <f>749518.95+8008+712.11+1125.19+773197.75+2216.3+8008</f>
        <v>1542786.3</v>
      </c>
      <c r="J14" s="8">
        <f t="shared" si="1"/>
        <v>2505047.09</v>
      </c>
      <c r="K14" s="84">
        <f t="shared" si="2"/>
        <v>446261.04</v>
      </c>
      <c r="L14" s="84">
        <f t="shared" si="3"/>
        <v>790184.46</v>
      </c>
      <c r="M14" s="84">
        <v>60102913.91</v>
      </c>
      <c r="N14" s="85">
        <f t="shared" si="4"/>
        <v>0.742494849198569</v>
      </c>
      <c r="O14" s="86">
        <v>0.75</v>
      </c>
      <c r="P14" s="86">
        <f>0.41+0.33</f>
        <v>0.74</v>
      </c>
    </row>
    <row r="15" spans="1:16">
      <c r="A15" s="10" t="s">
        <v>25</v>
      </c>
      <c r="B15" s="11">
        <f t="shared" ref="B15:L15" si="5">SUM(B3:B14)</f>
        <v>58941.21</v>
      </c>
      <c r="C15" s="11">
        <f t="shared" si="5"/>
        <v>11688688.76</v>
      </c>
      <c r="D15" s="11">
        <f t="shared" si="5"/>
        <v>2235442.34</v>
      </c>
      <c r="E15" s="11">
        <f t="shared" si="5"/>
        <v>13983072.31</v>
      </c>
      <c r="F15" s="12">
        <f t="shared" si="5"/>
        <v>98114.65</v>
      </c>
      <c r="G15" s="13">
        <f t="shared" si="5"/>
        <v>3007707.17</v>
      </c>
      <c r="H15" s="13">
        <f t="shared" si="5"/>
        <v>3176307.46</v>
      </c>
      <c r="I15" s="13">
        <f t="shared" si="5"/>
        <v>9896426.46</v>
      </c>
      <c r="J15" s="13">
        <f t="shared" si="5"/>
        <v>16080441.09</v>
      </c>
      <c r="K15" s="87">
        <f t="shared" si="5"/>
        <v>6940478.92</v>
      </c>
      <c r="L15" s="87">
        <f t="shared" si="5"/>
        <v>2097368.78</v>
      </c>
      <c r="M15" s="88"/>
      <c r="N15" s="89">
        <f>SUM(N3:N13)</f>
        <v>11.4771426268737</v>
      </c>
      <c r="O15" s="90">
        <f>SUM(O3:O14)</f>
        <v>12.3</v>
      </c>
      <c r="P15" s="90">
        <f>SUM(P3:P14)</f>
        <v>9.79</v>
      </c>
    </row>
    <row r="16" ht="13.5" spans="17:17">
      <c r="Q16" s="86"/>
    </row>
    <row r="17" ht="13.5" spans="1:17">
      <c r="A17" s="14"/>
      <c r="B17" s="15" t="s">
        <v>26</v>
      </c>
      <c r="C17" s="16"/>
      <c r="D17" s="17"/>
      <c r="E17" s="18" t="s">
        <v>27</v>
      </c>
      <c r="F17" s="18"/>
      <c r="G17" s="18"/>
      <c r="H17" s="18"/>
      <c r="I17" s="18"/>
      <c r="J17" s="91" t="s">
        <v>28</v>
      </c>
      <c r="K17" s="92"/>
      <c r="L17" s="92"/>
      <c r="M17" s="92"/>
      <c r="N17" s="92"/>
      <c r="O17" s="92"/>
      <c r="P17" s="93"/>
      <c r="Q17" s="121"/>
    </row>
    <row r="18" spans="1:17">
      <c r="A18" s="19" t="s">
        <v>29</v>
      </c>
      <c r="B18" s="20" t="s">
        <v>30</v>
      </c>
      <c r="C18" s="20" t="s">
        <v>31</v>
      </c>
      <c r="D18" s="20" t="s">
        <v>32</v>
      </c>
      <c r="E18" s="21" t="s">
        <v>33</v>
      </c>
      <c r="F18" s="21" t="s">
        <v>34</v>
      </c>
      <c r="G18" s="21" t="s">
        <v>35</v>
      </c>
      <c r="H18" s="21" t="s">
        <v>36</v>
      </c>
      <c r="I18" s="94" t="s">
        <v>37</v>
      </c>
      <c r="J18" s="95" t="s">
        <v>38</v>
      </c>
      <c r="K18" s="95" t="s">
        <v>39</v>
      </c>
      <c r="L18" s="95" t="s">
        <v>40</v>
      </c>
      <c r="M18" s="95">
        <v>2032</v>
      </c>
      <c r="N18" s="95">
        <v>2033</v>
      </c>
      <c r="O18" s="96" t="s">
        <v>41</v>
      </c>
      <c r="P18" s="97" t="s">
        <v>42</v>
      </c>
      <c r="Q18" s="121"/>
    </row>
    <row r="19" spans="1:17">
      <c r="A19" s="22" t="s">
        <v>43</v>
      </c>
      <c r="B19" s="23">
        <v>4077601.22</v>
      </c>
      <c r="C19" s="23">
        <f>6687748.57-199236.06-208222.09</f>
        <v>6280290.42</v>
      </c>
      <c r="D19" s="23">
        <f>676595.33+1777.21+68966.46+2994.26+2994.26+1114.87+1486.77+2337.05+2349.11+2349.11+2349.11+2349.11+2349.11+4698.22</f>
        <v>774709.98</v>
      </c>
      <c r="E19" s="24">
        <f>81853.31+4616.59+3980.7+3743.31+3698.8+4573.87-3119.88+3698.8-1814.4+3698.8+3698.8-220+3698.8+16016-12317.2+8008-6309.2+8008.2-497.2</f>
        <v>125016.1</v>
      </c>
      <c r="F19" s="24">
        <f>3679995.85+433746.97-285379.12+506893.21-335817.54+199236.06+921521.25-529787.29-199236.06+2000000+521734.23-357036.27+504064.47-360484.38+256150.45-569488.36+544093.84-365684.22+754299.11-382603.34+543670.22-315972.94+1051686.52-844038.51+523070.4-321205.84+1270255.04-1334054.1</f>
        <v>7509629.65</v>
      </c>
      <c r="G19" s="25">
        <f>4290216.67</f>
        <v>4290216.67</v>
      </c>
      <c r="H19" s="25">
        <v>1937731.39</v>
      </c>
      <c r="I19" s="98">
        <f>2053668.65-2000000+213632.17+654409.6</f>
        <v>921710.42</v>
      </c>
      <c r="J19" s="99">
        <f>7929883.94+1770+1770+181532.26+1770+210898.6+1770+1770+1770+1770+186845.32+1770+1770+1770+1770+1770</f>
        <v>8530400.12</v>
      </c>
      <c r="K19" s="99">
        <f>6043817.44</f>
        <v>6043817.44</v>
      </c>
      <c r="L19" s="99">
        <f>1156006.2</f>
        <v>1156006.2</v>
      </c>
      <c r="M19" s="99">
        <f>5697828.38-172382.75-9149.51-9417.29-177428.03</f>
        <v>5329450.8</v>
      </c>
      <c r="N19" s="99">
        <f>6331625.35-210898.6-213632.17</f>
        <v>5907094.58</v>
      </c>
      <c r="O19" s="100">
        <f>300000-1770-1770-1770-1770-1770-1770-1770-1770-1770-1770-1770-1770</f>
        <v>278760</v>
      </c>
      <c r="P19" s="101"/>
      <c r="Q19" s="122"/>
    </row>
    <row r="20" spans="1:17">
      <c r="A20" s="26" t="s">
        <v>13</v>
      </c>
      <c r="B20" s="23">
        <f>41928.28</f>
        <v>41928.28</v>
      </c>
      <c r="C20" s="23">
        <v>81489.13</v>
      </c>
      <c r="D20" s="23">
        <v>8515.04</v>
      </c>
      <c r="E20" s="25">
        <v>845.08</v>
      </c>
      <c r="F20" s="25">
        <v>36835.58</v>
      </c>
      <c r="G20" s="25">
        <v>52254.3</v>
      </c>
      <c r="H20" s="25">
        <v>37854.71</v>
      </c>
      <c r="I20" s="98">
        <v>28106.17</v>
      </c>
      <c r="J20" s="99">
        <v>85475.43</v>
      </c>
      <c r="K20" s="99">
        <v>75600.9</v>
      </c>
      <c r="L20" s="99">
        <v>38832.11</v>
      </c>
      <c r="M20" s="99">
        <v>42941.9</v>
      </c>
      <c r="N20" s="99">
        <v>60912.4</v>
      </c>
      <c r="O20" s="100">
        <v>1770</v>
      </c>
      <c r="P20" s="102">
        <f>SUM(B20:O20)</f>
        <v>593361.03</v>
      </c>
      <c r="Q20" s="122"/>
    </row>
    <row r="21" spans="1:17">
      <c r="A21" s="26" t="s">
        <v>14</v>
      </c>
      <c r="B21" s="23">
        <v>20391.42</v>
      </c>
      <c r="C21" s="23">
        <v>28215.01</v>
      </c>
      <c r="D21" s="23">
        <v>7288.72</v>
      </c>
      <c r="E21" s="25">
        <v>831.5</v>
      </c>
      <c r="F21" s="25">
        <v>36582.21</v>
      </c>
      <c r="G21" s="25">
        <v>17030.48</v>
      </c>
      <c r="H21" s="25">
        <v>12032.17</v>
      </c>
      <c r="I21" s="98">
        <v>16094.81</v>
      </c>
      <c r="J21" s="99">
        <v>81035.04</v>
      </c>
      <c r="K21" s="99">
        <v>61056.17</v>
      </c>
      <c r="L21" s="99">
        <v>4377.65</v>
      </c>
      <c r="M21" s="99">
        <v>29874.43</v>
      </c>
      <c r="N21" s="99">
        <v>24605.22</v>
      </c>
      <c r="O21" s="100">
        <v>1770</v>
      </c>
      <c r="P21" s="102">
        <f t="shared" ref="P21:P31" si="6">SUM(B21:O21)</f>
        <v>341184.83</v>
      </c>
      <c r="Q21" s="122"/>
    </row>
    <row r="22" spans="1:17">
      <c r="A22" s="26" t="s">
        <v>15</v>
      </c>
      <c r="B22" s="23">
        <v>75736.15</v>
      </c>
      <c r="C22" s="23">
        <v>103747.13</v>
      </c>
      <c r="D22" s="23">
        <v>7419.1</v>
      </c>
      <c r="E22" s="25">
        <v>850.08</v>
      </c>
      <c r="F22" s="25">
        <v>38919.75</v>
      </c>
      <c r="G22" s="25">
        <v>68459.5</v>
      </c>
      <c r="H22" s="25">
        <v>8204.76</v>
      </c>
      <c r="I22" s="98">
        <v>26378.72</v>
      </c>
      <c r="J22" s="99">
        <v>81475.18</v>
      </c>
      <c r="K22" s="99">
        <v>59889.91</v>
      </c>
      <c r="L22" s="99">
        <v>19101.9</v>
      </c>
      <c r="M22" s="99">
        <v>118983.05</v>
      </c>
      <c r="N22" s="99">
        <v>157440.01</v>
      </c>
      <c r="O22" s="100">
        <v>1770</v>
      </c>
      <c r="P22" s="102">
        <f t="shared" si="6"/>
        <v>768375.24</v>
      </c>
      <c r="Q22" s="122"/>
    </row>
    <row r="23" spans="1:17">
      <c r="A23" s="26" t="s">
        <v>16</v>
      </c>
      <c r="B23" s="23">
        <v>87123.62</v>
      </c>
      <c r="C23" s="23">
        <v>193909.19</v>
      </c>
      <c r="D23" s="23">
        <f>9472.58</f>
        <v>9472.58</v>
      </c>
      <c r="E23" s="25">
        <v>972.57</v>
      </c>
      <c r="F23" s="25">
        <v>51952.15</v>
      </c>
      <c r="G23" s="25">
        <v>127953.64</v>
      </c>
      <c r="H23" s="25">
        <v>36393.19</v>
      </c>
      <c r="I23" s="98">
        <v>19876.75</v>
      </c>
      <c r="J23" s="99">
        <v>88096.41</v>
      </c>
      <c r="K23" s="99">
        <v>77696.9</v>
      </c>
      <c r="L23" s="99">
        <v>46730.47</v>
      </c>
      <c r="M23" s="99">
        <v>166323.17</v>
      </c>
      <c r="N23" s="99">
        <v>160682.24</v>
      </c>
      <c r="O23" s="100">
        <v>1770</v>
      </c>
      <c r="P23" s="102">
        <f t="shared" si="6"/>
        <v>1068952.88</v>
      </c>
      <c r="Q23" s="122"/>
    </row>
    <row r="24" spans="1:17">
      <c r="A24" s="26" t="s">
        <v>17</v>
      </c>
      <c r="B24" s="23">
        <v>73710.12</v>
      </c>
      <c r="C24" s="23">
        <v>51709.58</v>
      </c>
      <c r="D24" s="23">
        <v>8298.95</v>
      </c>
      <c r="E24" s="25">
        <v>1105.63</v>
      </c>
      <c r="F24" s="25">
        <f>74768.9</f>
        <v>74768.9</v>
      </c>
      <c r="G24" s="25">
        <v>34248.51</v>
      </c>
      <c r="H24" s="25">
        <v>9593.9</v>
      </c>
      <c r="I24" s="98">
        <v>1795.55</v>
      </c>
      <c r="J24" s="99">
        <v>98214.21</v>
      </c>
      <c r="K24" s="99">
        <v>67215.29</v>
      </c>
      <c r="L24" s="99">
        <v>11860.09</v>
      </c>
      <c r="M24" s="99">
        <v>69091.88</v>
      </c>
      <c r="N24" s="99">
        <v>104279.37</v>
      </c>
      <c r="O24" s="100">
        <v>1770</v>
      </c>
      <c r="P24" s="102">
        <f t="shared" si="6"/>
        <v>607661.98</v>
      </c>
      <c r="Q24" s="122"/>
    </row>
    <row r="25" spans="1:17">
      <c r="A25" s="26" t="s">
        <v>18</v>
      </c>
      <c r="B25" s="23">
        <v>54568.36</v>
      </c>
      <c r="C25" s="23">
        <v>54709.96</v>
      </c>
      <c r="D25" s="23">
        <v>8245.74</v>
      </c>
      <c r="E25" s="25">
        <v>1092.42</v>
      </c>
      <c r="F25" s="25">
        <v>71609.39</v>
      </c>
      <c r="G25" s="25">
        <v>36199.13</v>
      </c>
      <c r="H25" s="25">
        <v>5202.13</v>
      </c>
      <c r="I25" s="98">
        <v>1875.31</v>
      </c>
      <c r="J25" s="99">
        <v>96644.57</v>
      </c>
      <c r="K25" s="99">
        <v>66143.64</v>
      </c>
      <c r="L25" s="99">
        <v>26510.82</v>
      </c>
      <c r="M25" s="99">
        <v>59558.07</v>
      </c>
      <c r="N25" s="99">
        <v>78277.79</v>
      </c>
      <c r="O25" s="100">
        <v>1770</v>
      </c>
      <c r="P25" s="103">
        <f t="shared" si="6"/>
        <v>562407.33</v>
      </c>
      <c r="Q25" s="122"/>
    </row>
    <row r="26" spans="1:17">
      <c r="A26" s="26" t="s">
        <v>19</v>
      </c>
      <c r="B26" s="23">
        <v>-34664.41</v>
      </c>
      <c r="C26" s="23">
        <v>-51283.62</v>
      </c>
      <c r="D26" s="23">
        <v>9661.89</v>
      </c>
      <c r="E26" s="25">
        <v>1342.23</v>
      </c>
      <c r="F26" s="25">
        <v>84213</v>
      </c>
      <c r="G26" s="25">
        <v>-33648.31</v>
      </c>
      <c r="H26" s="25">
        <v>12169.66</v>
      </c>
      <c r="I26" s="98">
        <v>819.24</v>
      </c>
      <c r="J26" s="99">
        <v>113846.34</v>
      </c>
      <c r="K26" s="99">
        <v>77833.9</v>
      </c>
      <c r="L26" s="99">
        <v>-3379.8</v>
      </c>
      <c r="M26" s="99">
        <v>-78083.91</v>
      </c>
      <c r="N26" s="99">
        <v>-84463.1</v>
      </c>
      <c r="O26" s="100">
        <v>1770</v>
      </c>
      <c r="P26" s="103">
        <f t="shared" si="6"/>
        <v>16133.11</v>
      </c>
      <c r="Q26" s="122"/>
    </row>
    <row r="27" spans="1:17">
      <c r="A27" s="26" t="s">
        <v>20</v>
      </c>
      <c r="B27" s="23">
        <v>36634.2</v>
      </c>
      <c r="C27" s="23">
        <v>81777.91</v>
      </c>
      <c r="D27" s="23">
        <v>9969.03</v>
      </c>
      <c r="E27" s="25">
        <v>1263.18</v>
      </c>
      <c r="F27" s="25">
        <v>79030.85</v>
      </c>
      <c r="G27" s="25">
        <v>53642.24</v>
      </c>
      <c r="H27" s="25">
        <v>24245.25</v>
      </c>
      <c r="I27" s="98">
        <v>1759.65</v>
      </c>
      <c r="J27" s="99">
        <v>105091.62</v>
      </c>
      <c r="K27" s="99">
        <v>79558</v>
      </c>
      <c r="L27" s="99">
        <v>24748.55</v>
      </c>
      <c r="M27" s="99">
        <f>72460</f>
        <v>72460</v>
      </c>
      <c r="N27" s="99">
        <v>57539.54</v>
      </c>
      <c r="O27" s="100">
        <v>1770</v>
      </c>
      <c r="P27" s="103">
        <f t="shared" si="6"/>
        <v>629490.02</v>
      </c>
      <c r="Q27" s="122"/>
    </row>
    <row r="28" spans="1:17">
      <c r="A28" s="26" t="s">
        <v>21</v>
      </c>
      <c r="B28" s="23">
        <v>23255.49</v>
      </c>
      <c r="C28" s="23">
        <v>25960.36</v>
      </c>
      <c r="D28" s="23">
        <v>9714.81</v>
      </c>
      <c r="E28" s="25">
        <v>1391.44</v>
      </c>
      <c r="F28" s="25">
        <v>89020.32</v>
      </c>
      <c r="G28" s="25">
        <v>17780.72</v>
      </c>
      <c r="H28" s="25">
        <v>12502.47</v>
      </c>
      <c r="I28" s="98">
        <v>1579.97</v>
      </c>
      <c r="J28" s="99">
        <v>114554.35</v>
      </c>
      <c r="K28" s="99">
        <v>77447.33</v>
      </c>
      <c r="L28" s="99">
        <v>16656.75</v>
      </c>
      <c r="M28" s="99">
        <v>20493.57</v>
      </c>
      <c r="N28" s="99">
        <v>6186.78</v>
      </c>
      <c r="O28" s="100">
        <v>1770</v>
      </c>
      <c r="P28" s="103">
        <f t="shared" si="6"/>
        <v>418314.36</v>
      </c>
      <c r="Q28" s="122"/>
    </row>
    <row r="29" spans="1:17">
      <c r="A29" s="26" t="s">
        <v>22</v>
      </c>
      <c r="B29" s="23">
        <v>45475.18</v>
      </c>
      <c r="C29" s="23">
        <v>66773.56</v>
      </c>
      <c r="D29" s="23">
        <v>10649.59</v>
      </c>
      <c r="E29" s="25">
        <v>1518.82</v>
      </c>
      <c r="F29" s="25">
        <v>97013.63</v>
      </c>
      <c r="G29" s="25">
        <v>45539.64</v>
      </c>
      <c r="H29" s="25">
        <v>22118.09</v>
      </c>
      <c r="I29" s="98">
        <v>1872.14</v>
      </c>
      <c r="J29" s="99">
        <v>117150.69</v>
      </c>
      <c r="K29" s="99">
        <v>84940.69</v>
      </c>
      <c r="L29" s="99">
        <v>18612.42</v>
      </c>
      <c r="M29" s="99">
        <v>62261.76</v>
      </c>
      <c r="N29" s="99">
        <v>78933.63</v>
      </c>
      <c r="O29" s="100">
        <v>1770</v>
      </c>
      <c r="P29" s="103">
        <f t="shared" si="6"/>
        <v>654629.84</v>
      </c>
      <c r="Q29" s="122"/>
    </row>
    <row r="30" spans="1:17">
      <c r="A30" s="26" t="s">
        <v>23</v>
      </c>
      <c r="B30" s="23">
        <f>90191.57</f>
        <v>90191.57</v>
      </c>
      <c r="C30" s="23">
        <f>106858.49</f>
        <v>106858.49</v>
      </c>
      <c r="D30" s="23">
        <v>9019.66</v>
      </c>
      <c r="E30" s="25">
        <f>1276.27</f>
        <v>1276.27</v>
      </c>
      <c r="F30" s="25">
        <v>82576.52</v>
      </c>
      <c r="G30" s="25">
        <v>73035.98</v>
      </c>
      <c r="H30" s="25">
        <v>20649.34</v>
      </c>
      <c r="I30" s="98">
        <v>3346.62</v>
      </c>
      <c r="J30" s="99">
        <v>100775.94</v>
      </c>
      <c r="K30" s="99">
        <v>71881.93</v>
      </c>
      <c r="L30" s="99">
        <v>26132.97</v>
      </c>
      <c r="M30" s="99">
        <v>115302.14</v>
      </c>
      <c r="N30" s="99">
        <v>130889.83</v>
      </c>
      <c r="O30" s="100">
        <v>1770</v>
      </c>
      <c r="P30" s="103">
        <f t="shared" si="6"/>
        <v>833707.26</v>
      </c>
      <c r="Q30" s="122"/>
    </row>
    <row r="31" spans="1:17">
      <c r="A31" s="26"/>
      <c r="B31" s="23">
        <v>13579.57</v>
      </c>
      <c r="C31" s="23">
        <v>47671.36</v>
      </c>
      <c r="D31" s="23">
        <v>9835.67</v>
      </c>
      <c r="E31" s="23">
        <v>1553.66</v>
      </c>
      <c r="F31" s="23">
        <f>99797.86</f>
        <v>99797.86</v>
      </c>
      <c r="G31" s="23">
        <v>32673</v>
      </c>
      <c r="H31" s="23">
        <v>22400.26</v>
      </c>
      <c r="I31" s="104">
        <v>6815.4</v>
      </c>
      <c r="J31" s="23">
        <v>117761.16</v>
      </c>
      <c r="K31" s="23">
        <v>77894.27</v>
      </c>
      <c r="L31" s="23">
        <v>-1186.77</v>
      </c>
      <c r="M31" s="23">
        <v>14923.27</v>
      </c>
      <c r="N31" s="23">
        <v>772.33</v>
      </c>
      <c r="O31" s="104">
        <v>1770</v>
      </c>
      <c r="P31" s="103">
        <f t="shared" si="6"/>
        <v>446261.04</v>
      </c>
      <c r="Q31" s="122"/>
    </row>
    <row r="32" spans="1:17">
      <c r="A32" s="26" t="s">
        <v>24</v>
      </c>
      <c r="B32" s="23">
        <f>SUM(B19:B31)</f>
        <v>4605530.77</v>
      </c>
      <c r="C32" s="23">
        <f t="shared" ref="C32:P32" si="7">SUM(C19:C31)</f>
        <v>7071828.48</v>
      </c>
      <c r="D32" s="23">
        <f t="shared" si="7"/>
        <v>882800.76</v>
      </c>
      <c r="E32" s="23">
        <f t="shared" si="7"/>
        <v>139058.98</v>
      </c>
      <c r="F32" s="23">
        <f t="shared" si="7"/>
        <v>8351949.81</v>
      </c>
      <c r="G32" s="23">
        <f t="shared" si="7"/>
        <v>4815385.5</v>
      </c>
      <c r="H32" s="23">
        <f t="shared" si="7"/>
        <v>2161097.32</v>
      </c>
      <c r="I32" s="23">
        <f t="shared" si="7"/>
        <v>1032030.75</v>
      </c>
      <c r="J32" s="23">
        <f t="shared" si="7"/>
        <v>9730521.06</v>
      </c>
      <c r="K32" s="23">
        <f t="shared" si="7"/>
        <v>6920976.37</v>
      </c>
      <c r="L32" s="23">
        <f t="shared" si="7"/>
        <v>1385003.36</v>
      </c>
      <c r="M32" s="23">
        <f t="shared" si="7"/>
        <v>6023580.13</v>
      </c>
      <c r="N32" s="23">
        <f t="shared" si="7"/>
        <v>6683150.62</v>
      </c>
      <c r="O32" s="23">
        <f t="shared" si="7"/>
        <v>300000</v>
      </c>
      <c r="P32" s="23">
        <f t="shared" si="7"/>
        <v>6940478.92</v>
      </c>
      <c r="Q32" s="122"/>
    </row>
    <row r="33" spans="2:15">
      <c r="B33" s="27">
        <f>SUM(B32:O32)</f>
        <v>60102913.91</v>
      </c>
      <c r="D33" s="28">
        <f>SUM(B32:D32)</f>
        <v>12560160.01</v>
      </c>
      <c r="I33" s="28">
        <f>SUM(E32:I32)</f>
        <v>16499522.36</v>
      </c>
      <c r="O33" s="28">
        <f>SUM(J32:O32)</f>
        <v>31043231.54</v>
      </c>
    </row>
    <row r="34" ht="13.5"/>
    <row r="35" ht="24" spans="1:10">
      <c r="A35" s="29" t="s">
        <v>44</v>
      </c>
      <c r="B35" s="30"/>
      <c r="C35" s="30"/>
      <c r="D35" s="31"/>
      <c r="E35" s="31"/>
      <c r="F35" s="31"/>
      <c r="G35" s="32"/>
      <c r="H35" s="32"/>
      <c r="I35" s="32"/>
      <c r="J35" s="105"/>
    </row>
    <row r="36" ht="24" spans="1:13">
      <c r="A36" s="33"/>
      <c r="B36" s="34"/>
      <c r="C36" s="34"/>
      <c r="D36" s="34"/>
      <c r="E36" s="34"/>
      <c r="F36" s="34"/>
      <c r="G36" s="35"/>
      <c r="H36" s="35"/>
      <c r="I36" s="35"/>
      <c r="J36" s="106"/>
      <c r="L36" s="107" t="s">
        <v>45</v>
      </c>
      <c r="M36" s="108" t="s">
        <v>10</v>
      </c>
    </row>
    <row r="37" ht="24" spans="1:13">
      <c r="A37" s="36" t="s">
        <v>46</v>
      </c>
      <c r="B37" s="37" t="s">
        <v>47</v>
      </c>
      <c r="C37" s="37" t="s">
        <v>48</v>
      </c>
      <c r="D37" s="37" t="s">
        <v>49</v>
      </c>
      <c r="E37" s="37" t="s">
        <v>50</v>
      </c>
      <c r="F37" s="38" t="s">
        <v>51</v>
      </c>
      <c r="G37" s="39" t="s">
        <v>52</v>
      </c>
      <c r="H37" s="39" t="s">
        <v>53</v>
      </c>
      <c r="I37" s="39" t="s">
        <v>54</v>
      </c>
      <c r="J37" s="39" t="s">
        <v>55</v>
      </c>
      <c r="L37" s="109">
        <v>2026</v>
      </c>
      <c r="M37" s="110">
        <v>5.49</v>
      </c>
    </row>
    <row r="38" ht="19.5" spans="1:13">
      <c r="A38" s="40" t="str">
        <f>I18</f>
        <v>IMA GERAL</v>
      </c>
      <c r="B38" s="41" t="s">
        <v>56</v>
      </c>
      <c r="C38" s="41" t="s">
        <v>57</v>
      </c>
      <c r="D38" s="41" t="s">
        <v>58</v>
      </c>
      <c r="E38" s="42">
        <f>I32</f>
        <v>1032030.75</v>
      </c>
      <c r="F38" s="43">
        <f>E38*100/E52</f>
        <v>1.71710601510169</v>
      </c>
      <c r="G38" s="44">
        <v>37462</v>
      </c>
      <c r="H38" s="41">
        <v>0.2</v>
      </c>
      <c r="I38" s="41" t="s">
        <v>59</v>
      </c>
      <c r="J38" s="41" t="s">
        <v>60</v>
      </c>
      <c r="L38" s="111">
        <v>2025</v>
      </c>
      <c r="M38" s="105">
        <v>4.91</v>
      </c>
    </row>
    <row r="39" ht="19.5" spans="1:13">
      <c r="A39" s="40" t="str">
        <f>H18</f>
        <v>IDKA IPCA 2</v>
      </c>
      <c r="B39" s="45" t="s">
        <v>61</v>
      </c>
      <c r="C39" s="41" t="s">
        <v>57</v>
      </c>
      <c r="D39" s="45" t="s">
        <v>62</v>
      </c>
      <c r="E39" s="45">
        <f>H32</f>
        <v>2161097.32</v>
      </c>
      <c r="F39" s="43">
        <f>E39*100/E52</f>
        <v>3.59566147364518</v>
      </c>
      <c r="G39" s="44">
        <v>41897</v>
      </c>
      <c r="H39" s="41">
        <v>0.2</v>
      </c>
      <c r="I39" s="41" t="s">
        <v>59</v>
      </c>
      <c r="J39" s="41" t="s">
        <v>60</v>
      </c>
      <c r="L39" s="111">
        <v>2024</v>
      </c>
      <c r="M39" s="112">
        <v>4.84</v>
      </c>
    </row>
    <row r="40" ht="19.5" spans="1:13">
      <c r="A40" s="40" t="str">
        <f>E18</f>
        <v>DES ADM SOBERANO</v>
      </c>
      <c r="B40" s="45" t="s">
        <v>63</v>
      </c>
      <c r="C40" s="41" t="s">
        <v>57</v>
      </c>
      <c r="D40" s="45" t="s">
        <v>64</v>
      </c>
      <c r="E40" s="45">
        <f>E32</f>
        <v>139058.98</v>
      </c>
      <c r="F40" s="43">
        <f>E40*100/E52</f>
        <v>0.231368116707671</v>
      </c>
      <c r="G40" s="44">
        <v>40147</v>
      </c>
      <c r="H40" s="41">
        <v>0.5</v>
      </c>
      <c r="I40" s="41" t="s">
        <v>65</v>
      </c>
      <c r="J40" s="41" t="s">
        <v>60</v>
      </c>
      <c r="L40" s="111">
        <v>2023</v>
      </c>
      <c r="M40" s="113">
        <v>4.9</v>
      </c>
    </row>
    <row r="41" ht="19.5" spans="1:13">
      <c r="A41" s="40" t="str">
        <f>G18</f>
        <v>RPPS III</v>
      </c>
      <c r="B41" s="45" t="s">
        <v>66</v>
      </c>
      <c r="C41" s="41" t="s">
        <v>57</v>
      </c>
      <c r="D41" s="45" t="s">
        <v>67</v>
      </c>
      <c r="E41" s="45">
        <f>G32</f>
        <v>4815385.5</v>
      </c>
      <c r="F41" s="43">
        <f>E41*100/E52</f>
        <v>8.01190023367371</v>
      </c>
      <c r="G41" s="44">
        <v>40155</v>
      </c>
      <c r="H41" s="41">
        <v>0.2</v>
      </c>
      <c r="I41" s="41" t="s">
        <v>59</v>
      </c>
      <c r="J41" s="41" t="s">
        <v>60</v>
      </c>
      <c r="L41" s="111">
        <v>2022</v>
      </c>
      <c r="M41" s="114">
        <v>4.87</v>
      </c>
    </row>
    <row r="42" ht="18.75" spans="1:13">
      <c r="A42" s="40" t="s">
        <v>34</v>
      </c>
      <c r="B42" s="45" t="s">
        <v>68</v>
      </c>
      <c r="C42" s="41" t="s">
        <v>57</v>
      </c>
      <c r="D42" s="45" t="s">
        <v>64</v>
      </c>
      <c r="E42" s="45">
        <f>F32</f>
        <v>8351949.81</v>
      </c>
      <c r="F42" s="43">
        <f>E42*100/E52</f>
        <v>13.8960813489118</v>
      </c>
      <c r="G42" s="46">
        <v>42044</v>
      </c>
      <c r="H42" s="45">
        <v>0.15</v>
      </c>
      <c r="I42" s="45" t="s">
        <v>59</v>
      </c>
      <c r="J42" s="45" t="s">
        <v>60</v>
      </c>
      <c r="L42" s="115">
        <v>2021</v>
      </c>
      <c r="M42" s="116">
        <v>5.4</v>
      </c>
    </row>
    <row r="43" spans="1:10">
      <c r="A43" s="47" t="s">
        <v>69</v>
      </c>
      <c r="B43" s="48" t="s">
        <v>70</v>
      </c>
      <c r="C43" s="49" t="s">
        <v>57</v>
      </c>
      <c r="D43" s="48" t="s">
        <v>71</v>
      </c>
      <c r="E43" s="48">
        <f>D32</f>
        <v>882800.76</v>
      </c>
      <c r="F43" s="50">
        <f>E43*100/E52</f>
        <v>1.46881524134077</v>
      </c>
      <c r="G43" s="51">
        <v>40155</v>
      </c>
      <c r="H43" s="49" t="s">
        <v>72</v>
      </c>
      <c r="I43" s="49" t="s">
        <v>65</v>
      </c>
      <c r="J43" s="49" t="s">
        <v>60</v>
      </c>
    </row>
    <row r="44" spans="1:15">
      <c r="A44" s="47" t="s">
        <v>73</v>
      </c>
      <c r="B44" s="48" t="s">
        <v>74</v>
      </c>
      <c r="C44" s="49" t="s">
        <v>57</v>
      </c>
      <c r="D44" s="48" t="s">
        <v>75</v>
      </c>
      <c r="E44" s="48">
        <f>B32</f>
        <v>4605530.77</v>
      </c>
      <c r="F44" s="50">
        <f>E44*100/E52</f>
        <v>7.662741238963</v>
      </c>
      <c r="G44" s="51">
        <v>38557</v>
      </c>
      <c r="H44" s="49">
        <v>0.2</v>
      </c>
      <c r="I44" s="49" t="s">
        <v>65</v>
      </c>
      <c r="J44" s="49" t="s">
        <v>60</v>
      </c>
      <c r="L44" s="117" t="s">
        <v>45</v>
      </c>
      <c r="M44" s="117" t="s">
        <v>76</v>
      </c>
      <c r="N44" s="117" t="s">
        <v>77</v>
      </c>
      <c r="O44" s="117"/>
    </row>
    <row r="45" spans="1:15">
      <c r="A45" s="52" t="s">
        <v>78</v>
      </c>
      <c r="B45" s="53" t="s">
        <v>79</v>
      </c>
      <c r="C45" s="54" t="s">
        <v>57</v>
      </c>
      <c r="D45" s="53" t="s">
        <v>67</v>
      </c>
      <c r="E45" s="53">
        <f>C32</f>
        <v>7071828.48</v>
      </c>
      <c r="F45" s="55">
        <f>E45*100/E52</f>
        <v>11.7661990408478</v>
      </c>
      <c r="G45" s="51">
        <v>44719</v>
      </c>
      <c r="H45" s="49">
        <v>0.2</v>
      </c>
      <c r="I45" s="49" t="s">
        <v>80</v>
      </c>
      <c r="J45" s="49" t="s">
        <v>60</v>
      </c>
      <c r="L45" s="117">
        <v>2017</v>
      </c>
      <c r="M45" s="117">
        <v>9.12</v>
      </c>
      <c r="N45" s="117">
        <v>17.09</v>
      </c>
      <c r="O45" s="117" t="s">
        <v>81</v>
      </c>
    </row>
    <row r="46" spans="1:15">
      <c r="A46" s="56" t="s">
        <v>82</v>
      </c>
      <c r="B46" s="57" t="s">
        <v>83</v>
      </c>
      <c r="C46" s="57" t="s">
        <v>84</v>
      </c>
      <c r="D46" s="57" t="s">
        <v>85</v>
      </c>
      <c r="E46" s="57">
        <f>J32</f>
        <v>9730521.06</v>
      </c>
      <c r="F46" s="58">
        <f>E46*100/E52</f>
        <v>16.1897658981573</v>
      </c>
      <c r="G46" s="59">
        <v>38903</v>
      </c>
      <c r="H46" s="60">
        <v>0.2</v>
      </c>
      <c r="I46" s="60" t="s">
        <v>59</v>
      </c>
      <c r="J46" s="60" t="s">
        <v>60</v>
      </c>
      <c r="L46" s="117">
        <v>2018</v>
      </c>
      <c r="M46" s="117">
        <v>9.97</v>
      </c>
      <c r="N46" s="117">
        <v>6.33</v>
      </c>
      <c r="O46" s="117"/>
    </row>
    <row r="47" spans="1:15">
      <c r="A47" s="56" t="s">
        <v>86</v>
      </c>
      <c r="B47" s="57" t="s">
        <v>87</v>
      </c>
      <c r="C47" s="60" t="s">
        <v>57</v>
      </c>
      <c r="D47" s="57" t="s">
        <v>71</v>
      </c>
      <c r="E47" s="57">
        <f>K32</f>
        <v>6920976.37</v>
      </c>
      <c r="F47" s="61">
        <f>E47*100/E52</f>
        <v>11.5152093629998</v>
      </c>
      <c r="G47" s="59">
        <v>40326</v>
      </c>
      <c r="H47" s="60">
        <v>0.2</v>
      </c>
      <c r="I47" s="60" t="s">
        <v>59</v>
      </c>
      <c r="J47" s="60" t="s">
        <v>60</v>
      </c>
      <c r="L47" s="117">
        <v>2019</v>
      </c>
      <c r="M47" s="117">
        <v>10.56</v>
      </c>
      <c r="N47" s="117">
        <v>10.32</v>
      </c>
      <c r="O47" s="117" t="s">
        <v>81</v>
      </c>
    </row>
    <row r="48" spans="1:15">
      <c r="A48" s="56" t="s">
        <v>88</v>
      </c>
      <c r="B48" s="57" t="s">
        <v>89</v>
      </c>
      <c r="C48" s="60" t="s">
        <v>57</v>
      </c>
      <c r="D48" s="57" t="s">
        <v>90</v>
      </c>
      <c r="E48" s="57">
        <f>L32</f>
        <v>1385003.36</v>
      </c>
      <c r="F48" s="61">
        <f>E48*100/E52</f>
        <v>2.30438637646412</v>
      </c>
      <c r="G48" s="59">
        <v>41040</v>
      </c>
      <c r="H48" s="60">
        <v>0.2</v>
      </c>
      <c r="I48" s="60" t="s">
        <v>59</v>
      </c>
      <c r="J48" s="60" t="s">
        <v>60</v>
      </c>
      <c r="L48" s="117">
        <v>2020</v>
      </c>
      <c r="M48" s="117">
        <v>10.79</v>
      </c>
      <c r="N48" s="117">
        <v>4.2</v>
      </c>
      <c r="O48" s="117"/>
    </row>
    <row r="49" spans="1:15">
      <c r="A49" s="56" t="s">
        <v>91</v>
      </c>
      <c r="B49" s="57" t="s">
        <v>92</v>
      </c>
      <c r="C49" s="60" t="s">
        <v>57</v>
      </c>
      <c r="D49" s="57" t="s">
        <v>75</v>
      </c>
      <c r="E49" s="57">
        <f>N32</f>
        <v>6683150.62</v>
      </c>
      <c r="F49" s="61">
        <f>E49*100/E52</f>
        <v>11.1195118260116</v>
      </c>
      <c r="G49" s="59">
        <v>45061</v>
      </c>
      <c r="H49" s="60">
        <v>0.15</v>
      </c>
      <c r="I49" s="118">
        <v>48715</v>
      </c>
      <c r="J49" s="60" t="s">
        <v>60</v>
      </c>
      <c r="L49" s="117">
        <v>2021</v>
      </c>
      <c r="M49" s="117">
        <v>16</v>
      </c>
      <c r="N49" s="117">
        <v>2.32</v>
      </c>
      <c r="O49" s="117"/>
    </row>
    <row r="50" spans="1:15">
      <c r="A50" s="56" t="s">
        <v>93</v>
      </c>
      <c r="B50" s="60" t="s">
        <v>94</v>
      </c>
      <c r="C50" s="60" t="s">
        <v>95</v>
      </c>
      <c r="D50" s="60" t="s">
        <v>75</v>
      </c>
      <c r="E50" s="57">
        <f>M32</f>
        <v>6023580.13</v>
      </c>
      <c r="F50" s="58">
        <f>E50*100/E52</f>
        <v>10.0221099746011</v>
      </c>
      <c r="G50" s="62">
        <v>45061</v>
      </c>
      <c r="H50" s="60">
        <v>0.15</v>
      </c>
      <c r="I50" s="118">
        <v>48441</v>
      </c>
      <c r="J50" s="60" t="s">
        <v>60</v>
      </c>
      <c r="L50" s="117">
        <v>2023</v>
      </c>
      <c r="M50" s="117">
        <v>9.49</v>
      </c>
      <c r="N50" s="117">
        <v>12.41</v>
      </c>
      <c r="O50" s="117" t="s">
        <v>81</v>
      </c>
    </row>
    <row r="51" spans="1:15">
      <c r="A51" s="63" t="s">
        <v>96</v>
      </c>
      <c r="B51" s="64" t="s">
        <v>97</v>
      </c>
      <c r="C51" s="60" t="s">
        <v>98</v>
      </c>
      <c r="D51" s="60" t="s">
        <v>99</v>
      </c>
      <c r="E51" s="57">
        <f>O32</f>
        <v>300000</v>
      </c>
      <c r="F51" s="61">
        <f>E51*100/E52</f>
        <v>0.499143852574651</v>
      </c>
      <c r="G51" s="59">
        <v>45216</v>
      </c>
      <c r="H51" s="60">
        <v>1.2</v>
      </c>
      <c r="I51" s="60" t="s">
        <v>59</v>
      </c>
      <c r="J51" s="60" t="s">
        <v>59</v>
      </c>
      <c r="L51" s="117">
        <v>2024</v>
      </c>
      <c r="M51" s="119">
        <v>9.91</v>
      </c>
      <c r="N51" s="119">
        <v>2.69</v>
      </c>
      <c r="O51" s="117"/>
    </row>
    <row r="52" spans="1:15">
      <c r="A52" s="65" t="s">
        <v>25</v>
      </c>
      <c r="B52" s="65"/>
      <c r="C52" s="65"/>
      <c r="D52" s="65"/>
      <c r="E52" s="66">
        <f>SUM(E38:E51)</f>
        <v>60102913.91</v>
      </c>
      <c r="F52" s="67">
        <f>SUM(F38:F51)</f>
        <v>100</v>
      </c>
      <c r="G52" s="65"/>
      <c r="H52" s="65"/>
      <c r="I52" s="65"/>
      <c r="J52" s="65"/>
      <c r="L52" s="65" t="s">
        <v>25</v>
      </c>
      <c r="M52" s="67">
        <f>SUM(M45:M51)</f>
        <v>75.84</v>
      </c>
      <c r="N52" s="67">
        <f>SUM(N45:N51)</f>
        <v>55.36</v>
      </c>
      <c r="O52" s="65"/>
    </row>
    <row r="54" spans="1:3">
      <c r="A54" s="65" t="s">
        <v>100</v>
      </c>
      <c r="B54" s="66">
        <f>E45+E49+E50</f>
        <v>19778559.23</v>
      </c>
      <c r="C54" s="66">
        <f>B54*100/B63</f>
        <v>32.9078208414604</v>
      </c>
    </row>
    <row r="55" ht="15.75" spans="1:8">
      <c r="A55" s="68" t="s">
        <v>58</v>
      </c>
      <c r="B55" s="64">
        <f>E38+E44+E50+E49</f>
        <v>18344292.27</v>
      </c>
      <c r="C55" s="58">
        <f>B55*100/B63</f>
        <v>30.5214690546773</v>
      </c>
      <c r="E55" s="69"/>
      <c r="F55" s="69" t="s">
        <v>101</v>
      </c>
      <c r="G55" s="69"/>
      <c r="H55" s="69"/>
    </row>
    <row r="56" ht="15" spans="1:8">
      <c r="A56" s="70" t="s">
        <v>62</v>
      </c>
      <c r="B56" s="64">
        <f>E39</f>
        <v>2161097.32</v>
      </c>
      <c r="C56" s="58">
        <f>B56*100/B63</f>
        <v>3.59566147364518</v>
      </c>
      <c r="E56" s="69" t="s">
        <v>102</v>
      </c>
      <c r="F56" s="69">
        <v>100</v>
      </c>
      <c r="G56" s="71">
        <f>E38+E39+E40+E41+E42+E43+E44+E45+E47+E48+E49+E50</f>
        <v>50072392.85</v>
      </c>
      <c r="H56" s="72">
        <f>G56*100/G59</f>
        <v>83.3110902492681</v>
      </c>
    </row>
    <row r="57" ht="15" spans="1:8">
      <c r="A57" s="70" t="s">
        <v>64</v>
      </c>
      <c r="B57" s="64">
        <f>E40+E42</f>
        <v>8491008.79</v>
      </c>
      <c r="C57" s="58">
        <f>B57*100/B63</f>
        <v>14.1274494656194</v>
      </c>
      <c r="E57" s="73" t="s">
        <v>103</v>
      </c>
      <c r="F57" s="73">
        <v>60</v>
      </c>
      <c r="G57" s="74">
        <f>E46</f>
        <v>9730521.06</v>
      </c>
      <c r="H57" s="72">
        <f>G57*100/G59</f>
        <v>16.1897658981573</v>
      </c>
    </row>
    <row r="58" ht="15" spans="1:8">
      <c r="A58" s="75" t="s">
        <v>67</v>
      </c>
      <c r="B58" s="76">
        <f>E41+E45</f>
        <v>11887213.98</v>
      </c>
      <c r="C58" s="77">
        <f>B58*100/B63</f>
        <v>19.7780992745215</v>
      </c>
      <c r="E58" s="78" t="s">
        <v>98</v>
      </c>
      <c r="F58" s="78">
        <v>5</v>
      </c>
      <c r="G58" s="79">
        <f>E51</f>
        <v>300000</v>
      </c>
      <c r="H58" s="72">
        <f>G58*100/G59</f>
        <v>0.499143852574651</v>
      </c>
    </row>
    <row r="59" spans="1:13">
      <c r="A59" s="70" t="s">
        <v>71</v>
      </c>
      <c r="B59" s="64">
        <f>E43+E47</f>
        <v>7803777.13</v>
      </c>
      <c r="C59" s="58">
        <f>B59*100/B63</f>
        <v>12.9840246043405</v>
      </c>
      <c r="E59" s="42" t="s">
        <v>25</v>
      </c>
      <c r="F59" s="42"/>
      <c r="G59" s="42">
        <f>SUM(G56:G58)</f>
        <v>60102913.91</v>
      </c>
      <c r="H59" s="80">
        <f>SUM(H56:H58)</f>
        <v>100</v>
      </c>
      <c r="J59" s="120"/>
      <c r="K59" s="120"/>
      <c r="L59" s="120"/>
      <c r="M59" s="120"/>
    </row>
    <row r="60" spans="1:13">
      <c r="A60" s="70" t="s">
        <v>85</v>
      </c>
      <c r="B60" s="64">
        <f>E46</f>
        <v>9730521.06</v>
      </c>
      <c r="C60" s="58">
        <f>B60*100/B63</f>
        <v>16.1897658981573</v>
      </c>
      <c r="J60" s="120"/>
      <c r="K60" s="120"/>
      <c r="L60" s="120"/>
      <c r="M60" s="120"/>
    </row>
    <row r="61" spans="1:13">
      <c r="A61" s="70" t="s">
        <v>40</v>
      </c>
      <c r="B61" s="64">
        <f>E48</f>
        <v>1385003.36</v>
      </c>
      <c r="C61" s="58">
        <f>B61*100/B63</f>
        <v>2.30438637646412</v>
      </c>
      <c r="J61" s="120"/>
      <c r="K61" s="120"/>
      <c r="L61" s="120"/>
      <c r="M61" s="120"/>
    </row>
    <row r="62" spans="1:13">
      <c r="A62" s="70" t="s">
        <v>99</v>
      </c>
      <c r="B62" s="64">
        <f>E51</f>
        <v>300000</v>
      </c>
      <c r="C62" s="58">
        <f>B62*100/B63</f>
        <v>0.499143852574651</v>
      </c>
      <c r="J62" s="120"/>
      <c r="K62" s="120"/>
      <c r="L62" s="120"/>
      <c r="M62" s="120"/>
    </row>
    <row r="63" spans="1:13">
      <c r="A63" s="70" t="s">
        <v>25</v>
      </c>
      <c r="B63" s="64">
        <f>SUM(B55:B62)</f>
        <v>60102913.91</v>
      </c>
      <c r="C63" s="58">
        <f>SUM(C55:C62)</f>
        <v>100</v>
      </c>
      <c r="J63" s="120"/>
      <c r="K63" s="120"/>
      <c r="L63" s="120"/>
      <c r="M63" s="120"/>
    </row>
    <row r="64" spans="10:13">
      <c r="J64" s="120"/>
      <c r="K64" s="120"/>
      <c r="L64" s="120"/>
      <c r="M64" s="120"/>
    </row>
    <row r="65" spans="10:13">
      <c r="J65" s="120"/>
      <c r="K65" s="120"/>
      <c r="L65" s="120"/>
      <c r="M65" s="120"/>
    </row>
    <row r="66" spans="10:13">
      <c r="J66" s="120"/>
      <c r="K66" s="127"/>
      <c r="L66" s="127"/>
      <c r="M66" s="120"/>
    </row>
    <row r="67" spans="10:13">
      <c r="J67" s="123"/>
      <c r="K67" s="128"/>
      <c r="L67" s="128"/>
      <c r="M67" s="123"/>
    </row>
    <row r="68" spans="10:13">
      <c r="J68" s="123"/>
      <c r="K68" s="128"/>
      <c r="L68" s="128"/>
      <c r="M68" s="123"/>
    </row>
    <row r="73" spans="1:7">
      <c r="A73" s="123"/>
      <c r="B73" s="123"/>
      <c r="C73" s="123"/>
      <c r="D73" s="123"/>
      <c r="E73" s="123"/>
      <c r="F73" s="123"/>
      <c r="G73" s="123"/>
    </row>
    <row r="74" spans="1:7">
      <c r="A74" s="123"/>
      <c r="B74" s="124"/>
      <c r="C74" s="123"/>
      <c r="D74" s="125"/>
      <c r="E74" s="124"/>
      <c r="F74" s="124"/>
      <c r="G74" s="126"/>
    </row>
    <row r="75" spans="1:7">
      <c r="A75" s="123"/>
      <c r="B75" s="124"/>
      <c r="C75" s="123"/>
      <c r="D75" s="125"/>
      <c r="E75" s="124"/>
      <c r="F75" s="124"/>
      <c r="G75" s="126"/>
    </row>
    <row r="76" spans="1:7">
      <c r="A76" s="123"/>
      <c r="B76" s="124"/>
      <c r="C76" s="123"/>
      <c r="D76" s="125"/>
      <c r="E76" s="124"/>
      <c r="F76" s="124"/>
      <c r="G76" s="126"/>
    </row>
    <row r="77" spans="1:7">
      <c r="A77" s="123"/>
      <c r="B77" s="124"/>
      <c r="C77" s="123"/>
      <c r="D77" s="125"/>
      <c r="E77" s="124"/>
      <c r="F77" s="124"/>
      <c r="G77" s="126"/>
    </row>
    <row r="78" spans="1:7">
      <c r="A78" s="123"/>
      <c r="B78" s="124"/>
      <c r="C78" s="123"/>
      <c r="D78" s="125"/>
      <c r="E78" s="124"/>
      <c r="F78" s="124"/>
      <c r="G78" s="126"/>
    </row>
    <row r="79" spans="1:7">
      <c r="A79" s="123"/>
      <c r="B79" s="124"/>
      <c r="C79" s="123"/>
      <c r="D79" s="125"/>
      <c r="E79" s="124"/>
      <c r="F79" s="124"/>
      <c r="G79" s="126"/>
    </row>
    <row r="80" spans="1:7">
      <c r="A80" s="123"/>
      <c r="B80" s="124"/>
      <c r="C80" s="123"/>
      <c r="D80" s="125"/>
      <c r="E80" s="124"/>
      <c r="F80" s="124"/>
      <c r="G80" s="126"/>
    </row>
    <row r="81" spans="1:7">
      <c r="A81" s="123"/>
      <c r="B81" s="124"/>
      <c r="C81" s="123"/>
      <c r="D81" s="125"/>
      <c r="E81" s="124"/>
      <c r="F81" s="124"/>
      <c r="G81" s="126"/>
    </row>
    <row r="82" spans="1:7">
      <c r="A82" s="123"/>
      <c r="B82" s="124"/>
      <c r="C82" s="123"/>
      <c r="D82" s="125"/>
      <c r="E82" s="124"/>
      <c r="F82" s="124"/>
      <c r="G82" s="126"/>
    </row>
    <row r="83" spans="1:7">
      <c r="A83" s="123"/>
      <c r="B83" s="124"/>
      <c r="C83" s="123"/>
      <c r="D83" s="124"/>
      <c r="E83" s="123"/>
      <c r="F83" s="124"/>
      <c r="G83" s="126"/>
    </row>
    <row r="84" spans="1:7">
      <c r="A84" s="123"/>
      <c r="B84" s="123"/>
      <c r="C84" s="123"/>
      <c r="D84" s="123"/>
      <c r="E84" s="123"/>
      <c r="F84" s="123"/>
      <c r="G84" s="123"/>
    </row>
    <row r="85" spans="1:7">
      <c r="A85" s="123"/>
      <c r="B85" s="123"/>
      <c r="C85" s="123"/>
      <c r="D85" s="123"/>
      <c r="E85" s="123"/>
      <c r="F85" s="123"/>
      <c r="G85" s="123"/>
    </row>
    <row r="86" spans="1:7">
      <c r="A86" s="123"/>
      <c r="B86" s="123"/>
      <c r="C86" s="123"/>
      <c r="D86" s="123"/>
      <c r="E86" s="123"/>
      <c r="F86" s="123"/>
      <c r="G86" s="123"/>
    </row>
  </sheetData>
  <mergeCells count="5">
    <mergeCell ref="C1:P1"/>
    <mergeCell ref="B17:D17"/>
    <mergeCell ref="E17:I17"/>
    <mergeCell ref="J17:O17"/>
    <mergeCell ref="A35:C3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marivane.amarante</dc:creator>
  <cp:lastModifiedBy>CRISTIANE WEYH MALIKOSKI</cp:lastModifiedBy>
  <dcterms:created xsi:type="dcterms:W3CDTF">2024-11-07T17:06:00Z</dcterms:created>
  <dcterms:modified xsi:type="dcterms:W3CDTF">2026-02-03T17:48:51Z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233E7755CAEC4931AE1907A51F388496</vt:lpwstr>
  </property>
  <property fmtid="{D5CDD505-2E9C-101B-9397-08002B2CF9AE}" pid="3" name="KSOProductBuildVer">
    <vt:lpwstr>1046-11.2.0.11156</vt:lpwstr>
  </property>
</Properties>
</file>