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770"/>
  </bookViews>
  <sheets>
    <sheet name="Planilha1" sheetId="1" r:id="rId1"/>
  </sheets>
  <calcPr calcId="144525"/>
</workbook>
</file>

<file path=xl/sharedStrings.xml><?xml version="1.0" encoding="utf-8"?>
<sst xmlns="http://schemas.openxmlformats.org/spreadsheetml/2006/main" count="175" uniqueCount="105">
  <si>
    <t xml:space="preserve">                                                        RPPS  2025</t>
  </si>
  <si>
    <t>DES ADM</t>
  </si>
  <si>
    <t xml:space="preserve">APOSENTADOS </t>
  </si>
  <si>
    <t>PENSIONISTAS</t>
  </si>
  <si>
    <t>TOTAL FOLHA</t>
  </si>
  <si>
    <t>COMPENSAÇÃO</t>
  </si>
  <si>
    <t>ACIMA TETO</t>
  </si>
  <si>
    <t>TOTAL ARRE</t>
  </si>
  <si>
    <t>RENDIMENTOS</t>
  </si>
  <si>
    <t>SOBRA</t>
  </si>
  <si>
    <t>PATRIMONIO</t>
  </si>
  <si>
    <t>META</t>
  </si>
  <si>
    <t>DAIR</t>
  </si>
  <si>
    <t>meta 2026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</si>
  <si>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</si>
  <si>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</si>
  <si>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</si>
  <si>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</si>
  <si>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</si>
  <si>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</si>
  <si>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</si>
  <si>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</si>
  <si>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</si>
  <si>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</si>
  <si>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</si>
  <si>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</si>
  <si>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</si>
  <si>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BANCO BRASIL</t>
  </si>
  <si>
    <t>BANRIRUL</t>
  </si>
  <si>
    <t>CAIXA ECONOMICA FEDERAL</t>
  </si>
  <si>
    <t>FUNDOS</t>
  </si>
  <si>
    <t>BB IMA-B</t>
  </si>
  <si>
    <t>BB VERT 2030</t>
  </si>
  <si>
    <t>BB COMP IRFM1</t>
  </si>
  <si>
    <t>DES ADM SOBERANO</t>
  </si>
  <si>
    <t>ABSOLUTO</t>
  </si>
  <si>
    <t>RPPS III</t>
  </si>
  <si>
    <t>IDKA IPCA 2</t>
  </si>
  <si>
    <t>IMA GERAL</t>
  </si>
  <si>
    <t>CEF DI</t>
  </si>
  <si>
    <t>IRF-M1</t>
  </si>
  <si>
    <t>IRFM1+</t>
  </si>
  <si>
    <t>RIO</t>
  </si>
  <si>
    <t>RENDI</t>
  </si>
  <si>
    <t>SALDO</t>
  </si>
  <si>
    <t>DISTRIBUIÇÃO FUNDOS</t>
  </si>
  <si>
    <t>ANO</t>
  </si>
  <si>
    <t>FUNDO</t>
  </si>
  <si>
    <t>CNPJ</t>
  </si>
  <si>
    <t>ATIVO</t>
  </si>
  <si>
    <t>INDICE</t>
  </si>
  <si>
    <t>VALOR</t>
  </si>
  <si>
    <t>%</t>
  </si>
  <si>
    <t>INICIO</t>
  </si>
  <si>
    <t>T. ADM</t>
  </si>
  <si>
    <t>CARENCIA</t>
  </si>
  <si>
    <t>C/COTAS</t>
  </si>
  <si>
    <t>04.828.795/0001-81</t>
  </si>
  <si>
    <t>7°, I,B</t>
  </si>
  <si>
    <t>IMA</t>
  </si>
  <si>
    <t>NAO</t>
  </si>
  <si>
    <t>D+0</t>
  </si>
  <si>
    <t>21.007.180/0001-03</t>
  </si>
  <si>
    <t>IDKA 2A</t>
  </si>
  <si>
    <t>11.311.874/0001-86</t>
  </si>
  <si>
    <t>SELIC</t>
  </si>
  <si>
    <t>NÃO</t>
  </si>
  <si>
    <t>49.034.567/0001-78</t>
  </si>
  <si>
    <t>IPCA</t>
  </si>
  <si>
    <t>21.743.480/0001-50</t>
  </si>
  <si>
    <t>BB PREVID RF IRFM-M1</t>
  </si>
  <si>
    <t>11.328.882/0001-35</t>
  </si>
  <si>
    <t>IRFM1</t>
  </si>
  <si>
    <t>0,1 a 0,3</t>
  </si>
  <si>
    <t xml:space="preserve">BB IMA-B </t>
  </si>
  <si>
    <t>07.442.078/0001-05</t>
  </si>
  <si>
    <t>IMA-B</t>
  </si>
  <si>
    <t>BB IPCA 30</t>
  </si>
  <si>
    <t>46.134.117/0001-69</t>
  </si>
  <si>
    <t>2978 DIAS</t>
  </si>
  <si>
    <t>CX FI BRASIL</t>
  </si>
  <si>
    <t>03.737.206/0001-97</t>
  </si>
  <si>
    <t>7° III A</t>
  </si>
  <si>
    <t>CDI</t>
  </si>
  <si>
    <t>CX  IRFM-1</t>
  </si>
  <si>
    <t>10.740.670/0001-06</t>
  </si>
  <si>
    <t>CX  IRFM-1+</t>
  </si>
  <si>
    <t>10.577.519/0001-90</t>
  </si>
  <si>
    <t>IRFM-1+</t>
  </si>
  <si>
    <t>CX 2033</t>
  </si>
  <si>
    <t>50.569.054/0001-40</t>
  </si>
  <si>
    <t>cx 2032</t>
  </si>
  <si>
    <t>50.568.762/000167</t>
  </si>
  <si>
    <t>7° I,B</t>
  </si>
  <si>
    <t>CX RIOBRAVO</t>
  </si>
  <si>
    <t>17.098.794.0001-70</t>
  </si>
  <si>
    <t>11°</t>
  </si>
  <si>
    <t>IFIX</t>
  </si>
  <si>
    <t xml:space="preserve">FECHADOS </t>
  </si>
  <si>
    <t>LIMITE LEGISLAÇÃO</t>
  </si>
  <si>
    <t>7,I,B</t>
  </si>
  <si>
    <t>7,III, A</t>
  </si>
  <si>
    <t>META ATUARIAL</t>
  </si>
  <si>
    <t>META SC</t>
  </si>
  <si>
    <t>ok</t>
  </si>
</sst>
</file>

<file path=xl/styles.xml><?xml version="1.0" encoding="utf-8"?>
<styleSheet xmlns="http://schemas.openxmlformats.org/spreadsheetml/2006/main">
  <numFmts count="6">
    <numFmt numFmtId="176" formatCode="&quot;R$&quot;\ #,##0.00_);[Red]\(&quot;R$&quot;\ #,##0.00\)"/>
    <numFmt numFmtId="177" formatCode="_-* #,##0.00_-;\-* #,##0.00_-;_-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-&quot;R$&quot;\ * #,##0.00_-;\-&quot;R$&quot;\ * #,##0.00_-;_-&quot;R$&quot;\ * &quot;-&quot;??_-;_-@_-"/>
    <numFmt numFmtId="181" formatCode="&quot;R$&quot;#,##0.00_);[Red]\(&quot;R$&quot;#,##0.00\)"/>
  </numFmts>
  <fonts count="32">
    <font>
      <sz val="10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7" fillId="18" borderId="28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22" borderId="30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28" borderId="31" applyNumberFormat="0" applyAlignment="0" applyProtection="0">
      <alignment vertical="center"/>
    </xf>
    <xf numFmtId="0" fontId="28" fillId="32" borderId="33" applyNumberFormat="0" applyAlignment="0" applyProtection="0">
      <alignment vertical="center"/>
    </xf>
    <xf numFmtId="0" fontId="27" fillId="32" borderId="31" applyNumberFormat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9" fontId="2" fillId="0" borderId="3" xfId="0" applyNumberFormat="1" applyFont="1" applyFill="1" applyBorder="1" applyAlignment="1">
      <alignment vertical="center"/>
    </xf>
    <xf numFmtId="10" fontId="2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>
      <alignment vertical="center"/>
    </xf>
    <xf numFmtId="176" fontId="2" fillId="0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76" fontId="2" fillId="3" borderId="4" xfId="0" applyNumberFormat="1" applyFont="1" applyFill="1" applyBorder="1" applyAlignment="1">
      <alignment vertical="center"/>
    </xf>
    <xf numFmtId="176" fontId="0" fillId="3" borderId="4" xfId="0" applyNumberFormat="1" applyFill="1" applyBorder="1" applyAlignment="1">
      <alignment vertical="center"/>
    </xf>
    <xf numFmtId="0" fontId="2" fillId="3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76" fontId="2" fillId="2" borderId="4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6" borderId="3" xfId="0" applyFill="1" applyBorder="1">
      <alignment vertical="center"/>
    </xf>
    <xf numFmtId="0" fontId="0" fillId="4" borderId="3" xfId="0" applyFill="1" applyBorder="1">
      <alignment vertical="center"/>
    </xf>
    <xf numFmtId="0" fontId="0" fillId="5" borderId="3" xfId="0" applyFill="1" applyBorder="1">
      <alignment vertical="center"/>
    </xf>
    <xf numFmtId="0" fontId="2" fillId="6" borderId="4" xfId="0" applyFont="1" applyFill="1" applyBorder="1">
      <alignment vertical="center"/>
    </xf>
    <xf numFmtId="176" fontId="0" fillId="4" borderId="4" xfId="0" applyNumberFormat="1" applyFill="1" applyBorder="1">
      <alignment vertical="center"/>
    </xf>
    <xf numFmtId="0" fontId="0" fillId="5" borderId="4" xfId="0" applyFill="1" applyBorder="1">
      <alignment vertical="center"/>
    </xf>
    <xf numFmtId="176" fontId="0" fillId="5" borderId="4" xfId="0" applyNumberFormat="1" applyFill="1" applyBorder="1">
      <alignment vertical="center"/>
    </xf>
    <xf numFmtId="0" fontId="3" fillId="6" borderId="4" xfId="0" applyFont="1" applyFill="1" applyBorder="1" applyAlignment="1">
      <alignment vertical="center"/>
    </xf>
    <xf numFmtId="176" fontId="2" fillId="7" borderId="0" xfId="0" applyNumberFormat="1" applyFont="1" applyFill="1">
      <alignment vertical="center"/>
    </xf>
    <xf numFmtId="176" fontId="0" fillId="0" borderId="0" xfId="0" applyNumberForma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5" fillId="8" borderId="12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13" xfId="0" applyFont="1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181" fontId="7" fillId="5" borderId="4" xfId="0" applyNumberFormat="1" applyFont="1" applyFill="1" applyBorder="1" applyAlignment="1">
      <alignment vertical="center"/>
    </xf>
    <xf numFmtId="177" fontId="0" fillId="5" borderId="4" xfId="1" applyFont="1" applyFill="1" applyBorder="1" applyAlignment="1">
      <alignment vertical="center"/>
    </xf>
    <xf numFmtId="58" fontId="0" fillId="5" borderId="15" xfId="0" applyNumberFormat="1" applyFill="1" applyBorder="1" applyAlignment="1">
      <alignment vertical="center"/>
    </xf>
    <xf numFmtId="181" fontId="0" fillId="5" borderId="4" xfId="0" applyNumberFormat="1" applyFill="1" applyBorder="1" applyAlignment="1">
      <alignment vertical="center"/>
    </xf>
    <xf numFmtId="181" fontId="0" fillId="5" borderId="15" xfId="0" applyNumberFormat="1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181" fontId="0" fillId="4" borderId="4" xfId="0" applyNumberForma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177" fontId="0" fillId="4" borderId="4" xfId="1" applyFont="1" applyFill="1" applyBorder="1" applyAlignment="1">
      <alignment vertical="center"/>
    </xf>
    <xf numFmtId="58" fontId="0" fillId="4" borderId="15" xfId="0" applyNumberForma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181" fontId="7" fillId="4" borderId="4" xfId="0" applyNumberFormat="1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177" fontId="7" fillId="4" borderId="4" xfId="1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181" fontId="0" fillId="2" borderId="4" xfId="0" applyNumberFormat="1" applyFill="1" applyBorder="1" applyAlignment="1">
      <alignment vertical="center"/>
    </xf>
    <xf numFmtId="177" fontId="0" fillId="2" borderId="4" xfId="1" applyFont="1" applyFill="1" applyBorder="1">
      <alignment vertical="center"/>
    </xf>
    <xf numFmtId="58" fontId="0" fillId="2" borderId="15" xfId="0" applyNumberForma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177" fontId="0" fillId="2" borderId="4" xfId="1" applyFont="1" applyFill="1" applyBorder="1" applyAlignment="1">
      <alignment vertical="center"/>
    </xf>
    <xf numFmtId="58" fontId="0" fillId="2" borderId="0" xfId="0" applyNumberFormat="1" applyFill="1" applyAlignment="1">
      <alignment vertical="center"/>
    </xf>
    <xf numFmtId="0" fontId="0" fillId="2" borderId="14" xfId="0" applyFont="1" applyFill="1" applyBorder="1" applyAlignment="1">
      <alignment vertical="center"/>
    </xf>
    <xf numFmtId="181" fontId="0" fillId="2" borderId="4" xfId="0" applyNumberFormat="1" applyFont="1" applyFill="1" applyBorder="1" applyAlignment="1">
      <alignment vertical="center"/>
    </xf>
    <xf numFmtId="0" fontId="0" fillId="6" borderId="4" xfId="0" applyFill="1" applyBorder="1">
      <alignment vertical="center"/>
    </xf>
    <xf numFmtId="181" fontId="8" fillId="6" borderId="4" xfId="0" applyNumberFormat="1" applyFont="1" applyFill="1" applyBorder="1">
      <alignment vertical="center"/>
    </xf>
    <xf numFmtId="0" fontId="0" fillId="6" borderId="4" xfId="0" applyNumberFormat="1" applyFill="1" applyBorder="1">
      <alignment vertical="center"/>
    </xf>
    <xf numFmtId="181" fontId="0" fillId="6" borderId="4" xfId="0" applyNumberFormat="1" applyFill="1" applyBorder="1">
      <alignment vertical="center"/>
    </xf>
    <xf numFmtId="0" fontId="5" fillId="2" borderId="4" xfId="0" applyFont="1" applyFill="1" applyBorder="1" applyAlignment="1">
      <alignment vertical="center"/>
    </xf>
    <xf numFmtId="0" fontId="9" fillId="2" borderId="4" xfId="0" applyFont="1" applyFill="1" applyBorder="1" applyAlignment="1"/>
    <xf numFmtId="0" fontId="0" fillId="2" borderId="4" xfId="0" applyFont="1" applyFill="1" applyBorder="1" applyAlignment="1">
      <alignment vertical="center"/>
    </xf>
    <xf numFmtId="180" fontId="9" fillId="2" borderId="4" xfId="0" applyNumberFormat="1" applyFont="1" applyFill="1" applyBorder="1" applyAlignment="1"/>
    <xf numFmtId="177" fontId="9" fillId="2" borderId="4" xfId="1" applyFont="1" applyFill="1" applyBorder="1" applyAlignment="1"/>
    <xf numFmtId="0" fontId="9" fillId="9" borderId="4" xfId="0" applyFont="1" applyFill="1" applyBorder="1" applyAlignment="1"/>
    <xf numFmtId="180" fontId="9" fillId="9" borderId="4" xfId="0" applyNumberFormat="1" applyFont="1" applyFill="1" applyBorder="1" applyAlignment="1"/>
    <xf numFmtId="0" fontId="7" fillId="2" borderId="4" xfId="0" applyFont="1" applyFill="1" applyBorder="1" applyAlignment="1">
      <alignment vertical="center"/>
    </xf>
    <xf numFmtId="181" fontId="7" fillId="2" borderId="4" xfId="0" applyNumberFormat="1" applyFont="1" applyFill="1" applyBorder="1" applyAlignment="1">
      <alignment vertical="center"/>
    </xf>
    <xf numFmtId="177" fontId="7" fillId="2" borderId="4" xfId="1" applyFont="1" applyFill="1" applyBorder="1">
      <alignment vertical="center"/>
    </xf>
    <xf numFmtId="0" fontId="9" fillId="8" borderId="4" xfId="0" applyFont="1" applyFill="1" applyBorder="1" applyAlignment="1"/>
    <xf numFmtId="180" fontId="9" fillId="8" borderId="4" xfId="0" applyNumberFormat="1" applyFont="1" applyFill="1" applyBorder="1" applyAlignment="1"/>
    <xf numFmtId="181" fontId="10" fillId="5" borderId="4" xfId="0" applyNumberFormat="1" applyFont="1" applyFill="1" applyBorder="1" applyAlignment="1">
      <alignment vertical="center"/>
    </xf>
    <xf numFmtId="177" fontId="7" fillId="5" borderId="4" xfId="1" applyFont="1" applyFill="1" applyBorder="1">
      <alignment vertical="center"/>
    </xf>
    <xf numFmtId="0" fontId="2" fillId="0" borderId="3" xfId="0" applyFont="1" applyBorder="1">
      <alignment vertical="center"/>
    </xf>
    <xf numFmtId="176" fontId="0" fillId="0" borderId="4" xfId="0" applyNumberFormat="1" applyBorder="1">
      <alignment vertical="center"/>
    </xf>
    <xf numFmtId="4" fontId="0" fillId="0" borderId="4" xfId="0" applyNumberFormat="1" applyBorder="1">
      <alignment vertical="center"/>
    </xf>
    <xf numFmtId="176" fontId="11" fillId="0" borderId="4" xfId="0" applyNumberFormat="1" applyFont="1" applyFill="1" applyBorder="1" applyAlignment="1">
      <alignment vertical="center"/>
    </xf>
    <xf numFmtId="176" fontId="0" fillId="3" borderId="4" xfId="0" applyNumberFormat="1" applyFill="1" applyBorder="1">
      <alignment vertical="center"/>
    </xf>
    <xf numFmtId="0" fontId="0" fillId="3" borderId="4" xfId="0" applyFill="1" applyBorder="1">
      <alignment vertical="center"/>
    </xf>
    <xf numFmtId="4" fontId="0" fillId="3" borderId="4" xfId="0" applyNumberFormat="1" applyFill="1" applyBorder="1">
      <alignment vertical="center"/>
    </xf>
    <xf numFmtId="0" fontId="0" fillId="2" borderId="4" xfId="0" applyFill="1" applyBorder="1">
      <alignment vertical="center"/>
    </xf>
    <xf numFmtId="4" fontId="0" fillId="2" borderId="4" xfId="0" applyNumberFormat="1" applyFill="1" applyBorder="1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5" borderId="13" xfId="0" applyFill="1" applyBorder="1">
      <alignment vertical="center"/>
    </xf>
    <xf numFmtId="0" fontId="0" fillId="8" borderId="3" xfId="0" applyFill="1" applyBorder="1">
      <alignment vertical="center"/>
    </xf>
    <xf numFmtId="176" fontId="0" fillId="5" borderId="16" xfId="0" applyNumberFormat="1" applyFill="1" applyBorder="1">
      <alignment vertical="center"/>
    </xf>
    <xf numFmtId="176" fontId="0" fillId="8" borderId="4" xfId="0" applyNumberFormat="1" applyFill="1" applyBorder="1">
      <alignment vertical="center"/>
    </xf>
    <xf numFmtId="176" fontId="2" fillId="8" borderId="4" xfId="0" applyNumberFormat="1" applyFont="1" applyFill="1" applyBorder="1">
      <alignment vertical="center"/>
    </xf>
    <xf numFmtId="176" fontId="11" fillId="8" borderId="4" xfId="0" applyNumberFormat="1" applyFont="1" applyFill="1" applyBorder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10" borderId="19" xfId="0" applyFill="1" applyBorder="1" applyAlignment="1">
      <alignment vertical="center"/>
    </xf>
    <xf numFmtId="0" fontId="0" fillId="10" borderId="20" xfId="0" applyFill="1" applyBorder="1" applyAlignment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58" fontId="0" fillId="2" borderId="4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Border="1">
      <alignment vertical="center"/>
    </xf>
    <xf numFmtId="0" fontId="0" fillId="6" borderId="4" xfId="0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3" borderId="4" xfId="0" applyNumberFormat="1" applyFill="1" applyBorder="1">
      <alignment vertical="center"/>
    </xf>
    <xf numFmtId="0" fontId="0" fillId="2" borderId="4" xfId="0" applyNumberFormat="1" applyFill="1" applyBorder="1">
      <alignment vertical="center"/>
    </xf>
    <xf numFmtId="0" fontId="0" fillId="8" borderId="1" xfId="0" applyFill="1" applyBorder="1" applyAlignment="1">
      <alignment horizontal="center" vertical="center" wrapText="1"/>
    </xf>
    <xf numFmtId="0" fontId="12" fillId="0" borderId="0" xfId="0" applyFont="1" applyFill="1" applyBorder="1">
      <alignment vertical="center"/>
    </xf>
    <xf numFmtId="0" fontId="0" fillId="8" borderId="13" xfId="0" applyFill="1" applyBorder="1">
      <alignment vertical="center"/>
    </xf>
    <xf numFmtId="0" fontId="0" fillId="8" borderId="25" xfId="0" applyFill="1" applyBorder="1">
      <alignment vertical="center"/>
    </xf>
    <xf numFmtId="176" fontId="0" fillId="8" borderId="16" xfId="0" applyNumberFormat="1" applyFill="1" applyBorder="1">
      <alignment vertical="center"/>
    </xf>
    <xf numFmtId="0" fontId="0" fillId="8" borderId="26" xfId="0" applyFill="1" applyBorder="1">
      <alignment vertical="center"/>
    </xf>
    <xf numFmtId="0" fontId="12" fillId="0" borderId="0" xfId="0" applyNumberFormat="1" applyFont="1" applyFill="1" applyBorder="1">
      <alignment vertical="center"/>
    </xf>
    <xf numFmtId="176" fontId="0" fillId="8" borderId="26" xfId="0" applyNumberFormat="1" applyFill="1" applyBorder="1">
      <alignment vertical="center"/>
    </xf>
    <xf numFmtId="0" fontId="0" fillId="8" borderId="26" xfId="0" applyNumberFormat="1" applyFill="1" applyBorder="1">
      <alignment vertical="center"/>
    </xf>
    <xf numFmtId="0" fontId="0" fillId="0" borderId="0" xfId="0" applyFill="1">
      <alignment vertical="center"/>
    </xf>
    <xf numFmtId="181" fontId="8" fillId="2" borderId="4" xfId="0" applyNumberFormat="1" applyFont="1" applyFill="1" applyBorder="1" applyAlignment="1">
      <alignment vertical="center"/>
    </xf>
    <xf numFmtId="176" fontId="0" fillId="0" borderId="0" xfId="0" applyNumberFormat="1" applyBorder="1">
      <alignment vertical="center"/>
    </xf>
    <xf numFmtId="177" fontId="0" fillId="0" borderId="0" xfId="1" applyBorder="1">
      <alignment vertical="center"/>
    </xf>
    <xf numFmtId="177" fontId="0" fillId="0" borderId="0" xfId="0" applyNumberFormat="1" applyBorder="1">
      <alignment vertical="center"/>
    </xf>
    <xf numFmtId="176" fontId="0" fillId="0" borderId="0" xfId="0" applyNumberFormat="1" applyFill="1" applyBorder="1">
      <alignment vertical="center"/>
    </xf>
    <xf numFmtId="0" fontId="0" fillId="6" borderId="4" xfId="0" applyNumberFormat="1" applyFill="1" applyBorder="1" applyAlignment="1">
      <alignment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0"/>
  <sheetViews>
    <sheetView tabSelected="1" zoomScale="90" zoomScaleNormal="90" workbookViewId="0">
      <selection activeCell="S10" sqref="S10"/>
    </sheetView>
  </sheetViews>
  <sheetFormatPr defaultColWidth="9.14285714285714" defaultRowHeight="12.75"/>
  <cols>
    <col min="1" max="1" width="7.96190476190476" customWidth="1"/>
    <col min="2" max="2" width="18.5619047619048" customWidth="1"/>
    <col min="3" max="3" width="15.7142857142857" customWidth="1"/>
    <col min="4" max="4" width="17.4952380952381" customWidth="1"/>
    <col min="5" max="5" width="16.5714285714286" customWidth="1"/>
    <col min="6" max="6" width="15" customWidth="1"/>
    <col min="7" max="7" width="19.2857142857143" customWidth="1"/>
    <col min="8" max="8" width="15.2857142857143"/>
    <col min="9" max="12" width="16.1142857142857" customWidth="1"/>
    <col min="13" max="13" width="14.8190476190476" customWidth="1"/>
    <col min="14" max="14" width="15.2952380952381" customWidth="1"/>
    <col min="15" max="15" width="14.8857142857143" customWidth="1"/>
    <col min="16" max="16" width="15.2857142857143"/>
    <col min="17" max="17" width="16.4285714285714"/>
    <col min="18" max="18" width="15.7047619047619" customWidth="1"/>
  </cols>
  <sheetData>
    <row r="1" ht="24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3"/>
    </row>
    <row r="2" spans="1:18">
      <c r="A2" s="3"/>
      <c r="B2" s="4" t="s">
        <v>1</v>
      </c>
      <c r="C2" s="4" t="s">
        <v>2</v>
      </c>
      <c r="D2" s="4" t="s">
        <v>3</v>
      </c>
      <c r="E2" s="5" t="s">
        <v>4</v>
      </c>
      <c r="F2" s="3" t="s">
        <v>5</v>
      </c>
      <c r="G2" s="6">
        <v>0.14</v>
      </c>
      <c r="H2" s="7">
        <v>0.1478</v>
      </c>
      <c r="I2" s="6">
        <v>0.4293</v>
      </c>
      <c r="J2" s="6" t="s">
        <v>1</v>
      </c>
      <c r="K2" s="6" t="s">
        <v>6</v>
      </c>
      <c r="L2" s="4" t="s">
        <v>7</v>
      </c>
      <c r="M2" s="86" t="s">
        <v>8</v>
      </c>
      <c r="N2" s="86" t="s">
        <v>9</v>
      </c>
      <c r="O2" s="86" t="s">
        <v>10</v>
      </c>
      <c r="P2" s="86" t="s">
        <v>11</v>
      </c>
      <c r="Q2" s="124" t="s">
        <v>12</v>
      </c>
      <c r="R2" s="124" t="s">
        <v>13</v>
      </c>
    </row>
    <row r="3" spans="1:19">
      <c r="A3" s="8" t="s">
        <v>14</v>
      </c>
      <c r="B3" s="9">
        <f>680.4+2268+680.4</f>
        <v>3628.8</v>
      </c>
      <c r="C3" s="9">
        <f>969677.63</f>
        <v>969677.63</v>
      </c>
      <c r="D3" s="9">
        <v>172587.42</v>
      </c>
      <c r="E3" s="9">
        <f>SUM(B3:D3)</f>
        <v>1145893.85</v>
      </c>
      <c r="F3" s="10">
        <f>1234.24+1114.87</f>
        <v>2349.11</v>
      </c>
      <c r="G3" s="9">
        <f>235906.76+1065.81</f>
        <v>236972.57</v>
      </c>
      <c r="H3" s="9">
        <f>249050.13+1125.19</f>
        <v>250175.32</v>
      </c>
      <c r="I3" s="9">
        <f>723391.21+3268.23-8083</f>
        <v>718576.44</v>
      </c>
      <c r="J3" s="9">
        <f>8083</f>
        <v>8083</v>
      </c>
      <c r="K3" s="9">
        <f>894.8+944.66+2743.85</f>
        <v>4583.31</v>
      </c>
      <c r="L3" s="9">
        <f>SUM(G3:K3)</f>
        <v>1218390.64</v>
      </c>
      <c r="M3" s="87">
        <f>R22</f>
        <v>702648.8</v>
      </c>
      <c r="N3" s="87">
        <f>L3-E3</f>
        <v>72496.79</v>
      </c>
      <c r="O3" s="87">
        <v>60102913.91</v>
      </c>
      <c r="P3" s="88">
        <f>M3*100/O3</f>
        <v>1.16907609679652</v>
      </c>
      <c r="Q3" s="125">
        <v>1.17</v>
      </c>
      <c r="R3" s="125">
        <f>0.46+0.33</f>
        <v>0.79</v>
      </c>
      <c r="S3">
        <v>0.79</v>
      </c>
    </row>
    <row r="4" spans="1:19">
      <c r="A4" s="8" t="s">
        <v>15</v>
      </c>
      <c r="B4" s="9">
        <f>680.4+2268+1360.8</f>
        <v>4309.2</v>
      </c>
      <c r="C4" s="9">
        <f>969677.63</f>
        <v>969677.63</v>
      </c>
      <c r="D4" s="9">
        <v>172587.42</v>
      </c>
      <c r="E4" s="9">
        <f t="shared" ref="E4:E16" si="0">SUM(B4:D4)</f>
        <v>1146574.25</v>
      </c>
      <c r="F4" s="10">
        <v>2349.11</v>
      </c>
      <c r="G4" s="9">
        <f>237640.71+1065.81</f>
        <v>238706.52</v>
      </c>
      <c r="H4" s="9">
        <f>250880.69+1125.19</f>
        <v>252005.88</v>
      </c>
      <c r="I4" s="9">
        <f>723893.5</f>
        <v>723893.5</v>
      </c>
      <c r="J4" s="9">
        <v>8083</v>
      </c>
      <c r="K4" s="9">
        <f>2743.85+944.66+894.8</f>
        <v>4583.31</v>
      </c>
      <c r="L4" s="9">
        <f t="shared" ref="L4:L16" si="1">SUM(G4:K4)</f>
        <v>1227272.21</v>
      </c>
      <c r="M4" s="87">
        <f t="shared" ref="M4:M14" si="2">R23</f>
        <v>770121.56</v>
      </c>
      <c r="N4" s="87">
        <f t="shared" ref="N4:N16" si="3">L4-E4</f>
        <v>80697.96</v>
      </c>
      <c r="O4" s="87">
        <v>60879433.76</v>
      </c>
      <c r="P4" s="88">
        <f t="shared" ref="P4:P14" si="4">M4*100/O4</f>
        <v>1.2649946171247</v>
      </c>
      <c r="Q4" s="125">
        <v>1.27</v>
      </c>
      <c r="R4" s="125">
        <f>0.46+0.7</f>
        <v>1.16</v>
      </c>
      <c r="S4">
        <f>R3+R4</f>
        <v>1.95</v>
      </c>
    </row>
    <row r="5" spans="1:19">
      <c r="A5" s="8" t="s">
        <v>16</v>
      </c>
      <c r="B5" s="9">
        <f>717.14+2390.48+1434.28</f>
        <v>4541.9</v>
      </c>
      <c r="C5" s="9">
        <v>1026009.46</v>
      </c>
      <c r="D5" s="9">
        <v>179853.94</v>
      </c>
      <c r="E5" s="9">
        <f t="shared" si="0"/>
        <v>1210405.3</v>
      </c>
      <c r="F5" s="10">
        <f>1158.34+1990.29</f>
        <v>3148.63</v>
      </c>
      <c r="G5" s="9">
        <v>254013.29</v>
      </c>
      <c r="H5" s="9">
        <v>268165.47</v>
      </c>
      <c r="I5" s="9">
        <v>770830.62</v>
      </c>
      <c r="J5" s="9">
        <v>8083</v>
      </c>
      <c r="K5" s="9">
        <v>5988.16</v>
      </c>
      <c r="L5" s="9">
        <f t="shared" si="1"/>
        <v>1307080.54</v>
      </c>
      <c r="M5" s="87">
        <f t="shared" si="2"/>
        <v>412820.13</v>
      </c>
      <c r="N5" s="87">
        <f t="shared" si="3"/>
        <v>96675.2399999998</v>
      </c>
      <c r="O5" s="87">
        <v>61744240.8</v>
      </c>
      <c r="P5" s="88">
        <f t="shared" si="4"/>
        <v>0.668596981113095</v>
      </c>
      <c r="Q5" s="125">
        <v>0.68</v>
      </c>
      <c r="R5" s="125">
        <f>0.46+0.88</f>
        <v>1.34</v>
      </c>
      <c r="S5">
        <f>R3+R4+R5</f>
        <v>3.29</v>
      </c>
    </row>
    <row r="6" spans="1:19">
      <c r="A6" s="8" t="s">
        <v>17</v>
      </c>
      <c r="B6" s="9">
        <f>717.14+2390.48+1434.28</f>
        <v>4541.9</v>
      </c>
      <c r="C6" s="9">
        <v>1035806.42</v>
      </c>
      <c r="D6" s="9">
        <f>179853.94</f>
        <v>179853.94</v>
      </c>
      <c r="E6" s="9">
        <f t="shared" si="0"/>
        <v>1220202.26</v>
      </c>
      <c r="F6" s="10">
        <f>1967.45+1158.34</f>
        <v>3125.79</v>
      </c>
      <c r="G6" s="9">
        <f>252275.29+1172.21</f>
        <v>253447.5</v>
      </c>
      <c r="H6" s="9">
        <f>266330.63+1237.51</f>
        <v>267568.14</v>
      </c>
      <c r="I6" s="9">
        <v>769095.64</v>
      </c>
      <c r="J6" s="9">
        <v>8083</v>
      </c>
      <c r="K6" s="9">
        <f>3584.88+1234.21+1169.07</f>
        <v>5988.16</v>
      </c>
      <c r="L6" s="9">
        <f t="shared" si="1"/>
        <v>1304182.44</v>
      </c>
      <c r="M6" s="87">
        <f t="shared" si="2"/>
        <v>804045.04</v>
      </c>
      <c r="N6" s="87">
        <f t="shared" si="3"/>
        <v>83980.1799999999</v>
      </c>
      <c r="O6" s="87">
        <v>63215955.95</v>
      </c>
      <c r="P6" s="88">
        <f t="shared" si="4"/>
        <v>1.27190205054552</v>
      </c>
      <c r="Q6" s="125">
        <v>1.29</v>
      </c>
      <c r="R6" s="125">
        <f>0.46+0.89</f>
        <v>1.35</v>
      </c>
      <c r="S6">
        <f>S5+R6</f>
        <v>4.64</v>
      </c>
    </row>
    <row r="7" spans="1:19">
      <c r="A7" s="8" t="s">
        <v>18</v>
      </c>
      <c r="B7" s="9">
        <v>3824.76</v>
      </c>
      <c r="C7" s="9">
        <v>1040689.18</v>
      </c>
      <c r="D7" s="9">
        <v>179853.94</v>
      </c>
      <c r="E7" s="9">
        <f t="shared" si="0"/>
        <v>1224367.88</v>
      </c>
      <c r="F7" s="10">
        <v>3125.79</v>
      </c>
      <c r="G7" s="9">
        <f>252169.03+1172.21</f>
        <v>253341.24</v>
      </c>
      <c r="H7" s="9">
        <f>266218.45+1237.51</f>
        <v>267455.96</v>
      </c>
      <c r="I7" s="9">
        <f>768769.81</f>
        <v>768769.81</v>
      </c>
      <c r="J7" s="9">
        <v>8083</v>
      </c>
      <c r="K7" s="9">
        <f>1169.07+1234.21+3584.88</f>
        <v>5988.16</v>
      </c>
      <c r="L7" s="9">
        <f t="shared" si="1"/>
        <v>1303638.17</v>
      </c>
      <c r="M7" s="87">
        <f t="shared" si="2"/>
        <v>471677.05</v>
      </c>
      <c r="N7" s="87">
        <f t="shared" si="3"/>
        <v>79270.29</v>
      </c>
      <c r="O7" s="87">
        <v>63707230.74</v>
      </c>
      <c r="P7" s="88">
        <f t="shared" si="4"/>
        <v>0.740382283959248</v>
      </c>
      <c r="Q7" s="125">
        <v>0.75</v>
      </c>
      <c r="R7" s="125">
        <f>0.46+0.67</f>
        <v>1.13</v>
      </c>
      <c r="S7">
        <f>S6+R7</f>
        <v>5.77</v>
      </c>
    </row>
    <row r="8" spans="1:18">
      <c r="A8" s="8" t="s">
        <v>19</v>
      </c>
      <c r="B8" s="9"/>
      <c r="C8" s="9"/>
      <c r="D8" s="9"/>
      <c r="E8" s="9">
        <f t="shared" si="0"/>
        <v>0</v>
      </c>
      <c r="F8" s="10"/>
      <c r="G8" s="9"/>
      <c r="H8" s="9"/>
      <c r="I8" s="9"/>
      <c r="J8" s="89"/>
      <c r="K8" s="9"/>
      <c r="L8" s="9">
        <f t="shared" si="1"/>
        <v>0</v>
      </c>
      <c r="M8" s="87">
        <f t="shared" si="2"/>
        <v>0</v>
      </c>
      <c r="N8" s="87">
        <f t="shared" si="3"/>
        <v>0</v>
      </c>
      <c r="O8" s="87"/>
      <c r="P8" s="88" t="e">
        <f t="shared" si="4"/>
        <v>#DIV/0!</v>
      </c>
      <c r="Q8" s="125"/>
      <c r="R8" s="125">
        <f t="shared" ref="R3:R13" si="5">0.46</f>
        <v>0.46</v>
      </c>
    </row>
    <row r="9" spans="1:18">
      <c r="A9" s="8" t="s">
        <v>20</v>
      </c>
      <c r="B9" s="9"/>
      <c r="C9" s="9"/>
      <c r="D9" s="9"/>
      <c r="E9" s="9">
        <f t="shared" si="0"/>
        <v>0</v>
      </c>
      <c r="F9" s="10"/>
      <c r="G9" s="9"/>
      <c r="H9" s="9"/>
      <c r="I9" s="9"/>
      <c r="J9" s="9"/>
      <c r="K9" s="9"/>
      <c r="L9" s="9">
        <f t="shared" si="1"/>
        <v>0</v>
      </c>
      <c r="M9" s="87">
        <f t="shared" si="2"/>
        <v>0</v>
      </c>
      <c r="N9" s="87">
        <f t="shared" si="3"/>
        <v>0</v>
      </c>
      <c r="O9" s="87"/>
      <c r="P9" s="88" t="e">
        <f t="shared" si="4"/>
        <v>#DIV/0!</v>
      </c>
      <c r="Q9" s="125"/>
      <c r="R9" s="125">
        <f t="shared" si="5"/>
        <v>0.46</v>
      </c>
    </row>
    <row r="10" spans="1:18">
      <c r="A10" s="8" t="s">
        <v>21</v>
      </c>
      <c r="B10" s="9"/>
      <c r="C10" s="9"/>
      <c r="D10" s="9"/>
      <c r="E10" s="9">
        <f t="shared" si="0"/>
        <v>0</v>
      </c>
      <c r="F10" s="10"/>
      <c r="G10" s="9"/>
      <c r="H10" s="9"/>
      <c r="I10" s="9"/>
      <c r="J10" s="9"/>
      <c r="K10" s="9"/>
      <c r="L10" s="9">
        <f t="shared" si="1"/>
        <v>0</v>
      </c>
      <c r="M10" s="87">
        <f t="shared" si="2"/>
        <v>0</v>
      </c>
      <c r="N10" s="87">
        <f t="shared" si="3"/>
        <v>0</v>
      </c>
      <c r="O10" s="87"/>
      <c r="P10" s="88" t="e">
        <f>M11*100/O10</f>
        <v>#DIV/0!</v>
      </c>
      <c r="Q10" s="125"/>
      <c r="R10" s="125">
        <f t="shared" si="5"/>
        <v>0.46</v>
      </c>
    </row>
    <row r="11" spans="1:18">
      <c r="A11" s="8" t="s">
        <v>22</v>
      </c>
      <c r="B11" s="9"/>
      <c r="C11" s="9"/>
      <c r="D11" s="9"/>
      <c r="E11" s="9">
        <f t="shared" si="0"/>
        <v>0</v>
      </c>
      <c r="F11" s="10"/>
      <c r="G11" s="9"/>
      <c r="H11" s="9"/>
      <c r="I11" s="9"/>
      <c r="J11" s="9"/>
      <c r="K11" s="9"/>
      <c r="L11" s="9">
        <f t="shared" si="1"/>
        <v>0</v>
      </c>
      <c r="M11" s="87">
        <f t="shared" si="2"/>
        <v>0</v>
      </c>
      <c r="N11" s="87">
        <f t="shared" si="3"/>
        <v>0</v>
      </c>
      <c r="O11" s="87"/>
      <c r="P11" s="88" t="e">
        <f t="shared" si="4"/>
        <v>#DIV/0!</v>
      </c>
      <c r="Q11" s="125"/>
      <c r="R11" s="125">
        <f t="shared" si="5"/>
        <v>0.46</v>
      </c>
    </row>
    <row r="12" spans="1:18">
      <c r="A12" s="8" t="s">
        <v>23</v>
      </c>
      <c r="B12" s="9"/>
      <c r="C12" s="9"/>
      <c r="D12" s="9"/>
      <c r="E12" s="9">
        <f t="shared" si="0"/>
        <v>0</v>
      </c>
      <c r="F12" s="10"/>
      <c r="G12" s="9"/>
      <c r="H12" s="9"/>
      <c r="I12" s="9"/>
      <c r="J12" s="9"/>
      <c r="K12" s="9"/>
      <c r="L12" s="9">
        <f t="shared" si="1"/>
        <v>0</v>
      </c>
      <c r="M12" s="87">
        <f t="shared" si="2"/>
        <v>0</v>
      </c>
      <c r="N12" s="87">
        <f t="shared" si="3"/>
        <v>0</v>
      </c>
      <c r="O12" s="87"/>
      <c r="P12" s="88" t="e">
        <f t="shared" si="4"/>
        <v>#DIV/0!</v>
      </c>
      <c r="Q12" s="125"/>
      <c r="R12" s="125">
        <f t="shared" si="5"/>
        <v>0.46</v>
      </c>
    </row>
    <row r="13" spans="1:18">
      <c r="A13" s="8" t="s">
        <v>24</v>
      </c>
      <c r="B13" s="9"/>
      <c r="C13" s="9"/>
      <c r="D13" s="9"/>
      <c r="E13" s="9">
        <f t="shared" si="0"/>
        <v>0</v>
      </c>
      <c r="F13" s="10"/>
      <c r="G13" s="9"/>
      <c r="H13" s="9"/>
      <c r="I13" s="9"/>
      <c r="J13" s="9"/>
      <c r="K13" s="9"/>
      <c r="L13" s="9">
        <f t="shared" si="1"/>
        <v>0</v>
      </c>
      <c r="M13" s="87">
        <f t="shared" si="2"/>
        <v>0</v>
      </c>
      <c r="N13" s="87">
        <f t="shared" si="3"/>
        <v>0</v>
      </c>
      <c r="O13" s="87"/>
      <c r="P13" s="88" t="e">
        <f t="shared" si="4"/>
        <v>#DIV/0!</v>
      </c>
      <c r="Q13" s="125"/>
      <c r="R13" s="125">
        <f t="shared" si="5"/>
        <v>0.46</v>
      </c>
    </row>
    <row r="14" spans="1:18">
      <c r="A14" s="8" t="s">
        <v>25</v>
      </c>
      <c r="B14" s="9"/>
      <c r="C14" s="9"/>
      <c r="D14" s="9"/>
      <c r="E14" s="9">
        <f t="shared" si="0"/>
        <v>0</v>
      </c>
      <c r="F14" s="10"/>
      <c r="G14" s="9"/>
      <c r="H14" s="9"/>
      <c r="I14" s="9"/>
      <c r="J14" s="9"/>
      <c r="K14" s="9"/>
      <c r="L14" s="9">
        <f t="shared" si="1"/>
        <v>0</v>
      </c>
      <c r="M14" s="87">
        <f t="shared" si="2"/>
        <v>0</v>
      </c>
      <c r="N14" s="87">
        <f t="shared" si="3"/>
        <v>0</v>
      </c>
      <c r="O14" s="87"/>
      <c r="P14" s="88" t="e">
        <f t="shared" si="4"/>
        <v>#DIV/0!</v>
      </c>
      <c r="Q14" s="125"/>
      <c r="R14" s="125">
        <v>0.46</v>
      </c>
    </row>
    <row r="15" spans="1:18">
      <c r="A15" s="11">
        <v>13</v>
      </c>
      <c r="B15" s="12"/>
      <c r="C15" s="12"/>
      <c r="D15" s="12"/>
      <c r="E15" s="13">
        <f t="shared" si="0"/>
        <v>0</v>
      </c>
      <c r="F15" s="14"/>
      <c r="G15" s="13"/>
      <c r="H15" s="13"/>
      <c r="I15" s="13"/>
      <c r="J15" s="13"/>
      <c r="K15" s="13"/>
      <c r="L15" s="13">
        <f t="shared" si="1"/>
        <v>0</v>
      </c>
      <c r="M15" s="90">
        <f>R35</f>
        <v>0</v>
      </c>
      <c r="N15" s="90">
        <f t="shared" si="3"/>
        <v>0</v>
      </c>
      <c r="O15" s="91"/>
      <c r="P15" s="92"/>
      <c r="Q15" s="126"/>
      <c r="R15" s="126"/>
    </row>
    <row r="16" spans="1:18">
      <c r="A16" s="11">
        <v>13</v>
      </c>
      <c r="B16" s="12"/>
      <c r="C16" s="12"/>
      <c r="D16" s="12"/>
      <c r="E16" s="13">
        <f t="shared" si="0"/>
        <v>0</v>
      </c>
      <c r="F16" s="14"/>
      <c r="G16" s="13"/>
      <c r="H16" s="13"/>
      <c r="I16" s="13"/>
      <c r="J16" s="13"/>
      <c r="K16" s="13"/>
      <c r="L16" s="13">
        <f t="shared" si="1"/>
        <v>0</v>
      </c>
      <c r="M16" s="90">
        <f>R36</f>
        <v>0</v>
      </c>
      <c r="N16" s="90">
        <f t="shared" si="3"/>
        <v>0</v>
      </c>
      <c r="O16" s="91"/>
      <c r="P16" s="92"/>
      <c r="Q16" s="126"/>
      <c r="R16" s="126"/>
    </row>
    <row r="17" spans="1:19">
      <c r="A17" s="15" t="s">
        <v>26</v>
      </c>
      <c r="B17" s="16">
        <f>SUM(B3:B16)</f>
        <v>20846.56</v>
      </c>
      <c r="C17" s="16">
        <f t="shared" ref="C17:N17" si="6">SUM(C3:C16)</f>
        <v>5041860.32</v>
      </c>
      <c r="D17" s="16">
        <f t="shared" si="6"/>
        <v>884736.66</v>
      </c>
      <c r="E17" s="16">
        <f t="shared" si="6"/>
        <v>5947443.54</v>
      </c>
      <c r="F17" s="16">
        <f t="shared" si="6"/>
        <v>14098.43</v>
      </c>
      <c r="G17" s="16">
        <f t="shared" si="6"/>
        <v>1236481.12</v>
      </c>
      <c r="H17" s="16">
        <f t="shared" si="6"/>
        <v>1305370.77</v>
      </c>
      <c r="I17" s="16">
        <f t="shared" si="6"/>
        <v>3751166.01</v>
      </c>
      <c r="J17" s="16">
        <f t="shared" si="6"/>
        <v>40415</v>
      </c>
      <c r="K17" s="16">
        <f t="shared" si="6"/>
        <v>27131.1</v>
      </c>
      <c r="L17" s="16">
        <f t="shared" si="6"/>
        <v>6360564</v>
      </c>
      <c r="M17" s="16">
        <f t="shared" si="6"/>
        <v>3161312.58</v>
      </c>
      <c r="N17" s="16">
        <f t="shared" si="6"/>
        <v>413120.46</v>
      </c>
      <c r="O17" s="93"/>
      <c r="P17" s="94" t="e">
        <f>SUM(P3:P13)</f>
        <v>#DIV/0!</v>
      </c>
      <c r="Q17" s="127">
        <f>SUM(Q3:Q14)</f>
        <v>5.16</v>
      </c>
      <c r="R17" s="127">
        <f>SUM(R3:R14)</f>
        <v>8.99</v>
      </c>
      <c r="S17" s="119"/>
    </row>
    <row r="18" ht="13.5" spans="19:19">
      <c r="S18" s="119"/>
    </row>
    <row r="19" ht="13.5" spans="1:19">
      <c r="A19" s="17"/>
      <c r="B19" s="18" t="s">
        <v>27</v>
      </c>
      <c r="C19" s="19"/>
      <c r="D19" s="20"/>
      <c r="E19" s="21" t="s">
        <v>28</v>
      </c>
      <c r="F19" s="21"/>
      <c r="G19" s="21"/>
      <c r="H19" s="21"/>
      <c r="I19" s="21"/>
      <c r="J19" s="95"/>
      <c r="K19" s="95"/>
      <c r="L19" s="96" t="s">
        <v>29</v>
      </c>
      <c r="M19" s="97"/>
      <c r="N19" s="97"/>
      <c r="O19" s="97"/>
      <c r="P19" s="97"/>
      <c r="Q19" s="97"/>
      <c r="R19" s="128"/>
      <c r="S19" s="129"/>
    </row>
    <row r="20" spans="1:19">
      <c r="A20" s="22" t="s">
        <v>30</v>
      </c>
      <c r="B20" s="23" t="s">
        <v>31</v>
      </c>
      <c r="C20" s="23" t="s">
        <v>32</v>
      </c>
      <c r="D20" s="23" t="s">
        <v>33</v>
      </c>
      <c r="E20" s="24" t="s">
        <v>34</v>
      </c>
      <c r="F20" s="24" t="s">
        <v>35</v>
      </c>
      <c r="G20" s="24" t="s">
        <v>36</v>
      </c>
      <c r="H20" s="24" t="s">
        <v>37</v>
      </c>
      <c r="I20" s="98" t="s">
        <v>38</v>
      </c>
      <c r="J20" s="98"/>
      <c r="K20" s="98"/>
      <c r="L20" s="99" t="s">
        <v>39</v>
      </c>
      <c r="M20" s="99" t="s">
        <v>40</v>
      </c>
      <c r="N20" s="99" t="s">
        <v>41</v>
      </c>
      <c r="O20" s="99">
        <v>2032</v>
      </c>
      <c r="P20" s="99">
        <v>2033</v>
      </c>
      <c r="Q20" s="130" t="s">
        <v>42</v>
      </c>
      <c r="R20" s="131" t="s">
        <v>43</v>
      </c>
      <c r="S20" s="129"/>
    </row>
    <row r="21" spans="1:19">
      <c r="A21" s="25" t="s">
        <v>44</v>
      </c>
      <c r="B21" s="26">
        <v>4605530.77</v>
      </c>
      <c r="C21" s="26">
        <f>7071828.48-211255.81</f>
        <v>6860572.67</v>
      </c>
      <c r="D21" s="26">
        <f>882800.76+2349.11+2349.11+3148.63+3125.79+3125.79</f>
        <v>896899.19</v>
      </c>
      <c r="E21" s="27">
        <f>139058.98+4454.2+3773.8+8083-4541.9+3541.1+4258.24</f>
        <v>158627.42</v>
      </c>
      <c r="F21" s="28">
        <f>8351949.81+402517.15-335449.41-337402.09+1297828.47-867255.59+504613.51-356290.94+591664.33-359135.71</f>
        <v>8893039.53</v>
      </c>
      <c r="G21" s="28">
        <v>4815385.5</v>
      </c>
      <c r="H21" s="28">
        <v>2161097.32</v>
      </c>
      <c r="I21" s="100">
        <f>1032030.75+1539460.67</f>
        <v>2571491.42</v>
      </c>
      <c r="J21" s="100"/>
      <c r="K21" s="100"/>
      <c r="L21" s="101">
        <f>9730521.06+1800-710612.66-335512.09</f>
        <v>8686196.31</v>
      </c>
      <c r="M21" s="101">
        <f>6920976.37+1890</f>
        <v>6922866.37</v>
      </c>
      <c r="N21" s="101">
        <f>1385003.36+1890</f>
        <v>1386893.36</v>
      </c>
      <c r="O21" s="101">
        <f>6023580.13-180202.96-9564.58</f>
        <v>5833812.59</v>
      </c>
      <c r="P21" s="101">
        <f>6683150.62-139650.01-80599.27-65.63</f>
        <v>6462835.71</v>
      </c>
      <c r="Q21" s="132">
        <f>300000-1800-1860-1890-1890-1890</f>
        <v>290670</v>
      </c>
      <c r="R21" s="133"/>
      <c r="S21" s="134"/>
    </row>
    <row r="22" spans="1:19">
      <c r="A22" s="29" t="s">
        <v>14</v>
      </c>
      <c r="B22" s="26">
        <v>44931.94</v>
      </c>
      <c r="C22" s="26">
        <f>82869.67</f>
        <v>82869.67</v>
      </c>
      <c r="D22" s="26">
        <v>10458.21</v>
      </c>
      <c r="E22" s="28">
        <v>1582.78</v>
      </c>
      <c r="F22" s="28">
        <f>95560.2</f>
        <v>95560.2</v>
      </c>
      <c r="G22" s="28">
        <v>56455.65</v>
      </c>
      <c r="H22" s="28">
        <v>26611.17</v>
      </c>
      <c r="I22" s="100">
        <v>13304.88</v>
      </c>
      <c r="J22" s="100"/>
      <c r="K22" s="100"/>
      <c r="L22" s="102">
        <v>113882.88</v>
      </c>
      <c r="M22" s="101">
        <v>82190.61</v>
      </c>
      <c r="N22" s="101">
        <v>31087.28</v>
      </c>
      <c r="O22" s="101">
        <v>68410.75</v>
      </c>
      <c r="P22" s="101">
        <v>73502.78</v>
      </c>
      <c r="Q22" s="132">
        <v>1800</v>
      </c>
      <c r="R22" s="135">
        <f>SUM(B22:Q22)</f>
        <v>702648.8</v>
      </c>
      <c r="S22" s="134"/>
    </row>
    <row r="23" spans="1:19">
      <c r="A23" s="29" t="s">
        <v>15</v>
      </c>
      <c r="B23" s="26">
        <v>82601.98</v>
      </c>
      <c r="C23" s="26">
        <v>90975.86</v>
      </c>
      <c r="D23" s="26">
        <v>8969.45</v>
      </c>
      <c r="E23" s="28">
        <f>1402.85</f>
        <v>1402.85</v>
      </c>
      <c r="F23" s="28">
        <v>82562.66</v>
      </c>
      <c r="G23" s="28">
        <v>62907.72</v>
      </c>
      <c r="H23" s="28">
        <v>25648.88</v>
      </c>
      <c r="I23" s="100">
        <v>12232.18</v>
      </c>
      <c r="J23" s="100"/>
      <c r="K23" s="100"/>
      <c r="L23" s="101">
        <v>98151.81</v>
      </c>
      <c r="M23" s="101">
        <v>70738.52</v>
      </c>
      <c r="N23" s="101">
        <v>13415.94</v>
      </c>
      <c r="O23" s="101">
        <v>98097.97</v>
      </c>
      <c r="P23" s="101">
        <v>120555.74</v>
      </c>
      <c r="Q23" s="132">
        <v>1860</v>
      </c>
      <c r="R23" s="135">
        <f t="shared" ref="R23:R33" si="7">SUM(B23:Q23)</f>
        <v>770121.56</v>
      </c>
      <c r="S23" s="134"/>
    </row>
    <row r="24" spans="1:19">
      <c r="A24" s="29" t="s">
        <v>16</v>
      </c>
      <c r="B24" s="26">
        <v>6857.77</v>
      </c>
      <c r="C24" s="26">
        <v>41344.34</v>
      </c>
      <c r="D24" s="26">
        <v>8921.19</v>
      </c>
      <c r="E24" s="28">
        <v>1823.5</v>
      </c>
      <c r="F24" s="28">
        <f>102510.45</f>
        <v>102510.45</v>
      </c>
      <c r="G24" s="28">
        <v>29071.85</v>
      </c>
      <c r="H24" s="28">
        <f>29736.78</f>
        <v>29736.78</v>
      </c>
      <c r="I24" s="100">
        <f>13979.52</f>
        <v>13979.52</v>
      </c>
      <c r="J24" s="100"/>
      <c r="K24" s="100"/>
      <c r="L24" s="101">
        <v>106645.39</v>
      </c>
      <c r="M24" s="101">
        <v>69042.14</v>
      </c>
      <c r="N24" s="101">
        <v>-17678.59</v>
      </c>
      <c r="O24" s="101">
        <f>11155.78</f>
        <v>11155.78</v>
      </c>
      <c r="P24" s="103">
        <v>7520.01</v>
      </c>
      <c r="Q24" s="132">
        <v>1890</v>
      </c>
      <c r="R24" s="135">
        <f t="shared" si="7"/>
        <v>412820.13</v>
      </c>
      <c r="S24" s="134"/>
    </row>
    <row r="25" spans="1:19">
      <c r="A25" s="29" t="s">
        <v>17</v>
      </c>
      <c r="B25" s="26">
        <v>85048.18</v>
      </c>
      <c r="C25" s="26">
        <v>90890.41</v>
      </c>
      <c r="D25" s="26">
        <v>9138.79</v>
      </c>
      <c r="E25" s="28">
        <v>1632.65</v>
      </c>
      <c r="F25" s="28">
        <v>92421.45</v>
      </c>
      <c r="G25" s="28">
        <v>63808.01</v>
      </c>
      <c r="H25" s="28">
        <v>27407.05</v>
      </c>
      <c r="I25" s="100">
        <v>33661.54</v>
      </c>
      <c r="J25" s="100"/>
      <c r="K25" s="100"/>
      <c r="L25" s="101">
        <v>98707.91</v>
      </c>
      <c r="M25" s="101">
        <v>72690.86</v>
      </c>
      <c r="N25" s="101">
        <v>18753.77</v>
      </c>
      <c r="O25" s="101">
        <v>96585.64</v>
      </c>
      <c r="P25" s="101">
        <v>111408.78</v>
      </c>
      <c r="Q25" s="132">
        <v>1890</v>
      </c>
      <c r="R25" s="135">
        <f t="shared" si="7"/>
        <v>804045.04</v>
      </c>
      <c r="S25" s="134"/>
    </row>
    <row r="26" spans="1:19">
      <c r="A26" s="29" t="s">
        <v>18</v>
      </c>
      <c r="B26" s="26">
        <v>14034.41</v>
      </c>
      <c r="C26" s="26">
        <v>45973.71</v>
      </c>
      <c r="D26" s="26">
        <v>9741.81</v>
      </c>
      <c r="E26" s="28">
        <v>1681.82</v>
      </c>
      <c r="F26" s="28">
        <v>94600.35</v>
      </c>
      <c r="G26" s="28">
        <v>32297.88</v>
      </c>
      <c r="H26" s="28">
        <v>22458.14</v>
      </c>
      <c r="I26" s="100">
        <v>20722.4</v>
      </c>
      <c r="J26" s="100"/>
      <c r="K26" s="100"/>
      <c r="L26" s="101">
        <v>100933.87</v>
      </c>
      <c r="M26" s="101">
        <v>76209.81</v>
      </c>
      <c r="N26" s="101">
        <f>6777.35</f>
        <v>6777.35</v>
      </c>
      <c r="O26" s="101">
        <f>18851.7</f>
        <v>18851.7</v>
      </c>
      <c r="P26" s="101">
        <v>25503.8</v>
      </c>
      <c r="Q26" s="132">
        <v>1890</v>
      </c>
      <c r="R26" s="135">
        <f t="shared" si="7"/>
        <v>471677.05</v>
      </c>
      <c r="S26" s="134"/>
    </row>
    <row r="27" spans="1:19">
      <c r="A27" s="29" t="s">
        <v>19</v>
      </c>
      <c r="B27" s="26"/>
      <c r="C27" s="26"/>
      <c r="D27" s="26"/>
      <c r="E27" s="28"/>
      <c r="F27" s="28"/>
      <c r="G27" s="28"/>
      <c r="H27" s="28"/>
      <c r="I27" s="100"/>
      <c r="J27" s="100"/>
      <c r="K27" s="100"/>
      <c r="L27" s="101"/>
      <c r="M27" s="101"/>
      <c r="N27" s="101"/>
      <c r="O27" s="101"/>
      <c r="P27" s="101"/>
      <c r="Q27" s="132"/>
      <c r="R27" s="136">
        <f t="shared" si="7"/>
        <v>0</v>
      </c>
      <c r="S27" s="134"/>
    </row>
    <row r="28" spans="1:19">
      <c r="A28" s="29" t="s">
        <v>20</v>
      </c>
      <c r="B28" s="26"/>
      <c r="C28" s="26"/>
      <c r="D28" s="26"/>
      <c r="E28" s="28"/>
      <c r="F28" s="28"/>
      <c r="G28" s="28"/>
      <c r="H28" s="28"/>
      <c r="I28" s="100"/>
      <c r="J28" s="100"/>
      <c r="K28" s="100"/>
      <c r="L28" s="101"/>
      <c r="M28" s="101"/>
      <c r="N28" s="101"/>
      <c r="O28" s="101"/>
      <c r="P28" s="101"/>
      <c r="Q28" s="132"/>
      <c r="R28" s="136">
        <f t="shared" si="7"/>
        <v>0</v>
      </c>
      <c r="S28" s="134"/>
    </row>
    <row r="29" spans="1:19">
      <c r="A29" s="29" t="s">
        <v>21</v>
      </c>
      <c r="B29" s="26"/>
      <c r="C29" s="26"/>
      <c r="D29" s="26"/>
      <c r="E29" s="28"/>
      <c r="F29" s="28"/>
      <c r="G29" s="28"/>
      <c r="H29" s="28"/>
      <c r="I29" s="100"/>
      <c r="J29" s="100"/>
      <c r="K29" s="100"/>
      <c r="L29" s="101"/>
      <c r="M29" s="101"/>
      <c r="N29" s="101"/>
      <c r="O29" s="101"/>
      <c r="P29" s="101"/>
      <c r="Q29" s="132"/>
      <c r="R29" s="136">
        <f t="shared" si="7"/>
        <v>0</v>
      </c>
      <c r="S29" s="134"/>
    </row>
    <row r="30" spans="1:19">
      <c r="A30" s="29" t="s">
        <v>22</v>
      </c>
      <c r="B30" s="26"/>
      <c r="C30" s="26"/>
      <c r="D30" s="26"/>
      <c r="E30" s="28"/>
      <c r="F30" s="28"/>
      <c r="G30" s="28"/>
      <c r="H30" s="28"/>
      <c r="I30" s="100"/>
      <c r="J30" s="100"/>
      <c r="K30" s="100"/>
      <c r="L30" s="101"/>
      <c r="M30" s="101"/>
      <c r="N30" s="101"/>
      <c r="O30" s="101"/>
      <c r="P30" s="101"/>
      <c r="Q30" s="132"/>
      <c r="R30" s="136">
        <f t="shared" si="7"/>
        <v>0</v>
      </c>
      <c r="S30" s="134"/>
    </row>
    <row r="31" spans="1:19">
      <c r="A31" s="29" t="s">
        <v>23</v>
      </c>
      <c r="B31" s="26"/>
      <c r="C31" s="26"/>
      <c r="D31" s="26"/>
      <c r="E31" s="28"/>
      <c r="F31" s="28"/>
      <c r="G31" s="28"/>
      <c r="H31" s="28"/>
      <c r="I31" s="100"/>
      <c r="J31" s="100"/>
      <c r="K31" s="100"/>
      <c r="L31" s="101"/>
      <c r="M31" s="101"/>
      <c r="N31" s="101"/>
      <c r="O31" s="101"/>
      <c r="P31" s="101"/>
      <c r="Q31" s="132"/>
      <c r="R31" s="136">
        <f t="shared" si="7"/>
        <v>0</v>
      </c>
      <c r="S31" s="134"/>
    </row>
    <row r="32" spans="1:19">
      <c r="A32" s="29" t="s">
        <v>24</v>
      </c>
      <c r="B32" s="26"/>
      <c r="C32" s="26"/>
      <c r="D32" s="26"/>
      <c r="E32" s="28"/>
      <c r="F32" s="28"/>
      <c r="G32" s="28"/>
      <c r="H32" s="28"/>
      <c r="I32" s="100"/>
      <c r="J32" s="100"/>
      <c r="K32" s="100"/>
      <c r="L32" s="101"/>
      <c r="M32" s="101"/>
      <c r="N32" s="101"/>
      <c r="O32" s="101"/>
      <c r="P32" s="101"/>
      <c r="Q32" s="132"/>
      <c r="R32" s="136">
        <f t="shared" si="7"/>
        <v>0</v>
      </c>
      <c r="S32" s="134"/>
    </row>
    <row r="33" spans="1:19">
      <c r="A33" s="29" t="s">
        <v>25</v>
      </c>
      <c r="B33" s="26"/>
      <c r="C33" s="26"/>
      <c r="D33" s="26"/>
      <c r="E33" s="28"/>
      <c r="F33" s="28"/>
      <c r="G33" s="28"/>
      <c r="H33" s="28"/>
      <c r="I33" s="100"/>
      <c r="J33" s="100"/>
      <c r="K33" s="100"/>
      <c r="L33" s="101"/>
      <c r="M33" s="101"/>
      <c r="N33" s="101"/>
      <c r="O33" s="101"/>
      <c r="P33" s="101"/>
      <c r="Q33" s="132"/>
      <c r="R33" s="136">
        <f t="shared" si="7"/>
        <v>0</v>
      </c>
      <c r="S33" s="134"/>
    </row>
    <row r="34" spans="1:19">
      <c r="A34" s="29" t="s">
        <v>26</v>
      </c>
      <c r="B34" s="26">
        <f>SUM(B21:B33)</f>
        <v>4839005.05</v>
      </c>
      <c r="C34" s="26">
        <f t="shared" ref="C34:R34" si="8">SUM(C21:C33)</f>
        <v>7212626.66</v>
      </c>
      <c r="D34" s="26">
        <f t="shared" si="8"/>
        <v>944128.64</v>
      </c>
      <c r="E34" s="26">
        <f t="shared" si="8"/>
        <v>166751.02</v>
      </c>
      <c r="F34" s="26">
        <f t="shared" si="8"/>
        <v>9360694.64</v>
      </c>
      <c r="G34" s="26">
        <f t="shared" si="8"/>
        <v>5059926.61</v>
      </c>
      <c r="H34" s="26">
        <f t="shared" si="8"/>
        <v>2292959.34</v>
      </c>
      <c r="I34" s="26">
        <f t="shared" si="8"/>
        <v>2665391.94</v>
      </c>
      <c r="J34" s="26">
        <f t="shared" si="8"/>
        <v>0</v>
      </c>
      <c r="K34" s="26">
        <f t="shared" si="8"/>
        <v>0</v>
      </c>
      <c r="L34" s="26">
        <f t="shared" si="8"/>
        <v>9204518.17</v>
      </c>
      <c r="M34" s="26">
        <f t="shared" si="8"/>
        <v>7293738.31</v>
      </c>
      <c r="N34" s="26">
        <f t="shared" si="8"/>
        <v>1439249.11</v>
      </c>
      <c r="O34" s="26">
        <f t="shared" si="8"/>
        <v>6126914.43</v>
      </c>
      <c r="P34" s="26">
        <f t="shared" si="8"/>
        <v>6801326.82</v>
      </c>
      <c r="Q34" s="26">
        <f t="shared" si="8"/>
        <v>300000</v>
      </c>
      <c r="R34" s="26">
        <f t="shared" si="8"/>
        <v>3161312.58</v>
      </c>
      <c r="S34" s="134"/>
    </row>
    <row r="35" spans="2:19">
      <c r="B35" s="30">
        <f>SUM(B34:Q34)</f>
        <v>63707230.74</v>
      </c>
      <c r="D35" s="31">
        <f>SUM(B34:D34)</f>
        <v>12995760.35</v>
      </c>
      <c r="I35" s="31">
        <f>SUM(E34:I34)</f>
        <v>19545723.55</v>
      </c>
      <c r="J35" s="31"/>
      <c r="K35" s="31"/>
      <c r="Q35" s="31">
        <f>SUM(L34:Q34)</f>
        <v>31165746.84</v>
      </c>
      <c r="S35" s="137"/>
    </row>
    <row r="36" ht="13.5" spans="19:19">
      <c r="S36" s="137"/>
    </row>
    <row r="37" ht="24" spans="1:19">
      <c r="A37" s="32" t="s">
        <v>45</v>
      </c>
      <c r="B37" s="33"/>
      <c r="C37" s="33"/>
      <c r="D37" s="34"/>
      <c r="E37" s="34"/>
      <c r="F37" s="34"/>
      <c r="G37" s="35"/>
      <c r="H37" s="35"/>
      <c r="I37" s="35"/>
      <c r="J37" s="35"/>
      <c r="K37" s="35"/>
      <c r="L37" s="104"/>
      <c r="S37" s="137"/>
    </row>
    <row r="38" ht="24" spans="1:15">
      <c r="A38" s="36"/>
      <c r="B38" s="37"/>
      <c r="C38" s="37"/>
      <c r="D38" s="37"/>
      <c r="E38" s="37"/>
      <c r="F38" s="37"/>
      <c r="G38" s="38"/>
      <c r="H38" s="38"/>
      <c r="I38" s="38"/>
      <c r="J38" s="38"/>
      <c r="K38" s="38"/>
      <c r="L38" s="105"/>
      <c r="N38" s="106" t="s">
        <v>46</v>
      </c>
      <c r="O38" s="107" t="s">
        <v>11</v>
      </c>
    </row>
    <row r="39" ht="24" spans="1:15">
      <c r="A39" s="39" t="s">
        <v>47</v>
      </c>
      <c r="B39" s="40" t="s">
        <v>48</v>
      </c>
      <c r="C39" s="40" t="s">
        <v>49</v>
      </c>
      <c r="D39" s="40" t="s">
        <v>50</v>
      </c>
      <c r="E39" s="40" t="s">
        <v>51</v>
      </c>
      <c r="F39" s="41" t="s">
        <v>52</v>
      </c>
      <c r="G39" s="42" t="s">
        <v>53</v>
      </c>
      <c r="H39" s="42" t="s">
        <v>54</v>
      </c>
      <c r="I39" s="42" t="s">
        <v>55</v>
      </c>
      <c r="J39" s="42"/>
      <c r="K39" s="42"/>
      <c r="L39" s="42" t="s">
        <v>56</v>
      </c>
      <c r="N39" s="108">
        <v>2026</v>
      </c>
      <c r="O39" s="109">
        <v>5.49</v>
      </c>
    </row>
    <row r="40" ht="19.5" spans="1:15">
      <c r="A40" s="43" t="str">
        <f>I20</f>
        <v>IMA GERAL</v>
      </c>
      <c r="B40" s="44" t="s">
        <v>57</v>
      </c>
      <c r="C40" s="44" t="s">
        <v>58</v>
      </c>
      <c r="D40" s="44" t="s">
        <v>59</v>
      </c>
      <c r="E40" s="45">
        <f>I34</f>
        <v>2665391.94</v>
      </c>
      <c r="F40" s="46">
        <f>E40*100/E54</f>
        <v>4.18381384505303</v>
      </c>
      <c r="G40" s="47">
        <v>37462</v>
      </c>
      <c r="H40" s="44">
        <v>0.2</v>
      </c>
      <c r="I40" s="44" t="s">
        <v>60</v>
      </c>
      <c r="J40" s="44"/>
      <c r="K40" s="44"/>
      <c r="L40" s="44" t="s">
        <v>61</v>
      </c>
      <c r="N40" s="110">
        <v>2025</v>
      </c>
      <c r="O40" s="104">
        <v>4.91</v>
      </c>
    </row>
    <row r="41" ht="19.5" spans="1:15">
      <c r="A41" s="43" t="str">
        <f>H20</f>
        <v>IDKA IPCA 2</v>
      </c>
      <c r="B41" s="48" t="s">
        <v>62</v>
      </c>
      <c r="C41" s="44" t="s">
        <v>58</v>
      </c>
      <c r="D41" s="48" t="s">
        <v>63</v>
      </c>
      <c r="E41" s="48">
        <f>H34</f>
        <v>2292959.34</v>
      </c>
      <c r="F41" s="46">
        <f>E41*100/E54</f>
        <v>3.59921364241675</v>
      </c>
      <c r="G41" s="47">
        <v>41897</v>
      </c>
      <c r="H41" s="44">
        <v>0.2</v>
      </c>
      <c r="I41" s="44" t="s">
        <v>60</v>
      </c>
      <c r="J41" s="44"/>
      <c r="K41" s="44"/>
      <c r="L41" s="44" t="s">
        <v>61</v>
      </c>
      <c r="N41" s="110">
        <v>2024</v>
      </c>
      <c r="O41" s="111">
        <v>4.84</v>
      </c>
    </row>
    <row r="42" ht="19.5" spans="1:15">
      <c r="A42" s="43" t="str">
        <f>E20</f>
        <v>DES ADM SOBERANO</v>
      </c>
      <c r="B42" s="48" t="s">
        <v>64</v>
      </c>
      <c r="C42" s="44" t="s">
        <v>58</v>
      </c>
      <c r="D42" s="48" t="s">
        <v>65</v>
      </c>
      <c r="E42" s="48">
        <f>E34</f>
        <v>166751.02</v>
      </c>
      <c r="F42" s="46">
        <f>E42*100/E54</f>
        <v>0.261745830203386</v>
      </c>
      <c r="G42" s="47">
        <v>40147</v>
      </c>
      <c r="H42" s="44">
        <v>0.5</v>
      </c>
      <c r="I42" s="44" t="s">
        <v>66</v>
      </c>
      <c r="J42" s="44"/>
      <c r="K42" s="44"/>
      <c r="L42" s="44" t="s">
        <v>61</v>
      </c>
      <c r="N42" s="110">
        <v>2023</v>
      </c>
      <c r="O42" s="112">
        <v>4.9</v>
      </c>
    </row>
    <row r="43" ht="19.5" spans="1:15">
      <c r="A43" s="43" t="str">
        <f>G20</f>
        <v>RPPS III</v>
      </c>
      <c r="B43" s="48" t="s">
        <v>67</v>
      </c>
      <c r="C43" s="44" t="s">
        <v>58</v>
      </c>
      <c r="D43" s="48" t="s">
        <v>68</v>
      </c>
      <c r="E43" s="48">
        <f>G34</f>
        <v>5059926.61</v>
      </c>
      <c r="F43" s="46">
        <f>E43*100/E54</f>
        <v>7.94246830575703</v>
      </c>
      <c r="G43" s="47">
        <v>40155</v>
      </c>
      <c r="H43" s="44">
        <v>0.2</v>
      </c>
      <c r="I43" s="44" t="s">
        <v>60</v>
      </c>
      <c r="J43" s="44"/>
      <c r="K43" s="44"/>
      <c r="L43" s="44" t="s">
        <v>61</v>
      </c>
      <c r="N43" s="110">
        <v>2022</v>
      </c>
      <c r="O43" s="113">
        <v>4.87</v>
      </c>
    </row>
    <row r="44" ht="18.75" spans="1:15">
      <c r="A44" s="43" t="s">
        <v>35</v>
      </c>
      <c r="B44" s="48" t="s">
        <v>69</v>
      </c>
      <c r="C44" s="44" t="s">
        <v>58</v>
      </c>
      <c r="D44" s="48" t="s">
        <v>65</v>
      </c>
      <c r="E44" s="48">
        <f>F34</f>
        <v>9360694.64</v>
      </c>
      <c r="F44" s="46">
        <f>E44*100/E54</f>
        <v>14.6933001658832</v>
      </c>
      <c r="G44" s="49">
        <v>42044</v>
      </c>
      <c r="H44" s="48">
        <v>0.15</v>
      </c>
      <c r="I44" s="48" t="s">
        <v>60</v>
      </c>
      <c r="J44" s="48"/>
      <c r="K44" s="48"/>
      <c r="L44" s="48" t="s">
        <v>61</v>
      </c>
      <c r="N44" s="114">
        <v>2021</v>
      </c>
      <c r="O44" s="115">
        <v>5.4</v>
      </c>
    </row>
    <row r="45" spans="1:12">
      <c r="A45" s="50" t="s">
        <v>70</v>
      </c>
      <c r="B45" s="51" t="s">
        <v>71</v>
      </c>
      <c r="C45" s="52" t="s">
        <v>58</v>
      </c>
      <c r="D45" s="51" t="s">
        <v>72</v>
      </c>
      <c r="E45" s="51">
        <f>D34</f>
        <v>944128.64</v>
      </c>
      <c r="F45" s="53">
        <f>E45*100/E54</f>
        <v>1.48198034827969</v>
      </c>
      <c r="G45" s="54">
        <v>40155</v>
      </c>
      <c r="H45" s="52" t="s">
        <v>73</v>
      </c>
      <c r="I45" s="52" t="s">
        <v>66</v>
      </c>
      <c r="J45" s="52"/>
      <c r="K45" s="52"/>
      <c r="L45" s="52" t="s">
        <v>61</v>
      </c>
    </row>
    <row r="46" spans="1:17">
      <c r="A46" s="50" t="s">
        <v>74</v>
      </c>
      <c r="B46" s="51" t="s">
        <v>75</v>
      </c>
      <c r="C46" s="52" t="s">
        <v>58</v>
      </c>
      <c r="D46" s="51" t="s">
        <v>76</v>
      </c>
      <c r="E46" s="51">
        <f>B34</f>
        <v>4839005.05</v>
      </c>
      <c r="F46" s="53">
        <f>E46*100/E54</f>
        <v>7.59569203337185</v>
      </c>
      <c r="G46" s="54">
        <v>38557</v>
      </c>
      <c r="H46" s="52">
        <v>0.2</v>
      </c>
      <c r="I46" s="52" t="s">
        <v>66</v>
      </c>
      <c r="J46" s="52"/>
      <c r="K46" s="52"/>
      <c r="L46" s="52" t="s">
        <v>61</v>
      </c>
      <c r="N46" s="116"/>
      <c r="O46" s="116"/>
      <c r="P46" s="116"/>
      <c r="Q46" s="116"/>
    </row>
    <row r="47" spans="1:17">
      <c r="A47" s="55" t="s">
        <v>77</v>
      </c>
      <c r="B47" s="56" t="s">
        <v>78</v>
      </c>
      <c r="C47" s="57" t="s">
        <v>58</v>
      </c>
      <c r="D47" s="56" t="s">
        <v>68</v>
      </c>
      <c r="E47" s="56">
        <f>C34</f>
        <v>7212626.66</v>
      </c>
      <c r="F47" s="58">
        <f>E47*100/E54</f>
        <v>11.3215196708768</v>
      </c>
      <c r="G47" s="54">
        <v>44719</v>
      </c>
      <c r="H47" s="52">
        <v>0.2</v>
      </c>
      <c r="I47" s="52" t="s">
        <v>79</v>
      </c>
      <c r="J47" s="52"/>
      <c r="K47" s="52"/>
      <c r="L47" s="52" t="s">
        <v>61</v>
      </c>
      <c r="N47" s="116"/>
      <c r="O47" s="116"/>
      <c r="P47" s="116"/>
      <c r="Q47" s="116"/>
    </row>
    <row r="48" spans="1:17">
      <c r="A48" s="59" t="s">
        <v>80</v>
      </c>
      <c r="B48" s="60" t="s">
        <v>81</v>
      </c>
      <c r="C48" s="60" t="s">
        <v>82</v>
      </c>
      <c r="D48" s="60" t="s">
        <v>83</v>
      </c>
      <c r="E48" s="60">
        <f>L34</f>
        <v>9204518.17</v>
      </c>
      <c r="F48" s="61">
        <f>E48*100/E54</f>
        <v>14.448153000976</v>
      </c>
      <c r="G48" s="62">
        <v>38903</v>
      </c>
      <c r="H48" s="63">
        <v>0.2</v>
      </c>
      <c r="I48" s="63" t="s">
        <v>60</v>
      </c>
      <c r="J48" s="63"/>
      <c r="K48" s="63"/>
      <c r="L48" s="63" t="s">
        <v>61</v>
      </c>
      <c r="N48" s="116"/>
      <c r="O48" s="116"/>
      <c r="P48" s="116"/>
      <c r="Q48" s="116"/>
    </row>
    <row r="49" spans="1:17">
      <c r="A49" s="59" t="s">
        <v>84</v>
      </c>
      <c r="B49" s="60" t="s">
        <v>85</v>
      </c>
      <c r="C49" s="63" t="s">
        <v>58</v>
      </c>
      <c r="D49" s="60" t="s">
        <v>72</v>
      </c>
      <c r="E49" s="60">
        <f>M34</f>
        <v>7293738.31</v>
      </c>
      <c r="F49" s="64">
        <f>E49*100/E54</f>
        <v>11.4488390490037</v>
      </c>
      <c r="G49" s="62">
        <v>40326</v>
      </c>
      <c r="H49" s="63">
        <v>0.2</v>
      </c>
      <c r="I49" s="63" t="s">
        <v>60</v>
      </c>
      <c r="J49" s="63"/>
      <c r="K49" s="63"/>
      <c r="L49" s="63" t="s">
        <v>61</v>
      </c>
      <c r="N49" s="116"/>
      <c r="O49" s="116"/>
      <c r="P49" s="116"/>
      <c r="Q49" s="116"/>
    </row>
    <row r="50" spans="1:17">
      <c r="A50" s="59" t="s">
        <v>86</v>
      </c>
      <c r="B50" s="60" t="s">
        <v>87</v>
      </c>
      <c r="C50" s="63" t="s">
        <v>58</v>
      </c>
      <c r="D50" s="60" t="s">
        <v>88</v>
      </c>
      <c r="E50" s="60">
        <f>N34</f>
        <v>1439249.11</v>
      </c>
      <c r="F50" s="64">
        <f>E50*100/E54</f>
        <v>2.25916131227524</v>
      </c>
      <c r="G50" s="62">
        <v>41040</v>
      </c>
      <c r="H50" s="63">
        <v>0.2</v>
      </c>
      <c r="I50" s="63" t="s">
        <v>60</v>
      </c>
      <c r="J50" s="63"/>
      <c r="K50" s="63"/>
      <c r="L50" s="63" t="s">
        <v>61</v>
      </c>
      <c r="N50" s="116"/>
      <c r="O50" s="116"/>
      <c r="P50" s="116"/>
      <c r="Q50" s="116"/>
    </row>
    <row r="51" spans="1:17">
      <c r="A51" s="59" t="s">
        <v>89</v>
      </c>
      <c r="B51" s="60" t="s">
        <v>90</v>
      </c>
      <c r="C51" s="63" t="s">
        <v>58</v>
      </c>
      <c r="D51" s="60" t="s">
        <v>76</v>
      </c>
      <c r="E51" s="60">
        <f>P34</f>
        <v>6801326.82</v>
      </c>
      <c r="F51" s="64">
        <f>E51*100/E54</f>
        <v>10.6759103181825</v>
      </c>
      <c r="G51" s="62">
        <v>45061</v>
      </c>
      <c r="H51" s="63">
        <v>0.15</v>
      </c>
      <c r="I51" s="117">
        <v>48715</v>
      </c>
      <c r="J51" s="117"/>
      <c r="K51" s="117"/>
      <c r="L51" s="63" t="s">
        <v>61</v>
      </c>
      <c r="N51" s="116"/>
      <c r="O51" s="116"/>
      <c r="P51" s="116"/>
      <c r="Q51" s="116"/>
    </row>
    <row r="52" spans="1:17">
      <c r="A52" s="59" t="s">
        <v>91</v>
      </c>
      <c r="B52" s="63" t="s">
        <v>92</v>
      </c>
      <c r="C52" s="63" t="s">
        <v>93</v>
      </c>
      <c r="D52" s="63" t="s">
        <v>76</v>
      </c>
      <c r="E52" s="60">
        <f>O34</f>
        <v>6126914.43</v>
      </c>
      <c r="F52" s="61">
        <f>E52*100/E54</f>
        <v>9.61729831736836</v>
      </c>
      <c r="G52" s="65">
        <v>45061</v>
      </c>
      <c r="H52" s="63">
        <v>0.15</v>
      </c>
      <c r="I52" s="117">
        <v>48441</v>
      </c>
      <c r="J52" s="117"/>
      <c r="K52" s="117"/>
      <c r="L52" s="63" t="s">
        <v>61</v>
      </c>
      <c r="N52" s="116"/>
      <c r="O52" s="116"/>
      <c r="P52" s="116"/>
      <c r="Q52" s="116"/>
    </row>
    <row r="53" spans="1:17">
      <c r="A53" s="66" t="s">
        <v>94</v>
      </c>
      <c r="B53" s="67" t="s">
        <v>95</v>
      </c>
      <c r="C53" s="63" t="s">
        <v>96</v>
      </c>
      <c r="D53" s="63" t="s">
        <v>97</v>
      </c>
      <c r="E53" s="60">
        <f>Q34</f>
        <v>300000</v>
      </c>
      <c r="F53" s="64">
        <f>E53*100/E54</f>
        <v>0.470904160352458</v>
      </c>
      <c r="G53" s="62">
        <v>45216</v>
      </c>
      <c r="H53" s="63">
        <v>1.2</v>
      </c>
      <c r="I53" s="63" t="s">
        <v>60</v>
      </c>
      <c r="J53" s="63"/>
      <c r="K53" s="63"/>
      <c r="L53" s="63" t="s">
        <v>60</v>
      </c>
      <c r="N53" s="116"/>
      <c r="O53" s="118"/>
      <c r="P53" s="118"/>
      <c r="Q53" s="116"/>
    </row>
    <row r="54" ht="15.75" spans="1:17">
      <c r="A54" s="68" t="s">
        <v>26</v>
      </c>
      <c r="B54" s="68"/>
      <c r="C54" s="68"/>
      <c r="D54" s="68"/>
      <c r="E54" s="69">
        <f>SUM(E40:E53)</f>
        <v>63707230.74</v>
      </c>
      <c r="F54" s="70">
        <f>SUM(F40:F53)</f>
        <v>100</v>
      </c>
      <c r="G54" s="68"/>
      <c r="H54" s="68"/>
      <c r="I54" s="68"/>
      <c r="J54" s="68"/>
      <c r="K54" s="68"/>
      <c r="L54" s="68"/>
      <c r="N54" s="119"/>
      <c r="O54" s="120"/>
      <c r="P54" s="120"/>
      <c r="Q54" s="119"/>
    </row>
    <row r="55" spans="14:17">
      <c r="N55" s="121"/>
      <c r="O55" s="121"/>
      <c r="P55" s="121"/>
      <c r="Q55" s="121"/>
    </row>
    <row r="56" spans="1:3">
      <c r="A56" s="68" t="s">
        <v>98</v>
      </c>
      <c r="B56" s="71">
        <f>E47+E51+E52</f>
        <v>20140867.91</v>
      </c>
      <c r="C56" s="71">
        <f>B56*100/B65</f>
        <v>31.6147283064277</v>
      </c>
    </row>
    <row r="57" ht="15.75" spans="1:8">
      <c r="A57" s="72" t="s">
        <v>59</v>
      </c>
      <c r="B57" s="67">
        <f>E40+E46+E52+E51</f>
        <v>20432638.24</v>
      </c>
      <c r="C57" s="61">
        <f>B57*100/B65</f>
        <v>32.0727145139758</v>
      </c>
      <c r="E57" s="73"/>
      <c r="F57" s="73" t="s">
        <v>99</v>
      </c>
      <c r="G57" s="73"/>
      <c r="H57" s="73"/>
    </row>
    <row r="58" ht="15" spans="1:8">
      <c r="A58" s="74" t="s">
        <v>63</v>
      </c>
      <c r="B58" s="67">
        <f>E41</f>
        <v>2292959.34</v>
      </c>
      <c r="C58" s="61">
        <f>B58*100/B65</f>
        <v>3.59921364241675</v>
      </c>
      <c r="E58" s="73" t="s">
        <v>100</v>
      </c>
      <c r="F58" s="73">
        <v>100</v>
      </c>
      <c r="G58" s="75">
        <f>E40+E41+E42+E43+E44+E45+E46+E47+E49+E50+E51+E52</f>
        <v>54202712.57</v>
      </c>
      <c r="H58" s="76">
        <f>G58*100/G61</f>
        <v>85.0809428386716</v>
      </c>
    </row>
    <row r="59" ht="15" spans="1:8">
      <c r="A59" s="74" t="s">
        <v>65</v>
      </c>
      <c r="B59" s="67">
        <f>E42+E44</f>
        <v>9527445.66</v>
      </c>
      <c r="C59" s="61">
        <f>B59*100/B65</f>
        <v>14.9550459960866</v>
      </c>
      <c r="E59" s="77" t="s">
        <v>101</v>
      </c>
      <c r="F59" s="77">
        <v>60</v>
      </c>
      <c r="G59" s="78">
        <f>E48</f>
        <v>9204518.17</v>
      </c>
      <c r="H59" s="76">
        <f>G59*100/G61</f>
        <v>14.448153000976</v>
      </c>
    </row>
    <row r="60" ht="15" spans="1:8">
      <c r="A60" s="79" t="s">
        <v>68</v>
      </c>
      <c r="B60" s="80">
        <f>E43+E47</f>
        <v>12272553.27</v>
      </c>
      <c r="C60" s="81">
        <f>B60*100/B65</f>
        <v>19.2639879766339</v>
      </c>
      <c r="E60" s="82" t="s">
        <v>96</v>
      </c>
      <c r="F60" s="82">
        <v>5</v>
      </c>
      <c r="G60" s="83">
        <f>E53</f>
        <v>300000</v>
      </c>
      <c r="H60" s="76">
        <f>G60*100/G61</f>
        <v>0.470904160352458</v>
      </c>
    </row>
    <row r="61" ht="15.75" spans="1:15">
      <c r="A61" s="74" t="s">
        <v>72</v>
      </c>
      <c r="B61" s="67">
        <f>E45+E49</f>
        <v>8237866.95</v>
      </c>
      <c r="C61" s="61">
        <f>B61*100/B65</f>
        <v>12.9308193972834</v>
      </c>
      <c r="E61" s="45" t="s">
        <v>26</v>
      </c>
      <c r="F61" s="45"/>
      <c r="G61" s="84">
        <f>SUM(G58:G60)</f>
        <v>63707230.74</v>
      </c>
      <c r="H61" s="85">
        <f>SUM(H58:H60)</f>
        <v>100</v>
      </c>
      <c r="L61" s="122" t="s">
        <v>46</v>
      </c>
      <c r="M61" s="122" t="s">
        <v>102</v>
      </c>
      <c r="N61" s="122" t="s">
        <v>103</v>
      </c>
      <c r="O61" s="122"/>
    </row>
    <row r="62" spans="1:15">
      <c r="A62" s="74" t="s">
        <v>83</v>
      </c>
      <c r="B62" s="67">
        <f>E48</f>
        <v>9204518.17</v>
      </c>
      <c r="C62" s="61">
        <f>B62*100/B65</f>
        <v>14.448153000976</v>
      </c>
      <c r="L62" s="122">
        <v>2017</v>
      </c>
      <c r="M62" s="122">
        <v>9.12</v>
      </c>
      <c r="N62" s="122">
        <v>17.09</v>
      </c>
      <c r="O62" s="122" t="s">
        <v>104</v>
      </c>
    </row>
    <row r="63" spans="1:15">
      <c r="A63" s="74" t="s">
        <v>41</v>
      </c>
      <c r="B63" s="67">
        <f>E50</f>
        <v>1439249.11</v>
      </c>
      <c r="C63" s="61">
        <f>B63*100/B65</f>
        <v>2.25916131227524</v>
      </c>
      <c r="L63" s="122">
        <v>2018</v>
      </c>
      <c r="M63" s="122">
        <v>9.97</v>
      </c>
      <c r="N63" s="122">
        <v>6.33</v>
      </c>
      <c r="O63" s="122"/>
    </row>
    <row r="64" spans="1:15">
      <c r="A64" s="74" t="s">
        <v>97</v>
      </c>
      <c r="B64" s="67">
        <f>E53</f>
        <v>300000</v>
      </c>
      <c r="C64" s="61">
        <f>B64*100/B65</f>
        <v>0.470904160352458</v>
      </c>
      <c r="L64" s="122">
        <v>2019</v>
      </c>
      <c r="M64" s="122">
        <v>10.56</v>
      </c>
      <c r="N64" s="122">
        <v>10.62</v>
      </c>
      <c r="O64" s="122" t="s">
        <v>104</v>
      </c>
    </row>
    <row r="65" ht="15.75" spans="1:15">
      <c r="A65" s="74" t="s">
        <v>26</v>
      </c>
      <c r="B65" s="138">
        <f>SUM(B57:B64)</f>
        <v>63707230.74</v>
      </c>
      <c r="C65" s="61">
        <f>SUM(C57:C64)</f>
        <v>100</v>
      </c>
      <c r="E65" s="116"/>
      <c r="F65" s="116"/>
      <c r="G65" s="116"/>
      <c r="H65" s="116"/>
      <c r="L65" s="122">
        <v>2020</v>
      </c>
      <c r="M65" s="122">
        <v>10.79</v>
      </c>
      <c r="N65" s="122">
        <v>4.2</v>
      </c>
      <c r="O65" s="122"/>
    </row>
    <row r="66" spans="5:15">
      <c r="E66" s="116"/>
      <c r="F66" s="116"/>
      <c r="G66" s="116"/>
      <c r="H66" s="116"/>
      <c r="L66" s="122">
        <v>2021</v>
      </c>
      <c r="M66" s="122">
        <v>16</v>
      </c>
      <c r="N66" s="122">
        <v>2.32</v>
      </c>
      <c r="O66" s="122"/>
    </row>
    <row r="67" spans="5:15">
      <c r="E67" s="116"/>
      <c r="F67" s="116"/>
      <c r="G67" s="116"/>
      <c r="H67" s="116"/>
      <c r="L67" s="122">
        <v>2023</v>
      </c>
      <c r="M67" s="122">
        <v>9.49</v>
      </c>
      <c r="N67" s="122">
        <v>12.41</v>
      </c>
      <c r="O67" s="122" t="s">
        <v>104</v>
      </c>
    </row>
    <row r="68" spans="5:15">
      <c r="E68" s="116"/>
      <c r="F68" s="116"/>
      <c r="G68" s="116"/>
      <c r="H68" s="116"/>
      <c r="L68" s="122">
        <v>2024</v>
      </c>
      <c r="M68" s="143">
        <v>9.91</v>
      </c>
      <c r="N68" s="143">
        <v>2.69</v>
      </c>
      <c r="O68" s="122"/>
    </row>
    <row r="69" spans="5:15">
      <c r="E69" s="116"/>
      <c r="F69" s="116"/>
      <c r="G69" s="116"/>
      <c r="H69" s="116"/>
      <c r="L69" s="68">
        <v>2025</v>
      </c>
      <c r="M69" s="70">
        <v>9.38</v>
      </c>
      <c r="N69" s="70">
        <v>12.3</v>
      </c>
      <c r="O69" s="68" t="s">
        <v>104</v>
      </c>
    </row>
    <row r="70" spans="5:15">
      <c r="E70" s="116"/>
      <c r="F70" s="116"/>
      <c r="G70" s="116"/>
      <c r="H70" s="116"/>
      <c r="L70" s="68" t="s">
        <v>26</v>
      </c>
      <c r="M70" s="70">
        <f>SUM(M62:M69)</f>
        <v>85.22</v>
      </c>
      <c r="N70" s="70">
        <f>SUM(N62:N69)</f>
        <v>67.96</v>
      </c>
      <c r="O70" s="68"/>
    </row>
    <row r="71" spans="5:8">
      <c r="E71" s="116"/>
      <c r="F71" s="116"/>
      <c r="G71" s="116"/>
      <c r="H71" s="116"/>
    </row>
    <row r="72" spans="5:8">
      <c r="E72" s="116"/>
      <c r="F72" s="118"/>
      <c r="G72" s="118"/>
      <c r="H72" s="116"/>
    </row>
    <row r="73" spans="5:8">
      <c r="E73" s="119"/>
      <c r="F73" s="120"/>
      <c r="G73" s="120"/>
      <c r="H73" s="119"/>
    </row>
    <row r="74" spans="1:8">
      <c r="A74" s="121"/>
      <c r="B74" s="121"/>
      <c r="C74" s="121"/>
      <c r="D74" s="121"/>
      <c r="E74" s="119"/>
      <c r="F74" s="120"/>
      <c r="G74" s="120"/>
      <c r="H74" s="119"/>
    </row>
    <row r="75" spans="1:7">
      <c r="A75" s="121"/>
      <c r="B75" s="121"/>
      <c r="C75" s="121"/>
      <c r="D75" s="121"/>
      <c r="E75" s="121"/>
      <c r="F75" s="121"/>
      <c r="G75" s="121"/>
    </row>
    <row r="76" spans="1:7">
      <c r="A76" s="121"/>
      <c r="B76" s="121"/>
      <c r="C76" s="121"/>
      <c r="D76" s="121"/>
      <c r="E76" s="121"/>
      <c r="F76" s="121"/>
      <c r="G76" s="121"/>
    </row>
    <row r="77" spans="1:7">
      <c r="A77" s="121"/>
      <c r="B77" s="139"/>
      <c r="C77" s="121"/>
      <c r="D77" s="140"/>
      <c r="E77" s="139"/>
      <c r="F77" s="139"/>
      <c r="G77" s="141"/>
    </row>
    <row r="78" spans="1:7">
      <c r="A78" s="121"/>
      <c r="B78" s="139"/>
      <c r="C78" s="121"/>
      <c r="D78" s="140"/>
      <c r="E78" s="139"/>
      <c r="F78" s="139"/>
      <c r="G78" s="141"/>
    </row>
    <row r="79" spans="1:7">
      <c r="A79" s="121"/>
      <c r="B79" s="139"/>
      <c r="C79" s="121"/>
      <c r="D79" s="140"/>
      <c r="E79" s="139"/>
      <c r="F79" s="139"/>
      <c r="G79" s="141"/>
    </row>
    <row r="80" spans="1:7">
      <c r="A80" s="121"/>
      <c r="B80" s="139"/>
      <c r="C80" s="121"/>
      <c r="D80" s="140"/>
      <c r="E80" s="139"/>
      <c r="F80" s="139"/>
      <c r="G80" s="141"/>
    </row>
    <row r="81" spans="1:7">
      <c r="A81" s="121"/>
      <c r="B81" s="139"/>
      <c r="C81" s="121"/>
      <c r="D81" s="140"/>
      <c r="E81" s="139"/>
      <c r="F81" s="139"/>
      <c r="G81" s="141"/>
    </row>
    <row r="82" spans="1:7">
      <c r="A82" s="121"/>
      <c r="B82" s="139"/>
      <c r="C82" s="121"/>
      <c r="D82" s="140"/>
      <c r="E82" s="139"/>
      <c r="F82" s="139"/>
      <c r="G82" s="141"/>
    </row>
    <row r="83" spans="1:7">
      <c r="A83" s="121"/>
      <c r="B83" s="139"/>
      <c r="C83" s="121"/>
      <c r="D83" s="140"/>
      <c r="E83" s="139"/>
      <c r="F83" s="139"/>
      <c r="G83" s="141"/>
    </row>
    <row r="84" spans="1:7">
      <c r="A84" s="121"/>
      <c r="B84" s="139"/>
      <c r="C84" s="121"/>
      <c r="D84" s="140"/>
      <c r="E84" s="139"/>
      <c r="F84" s="139"/>
      <c r="G84" s="141"/>
    </row>
    <row r="85" spans="1:7">
      <c r="A85" s="121"/>
      <c r="B85" s="139"/>
      <c r="C85" s="121"/>
      <c r="D85" s="140"/>
      <c r="E85" s="139"/>
      <c r="F85" s="139"/>
      <c r="G85" s="141"/>
    </row>
    <row r="86" spans="1:7">
      <c r="A86" s="121"/>
      <c r="B86" s="139"/>
      <c r="C86" s="121"/>
      <c r="D86" s="139"/>
      <c r="E86" s="121"/>
      <c r="F86" s="142"/>
      <c r="G86" s="141"/>
    </row>
    <row r="87" spans="1:7">
      <c r="A87" s="121"/>
      <c r="B87" s="121"/>
      <c r="C87" s="121"/>
      <c r="D87" s="121"/>
      <c r="E87" s="121"/>
      <c r="F87" s="119"/>
      <c r="G87" s="121"/>
    </row>
    <row r="88" spans="1:7">
      <c r="A88" s="121"/>
      <c r="B88" s="121"/>
      <c r="C88" s="121"/>
      <c r="D88" s="121"/>
      <c r="E88" s="121"/>
      <c r="F88" s="121"/>
      <c r="G88" s="121"/>
    </row>
    <row r="89" spans="1:7">
      <c r="A89" s="121"/>
      <c r="B89" s="121"/>
      <c r="C89" s="121"/>
      <c r="D89" s="121"/>
      <c r="E89" s="121"/>
      <c r="F89" s="121"/>
      <c r="G89" s="121"/>
    </row>
    <row r="90" spans="1:7">
      <c r="A90" s="121"/>
      <c r="B90" s="121"/>
      <c r="C90" s="121"/>
      <c r="D90" s="121"/>
      <c r="E90" s="121"/>
      <c r="F90" s="121"/>
      <c r="G90" s="121"/>
    </row>
  </sheetData>
  <mergeCells count="5">
    <mergeCell ref="C1:R1"/>
    <mergeCell ref="B19:D19"/>
    <mergeCell ref="E19:I19"/>
    <mergeCell ref="L19:Q19"/>
    <mergeCell ref="A37:C37"/>
  </mergeCells>
  <pageMargins left="0.75" right="0.75" top="1" bottom="1" header="0.5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marivane.amarante</dc:creator>
  <cp:lastModifiedBy>cristiane.weyh</cp:lastModifiedBy>
  <dcterms:created xsi:type="dcterms:W3CDTF">2024-11-07T17:06:00Z</dcterms:created>
  <dcterms:modified xsi:type="dcterms:W3CDTF">2026-06-08T16:16:15Z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3AD34C3845F0476396F22B98D956D395</vt:lpwstr>
  </property>
  <property fmtid="{D5CDD505-2E9C-101B-9397-08002B2CF9AE}" pid="3" name="KSOProductBuildVer">
    <vt:lpwstr>1046-11.2.0.11156</vt:lpwstr>
  </property>
</Properties>
</file>